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J:\WP07 integrated modelling\STEM_Coupling\STEM_LCA\Exchanges Sep - Nov 2024\"/>
    </mc:Choice>
  </mc:AlternateContent>
  <xr:revisionPtr revIDLastSave="0" documentId="13_ncr:1_{461C7815-9665-4E39-AB3F-3BA60573E450}" xr6:coauthVersionLast="47" xr6:coauthVersionMax="47" xr10:uidLastSave="{00000000-0000-0000-0000-000000000000}"/>
  <bookViews>
    <workbookView xWindow="-110" yWindow="-110" windowWidth="29020" windowHeight="15700" activeTab="1" xr2:uid="{FF64AF30-3015-1142-92FA-2A2ED079457A}"/>
  </bookViews>
  <sheets>
    <sheet name="Variable_List" sheetId="2" r:id="rId1"/>
    <sheet name="SPS4_FIN_Low" sheetId="1" r:id="rId2"/>
    <sheet name="check" sheetId="4" r:id="rId3"/>
  </sheets>
  <externalReferences>
    <externalReference r:id="rId4"/>
    <externalReference r:id="rId5"/>
  </externalReferences>
  <definedNames>
    <definedName name="_xlnm._FilterDatabase" localSheetId="1" hidden="1">SPS4_FIN_Low!$A$1:$K$2232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40" i="1" l="1" a="1"/>
  <c r="I2340" i="1" s="1"/>
  <c r="H2340" i="1" a="1"/>
  <c r="H2340" i="1" s="1"/>
  <c r="G2340" i="1" a="1"/>
  <c r="G2340" i="1" s="1"/>
  <c r="F2340" i="1" a="1"/>
  <c r="F2340" i="1" s="1"/>
  <c r="I2339" i="1" a="1"/>
  <c r="I2339" i="1" s="1"/>
  <c r="H2339" i="1" a="1"/>
  <c r="H2339" i="1" s="1"/>
  <c r="G2339" i="1" a="1"/>
  <c r="G2339" i="1" s="1"/>
  <c r="F2339" i="1" a="1"/>
  <c r="F2339" i="1" s="1"/>
  <c r="I2338" i="1" a="1"/>
  <c r="I2338" i="1" s="1"/>
  <c r="H2338" i="1" a="1"/>
  <c r="H2338" i="1" s="1"/>
  <c r="G2338" i="1" a="1"/>
  <c r="G2338" i="1" s="1"/>
  <c r="F2338" i="1" a="1"/>
  <c r="F2338" i="1" s="1"/>
  <c r="I2337" i="1" a="1"/>
  <c r="I2337" i="1" s="1"/>
  <c r="H2337" i="1" a="1"/>
  <c r="H2337" i="1" s="1"/>
  <c r="G2337" i="1" a="1"/>
  <c r="G2337" i="1" s="1"/>
  <c r="F2337" i="1" a="1"/>
  <c r="F2337" i="1" s="1"/>
  <c r="I2336" i="1" a="1"/>
  <c r="I2336" i="1" s="1"/>
  <c r="H2336" i="1" a="1"/>
  <c r="H2336" i="1" s="1"/>
  <c r="G2336" i="1" a="1"/>
  <c r="G2336" i="1" s="1"/>
  <c r="F2336" i="1" a="1"/>
  <c r="F2336" i="1" s="1"/>
  <c r="I2335" i="1" a="1"/>
  <c r="I2335" i="1" s="1"/>
  <c r="H2335" i="1" a="1"/>
  <c r="H2335" i="1" s="1"/>
  <c r="G2335" i="1" a="1"/>
  <c r="G2335" i="1" s="1"/>
  <c r="F2335" i="1" a="1"/>
  <c r="F2335" i="1" s="1"/>
  <c r="I2334" i="1" a="1"/>
  <c r="I2334" i="1" s="1"/>
  <c r="H2334" i="1" a="1"/>
  <c r="H2334" i="1" s="1"/>
  <c r="G2334" i="1" a="1"/>
  <c r="G2334" i="1" s="1"/>
  <c r="F2334" i="1" a="1"/>
  <c r="F2334" i="1" s="1"/>
  <c r="I2333" i="1" a="1"/>
  <c r="I2333" i="1" s="1"/>
  <c r="H2333" i="1" a="1"/>
  <c r="H2333" i="1" s="1"/>
  <c r="G2333" i="1" a="1"/>
  <c r="G2333" i="1" s="1"/>
  <c r="F2333" i="1" a="1"/>
  <c r="F2333" i="1" s="1"/>
  <c r="I2332" i="1" a="1"/>
  <c r="I2332" i="1" s="1"/>
  <c r="H2332" i="1" a="1"/>
  <c r="H2332" i="1" s="1"/>
  <c r="G2332" i="1" a="1"/>
  <c r="G2332" i="1" s="1"/>
  <c r="F2332" i="1" a="1"/>
  <c r="F2332" i="1" s="1"/>
  <c r="I2331" i="1" a="1"/>
  <c r="I2331" i="1" s="1"/>
  <c r="H2331" i="1" a="1"/>
  <c r="H2331" i="1" s="1"/>
  <c r="G2331" i="1" a="1"/>
  <c r="G2331" i="1" s="1"/>
  <c r="F2331" i="1" a="1"/>
  <c r="F2331" i="1" s="1"/>
  <c r="I2330" i="1" a="1"/>
  <c r="I2330" i="1" s="1"/>
  <c r="H2330" i="1" a="1"/>
  <c r="H2330" i="1" s="1"/>
  <c r="G2330" i="1" a="1"/>
  <c r="G2330" i="1" s="1"/>
  <c r="F2330" i="1" a="1"/>
  <c r="F2330" i="1" s="1"/>
  <c r="I2329" i="1" a="1"/>
  <c r="I2329" i="1" s="1"/>
  <c r="H2329" i="1" a="1"/>
  <c r="H2329" i="1" s="1"/>
  <c r="G2329" i="1" a="1"/>
  <c r="G2329" i="1" s="1"/>
  <c r="F2329" i="1" a="1"/>
  <c r="F2329" i="1" s="1"/>
  <c r="I2328" i="1" a="1"/>
  <c r="I2328" i="1" s="1"/>
  <c r="H2328" i="1" a="1"/>
  <c r="H2328" i="1" s="1"/>
  <c r="G2328" i="1" a="1"/>
  <c r="G2328" i="1" s="1"/>
  <c r="F2328" i="1" a="1"/>
  <c r="F2328" i="1" s="1"/>
  <c r="I2327" i="1" a="1"/>
  <c r="I2327" i="1" s="1"/>
  <c r="H2327" i="1" a="1"/>
  <c r="H2327" i="1" s="1"/>
  <c r="G2327" i="1" a="1"/>
  <c r="G2327" i="1" s="1"/>
  <c r="F2327" i="1" a="1"/>
  <c r="F2327" i="1" s="1"/>
  <c r="I2326" i="1" a="1"/>
  <c r="I2326" i="1" s="1"/>
  <c r="H2326" i="1" a="1"/>
  <c r="H2326" i="1" s="1"/>
  <c r="G2326" i="1" a="1"/>
  <c r="G2326" i="1" s="1"/>
  <c r="F2326" i="1" a="1"/>
  <c r="F2326" i="1" s="1"/>
  <c r="I2325" i="1" a="1"/>
  <c r="I2325" i="1" s="1"/>
  <c r="H2325" i="1" a="1"/>
  <c r="H2325" i="1" s="1"/>
  <c r="G2325" i="1" a="1"/>
  <c r="G2325" i="1" s="1"/>
  <c r="F2325" i="1" a="1"/>
  <c r="F2325" i="1" s="1"/>
  <c r="I2323" i="1" a="1"/>
  <c r="I2323" i="1" s="1"/>
  <c r="I2322" i="1" s="1" a="1"/>
  <c r="I2322" i="1" s="1"/>
  <c r="H2323" i="1" a="1"/>
  <c r="H2323" i="1" s="1"/>
  <c r="H2322" i="1" s="1" a="1"/>
  <c r="H2322" i="1" s="1"/>
  <c r="G2323" i="1" a="1"/>
  <c r="G2323" i="1" s="1"/>
  <c r="G2322" i="1" s="1" a="1"/>
  <c r="G2322" i="1" s="1"/>
  <c r="F2323" i="1" a="1"/>
  <c r="F2323" i="1" s="1"/>
  <c r="F2322" i="1" s="1" a="1"/>
  <c r="F2322" i="1" s="1"/>
  <c r="I2320" i="1" a="1"/>
  <c r="I2320" i="1" s="1"/>
  <c r="I2319" i="1" s="1" a="1"/>
  <c r="I2319" i="1" s="1"/>
  <c r="H2320" i="1" a="1"/>
  <c r="H2320" i="1" s="1"/>
  <c r="H2319" i="1" s="1" a="1"/>
  <c r="H2319" i="1" s="1"/>
  <c r="G2320" i="1" a="1"/>
  <c r="G2320" i="1" s="1"/>
  <c r="G2319" i="1" s="1" a="1"/>
  <c r="G2319" i="1" s="1"/>
  <c r="F2320" i="1" a="1"/>
  <c r="F2320" i="1" s="1"/>
  <c r="F2319" i="1" s="1" a="1"/>
  <c r="F2319" i="1" s="1"/>
  <c r="I2317" i="1" a="1"/>
  <c r="I2317" i="1" s="1"/>
  <c r="H2317" i="1" a="1"/>
  <c r="H2317" i="1" s="1"/>
  <c r="G2317" i="1" a="1"/>
  <c r="G2317" i="1" s="1"/>
  <c r="F2317" i="1" a="1"/>
  <c r="F2317" i="1" s="1"/>
  <c r="I2316" i="1" a="1"/>
  <c r="I2316" i="1" s="1"/>
  <c r="H2316" i="1" a="1"/>
  <c r="H2316" i="1" s="1"/>
  <c r="G2316" i="1" a="1"/>
  <c r="G2316" i="1" s="1"/>
  <c r="F2316" i="1" a="1"/>
  <c r="F2316" i="1" s="1"/>
  <c r="I2314" i="1" a="1"/>
  <c r="I2314" i="1" s="1"/>
  <c r="H2314" i="1" a="1"/>
  <c r="H2314" i="1" s="1"/>
  <c r="G2314" i="1" a="1"/>
  <c r="G2314" i="1" s="1"/>
  <c r="F2314" i="1" a="1"/>
  <c r="F2314" i="1" s="1"/>
  <c r="I2312" i="1" a="1"/>
  <c r="I2312" i="1" s="1"/>
  <c r="H2312" i="1" a="1"/>
  <c r="H2312" i="1" s="1"/>
  <c r="G2312" i="1" a="1"/>
  <c r="G2312" i="1" s="1"/>
  <c r="F2312" i="1" a="1"/>
  <c r="F2312" i="1" s="1"/>
  <c r="I2310" i="1" a="1"/>
  <c r="I2310" i="1" s="1"/>
  <c r="H2310" i="1" a="1"/>
  <c r="H2310" i="1" s="1"/>
  <c r="G2310" i="1" a="1"/>
  <c r="G2310" i="1" s="1"/>
  <c r="F2310" i="1" a="1"/>
  <c r="F2310" i="1" s="1"/>
  <c r="I2308" i="1" a="1"/>
  <c r="I2308" i="1" s="1"/>
  <c r="H2308" i="1" a="1"/>
  <c r="H2308" i="1" s="1"/>
  <c r="G2308" i="1" a="1"/>
  <c r="G2308" i="1" s="1"/>
  <c r="F2308" i="1" a="1"/>
  <c r="F2308" i="1" s="1"/>
  <c r="I2306" i="1" a="1"/>
  <c r="I2306" i="1" s="1"/>
  <c r="H2306" i="1" a="1"/>
  <c r="H2306" i="1" s="1"/>
  <c r="G2306" i="1" a="1"/>
  <c r="G2306" i="1" s="1"/>
  <c r="F2306" i="1" a="1"/>
  <c r="F2306" i="1" s="1"/>
  <c r="I2304" i="1" a="1"/>
  <c r="I2304" i="1" s="1"/>
  <c r="H2304" i="1" a="1"/>
  <c r="H2304" i="1" s="1"/>
  <c r="G2304" i="1" a="1"/>
  <c r="G2304" i="1" s="1"/>
  <c r="F2304" i="1" a="1"/>
  <c r="F2304" i="1" s="1"/>
  <c r="I2303" i="1" a="1"/>
  <c r="I2303" i="1" s="1"/>
  <c r="H2303" i="1" a="1"/>
  <c r="H2303" i="1" s="1"/>
  <c r="G2303" i="1" a="1"/>
  <c r="G2303" i="1" s="1"/>
  <c r="F2303" i="1" a="1"/>
  <c r="F2303" i="1" s="1"/>
  <c r="I2302" i="1" a="1"/>
  <c r="I2302" i="1" s="1"/>
  <c r="H2302" i="1" a="1"/>
  <c r="H2302" i="1" s="1"/>
  <c r="G2302" i="1" a="1"/>
  <c r="G2302" i="1" s="1"/>
  <c r="F2302" i="1" a="1"/>
  <c r="F2302" i="1" s="1"/>
  <c r="I2300" i="1" a="1"/>
  <c r="I2300" i="1" s="1"/>
  <c r="H2300" i="1" a="1"/>
  <c r="H2300" i="1" s="1"/>
  <c r="G2300" i="1" a="1"/>
  <c r="G2300" i="1" s="1"/>
  <c r="F2300" i="1" a="1"/>
  <c r="F2300" i="1" s="1"/>
  <c r="I2298" i="1" a="1"/>
  <c r="I2298" i="1" s="1"/>
  <c r="H2298" i="1" a="1"/>
  <c r="H2298" i="1" s="1"/>
  <c r="G2298" i="1" a="1"/>
  <c r="G2298" i="1" s="1"/>
  <c r="F2298" i="1" a="1"/>
  <c r="F2298" i="1" s="1"/>
  <c r="I2297" i="1" a="1"/>
  <c r="I2297" i="1" s="1"/>
  <c r="H2297" i="1" a="1"/>
  <c r="H2297" i="1" s="1"/>
  <c r="G2297" i="1" a="1"/>
  <c r="G2297" i="1" s="1"/>
  <c r="F2297" i="1" a="1"/>
  <c r="F2297" i="1" s="1"/>
  <c r="I2294" i="1" a="1"/>
  <c r="I2294" i="1" s="1"/>
  <c r="H2294" i="1" a="1"/>
  <c r="H2294" i="1" s="1"/>
  <c r="G2294" i="1" a="1"/>
  <c r="G2294" i="1" s="1"/>
  <c r="F2294" i="1" a="1"/>
  <c r="F2294" i="1" s="1"/>
  <c r="I2292" i="1" a="1"/>
  <c r="I2292" i="1" s="1"/>
  <c r="H2292" i="1" a="1"/>
  <c r="H2292" i="1" s="1"/>
  <c r="G2292" i="1" a="1"/>
  <c r="G2292" i="1" s="1"/>
  <c r="F2292" i="1" a="1"/>
  <c r="F2292" i="1" s="1"/>
  <c r="I2290" i="1" a="1"/>
  <c r="I2290" i="1" s="1"/>
  <c r="H2290" i="1" a="1"/>
  <c r="H2290" i="1" s="1"/>
  <c r="G2290" i="1" a="1"/>
  <c r="G2290" i="1" s="1"/>
  <c r="F2290" i="1" a="1"/>
  <c r="F2290" i="1" s="1"/>
  <c r="I2288" i="1" a="1"/>
  <c r="I2288" i="1" s="1"/>
  <c r="H2288" i="1" a="1"/>
  <c r="H2288" i="1" s="1"/>
  <c r="G2288" i="1" a="1"/>
  <c r="G2288" i="1" s="1"/>
  <c r="F2288" i="1" a="1"/>
  <c r="F2288" i="1" s="1"/>
  <c r="I2286" i="1" a="1"/>
  <c r="I2286" i="1" s="1"/>
  <c r="H2286" i="1" a="1"/>
  <c r="H2286" i="1" s="1"/>
  <c r="G2286" i="1" a="1"/>
  <c r="G2286" i="1" s="1"/>
  <c r="F2286" i="1" a="1"/>
  <c r="F2286" i="1" s="1"/>
  <c r="I2284" i="1" a="1"/>
  <c r="I2284" i="1" s="1"/>
  <c r="H2284" i="1" a="1"/>
  <c r="H2284" i="1" s="1"/>
  <c r="G2284" i="1" a="1"/>
  <c r="G2284" i="1" s="1"/>
  <c r="F2284" i="1" a="1"/>
  <c r="F2284" i="1" s="1"/>
  <c r="I2282" i="1" a="1"/>
  <c r="I2282" i="1" s="1"/>
  <c r="H2282" i="1" a="1"/>
  <c r="H2282" i="1" s="1"/>
  <c r="G2282" i="1" a="1"/>
  <c r="G2282" i="1" s="1"/>
  <c r="F2282" i="1" a="1"/>
  <c r="F2282" i="1" s="1"/>
  <c r="I2281" i="1" a="1"/>
  <c r="I2281" i="1" s="1"/>
  <c r="H2281" i="1" a="1"/>
  <c r="H2281" i="1" s="1"/>
  <c r="G2281" i="1" a="1"/>
  <c r="G2281" i="1" s="1"/>
  <c r="F2281" i="1" a="1"/>
  <c r="F2281" i="1" s="1"/>
  <c r="I2280" i="1" a="1"/>
  <c r="I2280" i="1" s="1"/>
  <c r="H2280" i="1" a="1"/>
  <c r="H2280" i="1" s="1"/>
  <c r="G2280" i="1" a="1"/>
  <c r="G2280" i="1" s="1"/>
  <c r="F2280" i="1" a="1"/>
  <c r="F2280" i="1" s="1"/>
  <c r="I2278" i="1" a="1"/>
  <c r="I2278" i="1" s="1"/>
  <c r="H2278" i="1" a="1"/>
  <c r="H2278" i="1" s="1"/>
  <c r="G2278" i="1" a="1"/>
  <c r="G2278" i="1" s="1"/>
  <c r="F2278" i="1" a="1"/>
  <c r="F2278" i="1" s="1"/>
  <c r="I2277" i="1" a="1"/>
  <c r="I2277" i="1" s="1"/>
  <c r="H2277" i="1" a="1"/>
  <c r="H2277" i="1" s="1"/>
  <c r="G2277" i="1" a="1"/>
  <c r="G2277" i="1" s="1"/>
  <c r="F2277" i="1" a="1"/>
  <c r="F2277" i="1" s="1"/>
  <c r="I2275" i="1" a="1"/>
  <c r="I2275" i="1" s="1"/>
  <c r="H2275" i="1" a="1"/>
  <c r="H2275" i="1" s="1"/>
  <c r="G2275" i="1" a="1"/>
  <c r="G2275" i="1" s="1"/>
  <c r="F2275" i="1" a="1"/>
  <c r="F2275" i="1" s="1"/>
  <c r="I2274" i="1" a="1"/>
  <c r="I2274" i="1" s="1"/>
  <c r="H2274" i="1" a="1"/>
  <c r="H2274" i="1" s="1"/>
  <c r="G2274" i="1" a="1"/>
  <c r="G2274" i="1" s="1"/>
  <c r="F2274" i="1" a="1"/>
  <c r="F2274" i="1" s="1"/>
  <c r="I2271" i="1" a="1"/>
  <c r="I2271" i="1" s="1"/>
  <c r="H2271" i="1" a="1"/>
  <c r="H2271" i="1" s="1"/>
  <c r="G2271" i="1" a="1"/>
  <c r="G2271" i="1" s="1"/>
  <c r="F2271" i="1" a="1"/>
  <c r="F2271" i="1" s="1"/>
  <c r="I2269" i="1" a="1"/>
  <c r="I2269" i="1" s="1"/>
  <c r="H2269" i="1" a="1"/>
  <c r="H2269" i="1" s="1"/>
  <c r="G2269" i="1" a="1"/>
  <c r="G2269" i="1" s="1"/>
  <c r="F2269" i="1" a="1"/>
  <c r="F2269" i="1" s="1"/>
  <c r="I2267" i="1" a="1"/>
  <c r="I2267" i="1" s="1"/>
  <c r="H2267" i="1" a="1"/>
  <c r="H2267" i="1" s="1"/>
  <c r="G2267" i="1" a="1"/>
  <c r="G2267" i="1" s="1"/>
  <c r="F2267" i="1" a="1"/>
  <c r="F2267" i="1" s="1"/>
  <c r="I2265" i="1" a="1"/>
  <c r="I2265" i="1" s="1"/>
  <c r="H2265" i="1" a="1"/>
  <c r="H2265" i="1" s="1"/>
  <c r="G2265" i="1" a="1"/>
  <c r="G2265" i="1" s="1"/>
  <c r="F2265" i="1" a="1"/>
  <c r="F2265" i="1" s="1"/>
  <c r="I2263" i="1" a="1"/>
  <c r="I2263" i="1" s="1"/>
  <c r="H2263" i="1" a="1"/>
  <c r="H2263" i="1" s="1"/>
  <c r="G2263" i="1" a="1"/>
  <c r="G2263" i="1" s="1"/>
  <c r="F2263" i="1" a="1"/>
  <c r="F2263" i="1" s="1"/>
  <c r="I2261" i="1" a="1"/>
  <c r="I2261" i="1" s="1"/>
  <c r="H2261" i="1" a="1"/>
  <c r="H2261" i="1" s="1"/>
  <c r="G2261" i="1" a="1"/>
  <c r="G2261" i="1" s="1"/>
  <c r="F2261" i="1" a="1"/>
  <c r="F2261" i="1" s="1"/>
  <c r="I2260" i="1" a="1"/>
  <c r="I2260" i="1" s="1"/>
  <c r="H2260" i="1" a="1"/>
  <c r="H2260" i="1" s="1"/>
  <c r="G2260" i="1" a="1"/>
  <c r="G2260" i="1" s="1"/>
  <c r="F2260" i="1" a="1"/>
  <c r="F2260" i="1" s="1"/>
  <c r="I2258" i="1" a="1"/>
  <c r="I2258" i="1" s="1"/>
  <c r="H2258" i="1" a="1"/>
  <c r="H2258" i="1" s="1"/>
  <c r="G2258" i="1" a="1"/>
  <c r="G2258" i="1" s="1"/>
  <c r="F2258" i="1" a="1"/>
  <c r="F2258" i="1" s="1"/>
  <c r="I2256" i="1" a="1"/>
  <c r="I2256" i="1" s="1"/>
  <c r="H2256" i="1" a="1"/>
  <c r="H2256" i="1" s="1"/>
  <c r="G2256" i="1" a="1"/>
  <c r="G2256" i="1" s="1"/>
  <c r="F2256" i="1" a="1"/>
  <c r="F2256" i="1" s="1"/>
  <c r="I2255" i="1" a="1"/>
  <c r="I2255" i="1" s="1"/>
  <c r="H2255" i="1" a="1"/>
  <c r="H2255" i="1" s="1"/>
  <c r="G2255" i="1" a="1"/>
  <c r="G2255" i="1" s="1"/>
  <c r="F2255" i="1" a="1"/>
  <c r="F2255" i="1" s="1"/>
  <c r="I2252" i="1" a="1"/>
  <c r="I2252" i="1" s="1"/>
  <c r="H2252" i="1" a="1"/>
  <c r="H2252" i="1" s="1"/>
  <c r="G2252" i="1" a="1"/>
  <c r="G2252" i="1" s="1"/>
  <c r="F2252" i="1" a="1"/>
  <c r="F2252" i="1" s="1"/>
  <c r="I2250" i="1" a="1"/>
  <c r="I2250" i="1" s="1"/>
  <c r="H2250" i="1" a="1"/>
  <c r="H2250" i="1" s="1"/>
  <c r="G2250" i="1" a="1"/>
  <c r="G2250" i="1" s="1"/>
  <c r="F2250" i="1" a="1"/>
  <c r="F2250" i="1" s="1"/>
  <c r="I2248" i="1" a="1"/>
  <c r="I2248" i="1" s="1"/>
  <c r="H2248" i="1" a="1"/>
  <c r="H2248" i="1" s="1"/>
  <c r="G2248" i="1" a="1"/>
  <c r="G2248" i="1" s="1"/>
  <c r="F2248" i="1" a="1"/>
  <c r="F2248" i="1" s="1"/>
  <c r="I2246" i="1" a="1"/>
  <c r="I2246" i="1" s="1"/>
  <c r="H2246" i="1" a="1"/>
  <c r="H2246" i="1" s="1"/>
  <c r="G2246" i="1" a="1"/>
  <c r="G2246" i="1" s="1"/>
  <c r="F2246" i="1" a="1"/>
  <c r="F2246" i="1" s="1"/>
  <c r="I2244" i="1" a="1"/>
  <c r="I2244" i="1" s="1"/>
  <c r="H2244" i="1" a="1"/>
  <c r="H2244" i="1" s="1"/>
  <c r="G2244" i="1" a="1"/>
  <c r="G2244" i="1" s="1"/>
  <c r="F2244" i="1" a="1"/>
  <c r="F2244" i="1" s="1"/>
  <c r="I2242" i="1" a="1"/>
  <c r="I2242" i="1" s="1"/>
  <c r="H2242" i="1" a="1"/>
  <c r="H2242" i="1" s="1"/>
  <c r="G2242" i="1" a="1"/>
  <c r="G2242" i="1" s="1"/>
  <c r="F2242" i="1" a="1"/>
  <c r="F2242" i="1" s="1"/>
  <c r="I2241" i="1" a="1"/>
  <c r="I2241" i="1" s="1"/>
  <c r="H2241" i="1" a="1"/>
  <c r="H2241" i="1" s="1"/>
  <c r="G2241" i="1" a="1"/>
  <c r="G2241" i="1" s="1"/>
  <c r="F2241" i="1" a="1"/>
  <c r="F2241" i="1" s="1"/>
  <c r="I2239" i="1" a="1"/>
  <c r="I2239" i="1" s="1"/>
  <c r="H2239" i="1" a="1"/>
  <c r="H2239" i="1" s="1"/>
  <c r="G2239" i="1" a="1"/>
  <c r="G2239" i="1" s="1"/>
  <c r="F2239" i="1" a="1"/>
  <c r="F2239" i="1" s="1"/>
  <c r="I2237" i="1" a="1"/>
  <c r="I2237" i="1" s="1"/>
  <c r="H2237" i="1" a="1"/>
  <c r="H2237" i="1" s="1"/>
  <c r="G2237" i="1" a="1"/>
  <c r="G2237" i="1" s="1"/>
  <c r="F2237" i="1" a="1"/>
  <c r="F2237" i="1" s="1"/>
  <c r="I2236" i="1" a="1"/>
  <c r="I2236" i="1" s="1"/>
  <c r="H2236" i="1" a="1"/>
  <c r="H2236" i="1" s="1"/>
  <c r="G2236" i="1" a="1"/>
  <c r="G2236" i="1" s="1"/>
  <c r="F2236" i="1" a="1"/>
  <c r="F2236" i="1" s="1"/>
  <c r="I2232" i="1" a="1"/>
  <c r="I2232" i="1" s="1"/>
  <c r="H2232" i="1" a="1"/>
  <c r="H2232" i="1" s="1"/>
  <c r="G2232" i="1" a="1"/>
  <c r="G2232" i="1" s="1"/>
  <c r="F2232" i="1" a="1"/>
  <c r="F2232" i="1" s="1"/>
  <c r="I2231" i="1" a="1"/>
  <c r="I2231" i="1" s="1"/>
  <c r="H2231" i="1" a="1"/>
  <c r="H2231" i="1" s="1"/>
  <c r="G2231" i="1" a="1"/>
  <c r="G2231" i="1" s="1"/>
  <c r="F2231" i="1" a="1"/>
  <c r="F2231" i="1" s="1"/>
  <c r="I2229" i="1" a="1"/>
  <c r="I2229" i="1" s="1"/>
  <c r="I2230" i="1" s="1" a="1"/>
  <c r="I2230" i="1" s="1"/>
  <c r="H2229" i="1" a="1"/>
  <c r="H2229" i="1" s="1"/>
  <c r="H2230" i="1" s="1" a="1"/>
  <c r="H2230" i="1" s="1"/>
  <c r="G2229" i="1" a="1"/>
  <c r="G2229" i="1" s="1"/>
  <c r="G2230" i="1" s="1" a="1"/>
  <c r="G2230" i="1" s="1"/>
  <c r="F2229" i="1" a="1"/>
  <c r="F2229" i="1" s="1"/>
  <c r="F2230" i="1" s="1" a="1"/>
  <c r="F2230" i="1" s="1"/>
  <c r="I2227" i="1" a="1"/>
  <c r="I2227" i="1" s="1"/>
  <c r="I2228" i="1" s="1" a="1"/>
  <c r="I2228" i="1" s="1"/>
  <c r="H2227" i="1" a="1"/>
  <c r="H2227" i="1" s="1"/>
  <c r="H2228" i="1" s="1" a="1"/>
  <c r="H2228" i="1" s="1"/>
  <c r="G2227" i="1" a="1"/>
  <c r="G2227" i="1" s="1"/>
  <c r="G2228" i="1" s="1" a="1"/>
  <c r="G2228" i="1" s="1"/>
  <c r="F2227" i="1" a="1"/>
  <c r="F2227" i="1" s="1"/>
  <c r="F2228" i="1" s="1" a="1"/>
  <c r="F2228" i="1" s="1"/>
  <c r="I2226" i="1" a="1"/>
  <c r="I2226" i="1" s="1"/>
  <c r="H2226" i="1" a="1"/>
  <c r="H2226" i="1" s="1"/>
  <c r="G2226" i="1" a="1"/>
  <c r="G2226" i="1" s="1"/>
  <c r="F2226" i="1" a="1"/>
  <c r="F2226" i="1" s="1"/>
  <c r="I2224" i="1" a="1"/>
  <c r="I2224" i="1" s="1"/>
  <c r="I2225" i="1" s="1" a="1"/>
  <c r="I2225" i="1" s="1"/>
  <c r="H2224" i="1" a="1"/>
  <c r="H2224" i="1" s="1"/>
  <c r="H2225" i="1" s="1" a="1"/>
  <c r="H2225" i="1" s="1"/>
  <c r="G2224" i="1" a="1"/>
  <c r="G2224" i="1" s="1"/>
  <c r="G2225" i="1" s="1" a="1"/>
  <c r="G2225" i="1" s="1"/>
  <c r="F2224" i="1" a="1"/>
  <c r="F2224" i="1" s="1"/>
  <c r="F2225" i="1" s="1" a="1"/>
  <c r="F2225" i="1" s="1"/>
  <c r="I2222" i="1" a="1"/>
  <c r="I2222" i="1" s="1"/>
  <c r="H2222" i="1" a="1"/>
  <c r="H2222" i="1" s="1"/>
  <c r="G2222" i="1" a="1"/>
  <c r="G2222" i="1" s="1"/>
  <c r="F2222" i="1" a="1"/>
  <c r="F2222" i="1" s="1"/>
  <c r="I2221" i="1" a="1"/>
  <c r="I2221" i="1" s="1"/>
  <c r="H2221" i="1" a="1"/>
  <c r="H2221" i="1" s="1"/>
  <c r="G2221" i="1" a="1"/>
  <c r="G2221" i="1" s="1"/>
  <c r="F2221" i="1" a="1"/>
  <c r="F2221" i="1" s="1"/>
  <c r="I2219" i="1" a="1"/>
  <c r="I2219" i="1" s="1"/>
  <c r="I2220" i="1" s="1" a="1"/>
  <c r="I2220" i="1" s="1"/>
  <c r="H2219" i="1" a="1"/>
  <c r="H2219" i="1" s="1"/>
  <c r="H2220" i="1" s="1" a="1"/>
  <c r="H2220" i="1" s="1"/>
  <c r="G2219" i="1" a="1"/>
  <c r="G2219" i="1" s="1"/>
  <c r="G2220" i="1" s="1" a="1"/>
  <c r="G2220" i="1" s="1"/>
  <c r="F2219" i="1" a="1"/>
  <c r="F2219" i="1" s="1"/>
  <c r="F2220" i="1" s="1" a="1"/>
  <c r="F2220" i="1" s="1"/>
  <c r="I2217" i="1" a="1"/>
  <c r="I2217" i="1" s="1"/>
  <c r="I2218" i="1" s="1" a="1"/>
  <c r="I2218" i="1" s="1"/>
  <c r="H2217" i="1" a="1"/>
  <c r="H2217" i="1" s="1"/>
  <c r="H2218" i="1" s="1" a="1"/>
  <c r="H2218" i="1" s="1"/>
  <c r="G2217" i="1" a="1"/>
  <c r="G2217" i="1" s="1"/>
  <c r="G2218" i="1" s="1" a="1"/>
  <c r="G2218" i="1" s="1"/>
  <c r="F2217" i="1" a="1"/>
  <c r="F2217" i="1" s="1"/>
  <c r="F2218" i="1" s="1" a="1"/>
  <c r="F2218" i="1" s="1"/>
  <c r="I2216" i="1" a="1"/>
  <c r="I2216" i="1" s="1"/>
  <c r="H2216" i="1" a="1"/>
  <c r="H2216" i="1" s="1"/>
  <c r="G2216" i="1" a="1"/>
  <c r="G2216" i="1" s="1"/>
  <c r="F2216" i="1" a="1"/>
  <c r="F2216" i="1" s="1"/>
  <c r="I2214" i="1" a="1"/>
  <c r="I2214" i="1" s="1"/>
  <c r="I2215" i="1" s="1" a="1"/>
  <c r="I2215" i="1" s="1"/>
  <c r="H2214" i="1" a="1"/>
  <c r="H2214" i="1" s="1"/>
  <c r="H2215" i="1" s="1" a="1"/>
  <c r="H2215" i="1" s="1"/>
  <c r="G2214" i="1" a="1"/>
  <c r="G2214" i="1" s="1"/>
  <c r="G2215" i="1" s="1" a="1"/>
  <c r="G2215" i="1" s="1"/>
  <c r="F2214" i="1" a="1"/>
  <c r="F2214" i="1" s="1"/>
  <c r="F2215" i="1" s="1" a="1"/>
  <c r="F2215" i="1" s="1"/>
  <c r="I2212" i="1" a="1"/>
  <c r="I2212" i="1" s="1"/>
  <c r="H2212" i="1" a="1"/>
  <c r="H2212" i="1" s="1"/>
  <c r="G2212" i="1" a="1"/>
  <c r="G2212" i="1" s="1"/>
  <c r="F2212" i="1" a="1"/>
  <c r="F2212" i="1" s="1"/>
  <c r="I2211" i="1" a="1"/>
  <c r="I2211" i="1" s="1"/>
  <c r="H2211" i="1" a="1"/>
  <c r="H2211" i="1" s="1"/>
  <c r="G2211" i="1" a="1"/>
  <c r="G2211" i="1" s="1"/>
  <c r="F2211" i="1" a="1"/>
  <c r="F2211" i="1" s="1"/>
  <c r="I2210" i="1" a="1"/>
  <c r="I2210" i="1" s="1"/>
  <c r="H2210" i="1" a="1"/>
  <c r="H2210" i="1" s="1"/>
  <c r="G2210" i="1" a="1"/>
  <c r="G2210" i="1" s="1"/>
  <c r="F2210" i="1" a="1"/>
  <c r="F2210" i="1" s="1"/>
  <c r="I2209" i="1" a="1"/>
  <c r="I2209" i="1" s="1"/>
  <c r="H2209" i="1" a="1"/>
  <c r="H2209" i="1" s="1"/>
  <c r="G2209" i="1" a="1"/>
  <c r="G2209" i="1" s="1"/>
  <c r="F2209" i="1" a="1"/>
  <c r="F2209" i="1" s="1"/>
  <c r="I2208" i="1" a="1"/>
  <c r="I2208" i="1" s="1"/>
  <c r="H2208" i="1" a="1"/>
  <c r="H2208" i="1" s="1"/>
  <c r="G2208" i="1" a="1"/>
  <c r="G2208" i="1" s="1"/>
  <c r="F2208" i="1" a="1"/>
  <c r="F2208" i="1" s="1"/>
  <c r="I2207" i="1" a="1"/>
  <c r="I2207" i="1" s="1"/>
  <c r="H2207" i="1" a="1"/>
  <c r="H2207" i="1" s="1"/>
  <c r="G2207" i="1" a="1"/>
  <c r="G2207" i="1" s="1"/>
  <c r="F2207" i="1" a="1"/>
  <c r="F2207" i="1" s="1"/>
  <c r="I2206" i="1" a="1"/>
  <c r="I2206" i="1" s="1"/>
  <c r="H2206" i="1" a="1"/>
  <c r="H2206" i="1" s="1"/>
  <c r="G2206" i="1" a="1"/>
  <c r="G2206" i="1" s="1"/>
  <c r="F2206" i="1" a="1"/>
  <c r="F2206" i="1" s="1"/>
  <c r="I2205" i="1" a="1"/>
  <c r="I2205" i="1" s="1"/>
  <c r="H2205" i="1" a="1"/>
  <c r="H2205" i="1" s="1"/>
  <c r="G2205" i="1" a="1"/>
  <c r="G2205" i="1" s="1"/>
  <c r="F2205" i="1" a="1"/>
  <c r="F2205" i="1" s="1"/>
  <c r="I2204" i="1" a="1"/>
  <c r="I2204" i="1" s="1"/>
  <c r="H2204" i="1" a="1"/>
  <c r="H2204" i="1" s="1"/>
  <c r="G2204" i="1" a="1"/>
  <c r="G2204" i="1" s="1"/>
  <c r="F2204" i="1" a="1"/>
  <c r="F2204" i="1" s="1"/>
  <c r="I2203" i="1" a="1"/>
  <c r="I2203" i="1" s="1"/>
  <c r="H2203" i="1" a="1"/>
  <c r="H2203" i="1" s="1"/>
  <c r="G2203" i="1" a="1"/>
  <c r="G2203" i="1" s="1"/>
  <c r="F2203" i="1" a="1"/>
  <c r="F2203" i="1" s="1"/>
  <c r="I2202" i="1" a="1"/>
  <c r="I2202" i="1" s="1"/>
  <c r="H2202" i="1" a="1"/>
  <c r="H2202" i="1" s="1"/>
  <c r="G2202" i="1" a="1"/>
  <c r="G2202" i="1" s="1"/>
  <c r="F2202" i="1" a="1"/>
  <c r="F2202" i="1" s="1"/>
  <c r="I2201" i="1" a="1"/>
  <c r="I2201" i="1" s="1"/>
  <c r="H2201" i="1" a="1"/>
  <c r="H2201" i="1" s="1"/>
  <c r="G2201" i="1" a="1"/>
  <c r="G2201" i="1" s="1"/>
  <c r="F2201" i="1" a="1"/>
  <c r="F2201" i="1" s="1"/>
  <c r="I2200" i="1" a="1"/>
  <c r="I2200" i="1" s="1"/>
  <c r="H2200" i="1" a="1"/>
  <c r="H2200" i="1" s="1"/>
  <c r="G2200" i="1" a="1"/>
  <c r="G2200" i="1" s="1"/>
  <c r="F2200" i="1" a="1"/>
  <c r="F2200" i="1" s="1"/>
  <c r="I2199" i="1" a="1"/>
  <c r="I2199" i="1" s="1"/>
  <c r="H2199" i="1" a="1"/>
  <c r="H2199" i="1" s="1"/>
  <c r="G2199" i="1" a="1"/>
  <c r="G2199" i="1" s="1"/>
  <c r="F2199" i="1" a="1"/>
  <c r="F2199" i="1" s="1"/>
  <c r="I2198" i="1" a="1"/>
  <c r="I2198" i="1" s="1"/>
  <c r="H2198" i="1" a="1"/>
  <c r="H2198" i="1" s="1"/>
  <c r="G2198" i="1" a="1"/>
  <c r="G2198" i="1" s="1"/>
  <c r="F2198" i="1" a="1"/>
  <c r="F2198" i="1" s="1"/>
  <c r="I2197" i="1" a="1"/>
  <c r="I2197" i="1" s="1"/>
  <c r="H2197" i="1" a="1"/>
  <c r="H2197" i="1" s="1"/>
  <c r="G2197" i="1" a="1"/>
  <c r="G2197" i="1" s="1"/>
  <c r="F2197" i="1" a="1"/>
  <c r="F2197" i="1" s="1"/>
  <c r="I2196" i="1" a="1"/>
  <c r="I2196" i="1" s="1"/>
  <c r="H2196" i="1" a="1"/>
  <c r="H2196" i="1" s="1"/>
  <c r="G2196" i="1" a="1"/>
  <c r="G2196" i="1" s="1"/>
  <c r="F2196" i="1" a="1"/>
  <c r="F2196" i="1" s="1"/>
  <c r="I2195" i="1" a="1"/>
  <c r="I2195" i="1" s="1"/>
  <c r="H2195" i="1" a="1"/>
  <c r="H2195" i="1" s="1"/>
  <c r="G2195" i="1" a="1"/>
  <c r="G2195" i="1" s="1"/>
  <c r="F2195" i="1" a="1"/>
  <c r="F2195" i="1" s="1"/>
  <c r="I2194" i="1" a="1"/>
  <c r="I2194" i="1" s="1"/>
  <c r="H2194" i="1" a="1"/>
  <c r="H2194" i="1" s="1"/>
  <c r="G2194" i="1" a="1"/>
  <c r="G2194" i="1" s="1"/>
  <c r="F2194" i="1" a="1"/>
  <c r="F2194" i="1" s="1"/>
  <c r="I2193" i="1" a="1"/>
  <c r="I2193" i="1" s="1"/>
  <c r="H2193" i="1" a="1"/>
  <c r="H2193" i="1" s="1"/>
  <c r="G2193" i="1" a="1"/>
  <c r="G2193" i="1" s="1"/>
  <c r="F2193" i="1" a="1"/>
  <c r="F2193" i="1" s="1"/>
  <c r="I2192" i="1" a="1"/>
  <c r="I2192" i="1" s="1"/>
  <c r="H2192" i="1" a="1"/>
  <c r="H2192" i="1" s="1"/>
  <c r="G2192" i="1" a="1"/>
  <c r="G2192" i="1" s="1"/>
  <c r="F2192" i="1" a="1"/>
  <c r="F2192" i="1" s="1"/>
  <c r="I2191" i="1" a="1"/>
  <c r="I2191" i="1" s="1"/>
  <c r="H2191" i="1" a="1"/>
  <c r="H2191" i="1" s="1"/>
  <c r="G2191" i="1" a="1"/>
  <c r="G2191" i="1" s="1"/>
  <c r="F2191" i="1" a="1"/>
  <c r="F2191" i="1" s="1"/>
  <c r="I2190" i="1" a="1"/>
  <c r="I2190" i="1" s="1"/>
  <c r="H2190" i="1" a="1"/>
  <c r="H2190" i="1" s="1"/>
  <c r="G2190" i="1" a="1"/>
  <c r="G2190" i="1" s="1"/>
  <c r="F2190" i="1" a="1"/>
  <c r="F2190" i="1" s="1"/>
  <c r="I2188" i="1" a="1"/>
  <c r="I2188" i="1" s="1"/>
  <c r="H2188" i="1" a="1"/>
  <c r="H2188" i="1" s="1"/>
  <c r="G2188" i="1" a="1"/>
  <c r="G2188" i="1" s="1"/>
  <c r="F2188" i="1" a="1"/>
  <c r="F2188" i="1" s="1"/>
  <c r="I2187" i="1" a="1"/>
  <c r="I2187" i="1" s="1"/>
  <c r="H2187" i="1" a="1"/>
  <c r="H2187" i="1" s="1"/>
  <c r="G2187" i="1" a="1"/>
  <c r="G2187" i="1" s="1"/>
  <c r="F2187" i="1" a="1"/>
  <c r="F2187" i="1" s="1"/>
  <c r="I2186" i="1" a="1"/>
  <c r="I2186" i="1" s="1"/>
  <c r="H2186" i="1" a="1"/>
  <c r="H2186" i="1" s="1"/>
  <c r="G2186" i="1" a="1"/>
  <c r="G2186" i="1" s="1"/>
  <c r="F2186" i="1" a="1"/>
  <c r="F2186" i="1" s="1"/>
  <c r="I2185" i="1" a="1"/>
  <c r="I2185" i="1" s="1"/>
  <c r="H2185" i="1" a="1"/>
  <c r="H2185" i="1" s="1"/>
  <c r="G2185" i="1" a="1"/>
  <c r="G2185" i="1" s="1"/>
  <c r="F2185" i="1" a="1"/>
  <c r="F2185" i="1" s="1"/>
  <c r="I2184" i="1" a="1"/>
  <c r="I2184" i="1" s="1"/>
  <c r="H2184" i="1" a="1"/>
  <c r="H2184" i="1" s="1"/>
  <c r="G2184" i="1" a="1"/>
  <c r="G2184" i="1" s="1"/>
  <c r="F2184" i="1" a="1"/>
  <c r="F2184" i="1" s="1"/>
  <c r="I2183" i="1" a="1"/>
  <c r="I2183" i="1" s="1"/>
  <c r="H2183" i="1" a="1"/>
  <c r="H2183" i="1" s="1"/>
  <c r="G2183" i="1" a="1"/>
  <c r="G2183" i="1" s="1"/>
  <c r="F2183" i="1" a="1"/>
  <c r="F2183" i="1" s="1"/>
  <c r="I2182" i="1" a="1"/>
  <c r="I2182" i="1" s="1"/>
  <c r="H2182" i="1" a="1"/>
  <c r="H2182" i="1" s="1"/>
  <c r="G2182" i="1" a="1"/>
  <c r="G2182" i="1" s="1"/>
  <c r="F2182" i="1" a="1"/>
  <c r="F2182" i="1" s="1"/>
  <c r="I2181" i="1" a="1"/>
  <c r="I2181" i="1" s="1"/>
  <c r="H2181" i="1" a="1"/>
  <c r="H2181" i="1" s="1"/>
  <c r="G2181" i="1" a="1"/>
  <c r="G2181" i="1" s="1"/>
  <c r="F2181" i="1" a="1"/>
  <c r="F2181" i="1" s="1"/>
  <c r="I2180" i="1" a="1"/>
  <c r="I2180" i="1" s="1"/>
  <c r="H2180" i="1" a="1"/>
  <c r="H2180" i="1" s="1"/>
  <c r="G2180" i="1" a="1"/>
  <c r="G2180" i="1" s="1"/>
  <c r="F2180" i="1" a="1"/>
  <c r="F2180" i="1" s="1"/>
  <c r="I2179" i="1" a="1"/>
  <c r="I2179" i="1" s="1"/>
  <c r="H2179" i="1" a="1"/>
  <c r="H2179" i="1" s="1"/>
  <c r="G2179" i="1" a="1"/>
  <c r="G2179" i="1" s="1"/>
  <c r="F2179" i="1" a="1"/>
  <c r="F2179" i="1" s="1"/>
  <c r="I2178" i="1" a="1"/>
  <c r="I2178" i="1" s="1"/>
  <c r="H2178" i="1" a="1"/>
  <c r="H2178" i="1" s="1"/>
  <c r="G2178" i="1" a="1"/>
  <c r="G2178" i="1" s="1"/>
  <c r="F2178" i="1" a="1"/>
  <c r="F2178" i="1" s="1"/>
  <c r="I2177" i="1" a="1"/>
  <c r="I2177" i="1" s="1"/>
  <c r="H2177" i="1" a="1"/>
  <c r="H2177" i="1" s="1"/>
  <c r="G2177" i="1" a="1"/>
  <c r="G2177" i="1" s="1"/>
  <c r="F2177" i="1" a="1"/>
  <c r="F2177" i="1" s="1"/>
  <c r="I2176" i="1" a="1"/>
  <c r="I2176" i="1" s="1"/>
  <c r="H2176" i="1" a="1"/>
  <c r="H2176" i="1" s="1"/>
  <c r="G2176" i="1" a="1"/>
  <c r="G2176" i="1" s="1"/>
  <c r="F2176" i="1" a="1"/>
  <c r="F2176" i="1" s="1"/>
  <c r="I2175" i="1" a="1"/>
  <c r="I2175" i="1" s="1"/>
  <c r="H2175" i="1" a="1"/>
  <c r="H2175" i="1" s="1"/>
  <c r="G2175" i="1" a="1"/>
  <c r="G2175" i="1" s="1"/>
  <c r="F2175" i="1" a="1"/>
  <c r="F2175" i="1" s="1"/>
  <c r="I2174" i="1" a="1"/>
  <c r="I2174" i="1" s="1"/>
  <c r="H2174" i="1" a="1"/>
  <c r="H2174" i="1" s="1"/>
  <c r="G2174" i="1" a="1"/>
  <c r="G2174" i="1" s="1"/>
  <c r="F2174" i="1" a="1"/>
  <c r="F2174" i="1" s="1"/>
  <c r="I2173" i="1" a="1"/>
  <c r="I2173" i="1" s="1"/>
  <c r="H2173" i="1" a="1"/>
  <c r="H2173" i="1" s="1"/>
  <c r="G2173" i="1" a="1"/>
  <c r="G2173" i="1" s="1"/>
  <c r="F2173" i="1" a="1"/>
  <c r="F2173" i="1" s="1"/>
  <c r="I2172" i="1" a="1"/>
  <c r="I2172" i="1" s="1"/>
  <c r="H2172" i="1" a="1"/>
  <c r="H2172" i="1" s="1"/>
  <c r="G2172" i="1" a="1"/>
  <c r="G2172" i="1" s="1"/>
  <c r="F2172" i="1" a="1"/>
  <c r="F2172" i="1" s="1"/>
  <c r="I2171" i="1" a="1"/>
  <c r="I2171" i="1" s="1"/>
  <c r="H2171" i="1" a="1"/>
  <c r="H2171" i="1" s="1"/>
  <c r="G2171" i="1" a="1"/>
  <c r="G2171" i="1" s="1"/>
  <c r="F2171" i="1" a="1"/>
  <c r="F2171" i="1" s="1"/>
  <c r="I2170" i="1" a="1"/>
  <c r="I2170" i="1" s="1"/>
  <c r="H2170" i="1" a="1"/>
  <c r="H2170" i="1" s="1"/>
  <c r="G2170" i="1" a="1"/>
  <c r="G2170" i="1" s="1"/>
  <c r="F2170" i="1" a="1"/>
  <c r="F2170" i="1" s="1"/>
  <c r="I2169" i="1" a="1"/>
  <c r="I2169" i="1" s="1"/>
  <c r="H2169" i="1" a="1"/>
  <c r="H2169" i="1" s="1"/>
  <c r="G2169" i="1" a="1"/>
  <c r="G2169" i="1" s="1"/>
  <c r="F2169" i="1" a="1"/>
  <c r="F2169" i="1" s="1"/>
  <c r="I2168" i="1" a="1"/>
  <c r="I2168" i="1" s="1"/>
  <c r="H2168" i="1" a="1"/>
  <c r="H2168" i="1" s="1"/>
  <c r="G2168" i="1" a="1"/>
  <c r="G2168" i="1" s="1"/>
  <c r="F2168" i="1" a="1"/>
  <c r="F2168" i="1" s="1"/>
  <c r="I2167" i="1" a="1"/>
  <c r="I2167" i="1" s="1"/>
  <c r="H2167" i="1" a="1"/>
  <c r="H2167" i="1" s="1"/>
  <c r="G2167" i="1" a="1"/>
  <c r="G2167" i="1" s="1"/>
  <c r="F2167" i="1" a="1"/>
  <c r="F2167" i="1" s="1"/>
  <c r="I2166" i="1" a="1"/>
  <c r="I2166" i="1" s="1"/>
  <c r="H2166" i="1" a="1"/>
  <c r="H2166" i="1" s="1"/>
  <c r="G2166" i="1" a="1"/>
  <c r="G2166" i="1" s="1"/>
  <c r="F2166" i="1" a="1"/>
  <c r="F2166" i="1" s="1"/>
  <c r="I2164" i="1" a="1"/>
  <c r="I2164" i="1" s="1"/>
  <c r="H2164" i="1" a="1"/>
  <c r="H2164" i="1" s="1"/>
  <c r="G2164" i="1" a="1"/>
  <c r="G2164" i="1" s="1"/>
  <c r="F2164" i="1" a="1"/>
  <c r="F2164" i="1" s="1"/>
  <c r="I2163" i="1" a="1"/>
  <c r="I2163" i="1" s="1"/>
  <c r="H2163" i="1" a="1"/>
  <c r="H2163" i="1" s="1"/>
  <c r="G2163" i="1" a="1"/>
  <c r="G2163" i="1" s="1"/>
  <c r="F2163" i="1" a="1"/>
  <c r="F2163" i="1" s="1"/>
  <c r="I2162" i="1" a="1"/>
  <c r="I2162" i="1" s="1"/>
  <c r="H2162" i="1" a="1"/>
  <c r="H2162" i="1" s="1"/>
  <c r="G2162" i="1" a="1"/>
  <c r="G2162" i="1" s="1"/>
  <c r="F2162" i="1" a="1"/>
  <c r="F2162" i="1" s="1"/>
  <c r="I2161" i="1" a="1"/>
  <c r="I2161" i="1" s="1"/>
  <c r="H2161" i="1" a="1"/>
  <c r="H2161" i="1" s="1"/>
  <c r="G2161" i="1" a="1"/>
  <c r="G2161" i="1" s="1"/>
  <c r="F2161" i="1" a="1"/>
  <c r="F2161" i="1" s="1"/>
  <c r="I2160" i="1" a="1"/>
  <c r="I2160" i="1" s="1"/>
  <c r="H2160" i="1" a="1"/>
  <c r="H2160" i="1" s="1"/>
  <c r="G2160" i="1" a="1"/>
  <c r="G2160" i="1" s="1"/>
  <c r="F2160" i="1" a="1"/>
  <c r="F2160" i="1" s="1"/>
  <c r="I2159" i="1" a="1"/>
  <c r="I2159" i="1" s="1"/>
  <c r="H2159" i="1" a="1"/>
  <c r="H2159" i="1" s="1"/>
  <c r="G2159" i="1" a="1"/>
  <c r="G2159" i="1" s="1"/>
  <c r="F2159" i="1" a="1"/>
  <c r="F2159" i="1" s="1"/>
  <c r="I2158" i="1" a="1"/>
  <c r="I2158" i="1" s="1"/>
  <c r="H2158" i="1" a="1"/>
  <c r="H2158" i="1" s="1"/>
  <c r="G2158" i="1" a="1"/>
  <c r="G2158" i="1" s="1"/>
  <c r="F2158" i="1" a="1"/>
  <c r="F2158" i="1" s="1"/>
  <c r="I2157" i="1" a="1"/>
  <c r="I2157" i="1" s="1"/>
  <c r="H2157" i="1" a="1"/>
  <c r="H2157" i="1" s="1"/>
  <c r="G2157" i="1" a="1"/>
  <c r="G2157" i="1" s="1"/>
  <c r="F2157" i="1" a="1"/>
  <c r="F2157" i="1" s="1"/>
  <c r="I2156" i="1" a="1"/>
  <c r="I2156" i="1" s="1"/>
  <c r="H2156" i="1" a="1"/>
  <c r="H2156" i="1" s="1"/>
  <c r="G2156" i="1" a="1"/>
  <c r="G2156" i="1" s="1"/>
  <c r="F2156" i="1" a="1"/>
  <c r="F2156" i="1" s="1"/>
  <c r="I2155" i="1" a="1"/>
  <c r="I2155" i="1" s="1"/>
  <c r="H2155" i="1" a="1"/>
  <c r="H2155" i="1" s="1"/>
  <c r="G2155" i="1" a="1"/>
  <c r="G2155" i="1" s="1"/>
  <c r="F2155" i="1" a="1"/>
  <c r="F2155" i="1" s="1"/>
  <c r="I2154" i="1" a="1"/>
  <c r="I2154" i="1" s="1"/>
  <c r="H2154" i="1" a="1"/>
  <c r="H2154" i="1" s="1"/>
  <c r="G2154" i="1" a="1"/>
  <c r="G2154" i="1" s="1"/>
  <c r="F2154" i="1" a="1"/>
  <c r="F2154" i="1" s="1"/>
  <c r="I2153" i="1" a="1"/>
  <c r="I2153" i="1" s="1"/>
  <c r="H2153" i="1" a="1"/>
  <c r="H2153" i="1" s="1"/>
  <c r="G2153" i="1" a="1"/>
  <c r="G2153" i="1" s="1"/>
  <c r="F2153" i="1" a="1"/>
  <c r="F2153" i="1" s="1"/>
  <c r="I2152" i="1" a="1"/>
  <c r="I2152" i="1" s="1"/>
  <c r="H2152" i="1" a="1"/>
  <c r="H2152" i="1" s="1"/>
  <c r="G2152" i="1" a="1"/>
  <c r="G2152" i="1" s="1"/>
  <c r="F2152" i="1" a="1"/>
  <c r="F2152" i="1" s="1"/>
  <c r="I2151" i="1" a="1"/>
  <c r="I2151" i="1" s="1"/>
  <c r="H2151" i="1" a="1"/>
  <c r="H2151" i="1" s="1"/>
  <c r="G2151" i="1" a="1"/>
  <c r="G2151" i="1" s="1"/>
  <c r="F2151" i="1" a="1"/>
  <c r="F2151" i="1" s="1"/>
  <c r="I2150" i="1" a="1"/>
  <c r="I2150" i="1" s="1"/>
  <c r="H2150" i="1" a="1"/>
  <c r="H2150" i="1" s="1"/>
  <c r="G2150" i="1" a="1"/>
  <c r="G2150" i="1" s="1"/>
  <c r="F2150" i="1" a="1"/>
  <c r="F2150" i="1" s="1"/>
  <c r="I2149" i="1" a="1"/>
  <c r="I2149" i="1" s="1"/>
  <c r="H2149" i="1" a="1"/>
  <c r="H2149" i="1" s="1"/>
  <c r="G2149" i="1" a="1"/>
  <c r="G2149" i="1" s="1"/>
  <c r="F2149" i="1" a="1"/>
  <c r="F2149" i="1" s="1"/>
  <c r="I2148" i="1" a="1"/>
  <c r="I2148" i="1" s="1"/>
  <c r="H2148" i="1" a="1"/>
  <c r="H2148" i="1" s="1"/>
  <c r="G2148" i="1" a="1"/>
  <c r="G2148" i="1" s="1"/>
  <c r="F2148" i="1" a="1"/>
  <c r="F2148" i="1" s="1"/>
  <c r="I2147" i="1" a="1"/>
  <c r="I2147" i="1" s="1"/>
  <c r="H2147" i="1" a="1"/>
  <c r="H2147" i="1" s="1"/>
  <c r="G2147" i="1" a="1"/>
  <c r="G2147" i="1" s="1"/>
  <c r="F2147" i="1" a="1"/>
  <c r="F2147" i="1" s="1"/>
  <c r="I2146" i="1" a="1"/>
  <c r="I2146" i="1" s="1"/>
  <c r="H2146" i="1" a="1"/>
  <c r="H2146" i="1" s="1"/>
  <c r="G2146" i="1" a="1"/>
  <c r="G2146" i="1" s="1"/>
  <c r="F2146" i="1" a="1"/>
  <c r="F2146" i="1" s="1"/>
  <c r="I2145" i="1" a="1"/>
  <c r="I2145" i="1" s="1"/>
  <c r="H2145" i="1" a="1"/>
  <c r="H2145" i="1" s="1"/>
  <c r="G2145" i="1" a="1"/>
  <c r="G2145" i="1" s="1"/>
  <c r="F2145" i="1" a="1"/>
  <c r="F2145" i="1" s="1"/>
  <c r="I2144" i="1" a="1"/>
  <c r="I2144" i="1" s="1"/>
  <c r="H2144" i="1" a="1"/>
  <c r="H2144" i="1" s="1"/>
  <c r="G2144" i="1" a="1"/>
  <c r="G2144" i="1" s="1"/>
  <c r="F2144" i="1" a="1"/>
  <c r="F2144" i="1" s="1"/>
  <c r="I2143" i="1" a="1"/>
  <c r="I2143" i="1" s="1"/>
  <c r="H2143" i="1" a="1"/>
  <c r="H2143" i="1" s="1"/>
  <c r="G2143" i="1" a="1"/>
  <c r="G2143" i="1" s="1"/>
  <c r="F2143" i="1" a="1"/>
  <c r="F2143" i="1" s="1"/>
  <c r="I2142" i="1" a="1"/>
  <c r="I2142" i="1" s="1"/>
  <c r="H2142" i="1" a="1"/>
  <c r="H2142" i="1" s="1"/>
  <c r="G2142" i="1" a="1"/>
  <c r="G2142" i="1" s="1"/>
  <c r="F2142" i="1" a="1"/>
  <c r="F2142" i="1" s="1"/>
  <c r="I2141" i="1" a="1"/>
  <c r="I2141" i="1" s="1"/>
  <c r="H2141" i="1" a="1"/>
  <c r="H2141" i="1" s="1"/>
  <c r="G2141" i="1" a="1"/>
  <c r="G2141" i="1" s="1"/>
  <c r="F2141" i="1" a="1"/>
  <c r="F2141" i="1" s="1"/>
  <c r="I2140" i="1" a="1"/>
  <c r="I2140" i="1" s="1"/>
  <c r="H2140" i="1" a="1"/>
  <c r="H2140" i="1" s="1"/>
  <c r="G2140" i="1" a="1"/>
  <c r="G2140" i="1" s="1"/>
  <c r="F2140" i="1" a="1"/>
  <c r="F2140" i="1" s="1"/>
  <c r="I2139" i="1" a="1"/>
  <c r="I2139" i="1" s="1"/>
  <c r="H2139" i="1" a="1"/>
  <c r="H2139" i="1" s="1"/>
  <c r="G2139" i="1" a="1"/>
  <c r="G2139" i="1" s="1"/>
  <c r="F2139" i="1" a="1"/>
  <c r="F2139" i="1" s="1"/>
  <c r="I2138" i="1" a="1"/>
  <c r="I2138" i="1" s="1"/>
  <c r="H2138" i="1" a="1"/>
  <c r="H2138" i="1" s="1"/>
  <c r="G2138" i="1" a="1"/>
  <c r="G2138" i="1" s="1"/>
  <c r="F2138" i="1" a="1"/>
  <c r="F2138" i="1" s="1"/>
  <c r="I2137" i="1" a="1"/>
  <c r="I2137" i="1" s="1"/>
  <c r="H2137" i="1" a="1"/>
  <c r="H2137" i="1" s="1"/>
  <c r="G2137" i="1" a="1"/>
  <c r="G2137" i="1" s="1"/>
  <c r="F2137" i="1" a="1"/>
  <c r="F2137" i="1" s="1"/>
  <c r="I2136" i="1" a="1"/>
  <c r="I2136" i="1" s="1"/>
  <c r="H2136" i="1" a="1"/>
  <c r="H2136" i="1" s="1"/>
  <c r="G2136" i="1" a="1"/>
  <c r="G2136" i="1" s="1"/>
  <c r="F2136" i="1" a="1"/>
  <c r="F2136" i="1" s="1"/>
  <c r="I2135" i="1" a="1"/>
  <c r="I2135" i="1" s="1"/>
  <c r="H2135" i="1" a="1"/>
  <c r="H2135" i="1" s="1"/>
  <c r="G2135" i="1" a="1"/>
  <c r="G2135" i="1" s="1"/>
  <c r="F2135" i="1" a="1"/>
  <c r="F2135" i="1" s="1"/>
  <c r="I2134" i="1" a="1"/>
  <c r="I2134" i="1" s="1"/>
  <c r="H2134" i="1" a="1"/>
  <c r="H2134" i="1" s="1"/>
  <c r="G2134" i="1" a="1"/>
  <c r="G2134" i="1" s="1"/>
  <c r="F2134" i="1" a="1"/>
  <c r="F2134" i="1" s="1"/>
  <c r="I2133" i="1" a="1"/>
  <c r="I2133" i="1" s="1"/>
  <c r="H2133" i="1" a="1"/>
  <c r="H2133" i="1" s="1"/>
  <c r="G2133" i="1" a="1"/>
  <c r="G2133" i="1" s="1"/>
  <c r="F2133" i="1" a="1"/>
  <c r="F2133" i="1" s="1"/>
  <c r="I2132" i="1" a="1"/>
  <c r="I2132" i="1" s="1"/>
  <c r="H2132" i="1" a="1"/>
  <c r="H2132" i="1" s="1"/>
  <c r="G2132" i="1" a="1"/>
  <c r="G2132" i="1" s="1"/>
  <c r="F2132" i="1" a="1"/>
  <c r="F2132" i="1" s="1"/>
  <c r="I2131" i="1" a="1"/>
  <c r="I2131" i="1" s="1"/>
  <c r="H2131" i="1" a="1"/>
  <c r="H2131" i="1" s="1"/>
  <c r="G2131" i="1" a="1"/>
  <c r="G2131" i="1" s="1"/>
  <c r="F2131" i="1" a="1"/>
  <c r="F2131" i="1" s="1"/>
  <c r="I2130" i="1" a="1"/>
  <c r="I2130" i="1" s="1"/>
  <c r="H2130" i="1" a="1"/>
  <c r="H2130" i="1" s="1"/>
  <c r="G2130" i="1" a="1"/>
  <c r="G2130" i="1" s="1"/>
  <c r="F2130" i="1" a="1"/>
  <c r="F2130" i="1" s="1"/>
  <c r="I2129" i="1" a="1"/>
  <c r="I2129" i="1" s="1"/>
  <c r="H2129" i="1" a="1"/>
  <c r="H2129" i="1" s="1"/>
  <c r="G2129" i="1" a="1"/>
  <c r="G2129" i="1" s="1"/>
  <c r="F2129" i="1" a="1"/>
  <c r="F2129" i="1" s="1"/>
  <c r="I2128" i="1" a="1"/>
  <c r="I2128" i="1" s="1"/>
  <c r="H2128" i="1" a="1"/>
  <c r="H2128" i="1" s="1"/>
  <c r="G2128" i="1" a="1"/>
  <c r="G2128" i="1" s="1"/>
  <c r="F2128" i="1" a="1"/>
  <c r="F2128" i="1" s="1"/>
  <c r="I2127" i="1" a="1"/>
  <c r="I2127" i="1" s="1"/>
  <c r="H2127" i="1" a="1"/>
  <c r="H2127" i="1" s="1"/>
  <c r="G2127" i="1" a="1"/>
  <c r="G2127" i="1" s="1"/>
  <c r="F2127" i="1" a="1"/>
  <c r="F2127" i="1" s="1"/>
  <c r="I2126" i="1" a="1"/>
  <c r="I2126" i="1" s="1"/>
  <c r="H2126" i="1" a="1"/>
  <c r="H2126" i="1" s="1"/>
  <c r="G2126" i="1" a="1"/>
  <c r="G2126" i="1" s="1"/>
  <c r="F2126" i="1" a="1"/>
  <c r="F2126" i="1" s="1"/>
  <c r="I2125" i="1" a="1"/>
  <c r="I2125" i="1" s="1"/>
  <c r="H2125" i="1" a="1"/>
  <c r="H2125" i="1" s="1"/>
  <c r="G2125" i="1" a="1"/>
  <c r="G2125" i="1" s="1"/>
  <c r="F2125" i="1" a="1"/>
  <c r="F2125" i="1" s="1"/>
  <c r="I2124" i="1" a="1"/>
  <c r="I2124" i="1" s="1"/>
  <c r="H2124" i="1" a="1"/>
  <c r="H2124" i="1" s="1"/>
  <c r="G2124" i="1" a="1"/>
  <c r="G2124" i="1" s="1"/>
  <c r="F2124" i="1" a="1"/>
  <c r="F2124" i="1" s="1"/>
  <c r="I2123" i="1" a="1"/>
  <c r="I2123" i="1" s="1"/>
  <c r="H2123" i="1" a="1"/>
  <c r="H2123" i="1" s="1"/>
  <c r="G2123" i="1" a="1"/>
  <c r="G2123" i="1" s="1"/>
  <c r="F2123" i="1" a="1"/>
  <c r="F2123" i="1" s="1"/>
  <c r="I2122" i="1" a="1"/>
  <c r="I2122" i="1" s="1"/>
  <c r="H2122" i="1" a="1"/>
  <c r="H2122" i="1" s="1"/>
  <c r="G2122" i="1" a="1"/>
  <c r="G2122" i="1" s="1"/>
  <c r="F2122" i="1" a="1"/>
  <c r="F2122" i="1" s="1"/>
  <c r="I2121" i="1" a="1"/>
  <c r="I2121" i="1" s="1"/>
  <c r="H2121" i="1" a="1"/>
  <c r="H2121" i="1" s="1"/>
  <c r="G2121" i="1" a="1"/>
  <c r="G2121" i="1" s="1"/>
  <c r="F2121" i="1" a="1"/>
  <c r="F2121" i="1" s="1"/>
  <c r="I2120" i="1" a="1"/>
  <c r="I2120" i="1" s="1"/>
  <c r="H2120" i="1" a="1"/>
  <c r="H2120" i="1" s="1"/>
  <c r="G2120" i="1" a="1"/>
  <c r="G2120" i="1" s="1"/>
  <c r="F2120" i="1" a="1"/>
  <c r="F2120" i="1" s="1"/>
  <c r="I2119" i="1" a="1"/>
  <c r="I2119" i="1" s="1"/>
  <c r="H2119" i="1" a="1"/>
  <c r="H2119" i="1" s="1"/>
  <c r="G2119" i="1" a="1"/>
  <c r="G2119" i="1" s="1"/>
  <c r="F2119" i="1" a="1"/>
  <c r="F2119" i="1" s="1"/>
  <c r="I2118" i="1" a="1"/>
  <c r="I2118" i="1" s="1"/>
  <c r="H2118" i="1" a="1"/>
  <c r="H2118" i="1" s="1"/>
  <c r="G2118" i="1" a="1"/>
  <c r="G2118" i="1" s="1"/>
  <c r="F2118" i="1" a="1"/>
  <c r="F2118" i="1" s="1"/>
  <c r="I2117" i="1" a="1"/>
  <c r="I2117" i="1" s="1"/>
  <c r="H2117" i="1" a="1"/>
  <c r="H2117" i="1" s="1"/>
  <c r="G2117" i="1" a="1"/>
  <c r="G2117" i="1" s="1"/>
  <c r="F2117" i="1" a="1"/>
  <c r="F2117" i="1" s="1"/>
  <c r="I2116" i="1" a="1"/>
  <c r="I2116" i="1" s="1"/>
  <c r="H2116" i="1" a="1"/>
  <c r="H2116" i="1" s="1"/>
  <c r="G2116" i="1" a="1"/>
  <c r="G2116" i="1" s="1"/>
  <c r="F2116" i="1" a="1"/>
  <c r="F2116" i="1" s="1"/>
  <c r="I2115" i="1" a="1"/>
  <c r="I2115" i="1" s="1"/>
  <c r="H2115" i="1" a="1"/>
  <c r="H2115" i="1" s="1"/>
  <c r="G2115" i="1" a="1"/>
  <c r="G2115" i="1" s="1"/>
  <c r="F2115" i="1" a="1"/>
  <c r="F2115" i="1" s="1"/>
  <c r="I2113" i="1"/>
  <c r="H2113" i="1"/>
  <c r="G2113" i="1"/>
  <c r="F2113" i="1"/>
  <c r="I2112" i="1"/>
  <c r="H2112" i="1"/>
  <c r="G2112" i="1"/>
  <c r="F2112" i="1"/>
  <c r="I2111" i="1"/>
  <c r="H2111" i="1"/>
  <c r="G2111" i="1"/>
  <c r="F2111" i="1"/>
  <c r="I2110" i="1"/>
  <c r="H2110" i="1"/>
  <c r="G2110" i="1"/>
  <c r="F2110" i="1"/>
  <c r="I2109" i="1"/>
  <c r="H2109" i="1"/>
  <c r="G2109" i="1"/>
  <c r="F2109" i="1"/>
  <c r="I2108" i="1"/>
  <c r="H2108" i="1"/>
  <c r="G2108" i="1"/>
  <c r="F2108" i="1"/>
  <c r="I2107" i="1"/>
  <c r="H2107" i="1"/>
  <c r="G2107" i="1"/>
  <c r="F2107" i="1"/>
  <c r="I2105" i="1"/>
  <c r="H2105" i="1"/>
  <c r="G2105" i="1"/>
  <c r="F2105" i="1"/>
  <c r="I2104" i="1"/>
  <c r="H2104" i="1"/>
  <c r="G2104" i="1"/>
  <c r="F2104" i="1"/>
  <c r="I2103" i="1"/>
  <c r="H2103" i="1"/>
  <c r="G2103" i="1"/>
  <c r="F2103" i="1"/>
  <c r="I2100" i="1"/>
  <c r="H2100" i="1"/>
  <c r="G2100" i="1"/>
  <c r="F2100" i="1"/>
  <c r="I2099" i="1"/>
  <c r="H2099" i="1"/>
  <c r="G2099" i="1"/>
  <c r="F2099" i="1"/>
  <c r="I2098" i="1"/>
  <c r="H2098" i="1"/>
  <c r="G2098" i="1"/>
  <c r="F2098" i="1"/>
  <c r="I2097" i="1"/>
  <c r="H2097" i="1"/>
  <c r="G2097" i="1"/>
  <c r="F2097" i="1"/>
  <c r="I2096" i="1"/>
  <c r="H2096" i="1"/>
  <c r="G2096" i="1"/>
  <c r="F2096" i="1"/>
  <c r="I2095" i="1"/>
  <c r="H2095" i="1"/>
  <c r="G2095" i="1"/>
  <c r="F2095" i="1"/>
  <c r="I2093" i="1"/>
  <c r="H2093" i="1"/>
  <c r="G2093" i="1"/>
  <c r="F2093" i="1"/>
  <c r="I2091" i="1"/>
  <c r="H2091" i="1"/>
  <c r="G2091" i="1"/>
  <c r="F2091" i="1"/>
  <c r="I2090" i="1"/>
  <c r="H2090" i="1"/>
  <c r="G2090" i="1"/>
  <c r="F2090" i="1"/>
  <c r="I2089" i="1"/>
  <c r="H2089" i="1"/>
  <c r="G2089" i="1"/>
  <c r="F2089" i="1"/>
  <c r="I2088" i="1"/>
  <c r="H2088" i="1"/>
  <c r="G2088" i="1"/>
  <c r="F2088" i="1"/>
  <c r="I2087" i="1"/>
  <c r="H2087" i="1"/>
  <c r="G2087" i="1"/>
  <c r="F2087" i="1"/>
  <c r="I2086" i="1"/>
  <c r="H2086" i="1"/>
  <c r="G2086" i="1"/>
  <c r="F2086" i="1"/>
  <c r="I2085" i="1"/>
  <c r="H2085" i="1"/>
  <c r="G2085" i="1"/>
  <c r="F2085" i="1"/>
  <c r="I2083" i="1"/>
  <c r="H2083" i="1"/>
  <c r="G2083" i="1"/>
  <c r="F2083" i="1"/>
  <c r="I2082" i="1"/>
  <c r="H2082" i="1"/>
  <c r="G2082" i="1"/>
  <c r="F2082" i="1"/>
  <c r="I2081" i="1"/>
  <c r="H2081" i="1"/>
  <c r="G2081" i="1"/>
  <c r="F2081" i="1"/>
  <c r="I2080" i="1"/>
  <c r="H2080" i="1"/>
  <c r="G2080" i="1"/>
  <c r="F2080" i="1"/>
  <c r="I2079" i="1"/>
  <c r="H2079" i="1"/>
  <c r="G2079" i="1"/>
  <c r="F2079" i="1"/>
  <c r="I2078" i="1"/>
  <c r="H2078" i="1"/>
  <c r="G2078" i="1"/>
  <c r="F2078" i="1"/>
  <c r="I2076" i="1"/>
  <c r="H2076" i="1"/>
  <c r="G2076" i="1"/>
  <c r="F2076" i="1"/>
  <c r="I2075" i="1"/>
  <c r="H2075" i="1"/>
  <c r="G2075" i="1"/>
  <c r="F2075" i="1"/>
  <c r="I2074" i="1"/>
  <c r="H2074" i="1"/>
  <c r="G2074" i="1"/>
  <c r="F2074" i="1"/>
  <c r="I2073" i="1"/>
  <c r="H2073" i="1"/>
  <c r="G2073" i="1"/>
  <c r="F2073" i="1"/>
  <c r="I2072" i="1"/>
  <c r="H2072" i="1"/>
  <c r="G2072" i="1"/>
  <c r="F2072" i="1"/>
  <c r="I2071" i="1"/>
  <c r="H2071" i="1"/>
  <c r="G2071" i="1"/>
  <c r="F2071" i="1"/>
  <c r="I2070" i="1"/>
  <c r="H2070" i="1"/>
  <c r="G2070" i="1"/>
  <c r="F2070" i="1"/>
  <c r="I2069" i="1"/>
  <c r="H2069" i="1"/>
  <c r="G2069" i="1"/>
  <c r="F2069" i="1"/>
  <c r="I2068" i="1"/>
  <c r="H2068" i="1"/>
  <c r="G2068" i="1"/>
  <c r="F2068" i="1"/>
  <c r="I2067" i="1"/>
  <c r="H2067" i="1"/>
  <c r="G2067" i="1"/>
  <c r="F2067" i="1"/>
  <c r="I2066" i="1"/>
  <c r="H2066" i="1"/>
  <c r="G2066" i="1"/>
  <c r="F2066" i="1"/>
  <c r="I2065" i="1"/>
  <c r="H2065" i="1"/>
  <c r="G2065" i="1"/>
  <c r="F2065" i="1"/>
  <c r="I2064" i="1"/>
  <c r="H2064" i="1"/>
  <c r="G2064" i="1"/>
  <c r="F2064" i="1"/>
  <c r="I2063" i="1"/>
  <c r="H2063" i="1"/>
  <c r="G2063" i="1"/>
  <c r="F2063" i="1"/>
  <c r="I2062" i="1"/>
  <c r="H2062" i="1"/>
  <c r="G2062" i="1"/>
  <c r="F2062" i="1"/>
  <c r="I2060" i="1"/>
  <c r="H2060" i="1"/>
  <c r="G2060" i="1"/>
  <c r="F2060" i="1"/>
  <c r="I2059" i="1"/>
  <c r="H2059" i="1"/>
  <c r="G2059" i="1"/>
  <c r="F2059" i="1"/>
  <c r="I2058" i="1"/>
  <c r="H2058" i="1"/>
  <c r="G2058" i="1"/>
  <c r="F2058" i="1"/>
  <c r="I2056" i="1"/>
  <c r="H2056" i="1"/>
  <c r="G2056" i="1"/>
  <c r="F2056" i="1"/>
  <c r="I2055" i="1"/>
  <c r="H2055" i="1"/>
  <c r="G2055" i="1"/>
  <c r="F2055" i="1"/>
  <c r="I2054" i="1"/>
  <c r="H2054" i="1"/>
  <c r="G2054" i="1"/>
  <c r="F2054" i="1"/>
  <c r="I2052" i="1"/>
  <c r="H2052" i="1"/>
  <c r="G2052" i="1"/>
  <c r="F2052" i="1"/>
  <c r="I2049" i="1" a="1"/>
  <c r="I2049" i="1" s="1"/>
  <c r="H2049" i="1" a="1"/>
  <c r="H2049" i="1" s="1"/>
  <c r="G2049" i="1" a="1"/>
  <c r="G2049" i="1" s="1"/>
  <c r="F2049" i="1" a="1"/>
  <c r="F2049" i="1" s="1"/>
  <c r="I2048" i="1" a="1"/>
  <c r="I2048" i="1" s="1"/>
  <c r="H2048" i="1" a="1"/>
  <c r="H2048" i="1" s="1"/>
  <c r="G2048" i="1" a="1"/>
  <c r="G2048" i="1" s="1"/>
  <c r="F2048" i="1" a="1"/>
  <c r="F2048" i="1" s="1"/>
  <c r="I2047" i="1" a="1"/>
  <c r="I2047" i="1" s="1"/>
  <c r="H2047" i="1" a="1"/>
  <c r="H2047" i="1" s="1"/>
  <c r="G2047" i="1" a="1"/>
  <c r="G2047" i="1" s="1"/>
  <c r="F2047" i="1" a="1"/>
  <c r="F2047" i="1" s="1"/>
  <c r="I2046" i="1" a="1"/>
  <c r="I2046" i="1" s="1"/>
  <c r="H2046" i="1" a="1"/>
  <c r="H2046" i="1" s="1"/>
  <c r="G2046" i="1" a="1"/>
  <c r="G2046" i="1" s="1"/>
  <c r="F2046" i="1" a="1"/>
  <c r="F2046" i="1" s="1"/>
  <c r="I2045" i="1" a="1"/>
  <c r="I2045" i="1" s="1"/>
  <c r="H2045" i="1" a="1"/>
  <c r="H2045" i="1" s="1"/>
  <c r="G2045" i="1" a="1"/>
  <c r="G2045" i="1" s="1"/>
  <c r="F2045" i="1" a="1"/>
  <c r="F2045" i="1" s="1"/>
  <c r="I2044" i="1" a="1"/>
  <c r="I2044" i="1" s="1"/>
  <c r="H2044" i="1" a="1"/>
  <c r="H2044" i="1" s="1"/>
  <c r="G2044" i="1" a="1"/>
  <c r="G2044" i="1" s="1"/>
  <c r="F2044" i="1" a="1"/>
  <c r="F2044" i="1" s="1"/>
  <c r="I2043" i="1" a="1"/>
  <c r="I2043" i="1" s="1"/>
  <c r="H2043" i="1" a="1"/>
  <c r="H2043" i="1" s="1"/>
  <c r="G2043" i="1" a="1"/>
  <c r="G2043" i="1" s="1"/>
  <c r="F2043" i="1" a="1"/>
  <c r="F2043" i="1" s="1"/>
  <c r="I2042" i="1" a="1"/>
  <c r="I2042" i="1" s="1"/>
  <c r="H2042" i="1" a="1"/>
  <c r="H2042" i="1" s="1"/>
  <c r="G2042" i="1" a="1"/>
  <c r="G2042" i="1" s="1"/>
  <c r="F2042" i="1" a="1"/>
  <c r="F2042" i="1" s="1"/>
  <c r="I2041" i="1" a="1"/>
  <c r="I2041" i="1" s="1"/>
  <c r="H2041" i="1" a="1"/>
  <c r="H2041" i="1" s="1"/>
  <c r="G2041" i="1" a="1"/>
  <c r="G2041" i="1" s="1"/>
  <c r="F2041" i="1" a="1"/>
  <c r="F2041" i="1" s="1"/>
  <c r="I2040" i="1" a="1"/>
  <c r="I2040" i="1" s="1"/>
  <c r="H2040" i="1" a="1"/>
  <c r="H2040" i="1" s="1"/>
  <c r="G2040" i="1" a="1"/>
  <c r="G2040" i="1" s="1"/>
  <c r="F2040" i="1" a="1"/>
  <c r="F2040" i="1" s="1"/>
  <c r="I2039" i="1" a="1"/>
  <c r="I2039" i="1" s="1"/>
  <c r="H2039" i="1" a="1"/>
  <c r="H2039" i="1" s="1"/>
  <c r="G2039" i="1" a="1"/>
  <c r="G2039" i="1" s="1"/>
  <c r="F2039" i="1" a="1"/>
  <c r="F2039" i="1" s="1"/>
  <c r="I2038" i="1" a="1"/>
  <c r="I2038" i="1" s="1"/>
  <c r="H2038" i="1" a="1"/>
  <c r="H2038" i="1" s="1"/>
  <c r="G2038" i="1" a="1"/>
  <c r="G2038" i="1" s="1"/>
  <c r="F2038" i="1" a="1"/>
  <c r="F2038" i="1" s="1"/>
  <c r="I2037" i="1" a="1"/>
  <c r="I2037" i="1" s="1"/>
  <c r="H2037" i="1" a="1"/>
  <c r="H2037" i="1" s="1"/>
  <c r="G2037" i="1" a="1"/>
  <c r="G2037" i="1" s="1"/>
  <c r="F2037" i="1" a="1"/>
  <c r="F2037" i="1" s="1"/>
  <c r="I2036" i="1" a="1"/>
  <c r="I2036" i="1" s="1"/>
  <c r="H2036" i="1" a="1"/>
  <c r="H2036" i="1" s="1"/>
  <c r="G2036" i="1" a="1"/>
  <c r="G2036" i="1" s="1"/>
  <c r="F2036" i="1" a="1"/>
  <c r="F2036" i="1" s="1"/>
  <c r="I2035" i="1" a="1"/>
  <c r="I2035" i="1" s="1"/>
  <c r="H2035" i="1" a="1"/>
  <c r="H2035" i="1" s="1"/>
  <c r="G2035" i="1" a="1"/>
  <c r="G2035" i="1" s="1"/>
  <c r="F2035" i="1" a="1"/>
  <c r="F2035" i="1" s="1"/>
  <c r="I2034" i="1" a="1"/>
  <c r="I2034" i="1" s="1"/>
  <c r="H2034" i="1" a="1"/>
  <c r="H2034" i="1" s="1"/>
  <c r="G2034" i="1" a="1"/>
  <c r="G2034" i="1" s="1"/>
  <c r="F2034" i="1" a="1"/>
  <c r="F2034" i="1" s="1"/>
  <c r="I2032" i="1" a="1"/>
  <c r="I2032" i="1" s="1"/>
  <c r="I2031" i="1" s="1" a="1"/>
  <c r="I2031" i="1" s="1"/>
  <c r="H2032" i="1" a="1"/>
  <c r="H2032" i="1" s="1"/>
  <c r="H2031" i="1" s="1" a="1"/>
  <c r="H2031" i="1" s="1"/>
  <c r="G2032" i="1" a="1"/>
  <c r="G2032" i="1" s="1"/>
  <c r="G2031" i="1" s="1" a="1"/>
  <c r="G2031" i="1" s="1"/>
  <c r="F2032" i="1" a="1"/>
  <c r="F2032" i="1" s="1"/>
  <c r="F2031" i="1" s="1" a="1"/>
  <c r="F2031" i="1" s="1"/>
  <c r="I2029" i="1" a="1"/>
  <c r="I2029" i="1" s="1"/>
  <c r="I2028" i="1" s="1" a="1"/>
  <c r="I2028" i="1" s="1"/>
  <c r="H2029" i="1" a="1"/>
  <c r="H2029" i="1" s="1"/>
  <c r="H2028" i="1" s="1" a="1"/>
  <c r="H2028" i="1" s="1"/>
  <c r="G2029" i="1" a="1"/>
  <c r="G2029" i="1" s="1"/>
  <c r="G2028" i="1" s="1" a="1"/>
  <c r="G2028" i="1" s="1"/>
  <c r="F2029" i="1" a="1"/>
  <c r="F2029" i="1" s="1"/>
  <c r="F2028" i="1" s="1" a="1"/>
  <c r="F2028" i="1" s="1"/>
  <c r="I2026" i="1" a="1"/>
  <c r="I2026" i="1" s="1"/>
  <c r="H2026" i="1" a="1"/>
  <c r="H2026" i="1" s="1"/>
  <c r="G2026" i="1" a="1"/>
  <c r="G2026" i="1" s="1"/>
  <c r="F2026" i="1" a="1"/>
  <c r="F2026" i="1" s="1"/>
  <c r="I2025" i="1" a="1"/>
  <c r="I2025" i="1" s="1"/>
  <c r="H2025" i="1" a="1"/>
  <c r="H2025" i="1" s="1"/>
  <c r="G2025" i="1" a="1"/>
  <c r="G2025" i="1" s="1"/>
  <c r="F2025" i="1" a="1"/>
  <c r="F2025" i="1" s="1"/>
  <c r="I2023" i="1" a="1"/>
  <c r="I2023" i="1" s="1"/>
  <c r="H2023" i="1" a="1"/>
  <c r="H2023" i="1" s="1"/>
  <c r="G2023" i="1" a="1"/>
  <c r="G2023" i="1" s="1"/>
  <c r="F2023" i="1" a="1"/>
  <c r="F2023" i="1" s="1"/>
  <c r="I2021" i="1" a="1"/>
  <c r="I2021" i="1" s="1"/>
  <c r="H2021" i="1" a="1"/>
  <c r="H2021" i="1" s="1"/>
  <c r="G2021" i="1" a="1"/>
  <c r="G2021" i="1" s="1"/>
  <c r="F2021" i="1" a="1"/>
  <c r="F2021" i="1" s="1"/>
  <c r="I2020" i="1" a="1"/>
  <c r="I2020" i="1" s="1"/>
  <c r="H2020" i="1" a="1"/>
  <c r="H2020" i="1" s="1"/>
  <c r="G2020" i="1" a="1"/>
  <c r="G2020" i="1" s="1"/>
  <c r="F2020" i="1" a="1"/>
  <c r="F2020" i="1" s="1"/>
  <c r="I2018" i="1" a="1"/>
  <c r="I2018" i="1" s="1"/>
  <c r="I2019" i="1" s="1" a="1"/>
  <c r="I2019" i="1" s="1"/>
  <c r="H2018" i="1" a="1"/>
  <c r="H2018" i="1" s="1"/>
  <c r="H2019" i="1" s="1" a="1"/>
  <c r="H2019" i="1" s="1"/>
  <c r="G2018" i="1" a="1"/>
  <c r="G2018" i="1" s="1"/>
  <c r="G2019" i="1" s="1" a="1"/>
  <c r="G2019" i="1" s="1"/>
  <c r="F2018" i="1" a="1"/>
  <c r="F2018" i="1" s="1"/>
  <c r="F2019" i="1" s="1" a="1"/>
  <c r="F2019" i="1" s="1"/>
  <c r="I2016" i="1" a="1"/>
  <c r="I2016" i="1" s="1"/>
  <c r="I2017" i="1" s="1" a="1"/>
  <c r="I2017" i="1" s="1"/>
  <c r="H2016" i="1" a="1"/>
  <c r="H2016" i="1" s="1"/>
  <c r="H2017" i="1" s="1" a="1"/>
  <c r="H2017" i="1" s="1"/>
  <c r="G2016" i="1" a="1"/>
  <c r="G2016" i="1" s="1"/>
  <c r="G2017" i="1" s="1" a="1"/>
  <c r="G2017" i="1" s="1"/>
  <c r="F2016" i="1" a="1"/>
  <c r="F2016" i="1" s="1"/>
  <c r="F2017" i="1" s="1" a="1"/>
  <c r="F2017" i="1" s="1"/>
  <c r="I2015" i="1" a="1"/>
  <c r="I2015" i="1" s="1"/>
  <c r="H2015" i="1" a="1"/>
  <c r="H2015" i="1" s="1"/>
  <c r="G2015" i="1" a="1"/>
  <c r="G2015" i="1" s="1"/>
  <c r="F2015" i="1" a="1"/>
  <c r="F2015" i="1" s="1"/>
  <c r="I2013" i="1" a="1"/>
  <c r="I2013" i="1" s="1"/>
  <c r="I2014" i="1" s="1" a="1"/>
  <c r="I2014" i="1" s="1"/>
  <c r="H2013" i="1" a="1"/>
  <c r="H2013" i="1" s="1"/>
  <c r="H2014" i="1" s="1" a="1"/>
  <c r="H2014" i="1" s="1"/>
  <c r="G2013" i="1" a="1"/>
  <c r="G2013" i="1" s="1"/>
  <c r="G2014" i="1" s="1" a="1"/>
  <c r="G2014" i="1" s="1"/>
  <c r="F2013" i="1" a="1"/>
  <c r="F2013" i="1" s="1"/>
  <c r="F2014" i="1" s="1" a="1"/>
  <c r="F2014" i="1" s="1"/>
  <c r="I2011" i="1" a="1"/>
  <c r="I2011" i="1" s="1"/>
  <c r="H2011" i="1" a="1"/>
  <c r="H2011" i="1" s="1"/>
  <c r="G2011" i="1" a="1"/>
  <c r="G2011" i="1" s="1"/>
  <c r="F2011" i="1" a="1"/>
  <c r="F2011" i="1" s="1"/>
  <c r="I2010" i="1" a="1"/>
  <c r="I2010" i="1" s="1"/>
  <c r="H2010" i="1" a="1"/>
  <c r="H2010" i="1" s="1"/>
  <c r="G2010" i="1" a="1"/>
  <c r="G2010" i="1" s="1"/>
  <c r="F2010" i="1" a="1"/>
  <c r="F2010" i="1" s="1"/>
  <c r="I2008" i="1" a="1"/>
  <c r="I2008" i="1" s="1"/>
  <c r="I2009" i="1" s="1" a="1"/>
  <c r="I2009" i="1" s="1"/>
  <c r="H2008" i="1" a="1"/>
  <c r="H2008" i="1" s="1"/>
  <c r="H2009" i="1" s="1" a="1"/>
  <c r="H2009" i="1" s="1"/>
  <c r="G2008" i="1" a="1"/>
  <c r="G2008" i="1" s="1"/>
  <c r="G2009" i="1" s="1" a="1"/>
  <c r="G2009" i="1" s="1"/>
  <c r="F2008" i="1" a="1"/>
  <c r="F2008" i="1" s="1"/>
  <c r="F2009" i="1" s="1" a="1"/>
  <c r="F2009" i="1" s="1"/>
  <c r="I2006" i="1" a="1"/>
  <c r="I2006" i="1" s="1"/>
  <c r="I2007" i="1" s="1" a="1"/>
  <c r="I2007" i="1" s="1"/>
  <c r="H2006" i="1" a="1"/>
  <c r="H2006" i="1" s="1"/>
  <c r="H2007" i="1" s="1" a="1"/>
  <c r="H2007" i="1" s="1"/>
  <c r="G2006" i="1" a="1"/>
  <c r="G2006" i="1" s="1"/>
  <c r="G2007" i="1" s="1" a="1"/>
  <c r="G2007" i="1" s="1"/>
  <c r="F2006" i="1" a="1"/>
  <c r="F2006" i="1" s="1"/>
  <c r="F2007" i="1" s="1" a="1"/>
  <c r="F2007" i="1" s="1"/>
  <c r="I2005" i="1" a="1"/>
  <c r="I2005" i="1" s="1"/>
  <c r="H2005" i="1" a="1"/>
  <c r="H2005" i="1" s="1"/>
  <c r="G2005" i="1" a="1"/>
  <c r="G2005" i="1" s="1"/>
  <c r="F2005" i="1" a="1"/>
  <c r="F2005" i="1" s="1"/>
  <c r="I2003" i="1" a="1"/>
  <c r="I2003" i="1" s="1"/>
  <c r="I2004" i="1" s="1" a="1"/>
  <c r="I2004" i="1" s="1"/>
  <c r="H2003" i="1" a="1"/>
  <c r="H2003" i="1" s="1"/>
  <c r="H2004" i="1" s="1" a="1"/>
  <c r="H2004" i="1" s="1"/>
  <c r="G2003" i="1" a="1"/>
  <c r="G2003" i="1" s="1"/>
  <c r="G2004" i="1" s="1" a="1"/>
  <c r="G2004" i="1" s="1"/>
  <c r="F2003" i="1" a="1"/>
  <c r="F2003" i="1" s="1"/>
  <c r="F2004" i="1" s="1" a="1"/>
  <c r="F2004" i="1" s="1"/>
  <c r="I2001" i="1" a="1"/>
  <c r="I2001" i="1" s="1"/>
  <c r="H2001" i="1" a="1"/>
  <c r="H2001" i="1" s="1"/>
  <c r="G2001" i="1" a="1"/>
  <c r="G2001" i="1" s="1"/>
  <c r="F2001" i="1" a="1"/>
  <c r="F2001" i="1" s="1"/>
  <c r="I2000" i="1" a="1"/>
  <c r="I2000" i="1" s="1"/>
  <c r="H2000" i="1" a="1"/>
  <c r="H2000" i="1" s="1"/>
  <c r="G2000" i="1" a="1"/>
  <c r="G2000" i="1" s="1"/>
  <c r="F2000" i="1" a="1"/>
  <c r="F2000" i="1" s="1"/>
  <c r="I1999" i="1" a="1"/>
  <c r="I1999" i="1" s="1"/>
  <c r="H1999" i="1" a="1"/>
  <c r="H1999" i="1" s="1"/>
  <c r="G1999" i="1" a="1"/>
  <c r="G1999" i="1" s="1"/>
  <c r="F1999" i="1" a="1"/>
  <c r="F1999" i="1" s="1"/>
  <c r="I1998" i="1" a="1"/>
  <c r="I1998" i="1" s="1"/>
  <c r="H1998" i="1" a="1"/>
  <c r="H1998" i="1" s="1"/>
  <c r="G1998" i="1" a="1"/>
  <c r="G1998" i="1" s="1"/>
  <c r="F1998" i="1" a="1"/>
  <c r="F1998" i="1" s="1"/>
  <c r="I1997" i="1" a="1"/>
  <c r="I1997" i="1" s="1"/>
  <c r="H1997" i="1" a="1"/>
  <c r="H1997" i="1" s="1"/>
  <c r="G1997" i="1" a="1"/>
  <c r="G1997" i="1" s="1"/>
  <c r="F1997" i="1" a="1"/>
  <c r="F1997" i="1" s="1"/>
  <c r="I1996" i="1" a="1"/>
  <c r="I1996" i="1" s="1"/>
  <c r="H1996" i="1" a="1"/>
  <c r="H1996" i="1" s="1"/>
  <c r="G1996" i="1" a="1"/>
  <c r="G1996" i="1" s="1"/>
  <c r="F1996" i="1" a="1"/>
  <c r="F1996" i="1" s="1"/>
  <c r="I1995" i="1" a="1"/>
  <c r="I1995" i="1" s="1"/>
  <c r="H1995" i="1" a="1"/>
  <c r="H1995" i="1" s="1"/>
  <c r="G1995" i="1" a="1"/>
  <c r="G1995" i="1" s="1"/>
  <c r="F1995" i="1" a="1"/>
  <c r="F1995" i="1" s="1"/>
  <c r="I1994" i="1" a="1"/>
  <c r="I1994" i="1" s="1"/>
  <c r="H1994" i="1" a="1"/>
  <c r="H1994" i="1" s="1"/>
  <c r="G1994" i="1" a="1"/>
  <c r="G1994" i="1" s="1"/>
  <c r="F1994" i="1" a="1"/>
  <c r="F1994" i="1" s="1"/>
  <c r="I1993" i="1" a="1"/>
  <c r="I1993" i="1" s="1"/>
  <c r="H1993" i="1" a="1"/>
  <c r="H1993" i="1" s="1"/>
  <c r="G1993" i="1" a="1"/>
  <c r="G1993" i="1" s="1"/>
  <c r="F1993" i="1" a="1"/>
  <c r="F1993" i="1" s="1"/>
  <c r="I1992" i="1" a="1"/>
  <c r="I1992" i="1" s="1"/>
  <c r="H1992" i="1" a="1"/>
  <c r="H1992" i="1" s="1"/>
  <c r="G1992" i="1" a="1"/>
  <c r="G1992" i="1" s="1"/>
  <c r="F1992" i="1" a="1"/>
  <c r="F1992" i="1" s="1"/>
  <c r="I1991" i="1" a="1"/>
  <c r="I1991" i="1" s="1"/>
  <c r="H1991" i="1" a="1"/>
  <c r="H1991" i="1" s="1"/>
  <c r="G1991" i="1" a="1"/>
  <c r="G1991" i="1" s="1"/>
  <c r="F1991" i="1" a="1"/>
  <c r="F1991" i="1" s="1"/>
  <c r="I1990" i="1" a="1"/>
  <c r="I1990" i="1" s="1"/>
  <c r="H1990" i="1" a="1"/>
  <c r="H1990" i="1" s="1"/>
  <c r="G1990" i="1" a="1"/>
  <c r="G1990" i="1" s="1"/>
  <c r="F1990" i="1" a="1"/>
  <c r="F1990" i="1" s="1"/>
  <c r="I1989" i="1" a="1"/>
  <c r="I1989" i="1" s="1"/>
  <c r="H1989" i="1" a="1"/>
  <c r="H1989" i="1" s="1"/>
  <c r="G1989" i="1" a="1"/>
  <c r="G1989" i="1" s="1"/>
  <c r="F1989" i="1" a="1"/>
  <c r="F1989" i="1" s="1"/>
  <c r="I1988" i="1" a="1"/>
  <c r="I1988" i="1" s="1"/>
  <c r="H1988" i="1" a="1"/>
  <c r="H1988" i="1" s="1"/>
  <c r="G1988" i="1" a="1"/>
  <c r="G1988" i="1" s="1"/>
  <c r="F1988" i="1" a="1"/>
  <c r="F1988" i="1" s="1"/>
  <c r="I1987" i="1" a="1"/>
  <c r="I1987" i="1" s="1"/>
  <c r="H1987" i="1" a="1"/>
  <c r="H1987" i="1" s="1"/>
  <c r="G1987" i="1" a="1"/>
  <c r="G1987" i="1" s="1"/>
  <c r="F1987" i="1" a="1"/>
  <c r="F1987" i="1" s="1"/>
  <c r="I1986" i="1" a="1"/>
  <c r="I1986" i="1" s="1"/>
  <c r="H1986" i="1" a="1"/>
  <c r="H1986" i="1" s="1"/>
  <c r="G1986" i="1" a="1"/>
  <c r="G1986" i="1" s="1"/>
  <c r="F1986" i="1" a="1"/>
  <c r="F1986" i="1" s="1"/>
  <c r="I1985" i="1" a="1"/>
  <c r="I1985" i="1" s="1"/>
  <c r="H1985" i="1" a="1"/>
  <c r="H1985" i="1" s="1"/>
  <c r="G1985" i="1" a="1"/>
  <c r="G1985" i="1" s="1"/>
  <c r="F1985" i="1" a="1"/>
  <c r="F1985" i="1" s="1"/>
  <c r="I1984" i="1" a="1"/>
  <c r="I1984" i="1" s="1"/>
  <c r="H1984" i="1" a="1"/>
  <c r="H1984" i="1" s="1"/>
  <c r="G1984" i="1" a="1"/>
  <c r="G1984" i="1" s="1"/>
  <c r="F1984" i="1" a="1"/>
  <c r="F1984" i="1" s="1"/>
  <c r="I1983" i="1" a="1"/>
  <c r="I1983" i="1" s="1"/>
  <c r="H1983" i="1" a="1"/>
  <c r="H1983" i="1" s="1"/>
  <c r="G1983" i="1" a="1"/>
  <c r="G1983" i="1" s="1"/>
  <c r="F1983" i="1" a="1"/>
  <c r="F1983" i="1" s="1"/>
  <c r="I1982" i="1" a="1"/>
  <c r="I1982" i="1" s="1"/>
  <c r="H1982" i="1" a="1"/>
  <c r="H1982" i="1" s="1"/>
  <c r="G1982" i="1" a="1"/>
  <c r="G1982" i="1" s="1"/>
  <c r="F1982" i="1" a="1"/>
  <c r="F1982" i="1" s="1"/>
  <c r="I1981" i="1" a="1"/>
  <c r="I1981" i="1" s="1"/>
  <c r="H1981" i="1" a="1"/>
  <c r="H1981" i="1" s="1"/>
  <c r="G1981" i="1" a="1"/>
  <c r="G1981" i="1" s="1"/>
  <c r="F1981" i="1" a="1"/>
  <c r="F1981" i="1" s="1"/>
  <c r="I1980" i="1" a="1"/>
  <c r="I1980" i="1" s="1"/>
  <c r="H1980" i="1" a="1"/>
  <c r="H1980" i="1" s="1"/>
  <c r="G1980" i="1" a="1"/>
  <c r="G1980" i="1" s="1"/>
  <c r="F1980" i="1" a="1"/>
  <c r="F1980" i="1" s="1"/>
  <c r="I1979" i="1" a="1"/>
  <c r="I1979" i="1" s="1"/>
  <c r="H1979" i="1" a="1"/>
  <c r="H1979" i="1" s="1"/>
  <c r="G1979" i="1" a="1"/>
  <c r="G1979" i="1" s="1"/>
  <c r="F1979" i="1" a="1"/>
  <c r="F1979" i="1" s="1"/>
  <c r="I1977" i="1" a="1"/>
  <c r="I1977" i="1" s="1"/>
  <c r="H1977" i="1" a="1"/>
  <c r="H1977" i="1" s="1"/>
  <c r="G1977" i="1" a="1"/>
  <c r="G1977" i="1" s="1"/>
  <c r="F1977" i="1" a="1"/>
  <c r="F1977" i="1" s="1"/>
  <c r="I1976" i="1" a="1"/>
  <c r="I1976" i="1" s="1"/>
  <c r="H1976" i="1" a="1"/>
  <c r="H1976" i="1" s="1"/>
  <c r="G1976" i="1" a="1"/>
  <c r="G1976" i="1" s="1"/>
  <c r="F1976" i="1" a="1"/>
  <c r="F1976" i="1" s="1"/>
  <c r="I1975" i="1" a="1"/>
  <c r="I1975" i="1" s="1"/>
  <c r="H1975" i="1" a="1"/>
  <c r="H1975" i="1" s="1"/>
  <c r="G1975" i="1" a="1"/>
  <c r="G1975" i="1" s="1"/>
  <c r="F1975" i="1" a="1"/>
  <c r="F1975" i="1" s="1"/>
  <c r="I1974" i="1" a="1"/>
  <c r="I1974" i="1" s="1"/>
  <c r="H1974" i="1" a="1"/>
  <c r="H1974" i="1" s="1"/>
  <c r="G1974" i="1" a="1"/>
  <c r="G1974" i="1" s="1"/>
  <c r="F1974" i="1" a="1"/>
  <c r="F1974" i="1" s="1"/>
  <c r="I1973" i="1" a="1"/>
  <c r="I1973" i="1" s="1"/>
  <c r="H1973" i="1" a="1"/>
  <c r="H1973" i="1" s="1"/>
  <c r="G1973" i="1" a="1"/>
  <c r="G1973" i="1" s="1"/>
  <c r="F1973" i="1" a="1"/>
  <c r="F1973" i="1" s="1"/>
  <c r="I1972" i="1" a="1"/>
  <c r="I1972" i="1" s="1"/>
  <c r="H1972" i="1" a="1"/>
  <c r="H1972" i="1" s="1"/>
  <c r="G1972" i="1" a="1"/>
  <c r="G1972" i="1" s="1"/>
  <c r="F1972" i="1" a="1"/>
  <c r="F1972" i="1" s="1"/>
  <c r="I1971" i="1" a="1"/>
  <c r="I1971" i="1" s="1"/>
  <c r="H1971" i="1" a="1"/>
  <c r="H1971" i="1" s="1"/>
  <c r="G1971" i="1" a="1"/>
  <c r="G1971" i="1" s="1"/>
  <c r="F1971" i="1" a="1"/>
  <c r="F1971" i="1" s="1"/>
  <c r="I1970" i="1" a="1"/>
  <c r="I1970" i="1" s="1"/>
  <c r="H1970" i="1" a="1"/>
  <c r="H1970" i="1" s="1"/>
  <c r="G1970" i="1" a="1"/>
  <c r="G1970" i="1" s="1"/>
  <c r="F1970" i="1" a="1"/>
  <c r="F1970" i="1" s="1"/>
  <c r="I1969" i="1" a="1"/>
  <c r="I1969" i="1" s="1"/>
  <c r="H1969" i="1" a="1"/>
  <c r="H1969" i="1" s="1"/>
  <c r="G1969" i="1" a="1"/>
  <c r="G1969" i="1" s="1"/>
  <c r="F1969" i="1" a="1"/>
  <c r="F1969" i="1" s="1"/>
  <c r="I1968" i="1" a="1"/>
  <c r="I1968" i="1" s="1"/>
  <c r="H1968" i="1" a="1"/>
  <c r="H1968" i="1" s="1"/>
  <c r="G1968" i="1" a="1"/>
  <c r="G1968" i="1" s="1"/>
  <c r="F1968" i="1" a="1"/>
  <c r="F1968" i="1" s="1"/>
  <c r="I1967" i="1" a="1"/>
  <c r="I1967" i="1" s="1"/>
  <c r="H1967" i="1" a="1"/>
  <c r="H1967" i="1" s="1"/>
  <c r="G1967" i="1" a="1"/>
  <c r="G1967" i="1" s="1"/>
  <c r="F1967" i="1" a="1"/>
  <c r="F1967" i="1" s="1"/>
  <c r="I1966" i="1" a="1"/>
  <c r="I1966" i="1" s="1"/>
  <c r="H1966" i="1" a="1"/>
  <c r="H1966" i="1" s="1"/>
  <c r="G1966" i="1" a="1"/>
  <c r="G1966" i="1" s="1"/>
  <c r="F1966" i="1" a="1"/>
  <c r="F1966" i="1" s="1"/>
  <c r="I1965" i="1" a="1"/>
  <c r="I1965" i="1" s="1"/>
  <c r="H1965" i="1" a="1"/>
  <c r="H1965" i="1" s="1"/>
  <c r="G1965" i="1" a="1"/>
  <c r="G1965" i="1" s="1"/>
  <c r="F1965" i="1" a="1"/>
  <c r="F1965" i="1" s="1"/>
  <c r="I1964" i="1" a="1"/>
  <c r="I1964" i="1" s="1"/>
  <c r="H1964" i="1" a="1"/>
  <c r="H1964" i="1" s="1"/>
  <c r="G1964" i="1" a="1"/>
  <c r="G1964" i="1" s="1"/>
  <c r="F1964" i="1" a="1"/>
  <c r="F1964" i="1" s="1"/>
  <c r="I1963" i="1" a="1"/>
  <c r="I1963" i="1" s="1"/>
  <c r="H1963" i="1" a="1"/>
  <c r="H1963" i="1" s="1"/>
  <c r="G1963" i="1" a="1"/>
  <c r="G1963" i="1" s="1"/>
  <c r="F1963" i="1" a="1"/>
  <c r="F1963" i="1" s="1"/>
  <c r="I1962" i="1" a="1"/>
  <c r="I1962" i="1" s="1"/>
  <c r="H1962" i="1" a="1"/>
  <c r="H1962" i="1" s="1"/>
  <c r="G1962" i="1" a="1"/>
  <c r="G1962" i="1" s="1"/>
  <c r="F1962" i="1" a="1"/>
  <c r="F1962" i="1" s="1"/>
  <c r="I1961" i="1" a="1"/>
  <c r="I1961" i="1" s="1"/>
  <c r="H1961" i="1" a="1"/>
  <c r="H1961" i="1" s="1"/>
  <c r="G1961" i="1" a="1"/>
  <c r="G1961" i="1" s="1"/>
  <c r="F1961" i="1" a="1"/>
  <c r="F1961" i="1" s="1"/>
  <c r="I1960" i="1" a="1"/>
  <c r="I1960" i="1" s="1"/>
  <c r="H1960" i="1" a="1"/>
  <c r="H1960" i="1" s="1"/>
  <c r="G1960" i="1" a="1"/>
  <c r="G1960" i="1" s="1"/>
  <c r="F1960" i="1" a="1"/>
  <c r="F1960" i="1" s="1"/>
  <c r="I1959" i="1" a="1"/>
  <c r="I1959" i="1" s="1"/>
  <c r="H1959" i="1" a="1"/>
  <c r="H1959" i="1" s="1"/>
  <c r="G1959" i="1" a="1"/>
  <c r="G1959" i="1" s="1"/>
  <c r="F1959" i="1" a="1"/>
  <c r="F1959" i="1" s="1"/>
  <c r="I1958" i="1" a="1"/>
  <c r="I1958" i="1" s="1"/>
  <c r="H1958" i="1" a="1"/>
  <c r="H1958" i="1" s="1"/>
  <c r="G1958" i="1" a="1"/>
  <c r="G1958" i="1" s="1"/>
  <c r="F1958" i="1" a="1"/>
  <c r="F1958" i="1" s="1"/>
  <c r="I1957" i="1" a="1"/>
  <c r="I1957" i="1" s="1"/>
  <c r="H1957" i="1" a="1"/>
  <c r="H1957" i="1" s="1"/>
  <c r="G1957" i="1" a="1"/>
  <c r="G1957" i="1" s="1"/>
  <c r="F1957" i="1" a="1"/>
  <c r="F1957" i="1" s="1"/>
  <c r="I1956" i="1" a="1"/>
  <c r="I1956" i="1" s="1"/>
  <c r="H1956" i="1" a="1"/>
  <c r="H1956" i="1" s="1"/>
  <c r="G1956" i="1" a="1"/>
  <c r="G1956" i="1" s="1"/>
  <c r="F1956" i="1" a="1"/>
  <c r="F1956" i="1" s="1"/>
  <c r="I1955" i="1" a="1"/>
  <c r="I1955" i="1" s="1"/>
  <c r="H1955" i="1" a="1"/>
  <c r="H1955" i="1" s="1"/>
  <c r="G1955" i="1" a="1"/>
  <c r="G1955" i="1" s="1"/>
  <c r="F1955" i="1" a="1"/>
  <c r="F1955" i="1" s="1"/>
  <c r="I1953" i="1" a="1"/>
  <c r="I1953" i="1" s="1"/>
  <c r="H1953" i="1" a="1"/>
  <c r="H1953" i="1" s="1"/>
  <c r="G1953" i="1" a="1"/>
  <c r="G1953" i="1" s="1"/>
  <c r="F1953" i="1" a="1"/>
  <c r="F1953" i="1" s="1"/>
  <c r="I1952" i="1" a="1"/>
  <c r="I1952" i="1" s="1"/>
  <c r="H1952" i="1" a="1"/>
  <c r="H1952" i="1" s="1"/>
  <c r="G1952" i="1" a="1"/>
  <c r="G1952" i="1" s="1"/>
  <c r="F1952" i="1" a="1"/>
  <c r="F1952" i="1" s="1"/>
  <c r="I1951" i="1" a="1"/>
  <c r="I1951" i="1" s="1"/>
  <c r="H1951" i="1" a="1"/>
  <c r="H1951" i="1" s="1"/>
  <c r="G1951" i="1" a="1"/>
  <c r="G1951" i="1" s="1"/>
  <c r="F1951" i="1" a="1"/>
  <c r="F1951" i="1" s="1"/>
  <c r="I1950" i="1" a="1"/>
  <c r="I1950" i="1" s="1"/>
  <c r="H1950" i="1" a="1"/>
  <c r="H1950" i="1" s="1"/>
  <c r="G1950" i="1" a="1"/>
  <c r="G1950" i="1" s="1"/>
  <c r="F1950" i="1" a="1"/>
  <c r="F1950" i="1" s="1"/>
  <c r="I1949" i="1" a="1"/>
  <c r="I1949" i="1" s="1"/>
  <c r="H1949" i="1" a="1"/>
  <c r="H1949" i="1" s="1"/>
  <c r="G1949" i="1" a="1"/>
  <c r="G1949" i="1" s="1"/>
  <c r="F1949" i="1" a="1"/>
  <c r="F1949" i="1" s="1"/>
  <c r="I1948" i="1" a="1"/>
  <c r="I1948" i="1" s="1"/>
  <c r="H1948" i="1" a="1"/>
  <c r="H1948" i="1" s="1"/>
  <c r="G1948" i="1" a="1"/>
  <c r="G1948" i="1" s="1"/>
  <c r="F1948" i="1" a="1"/>
  <c r="F1948" i="1" s="1"/>
  <c r="I1947" i="1" a="1"/>
  <c r="I1947" i="1" s="1"/>
  <c r="H1947" i="1" a="1"/>
  <c r="H1947" i="1" s="1"/>
  <c r="G1947" i="1" a="1"/>
  <c r="G1947" i="1" s="1"/>
  <c r="F1947" i="1" a="1"/>
  <c r="F1947" i="1" s="1"/>
  <c r="I1946" i="1" a="1"/>
  <c r="I1946" i="1" s="1"/>
  <c r="H1946" i="1" a="1"/>
  <c r="H1946" i="1" s="1"/>
  <c r="G1946" i="1" a="1"/>
  <c r="G1946" i="1" s="1"/>
  <c r="F1946" i="1" a="1"/>
  <c r="F1946" i="1" s="1"/>
  <c r="I1945" i="1" a="1"/>
  <c r="I1945" i="1" s="1"/>
  <c r="H1945" i="1" a="1"/>
  <c r="H1945" i="1" s="1"/>
  <c r="G1945" i="1" a="1"/>
  <c r="G1945" i="1" s="1"/>
  <c r="F1945" i="1" a="1"/>
  <c r="F1945" i="1" s="1"/>
  <c r="I1944" i="1" a="1"/>
  <c r="I1944" i="1" s="1"/>
  <c r="H1944" i="1" a="1"/>
  <c r="H1944" i="1" s="1"/>
  <c r="G1944" i="1" a="1"/>
  <c r="G1944" i="1" s="1"/>
  <c r="F1944" i="1" a="1"/>
  <c r="F1944" i="1" s="1"/>
  <c r="I1943" i="1" a="1"/>
  <c r="I1943" i="1" s="1"/>
  <c r="H1943" i="1" a="1"/>
  <c r="H1943" i="1" s="1"/>
  <c r="G1943" i="1" a="1"/>
  <c r="G1943" i="1" s="1"/>
  <c r="F1943" i="1" a="1"/>
  <c r="F1943" i="1" s="1"/>
  <c r="I1942" i="1" a="1"/>
  <c r="I1942" i="1" s="1"/>
  <c r="H1942" i="1" a="1"/>
  <c r="H1942" i="1" s="1"/>
  <c r="G1942" i="1" a="1"/>
  <c r="G1942" i="1" s="1"/>
  <c r="F1942" i="1" a="1"/>
  <c r="F1942" i="1" s="1"/>
  <c r="I1941" i="1" a="1"/>
  <c r="I1941" i="1" s="1"/>
  <c r="H1941" i="1" a="1"/>
  <c r="H1941" i="1" s="1"/>
  <c r="G1941" i="1" a="1"/>
  <c r="G1941" i="1" s="1"/>
  <c r="F1941" i="1" a="1"/>
  <c r="F1941" i="1" s="1"/>
  <c r="I1940" i="1" a="1"/>
  <c r="I1940" i="1" s="1"/>
  <c r="H1940" i="1" a="1"/>
  <c r="H1940" i="1" s="1"/>
  <c r="G1940" i="1" a="1"/>
  <c r="G1940" i="1" s="1"/>
  <c r="F1940" i="1" a="1"/>
  <c r="F1940" i="1" s="1"/>
  <c r="I1939" i="1" a="1"/>
  <c r="I1939" i="1" s="1"/>
  <c r="H1939" i="1" a="1"/>
  <c r="H1939" i="1" s="1"/>
  <c r="G1939" i="1" a="1"/>
  <c r="G1939" i="1" s="1"/>
  <c r="F1939" i="1" a="1"/>
  <c r="F1939" i="1" s="1"/>
  <c r="I1938" i="1" a="1"/>
  <c r="I1938" i="1" s="1"/>
  <c r="H1938" i="1" a="1"/>
  <c r="H1938" i="1" s="1"/>
  <c r="G1938" i="1" a="1"/>
  <c r="G1938" i="1" s="1"/>
  <c r="F1938" i="1" a="1"/>
  <c r="F1938" i="1" s="1"/>
  <c r="I1937" i="1" a="1"/>
  <c r="I1937" i="1" s="1"/>
  <c r="H1937" i="1" a="1"/>
  <c r="H1937" i="1" s="1"/>
  <c r="G1937" i="1" a="1"/>
  <c r="G1937" i="1" s="1"/>
  <c r="F1937" i="1" a="1"/>
  <c r="F1937" i="1" s="1"/>
  <c r="I1936" i="1" a="1"/>
  <c r="I1936" i="1" s="1"/>
  <c r="H1936" i="1" a="1"/>
  <c r="H1936" i="1" s="1"/>
  <c r="G1936" i="1" a="1"/>
  <c r="G1936" i="1" s="1"/>
  <c r="F1936" i="1" a="1"/>
  <c r="F1936" i="1" s="1"/>
  <c r="I1935" i="1" a="1"/>
  <c r="I1935" i="1" s="1"/>
  <c r="H1935" i="1" a="1"/>
  <c r="H1935" i="1" s="1"/>
  <c r="G1935" i="1" a="1"/>
  <c r="G1935" i="1" s="1"/>
  <c r="F1935" i="1" a="1"/>
  <c r="F1935" i="1" s="1"/>
  <c r="I1934" i="1" a="1"/>
  <c r="I1934" i="1" s="1"/>
  <c r="H1934" i="1" a="1"/>
  <c r="H1934" i="1" s="1"/>
  <c r="G1934" i="1" a="1"/>
  <c r="G1934" i="1" s="1"/>
  <c r="F1934" i="1" a="1"/>
  <c r="F1934" i="1" s="1"/>
  <c r="I1933" i="1" a="1"/>
  <c r="I1933" i="1" s="1"/>
  <c r="H1933" i="1" a="1"/>
  <c r="H1933" i="1" s="1"/>
  <c r="G1933" i="1" a="1"/>
  <c r="G1933" i="1" s="1"/>
  <c r="F1933" i="1" a="1"/>
  <c r="F1933" i="1" s="1"/>
  <c r="I1932" i="1" a="1"/>
  <c r="I1932" i="1" s="1"/>
  <c r="H1932" i="1" a="1"/>
  <c r="H1932" i="1" s="1"/>
  <c r="G1932" i="1" a="1"/>
  <c r="G1932" i="1" s="1"/>
  <c r="F1932" i="1" a="1"/>
  <c r="F1932" i="1" s="1"/>
  <c r="I1931" i="1" a="1"/>
  <c r="I1931" i="1" s="1"/>
  <c r="H1931" i="1" a="1"/>
  <c r="H1931" i="1" s="1"/>
  <c r="G1931" i="1" a="1"/>
  <c r="G1931" i="1" s="1"/>
  <c r="F1931" i="1" a="1"/>
  <c r="F1931" i="1" s="1"/>
  <c r="I1930" i="1" a="1"/>
  <c r="I1930" i="1" s="1"/>
  <c r="H1930" i="1" a="1"/>
  <c r="H1930" i="1" s="1"/>
  <c r="G1930" i="1" a="1"/>
  <c r="G1930" i="1" s="1"/>
  <c r="F1930" i="1" a="1"/>
  <c r="F1930" i="1" s="1"/>
  <c r="I1929" i="1" a="1"/>
  <c r="I1929" i="1" s="1"/>
  <c r="H1929" i="1" a="1"/>
  <c r="H1929" i="1" s="1"/>
  <c r="G1929" i="1" a="1"/>
  <c r="G1929" i="1" s="1"/>
  <c r="F1929" i="1" a="1"/>
  <c r="F1929" i="1" s="1"/>
  <c r="I1928" i="1" a="1"/>
  <c r="I1928" i="1" s="1"/>
  <c r="H1928" i="1" a="1"/>
  <c r="H1928" i="1" s="1"/>
  <c r="G1928" i="1" a="1"/>
  <c r="G1928" i="1" s="1"/>
  <c r="F1928" i="1" a="1"/>
  <c r="F1928" i="1" s="1"/>
  <c r="I1927" i="1" a="1"/>
  <c r="I1927" i="1" s="1"/>
  <c r="H1927" i="1" a="1"/>
  <c r="H1927" i="1" s="1"/>
  <c r="G1927" i="1" a="1"/>
  <c r="G1927" i="1" s="1"/>
  <c r="F1927" i="1" a="1"/>
  <c r="F1927" i="1" s="1"/>
  <c r="I1926" i="1" a="1"/>
  <c r="I1926" i="1" s="1"/>
  <c r="H1926" i="1" a="1"/>
  <c r="H1926" i="1" s="1"/>
  <c r="G1926" i="1" a="1"/>
  <c r="G1926" i="1" s="1"/>
  <c r="F1926" i="1" a="1"/>
  <c r="F1926" i="1" s="1"/>
  <c r="I1925" i="1" a="1"/>
  <c r="I1925" i="1" s="1"/>
  <c r="H1925" i="1" a="1"/>
  <c r="H1925" i="1" s="1"/>
  <c r="G1925" i="1" a="1"/>
  <c r="G1925" i="1" s="1"/>
  <c r="F1925" i="1" a="1"/>
  <c r="F1925" i="1" s="1"/>
  <c r="I1924" i="1" a="1"/>
  <c r="I1924" i="1" s="1"/>
  <c r="H1924" i="1" a="1"/>
  <c r="H1924" i="1" s="1"/>
  <c r="G1924" i="1" a="1"/>
  <c r="G1924" i="1" s="1"/>
  <c r="F1924" i="1" a="1"/>
  <c r="F1924" i="1" s="1"/>
  <c r="I1923" i="1" a="1"/>
  <c r="I1923" i="1" s="1"/>
  <c r="H1923" i="1" a="1"/>
  <c r="H1923" i="1" s="1"/>
  <c r="G1923" i="1" a="1"/>
  <c r="G1923" i="1" s="1"/>
  <c r="F1923" i="1" a="1"/>
  <c r="F1923" i="1" s="1"/>
  <c r="I1922" i="1" a="1"/>
  <c r="I1922" i="1" s="1"/>
  <c r="H1922" i="1" a="1"/>
  <c r="H1922" i="1" s="1"/>
  <c r="G1922" i="1" a="1"/>
  <c r="G1922" i="1" s="1"/>
  <c r="F1922" i="1" a="1"/>
  <c r="F1922" i="1" s="1"/>
  <c r="I1921" i="1" a="1"/>
  <c r="I1921" i="1" s="1"/>
  <c r="H1921" i="1" a="1"/>
  <c r="H1921" i="1" s="1"/>
  <c r="G1921" i="1" a="1"/>
  <c r="G1921" i="1" s="1"/>
  <c r="F1921" i="1" a="1"/>
  <c r="F1921" i="1" s="1"/>
  <c r="I1920" i="1" a="1"/>
  <c r="I1920" i="1" s="1"/>
  <c r="H1920" i="1" a="1"/>
  <c r="H1920" i="1" s="1"/>
  <c r="G1920" i="1" a="1"/>
  <c r="G1920" i="1" s="1"/>
  <c r="F1920" i="1" a="1"/>
  <c r="F1920" i="1" s="1"/>
  <c r="I1919" i="1" a="1"/>
  <c r="I1919" i="1" s="1"/>
  <c r="H1919" i="1" a="1"/>
  <c r="H1919" i="1" s="1"/>
  <c r="G1919" i="1" a="1"/>
  <c r="G1919" i="1" s="1"/>
  <c r="F1919" i="1" a="1"/>
  <c r="F1919" i="1" s="1"/>
  <c r="I1918" i="1" a="1"/>
  <c r="I1918" i="1" s="1"/>
  <c r="H1918" i="1" a="1"/>
  <c r="H1918" i="1" s="1"/>
  <c r="G1918" i="1" a="1"/>
  <c r="G1918" i="1" s="1"/>
  <c r="F1918" i="1" a="1"/>
  <c r="F1918" i="1" s="1"/>
  <c r="I1917" i="1" a="1"/>
  <c r="I1917" i="1" s="1"/>
  <c r="H1917" i="1" a="1"/>
  <c r="H1917" i="1" s="1"/>
  <c r="G1917" i="1" a="1"/>
  <c r="G1917" i="1" s="1"/>
  <c r="F1917" i="1" a="1"/>
  <c r="F1917" i="1" s="1"/>
  <c r="I1916" i="1" a="1"/>
  <c r="I1916" i="1" s="1"/>
  <c r="H1916" i="1" a="1"/>
  <c r="H1916" i="1" s="1"/>
  <c r="G1916" i="1" a="1"/>
  <c r="G1916" i="1" s="1"/>
  <c r="F1916" i="1" a="1"/>
  <c r="F1916" i="1" s="1"/>
  <c r="I1915" i="1" a="1"/>
  <c r="I1915" i="1" s="1"/>
  <c r="H1915" i="1" a="1"/>
  <c r="H1915" i="1" s="1"/>
  <c r="G1915" i="1" a="1"/>
  <c r="G1915" i="1" s="1"/>
  <c r="F1915" i="1" a="1"/>
  <c r="F1915" i="1" s="1"/>
  <c r="I1914" i="1" a="1"/>
  <c r="I1914" i="1" s="1"/>
  <c r="H1914" i="1" a="1"/>
  <c r="H1914" i="1" s="1"/>
  <c r="G1914" i="1" a="1"/>
  <c r="G1914" i="1" s="1"/>
  <c r="F1914" i="1" a="1"/>
  <c r="F1914" i="1" s="1"/>
  <c r="I1913" i="1" a="1"/>
  <c r="I1913" i="1" s="1"/>
  <c r="H1913" i="1" a="1"/>
  <c r="H1913" i="1" s="1"/>
  <c r="G1913" i="1" a="1"/>
  <c r="G1913" i="1" s="1"/>
  <c r="F1913" i="1" a="1"/>
  <c r="F1913" i="1" s="1"/>
  <c r="I1912" i="1" a="1"/>
  <c r="I1912" i="1" s="1"/>
  <c r="H1912" i="1" a="1"/>
  <c r="H1912" i="1" s="1"/>
  <c r="G1912" i="1" a="1"/>
  <c r="G1912" i="1" s="1"/>
  <c r="F1912" i="1" a="1"/>
  <c r="F1912" i="1" s="1"/>
  <c r="I1911" i="1" a="1"/>
  <c r="I1911" i="1" s="1"/>
  <c r="H1911" i="1" a="1"/>
  <c r="H1911" i="1" s="1"/>
  <c r="G1911" i="1" a="1"/>
  <c r="G1911" i="1" s="1"/>
  <c r="F1911" i="1" a="1"/>
  <c r="F1911" i="1" s="1"/>
  <c r="I1910" i="1" a="1"/>
  <c r="I1910" i="1" s="1"/>
  <c r="H1910" i="1" a="1"/>
  <c r="H1910" i="1" s="1"/>
  <c r="G1910" i="1" a="1"/>
  <c r="G1910" i="1" s="1"/>
  <c r="F1910" i="1" a="1"/>
  <c r="F1910" i="1" s="1"/>
  <c r="I1909" i="1" a="1"/>
  <c r="I1909" i="1" s="1"/>
  <c r="H1909" i="1" a="1"/>
  <c r="H1909" i="1" s="1"/>
  <c r="G1909" i="1" a="1"/>
  <c r="G1909" i="1" s="1"/>
  <c r="F1909" i="1" a="1"/>
  <c r="F1909" i="1" s="1"/>
  <c r="I1908" i="1" a="1"/>
  <c r="I1908" i="1" s="1"/>
  <c r="H1908" i="1" a="1"/>
  <c r="H1908" i="1" s="1"/>
  <c r="G1908" i="1" a="1"/>
  <c r="G1908" i="1" s="1"/>
  <c r="F1908" i="1" a="1"/>
  <c r="F1908" i="1" s="1"/>
  <c r="I1907" i="1" a="1"/>
  <c r="I1907" i="1" s="1"/>
  <c r="H1907" i="1" a="1"/>
  <c r="H1907" i="1" s="1"/>
  <c r="G1907" i="1" a="1"/>
  <c r="G1907" i="1" s="1"/>
  <c r="F1907" i="1" a="1"/>
  <c r="F1907" i="1" s="1"/>
  <c r="I1906" i="1" a="1"/>
  <c r="I1906" i="1" s="1"/>
  <c r="H1906" i="1" a="1"/>
  <c r="H1906" i="1" s="1"/>
  <c r="G1906" i="1" a="1"/>
  <c r="G1906" i="1" s="1"/>
  <c r="F1906" i="1" a="1"/>
  <c r="F1906" i="1" s="1"/>
  <c r="I1905" i="1" a="1"/>
  <c r="I1905" i="1" s="1"/>
  <c r="H1905" i="1" a="1"/>
  <c r="H1905" i="1" s="1"/>
  <c r="G1905" i="1" a="1"/>
  <c r="G1905" i="1" s="1"/>
  <c r="F1905" i="1" a="1"/>
  <c r="F1905" i="1" s="1"/>
  <c r="I1904" i="1" a="1"/>
  <c r="I1904" i="1" s="1"/>
  <c r="H1904" i="1" a="1"/>
  <c r="H1904" i="1" s="1"/>
  <c r="G1904" i="1" a="1"/>
  <c r="G1904" i="1" s="1"/>
  <c r="F1904" i="1" a="1"/>
  <c r="F1904" i="1" s="1"/>
  <c r="I1902" i="1" a="1"/>
  <c r="I1902" i="1" s="1"/>
  <c r="H1902" i="1" a="1"/>
  <c r="H1902" i="1" s="1"/>
  <c r="G1902" i="1" a="1"/>
  <c r="G1902" i="1" s="1"/>
  <c r="F1902" i="1" a="1"/>
  <c r="F1902" i="1" s="1"/>
  <c r="I1900" i="1" a="1"/>
  <c r="I1900" i="1" s="1"/>
  <c r="H1900" i="1" a="1"/>
  <c r="H1900" i="1" s="1"/>
  <c r="G1900" i="1" a="1"/>
  <c r="G1900" i="1" s="1"/>
  <c r="F1900" i="1" a="1"/>
  <c r="F1900" i="1" s="1"/>
  <c r="I1898" i="1" a="1"/>
  <c r="I1898" i="1" s="1"/>
  <c r="H1898" i="1" a="1"/>
  <c r="H1898" i="1" s="1"/>
  <c r="G1898" i="1" a="1"/>
  <c r="G1898" i="1" s="1"/>
  <c r="F1898" i="1" a="1"/>
  <c r="F1898" i="1" s="1"/>
  <c r="I1896" i="1" a="1"/>
  <c r="I1896" i="1" s="1"/>
  <c r="H1896" i="1" a="1"/>
  <c r="H1896" i="1" s="1"/>
  <c r="G1896" i="1" a="1"/>
  <c r="G1896" i="1" s="1"/>
  <c r="F1896" i="1" a="1"/>
  <c r="F1896" i="1" s="1"/>
  <c r="I1894" i="1" a="1"/>
  <c r="I1894" i="1" s="1"/>
  <c r="H1894" i="1" a="1"/>
  <c r="H1894" i="1" s="1"/>
  <c r="G1894" i="1" a="1"/>
  <c r="G1894" i="1" s="1"/>
  <c r="F1894" i="1" a="1"/>
  <c r="F1894" i="1" s="1"/>
  <c r="I1893" i="1" a="1"/>
  <c r="I1893" i="1" s="1"/>
  <c r="H1893" i="1" a="1"/>
  <c r="H1893" i="1" s="1"/>
  <c r="G1893" i="1" a="1"/>
  <c r="G1893" i="1" s="1"/>
  <c r="F1893" i="1" a="1"/>
  <c r="F1893" i="1" s="1"/>
  <c r="I1892" i="1" a="1"/>
  <c r="I1892" i="1" s="1"/>
  <c r="H1892" i="1" a="1"/>
  <c r="H1892" i="1" s="1"/>
  <c r="G1892" i="1" a="1"/>
  <c r="G1892" i="1" s="1"/>
  <c r="F1892" i="1" a="1"/>
  <c r="F1892" i="1" s="1"/>
  <c r="I1890" i="1" a="1"/>
  <c r="I1890" i="1" s="1"/>
  <c r="H1890" i="1" a="1"/>
  <c r="H1890" i="1" s="1"/>
  <c r="G1890" i="1" a="1"/>
  <c r="G1890" i="1" s="1"/>
  <c r="F1890" i="1" a="1"/>
  <c r="F1890" i="1" s="1"/>
  <c r="I1888" i="1" a="1"/>
  <c r="I1888" i="1" s="1"/>
  <c r="H1888" i="1" a="1"/>
  <c r="H1888" i="1" s="1"/>
  <c r="G1888" i="1" a="1"/>
  <c r="G1888" i="1" s="1"/>
  <c r="F1888" i="1" a="1"/>
  <c r="F1888" i="1" s="1"/>
  <c r="I1887" i="1" a="1"/>
  <c r="I1887" i="1" s="1"/>
  <c r="H1887" i="1" a="1"/>
  <c r="H1887" i="1" s="1"/>
  <c r="G1887" i="1" a="1"/>
  <c r="G1887" i="1" s="1"/>
  <c r="F1887" i="1" a="1"/>
  <c r="F1887" i="1" s="1"/>
  <c r="I1884" i="1" a="1"/>
  <c r="I1884" i="1" s="1"/>
  <c r="H1884" i="1" a="1"/>
  <c r="H1884" i="1" s="1"/>
  <c r="G1884" i="1" a="1"/>
  <c r="G1884" i="1" s="1"/>
  <c r="F1884" i="1" a="1"/>
  <c r="F1884" i="1" s="1"/>
  <c r="I1882" i="1" a="1"/>
  <c r="I1882" i="1" s="1"/>
  <c r="H1882" i="1" a="1"/>
  <c r="H1882" i="1" s="1"/>
  <c r="G1882" i="1" a="1"/>
  <c r="G1882" i="1" s="1"/>
  <c r="F1882" i="1" a="1"/>
  <c r="F1882" i="1" s="1"/>
  <c r="I1880" i="1" a="1"/>
  <c r="I1880" i="1" s="1"/>
  <c r="H1880" i="1" a="1"/>
  <c r="H1880" i="1" s="1"/>
  <c r="G1880" i="1" a="1"/>
  <c r="G1880" i="1" s="1"/>
  <c r="F1880" i="1" a="1"/>
  <c r="F1880" i="1" s="1"/>
  <c r="I1878" i="1" a="1"/>
  <c r="I1878" i="1" s="1"/>
  <c r="H1878" i="1" a="1"/>
  <c r="H1878" i="1" s="1"/>
  <c r="G1878" i="1" a="1"/>
  <c r="G1878" i="1" s="1"/>
  <c r="F1878" i="1" a="1"/>
  <c r="F1878" i="1" s="1"/>
  <c r="I1876" i="1" a="1"/>
  <c r="I1876" i="1" s="1"/>
  <c r="H1876" i="1" a="1"/>
  <c r="H1876" i="1" s="1"/>
  <c r="G1876" i="1" a="1"/>
  <c r="G1876" i="1" s="1"/>
  <c r="F1876" i="1" a="1"/>
  <c r="F1876" i="1" s="1"/>
  <c r="I1874" i="1" a="1"/>
  <c r="I1874" i="1" s="1"/>
  <c r="H1874" i="1" a="1"/>
  <c r="H1874" i="1" s="1"/>
  <c r="G1874" i="1" a="1"/>
  <c r="G1874" i="1" s="1"/>
  <c r="F1874" i="1" a="1"/>
  <c r="F1874" i="1" s="1"/>
  <c r="I1872" i="1" a="1"/>
  <c r="I1872" i="1" s="1"/>
  <c r="H1872" i="1" a="1"/>
  <c r="H1872" i="1" s="1"/>
  <c r="G1872" i="1" a="1"/>
  <c r="G1872" i="1" s="1"/>
  <c r="F1872" i="1" a="1"/>
  <c r="F1872" i="1" s="1"/>
  <c r="I1871" i="1" a="1"/>
  <c r="I1871" i="1" s="1"/>
  <c r="H1871" i="1" a="1"/>
  <c r="H1871" i="1" s="1"/>
  <c r="G1871" i="1" a="1"/>
  <c r="G1871" i="1" s="1"/>
  <c r="F1871" i="1" a="1"/>
  <c r="F1871" i="1" s="1"/>
  <c r="I1870" i="1" a="1"/>
  <c r="I1870" i="1" s="1"/>
  <c r="H1870" i="1" a="1"/>
  <c r="H1870" i="1" s="1"/>
  <c r="G1870" i="1" a="1"/>
  <c r="G1870" i="1" s="1"/>
  <c r="F1870" i="1" a="1"/>
  <c r="F1870" i="1" s="1"/>
  <c r="I1868" i="1" a="1"/>
  <c r="I1868" i="1" s="1"/>
  <c r="H1868" i="1" a="1"/>
  <c r="H1868" i="1" s="1"/>
  <c r="G1868" i="1" a="1"/>
  <c r="G1868" i="1" s="1"/>
  <c r="F1868" i="1" a="1"/>
  <c r="F1868" i="1" s="1"/>
  <c r="I1867" i="1" a="1"/>
  <c r="I1867" i="1" s="1"/>
  <c r="H1867" i="1" a="1"/>
  <c r="H1867" i="1" s="1"/>
  <c r="G1867" i="1" a="1"/>
  <c r="G1867" i="1" s="1"/>
  <c r="F1867" i="1" a="1"/>
  <c r="F1867" i="1" s="1"/>
  <c r="I1865" i="1" a="1"/>
  <c r="I1865" i="1" s="1"/>
  <c r="H1865" i="1" a="1"/>
  <c r="H1865" i="1" s="1"/>
  <c r="G1865" i="1" a="1"/>
  <c r="G1865" i="1" s="1"/>
  <c r="F1865" i="1" a="1"/>
  <c r="F1865" i="1" s="1"/>
  <c r="I1864" i="1" a="1"/>
  <c r="I1864" i="1" s="1"/>
  <c r="H1864" i="1" a="1"/>
  <c r="H1864" i="1" s="1"/>
  <c r="G1864" i="1" a="1"/>
  <c r="G1864" i="1" s="1"/>
  <c r="F1864" i="1" a="1"/>
  <c r="F1864" i="1" s="1"/>
  <c r="I1861" i="1" a="1"/>
  <c r="I1861" i="1" s="1"/>
  <c r="H1861" i="1" a="1"/>
  <c r="H1861" i="1" s="1"/>
  <c r="G1861" i="1" a="1"/>
  <c r="G1861" i="1" s="1"/>
  <c r="F1861" i="1" a="1"/>
  <c r="F1861" i="1" s="1"/>
  <c r="I1859" i="1" a="1"/>
  <c r="I1859" i="1" s="1"/>
  <c r="H1859" i="1" a="1"/>
  <c r="H1859" i="1" s="1"/>
  <c r="G1859" i="1" a="1"/>
  <c r="G1859" i="1" s="1"/>
  <c r="F1859" i="1" a="1"/>
  <c r="F1859" i="1" s="1"/>
  <c r="I1857" i="1" a="1"/>
  <c r="I1857" i="1" s="1"/>
  <c r="H1857" i="1" a="1"/>
  <c r="H1857" i="1" s="1"/>
  <c r="G1857" i="1" a="1"/>
  <c r="G1857" i="1" s="1"/>
  <c r="F1857" i="1" a="1"/>
  <c r="F1857" i="1" s="1"/>
  <c r="I1855" i="1" a="1"/>
  <c r="I1855" i="1" s="1"/>
  <c r="H1855" i="1" a="1"/>
  <c r="H1855" i="1" s="1"/>
  <c r="G1855" i="1" a="1"/>
  <c r="G1855" i="1" s="1"/>
  <c r="F1855" i="1" a="1"/>
  <c r="F1855" i="1" s="1"/>
  <c r="I1853" i="1" a="1"/>
  <c r="I1853" i="1" s="1"/>
  <c r="H1853" i="1" a="1"/>
  <c r="H1853" i="1" s="1"/>
  <c r="G1853" i="1" a="1"/>
  <c r="G1853" i="1" s="1"/>
  <c r="F1853" i="1" a="1"/>
  <c r="F1853" i="1" s="1"/>
  <c r="I1851" i="1" a="1"/>
  <c r="I1851" i="1" s="1"/>
  <c r="H1851" i="1" a="1"/>
  <c r="H1851" i="1" s="1"/>
  <c r="G1851" i="1" a="1"/>
  <c r="G1851" i="1" s="1"/>
  <c r="F1851" i="1" a="1"/>
  <c r="F1851" i="1" s="1"/>
  <c r="I1850" i="1" a="1"/>
  <c r="I1850" i="1" s="1"/>
  <c r="H1850" i="1" a="1"/>
  <c r="H1850" i="1" s="1"/>
  <c r="G1850" i="1" a="1"/>
  <c r="G1850" i="1" s="1"/>
  <c r="F1850" i="1" a="1"/>
  <c r="F1850" i="1" s="1"/>
  <c r="I1848" i="1" a="1"/>
  <c r="I1848" i="1" s="1"/>
  <c r="H1848" i="1" a="1"/>
  <c r="H1848" i="1" s="1"/>
  <c r="G1848" i="1" a="1"/>
  <c r="G1848" i="1" s="1"/>
  <c r="F1848" i="1" a="1"/>
  <c r="F1848" i="1" s="1"/>
  <c r="I1846" i="1" a="1"/>
  <c r="I1846" i="1" s="1"/>
  <c r="H1846" i="1" a="1"/>
  <c r="H1846" i="1" s="1"/>
  <c r="G1846" i="1" a="1"/>
  <c r="G1846" i="1" s="1"/>
  <c r="F1846" i="1" a="1"/>
  <c r="F1846" i="1" s="1"/>
  <c r="I1845" i="1" a="1"/>
  <c r="I1845" i="1" s="1"/>
  <c r="H1845" i="1" a="1"/>
  <c r="H1845" i="1" s="1"/>
  <c r="G1845" i="1" a="1"/>
  <c r="G1845" i="1" s="1"/>
  <c r="F1845" i="1" a="1"/>
  <c r="F1845" i="1" s="1"/>
  <c r="I1842" i="1" a="1"/>
  <c r="I1842" i="1" s="1"/>
  <c r="H1842" i="1" a="1"/>
  <c r="H1842" i="1" s="1"/>
  <c r="G1842" i="1" a="1"/>
  <c r="G1842" i="1" s="1"/>
  <c r="F1842" i="1" a="1"/>
  <c r="F1842" i="1" s="1"/>
  <c r="I1840" i="1" a="1"/>
  <c r="I1840" i="1" s="1"/>
  <c r="H1840" i="1" a="1"/>
  <c r="H1840" i="1" s="1"/>
  <c r="G1840" i="1" a="1"/>
  <c r="G1840" i="1" s="1"/>
  <c r="F1840" i="1" a="1"/>
  <c r="F1840" i="1" s="1"/>
  <c r="I1838" i="1" a="1"/>
  <c r="I1838" i="1" s="1"/>
  <c r="H1838" i="1" a="1"/>
  <c r="H1838" i="1" s="1"/>
  <c r="G1838" i="1" a="1"/>
  <c r="G1838" i="1" s="1"/>
  <c r="F1838" i="1" a="1"/>
  <c r="F1838" i="1" s="1"/>
  <c r="I1836" i="1" a="1"/>
  <c r="I1836" i="1" s="1"/>
  <c r="H1836" i="1" a="1"/>
  <c r="H1836" i="1" s="1"/>
  <c r="G1836" i="1" a="1"/>
  <c r="G1836" i="1" s="1"/>
  <c r="F1836" i="1" a="1"/>
  <c r="F1836" i="1" s="1"/>
  <c r="I1834" i="1" a="1"/>
  <c r="I1834" i="1" s="1"/>
  <c r="H1834" i="1" a="1"/>
  <c r="H1834" i="1" s="1"/>
  <c r="G1834" i="1" a="1"/>
  <c r="G1834" i="1" s="1"/>
  <c r="F1834" i="1" a="1"/>
  <c r="F1834" i="1" s="1"/>
  <c r="I1832" i="1" a="1"/>
  <c r="I1832" i="1" s="1"/>
  <c r="H1832" i="1" a="1"/>
  <c r="H1832" i="1" s="1"/>
  <c r="G1832" i="1" a="1"/>
  <c r="G1832" i="1" s="1"/>
  <c r="F1832" i="1" a="1"/>
  <c r="F1832" i="1" s="1"/>
  <c r="I1831" i="1" a="1"/>
  <c r="I1831" i="1" s="1"/>
  <c r="H1831" i="1" a="1"/>
  <c r="H1831" i="1" s="1"/>
  <c r="G1831" i="1" a="1"/>
  <c r="G1831" i="1" s="1"/>
  <c r="F1831" i="1" a="1"/>
  <c r="F1831" i="1" s="1"/>
  <c r="I1829" i="1" a="1"/>
  <c r="I1829" i="1" s="1"/>
  <c r="H1829" i="1" a="1"/>
  <c r="H1829" i="1" s="1"/>
  <c r="G1829" i="1" a="1"/>
  <c r="G1829" i="1" s="1"/>
  <c r="F1829" i="1" a="1"/>
  <c r="F1829" i="1" s="1"/>
  <c r="I1827" i="1" a="1"/>
  <c r="I1827" i="1" s="1"/>
  <c r="H1827" i="1" a="1"/>
  <c r="H1827" i="1" s="1"/>
  <c r="G1827" i="1" a="1"/>
  <c r="G1827" i="1" s="1"/>
  <c r="F1827" i="1" a="1"/>
  <c r="F1827" i="1" s="1"/>
  <c r="I1826" i="1" a="1"/>
  <c r="I1826" i="1" s="1"/>
  <c r="H1826" i="1" a="1"/>
  <c r="H1826" i="1" s="1"/>
  <c r="G1826" i="1" a="1"/>
  <c r="G1826" i="1" s="1"/>
  <c r="F1826" i="1" a="1"/>
  <c r="F1826" i="1" s="1"/>
  <c r="I1822" i="1"/>
  <c r="H1822" i="1"/>
  <c r="G1822" i="1"/>
  <c r="F1822" i="1"/>
  <c r="I1821" i="1"/>
  <c r="H1821" i="1"/>
  <c r="G1821" i="1"/>
  <c r="F1821" i="1"/>
  <c r="I1820" i="1"/>
  <c r="H1820" i="1"/>
  <c r="G1820" i="1"/>
  <c r="F1820" i="1"/>
  <c r="I1819" i="1"/>
  <c r="H1819" i="1"/>
  <c r="G1819" i="1"/>
  <c r="F1819" i="1"/>
  <c r="I1818" i="1"/>
  <c r="H1818" i="1"/>
  <c r="G1818" i="1"/>
  <c r="F1818" i="1"/>
  <c r="I1817" i="1"/>
  <c r="H1817" i="1"/>
  <c r="G1817" i="1"/>
  <c r="F1817" i="1"/>
  <c r="I1816" i="1"/>
  <c r="H1816" i="1"/>
  <c r="G1816" i="1"/>
  <c r="F1816" i="1"/>
  <c r="I1814" i="1"/>
  <c r="H1814" i="1"/>
  <c r="G1814" i="1"/>
  <c r="F1814" i="1"/>
  <c r="I1813" i="1"/>
  <c r="H1813" i="1"/>
  <c r="G1813" i="1"/>
  <c r="F1813" i="1"/>
  <c r="I1812" i="1"/>
  <c r="H1812" i="1"/>
  <c r="G1812" i="1"/>
  <c r="F1812" i="1"/>
  <c r="I1809" i="1"/>
  <c r="H1809" i="1"/>
  <c r="G1809" i="1"/>
  <c r="F1809" i="1"/>
  <c r="I1808" i="1"/>
  <c r="H1808" i="1"/>
  <c r="G1808" i="1"/>
  <c r="F1808" i="1"/>
  <c r="I1807" i="1"/>
  <c r="H1807" i="1"/>
  <c r="G1807" i="1"/>
  <c r="F1807" i="1"/>
  <c r="I1806" i="1"/>
  <c r="H1806" i="1"/>
  <c r="G1806" i="1"/>
  <c r="F1806" i="1"/>
  <c r="I1805" i="1"/>
  <c r="H1805" i="1"/>
  <c r="G1805" i="1"/>
  <c r="F1805" i="1"/>
  <c r="I1804" i="1"/>
  <c r="H1804" i="1"/>
  <c r="G1804" i="1"/>
  <c r="F1804" i="1"/>
  <c r="I1802" i="1"/>
  <c r="H1802" i="1"/>
  <c r="G1802" i="1"/>
  <c r="F1802" i="1"/>
  <c r="I1800" i="1"/>
  <c r="H1800" i="1"/>
  <c r="G1800" i="1"/>
  <c r="F1800" i="1"/>
  <c r="I1799" i="1"/>
  <c r="H1799" i="1"/>
  <c r="G1799" i="1"/>
  <c r="F1799" i="1"/>
  <c r="I1798" i="1"/>
  <c r="H1798" i="1"/>
  <c r="G1798" i="1"/>
  <c r="F1798" i="1"/>
  <c r="I1797" i="1"/>
  <c r="H1797" i="1"/>
  <c r="G1797" i="1"/>
  <c r="F1797" i="1"/>
  <c r="I1796" i="1"/>
  <c r="H1796" i="1"/>
  <c r="G1796" i="1"/>
  <c r="F1796" i="1"/>
  <c r="I1795" i="1"/>
  <c r="H1795" i="1"/>
  <c r="G1795" i="1"/>
  <c r="F1795" i="1"/>
  <c r="I1794" i="1"/>
  <c r="H1794" i="1"/>
  <c r="G1794" i="1"/>
  <c r="F1794" i="1"/>
  <c r="I1792" i="1"/>
  <c r="H1792" i="1"/>
  <c r="G1792" i="1"/>
  <c r="F1792" i="1"/>
  <c r="I1791" i="1"/>
  <c r="H1791" i="1"/>
  <c r="G1791" i="1"/>
  <c r="F1791" i="1"/>
  <c r="I1790" i="1"/>
  <c r="H1790" i="1"/>
  <c r="G1790" i="1"/>
  <c r="F1790" i="1"/>
  <c r="I1789" i="1"/>
  <c r="H1789" i="1"/>
  <c r="G1789" i="1"/>
  <c r="F1789" i="1"/>
  <c r="I1788" i="1"/>
  <c r="H1788" i="1"/>
  <c r="G1788" i="1"/>
  <c r="F1788" i="1"/>
  <c r="I1787" i="1"/>
  <c r="H1787" i="1"/>
  <c r="G1787" i="1"/>
  <c r="F1787" i="1"/>
  <c r="I1785" i="1"/>
  <c r="H1785" i="1"/>
  <c r="G1785" i="1"/>
  <c r="F1785" i="1"/>
  <c r="I1784" i="1"/>
  <c r="H1784" i="1"/>
  <c r="G1784" i="1"/>
  <c r="F1784" i="1"/>
  <c r="I1783" i="1"/>
  <c r="H1783" i="1"/>
  <c r="G1783" i="1"/>
  <c r="F1783" i="1"/>
  <c r="I1782" i="1"/>
  <c r="H1782" i="1"/>
  <c r="G1782" i="1"/>
  <c r="F1782" i="1"/>
  <c r="I1781" i="1"/>
  <c r="H1781" i="1"/>
  <c r="G1781" i="1"/>
  <c r="F1781" i="1"/>
  <c r="I1780" i="1"/>
  <c r="H1780" i="1"/>
  <c r="G1780" i="1"/>
  <c r="F1780" i="1"/>
  <c r="I1779" i="1"/>
  <c r="H1779" i="1"/>
  <c r="G1779" i="1"/>
  <c r="F1779" i="1"/>
  <c r="I1778" i="1"/>
  <c r="H1778" i="1"/>
  <c r="G1778" i="1"/>
  <c r="F1778" i="1"/>
  <c r="I1777" i="1"/>
  <c r="H1777" i="1"/>
  <c r="G1777" i="1"/>
  <c r="F1777" i="1"/>
  <c r="I1776" i="1"/>
  <c r="H1776" i="1"/>
  <c r="G1776" i="1"/>
  <c r="F1776" i="1"/>
  <c r="I1775" i="1"/>
  <c r="H1775" i="1"/>
  <c r="G1775" i="1"/>
  <c r="F1775" i="1"/>
  <c r="I1774" i="1"/>
  <c r="H1774" i="1"/>
  <c r="G1774" i="1"/>
  <c r="F1774" i="1"/>
  <c r="I1773" i="1"/>
  <c r="H1773" i="1"/>
  <c r="G1773" i="1"/>
  <c r="F1773" i="1"/>
  <c r="I1772" i="1"/>
  <c r="H1772" i="1"/>
  <c r="G1772" i="1"/>
  <c r="F1772" i="1"/>
  <c r="I1771" i="1"/>
  <c r="H1771" i="1"/>
  <c r="G1771" i="1"/>
  <c r="F1771" i="1"/>
  <c r="I1769" i="1"/>
  <c r="H1769" i="1"/>
  <c r="G1769" i="1"/>
  <c r="F1769" i="1"/>
  <c r="I1768" i="1"/>
  <c r="H1768" i="1"/>
  <c r="G1768" i="1"/>
  <c r="F1768" i="1"/>
  <c r="I1767" i="1"/>
  <c r="H1767" i="1"/>
  <c r="G1767" i="1"/>
  <c r="F1767" i="1"/>
  <c r="I1765" i="1"/>
  <c r="H1765" i="1"/>
  <c r="G1765" i="1"/>
  <c r="F1765" i="1"/>
  <c r="I1764" i="1"/>
  <c r="H1764" i="1"/>
  <c r="G1764" i="1"/>
  <c r="F1764" i="1"/>
  <c r="I1763" i="1"/>
  <c r="H1763" i="1"/>
  <c r="G1763" i="1"/>
  <c r="F1763" i="1"/>
  <c r="I1761" i="1"/>
  <c r="H1761" i="1"/>
  <c r="G1761" i="1"/>
  <c r="F1761" i="1"/>
  <c r="I1709" i="1" a="1"/>
  <c r="I1709" i="1" s="1"/>
  <c r="H1709" i="1" a="1"/>
  <c r="H1709" i="1" s="1"/>
  <c r="G1709" i="1" a="1"/>
  <c r="G1709" i="1" s="1"/>
  <c r="F1709" i="1" a="1"/>
  <c r="F1709" i="1" s="1"/>
  <c r="I1708" i="1" a="1"/>
  <c r="I1708" i="1" s="1"/>
  <c r="H1708" i="1" a="1"/>
  <c r="H1708" i="1" s="1"/>
  <c r="G1708" i="1" a="1"/>
  <c r="G1708" i="1" s="1"/>
  <c r="F1708" i="1" a="1"/>
  <c r="F1708" i="1" s="1"/>
  <c r="I1701" i="1"/>
  <c r="H1701" i="1"/>
  <c r="G1701" i="1"/>
  <c r="F1701" i="1"/>
  <c r="I1700" i="1"/>
  <c r="H1700" i="1"/>
  <c r="G1700" i="1"/>
  <c r="F1700" i="1"/>
  <c r="I1699" i="1"/>
  <c r="H1699" i="1"/>
  <c r="G1699" i="1"/>
  <c r="F1699" i="1"/>
  <c r="I1698" i="1"/>
  <c r="H1698" i="1"/>
  <c r="G1698" i="1"/>
  <c r="F1698" i="1"/>
  <c r="I1697" i="1"/>
  <c r="H1697" i="1"/>
  <c r="G1697" i="1"/>
  <c r="F1697" i="1"/>
  <c r="I1696" i="1"/>
  <c r="H1696" i="1"/>
  <c r="G1696" i="1"/>
  <c r="F1696" i="1"/>
  <c r="I1695" i="1"/>
  <c r="H1695" i="1"/>
  <c r="G1695" i="1"/>
  <c r="F1695" i="1"/>
  <c r="I1694" i="1"/>
  <c r="H1694" i="1"/>
  <c r="G1694" i="1"/>
  <c r="F1694" i="1"/>
  <c r="I1693" i="1" a="1"/>
  <c r="I1693" i="1" s="1"/>
  <c r="H1693" i="1" a="1"/>
  <c r="H1693" i="1" s="1"/>
  <c r="G1693" i="1" a="1"/>
  <c r="G1693" i="1" s="1"/>
  <c r="F1693" i="1" a="1"/>
  <c r="F1693" i="1" s="1"/>
  <c r="I1691" i="1"/>
  <c r="H1691" i="1"/>
  <c r="G1691" i="1"/>
  <c r="F1691" i="1"/>
  <c r="I1690" i="1"/>
  <c r="H1690" i="1"/>
  <c r="G1690" i="1"/>
  <c r="F1690" i="1"/>
  <c r="I1689" i="1"/>
  <c r="H1689" i="1"/>
  <c r="G1689" i="1"/>
  <c r="F1689" i="1"/>
  <c r="I1676" i="1" a="1"/>
  <c r="I1676" i="1" s="1"/>
  <c r="H1676" i="1" a="1"/>
  <c r="H1676" i="1" s="1"/>
  <c r="G1676" i="1" a="1"/>
  <c r="G1676" i="1" s="1"/>
  <c r="F1676" i="1" a="1"/>
  <c r="F1676" i="1" s="1"/>
  <c r="I1675" i="1" a="1"/>
  <c r="I1675" i="1" s="1"/>
  <c r="H1675" i="1" a="1"/>
  <c r="H1675" i="1" s="1"/>
  <c r="G1675" i="1" a="1"/>
  <c r="G1675" i="1" s="1"/>
  <c r="F1675" i="1" a="1"/>
  <c r="F1675" i="1" s="1"/>
  <c r="I1674" i="1" a="1"/>
  <c r="I1674" i="1" s="1"/>
  <c r="H1674" i="1" a="1"/>
  <c r="H1674" i="1" s="1"/>
  <c r="G1674" i="1" a="1"/>
  <c r="G1674" i="1" s="1"/>
  <c r="F1674" i="1" a="1"/>
  <c r="F1674" i="1" s="1"/>
  <c r="I1673" i="1" a="1"/>
  <c r="I1673" i="1" s="1"/>
  <c r="H1673" i="1" a="1"/>
  <c r="H1673" i="1" s="1"/>
  <c r="G1673" i="1" a="1"/>
  <c r="G1673" i="1" s="1"/>
  <c r="F1673" i="1" a="1"/>
  <c r="F1673" i="1" s="1"/>
  <c r="I1672" i="1" a="1"/>
  <c r="I1672" i="1" s="1"/>
  <c r="H1672" i="1" a="1"/>
  <c r="H1672" i="1" s="1"/>
  <c r="G1672" i="1" a="1"/>
  <c r="G1672" i="1" s="1"/>
  <c r="F1672" i="1" a="1"/>
  <c r="F1672" i="1" s="1"/>
  <c r="I1671" i="1" a="1"/>
  <c r="I1671" i="1" s="1"/>
  <c r="H1671" i="1" a="1"/>
  <c r="H1671" i="1" s="1"/>
  <c r="G1671" i="1" a="1"/>
  <c r="G1671" i="1" s="1"/>
  <c r="F1671" i="1" a="1"/>
  <c r="F1671" i="1" s="1"/>
  <c r="I1670" i="1" a="1"/>
  <c r="I1670" i="1" s="1"/>
  <c r="H1670" i="1" a="1"/>
  <c r="H1670" i="1" s="1"/>
  <c r="G1670" i="1" a="1"/>
  <c r="G1670" i="1" s="1"/>
  <c r="F1670" i="1" a="1"/>
  <c r="F1670" i="1" s="1"/>
  <c r="I1669" i="1" a="1"/>
  <c r="I1669" i="1" s="1"/>
  <c r="H1669" i="1" a="1"/>
  <c r="H1669" i="1" s="1"/>
  <c r="G1669" i="1" a="1"/>
  <c r="G1669" i="1" s="1"/>
  <c r="F1669" i="1" a="1"/>
  <c r="F1669" i="1" s="1"/>
  <c r="I1668" i="1" a="1"/>
  <c r="I1668" i="1" s="1"/>
  <c r="H1668" i="1" a="1"/>
  <c r="H1668" i="1" s="1"/>
  <c r="G1668" i="1" a="1"/>
  <c r="G1668" i="1" s="1"/>
  <c r="F1668" i="1" a="1"/>
  <c r="F1668" i="1" s="1"/>
  <c r="I1667" i="1" a="1"/>
  <c r="I1667" i="1" s="1"/>
  <c r="H1667" i="1" a="1"/>
  <c r="H1667" i="1" s="1"/>
  <c r="G1667" i="1" a="1"/>
  <c r="G1667" i="1" s="1"/>
  <c r="F1667" i="1" a="1"/>
  <c r="F1667" i="1" s="1"/>
  <c r="I1663" i="1"/>
  <c r="H1663" i="1"/>
  <c r="G1663" i="1"/>
  <c r="F1663" i="1"/>
  <c r="I1662" i="1" a="1"/>
  <c r="I1662" i="1" s="1"/>
  <c r="H1662" i="1" a="1"/>
  <c r="H1662" i="1" s="1"/>
  <c r="G1662" i="1" a="1"/>
  <c r="G1662" i="1" s="1"/>
  <c r="F1662" i="1" a="1"/>
  <c r="F1662" i="1" s="1"/>
  <c r="I1661" i="1" a="1"/>
  <c r="I1661" i="1" s="1"/>
  <c r="H1661" i="1" a="1"/>
  <c r="H1661" i="1" s="1"/>
  <c r="G1661" i="1" a="1"/>
  <c r="G1661" i="1" s="1"/>
  <c r="F1661" i="1" a="1"/>
  <c r="F1661" i="1" s="1"/>
  <c r="I1660" i="1" a="1"/>
  <c r="I1660" i="1" s="1"/>
  <c r="H1660" i="1" a="1"/>
  <c r="H1660" i="1" s="1"/>
  <c r="G1660" i="1" a="1"/>
  <c r="G1660" i="1" s="1"/>
  <c r="F1660" i="1" a="1"/>
  <c r="F1660" i="1" s="1"/>
  <c r="I1655" i="1"/>
  <c r="H1655" i="1"/>
  <c r="G1655" i="1"/>
  <c r="F1655" i="1"/>
  <c r="I1654" i="1" a="1"/>
  <c r="I1654" i="1" s="1"/>
  <c r="H1654" i="1" a="1"/>
  <c r="H1654" i="1" s="1"/>
  <c r="G1654" i="1" a="1"/>
  <c r="G1654" i="1" s="1"/>
  <c r="F1654" i="1" a="1"/>
  <c r="F1654" i="1" s="1"/>
  <c r="I1648" i="1" a="1"/>
  <c r="I1648" i="1" s="1"/>
  <c r="H1648" i="1" a="1"/>
  <c r="H1648" i="1" s="1"/>
  <c r="G1648" i="1" a="1"/>
  <c r="G1648" i="1" s="1"/>
  <c r="F1648" i="1" a="1"/>
  <c r="F1648" i="1" s="1"/>
  <c r="I1647" i="1" a="1"/>
  <c r="I1647" i="1" s="1"/>
  <c r="H1647" i="1" a="1"/>
  <c r="H1647" i="1" s="1"/>
  <c r="G1647" i="1" a="1"/>
  <c r="G1647" i="1" s="1"/>
  <c r="F1647" i="1" a="1"/>
  <c r="F1647" i="1" s="1"/>
  <c r="I1646" i="1" a="1"/>
  <c r="I1646" i="1" s="1"/>
  <c r="H1646" i="1" a="1"/>
  <c r="H1646" i="1" s="1"/>
  <c r="G1646" i="1" a="1"/>
  <c r="G1646" i="1" s="1"/>
  <c r="F1646" i="1" a="1"/>
  <c r="F1646" i="1" s="1"/>
  <c r="I1644" i="1" a="1"/>
  <c r="I1644" i="1" s="1"/>
  <c r="H1644" i="1" a="1"/>
  <c r="H1644" i="1" s="1"/>
  <c r="G1644" i="1" a="1"/>
  <c r="G1644" i="1" s="1"/>
  <c r="F1644" i="1" a="1"/>
  <c r="F1644" i="1" s="1"/>
  <c r="I1643" i="1" a="1"/>
  <c r="I1643" i="1" s="1"/>
  <c r="H1643" i="1" a="1"/>
  <c r="H1643" i="1" s="1"/>
  <c r="G1643" i="1" a="1"/>
  <c r="G1643" i="1" s="1"/>
  <c r="F1643" i="1" a="1"/>
  <c r="F1643" i="1" s="1"/>
  <c r="I1642" i="1" a="1"/>
  <c r="I1642" i="1" s="1"/>
  <c r="H1642" i="1" a="1"/>
  <c r="H1642" i="1" s="1"/>
  <c r="G1642" i="1" a="1"/>
  <c r="G1642" i="1" s="1"/>
  <c r="F1642" i="1" a="1"/>
  <c r="F1642" i="1" s="1"/>
  <c r="I1629" i="1" a="1"/>
  <c r="I1629" i="1" s="1"/>
  <c r="H1629" i="1" a="1"/>
  <c r="H1629" i="1" s="1"/>
  <c r="G1629" i="1" a="1"/>
  <c r="G1629" i="1" s="1"/>
  <c r="F1629" i="1" a="1"/>
  <c r="F1629" i="1" s="1"/>
  <c r="I1628" i="1" a="1"/>
  <c r="I1628" i="1" s="1"/>
  <c r="H1628" i="1" a="1"/>
  <c r="H1628" i="1" s="1"/>
  <c r="G1628" i="1" a="1"/>
  <c r="G1628" i="1" s="1"/>
  <c r="F1628" i="1" a="1"/>
  <c r="F1628" i="1" s="1"/>
  <c r="I1627" i="1" a="1"/>
  <c r="I1627" i="1" s="1"/>
  <c r="H1627" i="1" a="1"/>
  <c r="H1627" i="1" s="1"/>
  <c r="G1627" i="1" a="1"/>
  <c r="G1627" i="1" s="1"/>
  <c r="F1627" i="1" a="1"/>
  <c r="F1627" i="1" s="1"/>
  <c r="I1626" i="1" a="1"/>
  <c r="I1626" i="1" s="1"/>
  <c r="H1626" i="1" a="1"/>
  <c r="H1626" i="1" s="1"/>
  <c r="G1626" i="1" a="1"/>
  <c r="G1626" i="1" s="1"/>
  <c r="F1626" i="1" a="1"/>
  <c r="F1626" i="1" s="1"/>
  <c r="I1625" i="1" a="1"/>
  <c r="I1625" i="1" s="1"/>
  <c r="H1625" i="1" a="1"/>
  <c r="H1625" i="1" s="1"/>
  <c r="G1625" i="1" a="1"/>
  <c r="G1625" i="1" s="1"/>
  <c r="F1625" i="1" a="1"/>
  <c r="F1625" i="1" s="1"/>
  <c r="I1624" i="1" a="1"/>
  <c r="I1624" i="1" s="1"/>
  <c r="H1624" i="1" a="1"/>
  <c r="H1624" i="1" s="1"/>
  <c r="G1624" i="1" a="1"/>
  <c r="G1624" i="1" s="1"/>
  <c r="F1624" i="1" a="1"/>
  <c r="F1624" i="1" s="1"/>
  <c r="I1623" i="1" a="1"/>
  <c r="I1623" i="1" s="1"/>
  <c r="H1623" i="1" a="1"/>
  <c r="H1623" i="1" s="1"/>
  <c r="G1623" i="1" a="1"/>
  <c r="G1623" i="1" s="1"/>
  <c r="F1623" i="1" a="1"/>
  <c r="F1623" i="1" s="1"/>
  <c r="I1622" i="1" a="1"/>
  <c r="I1622" i="1" s="1"/>
  <c r="H1622" i="1" a="1"/>
  <c r="H1622" i="1" s="1"/>
  <c r="G1622" i="1" a="1"/>
  <c r="G1622" i="1" s="1"/>
  <c r="F1622" i="1" a="1"/>
  <c r="F1622" i="1" s="1"/>
  <c r="I1621" i="1" a="1"/>
  <c r="I1621" i="1" s="1"/>
  <c r="H1621" i="1" a="1"/>
  <c r="H1621" i="1" s="1"/>
  <c r="G1621" i="1" a="1"/>
  <c r="G1621" i="1" s="1"/>
  <c r="F1621" i="1" a="1"/>
  <c r="F1621" i="1" s="1"/>
  <c r="I1619" i="1" a="1"/>
  <c r="I1619" i="1" s="1"/>
  <c r="H1619" i="1" a="1"/>
  <c r="H1619" i="1" s="1"/>
  <c r="G1619" i="1" a="1"/>
  <c r="G1619" i="1" s="1"/>
  <c r="F1619" i="1" a="1"/>
  <c r="F1619" i="1" s="1"/>
  <c r="I1613" i="1" a="1"/>
  <c r="I1613" i="1" s="1"/>
  <c r="H1613" i="1" a="1"/>
  <c r="H1613" i="1" s="1"/>
  <c r="G1613" i="1" a="1"/>
  <c r="G1613" i="1" s="1"/>
  <c r="F1613" i="1" a="1"/>
  <c r="F1613" i="1" s="1"/>
  <c r="I1612" i="1" a="1"/>
  <c r="I1612" i="1" s="1"/>
  <c r="H1612" i="1" a="1"/>
  <c r="H1612" i="1" s="1"/>
  <c r="G1612" i="1" a="1"/>
  <c r="G1612" i="1" s="1"/>
  <c r="F1612" i="1" a="1"/>
  <c r="F1612" i="1" s="1"/>
  <c r="I1611" i="1" a="1"/>
  <c r="I1611" i="1" s="1"/>
  <c r="H1611" i="1" a="1"/>
  <c r="H1611" i="1" s="1"/>
  <c r="G1611" i="1" a="1"/>
  <c r="G1611" i="1" s="1"/>
  <c r="F1611" i="1" a="1"/>
  <c r="F1611" i="1" s="1"/>
  <c r="I1605" i="1" a="1"/>
  <c r="I1605" i="1" s="1"/>
  <c r="H1605" i="1" a="1"/>
  <c r="H1605" i="1" s="1"/>
  <c r="G1605" i="1" a="1"/>
  <c r="G1605" i="1" s="1"/>
  <c r="F1605" i="1" a="1"/>
  <c r="F1605" i="1" s="1"/>
  <c r="I1604" i="1" a="1"/>
  <c r="I1604" i="1" s="1"/>
  <c r="H1604" i="1" a="1"/>
  <c r="H1604" i="1" s="1"/>
  <c r="G1604" i="1" a="1"/>
  <c r="G1604" i="1" s="1"/>
  <c r="F1604" i="1" a="1"/>
  <c r="F1604" i="1" s="1"/>
  <c r="I1598" i="1" a="1"/>
  <c r="I1598" i="1" s="1"/>
  <c r="H1598" i="1" a="1"/>
  <c r="H1598" i="1" s="1"/>
  <c r="G1598" i="1" a="1"/>
  <c r="G1598" i="1" s="1"/>
  <c r="F1598" i="1" a="1"/>
  <c r="F1598" i="1" s="1"/>
  <c r="I1596" i="1" a="1"/>
  <c r="I1596" i="1" s="1"/>
  <c r="H1596" i="1" a="1"/>
  <c r="H1596" i="1" s="1"/>
  <c r="G1596" i="1" a="1"/>
  <c r="G1596" i="1" s="1"/>
  <c r="F1596" i="1" a="1"/>
  <c r="F1596" i="1" s="1"/>
  <c r="I1595" i="1" a="1"/>
  <c r="I1595" i="1" s="1"/>
  <c r="H1595" i="1" a="1"/>
  <c r="H1595" i="1" s="1"/>
  <c r="G1595" i="1" a="1"/>
  <c r="G1595" i="1" s="1"/>
  <c r="F1595" i="1" a="1"/>
  <c r="F1595" i="1" s="1"/>
  <c r="I1582" i="1" a="1"/>
  <c r="I1582" i="1" s="1"/>
  <c r="H1582" i="1" a="1"/>
  <c r="H1582" i="1" s="1"/>
  <c r="G1582" i="1" a="1"/>
  <c r="G1582" i="1" s="1"/>
  <c r="F1582" i="1" a="1"/>
  <c r="F1582" i="1" s="1"/>
  <c r="I1581" i="1" a="1"/>
  <c r="I1581" i="1" s="1"/>
  <c r="H1581" i="1" a="1"/>
  <c r="H1581" i="1" s="1"/>
  <c r="G1581" i="1" a="1"/>
  <c r="G1581" i="1" s="1"/>
  <c r="F1581" i="1" a="1"/>
  <c r="F1581" i="1" s="1"/>
  <c r="I1580" i="1" a="1"/>
  <c r="I1580" i="1" s="1"/>
  <c r="H1580" i="1" a="1"/>
  <c r="H1580" i="1" s="1"/>
  <c r="G1580" i="1" a="1"/>
  <c r="G1580" i="1" s="1"/>
  <c r="F1580" i="1" a="1"/>
  <c r="F1580" i="1" s="1"/>
  <c r="I1579" i="1" a="1"/>
  <c r="I1579" i="1" s="1"/>
  <c r="H1579" i="1" a="1"/>
  <c r="H1579" i="1" s="1"/>
  <c r="G1579" i="1" a="1"/>
  <c r="G1579" i="1" s="1"/>
  <c r="F1579" i="1" a="1"/>
  <c r="F1579" i="1" s="1"/>
  <c r="I1578" i="1" a="1"/>
  <c r="I1578" i="1" s="1"/>
  <c r="H1578" i="1" a="1"/>
  <c r="H1578" i="1" s="1"/>
  <c r="G1578" i="1" a="1"/>
  <c r="G1578" i="1" s="1"/>
  <c r="F1578" i="1" a="1"/>
  <c r="F1578" i="1" s="1"/>
  <c r="I1577" i="1" a="1"/>
  <c r="I1577" i="1" s="1"/>
  <c r="H1577" i="1" a="1"/>
  <c r="H1577" i="1" s="1"/>
  <c r="G1577" i="1" a="1"/>
  <c r="G1577" i="1" s="1"/>
  <c r="F1577" i="1" a="1"/>
  <c r="F1577" i="1" s="1"/>
  <c r="I1576" i="1" a="1"/>
  <c r="I1576" i="1" s="1"/>
  <c r="H1576" i="1" a="1"/>
  <c r="H1576" i="1" s="1"/>
  <c r="G1576" i="1" a="1"/>
  <c r="G1576" i="1" s="1"/>
  <c r="F1576" i="1" a="1"/>
  <c r="F1576" i="1" s="1"/>
  <c r="I1575" i="1" a="1"/>
  <c r="I1575" i="1" s="1"/>
  <c r="H1575" i="1" a="1"/>
  <c r="H1575" i="1" s="1"/>
  <c r="G1575" i="1" a="1"/>
  <c r="G1575" i="1" s="1"/>
  <c r="F1575" i="1" a="1"/>
  <c r="F1575" i="1" s="1"/>
  <c r="I1574" i="1" a="1"/>
  <c r="I1574" i="1" s="1"/>
  <c r="H1574" i="1" a="1"/>
  <c r="H1574" i="1" s="1"/>
  <c r="G1574" i="1" a="1"/>
  <c r="G1574" i="1" s="1"/>
  <c r="F1574" i="1" a="1"/>
  <c r="F1574" i="1" s="1"/>
  <c r="I1572" i="1" a="1"/>
  <c r="I1572" i="1" s="1"/>
  <c r="H1572" i="1" a="1"/>
  <c r="H1572" i="1" s="1"/>
  <c r="G1572" i="1" a="1"/>
  <c r="G1572" i="1" s="1"/>
  <c r="F1572" i="1" a="1"/>
  <c r="F1572" i="1" s="1"/>
  <c r="I1566" i="1" a="1"/>
  <c r="I1566" i="1" s="1"/>
  <c r="H1566" i="1" a="1"/>
  <c r="H1566" i="1" s="1"/>
  <c r="G1566" i="1" a="1"/>
  <c r="G1566" i="1" s="1"/>
  <c r="F1566" i="1" a="1"/>
  <c r="F1566" i="1" s="1"/>
  <c r="I1565" i="1" a="1"/>
  <c r="I1565" i="1" s="1"/>
  <c r="H1565" i="1" a="1"/>
  <c r="H1565" i="1" s="1"/>
  <c r="G1565" i="1" a="1"/>
  <c r="G1565" i="1" s="1"/>
  <c r="F1565" i="1" a="1"/>
  <c r="F1565" i="1" s="1"/>
  <c r="I1564" i="1" a="1"/>
  <c r="I1564" i="1" s="1"/>
  <c r="H1564" i="1" a="1"/>
  <c r="H1564" i="1" s="1"/>
  <c r="G1564" i="1" a="1"/>
  <c r="G1564" i="1" s="1"/>
  <c r="F1564" i="1" a="1"/>
  <c r="F1564" i="1" s="1"/>
  <c r="I1558" i="1" a="1"/>
  <c r="I1558" i="1" s="1"/>
  <c r="H1558" i="1" a="1"/>
  <c r="H1558" i="1" s="1"/>
  <c r="G1558" i="1" a="1"/>
  <c r="G1558" i="1" s="1"/>
  <c r="F1558" i="1" a="1"/>
  <c r="F1558" i="1" s="1"/>
  <c r="I1557" i="1" a="1"/>
  <c r="I1557" i="1" s="1"/>
  <c r="H1557" i="1" a="1"/>
  <c r="H1557" i="1" s="1"/>
  <c r="G1557" i="1" a="1"/>
  <c r="G1557" i="1" s="1"/>
  <c r="F1557" i="1" a="1"/>
  <c r="F1557" i="1" s="1"/>
  <c r="I1551" i="1" a="1"/>
  <c r="I1551" i="1" s="1"/>
  <c r="H1551" i="1" a="1"/>
  <c r="H1551" i="1" s="1"/>
  <c r="G1551" i="1" a="1"/>
  <c r="G1551" i="1" s="1"/>
  <c r="F1551" i="1" a="1"/>
  <c r="F1551" i="1" s="1"/>
  <c r="I1549" i="1" a="1"/>
  <c r="I1549" i="1" s="1"/>
  <c r="H1549" i="1" a="1"/>
  <c r="H1549" i="1" s="1"/>
  <c r="G1549" i="1" a="1"/>
  <c r="G1549" i="1" s="1"/>
  <c r="F1549" i="1" a="1"/>
  <c r="F1549" i="1" s="1"/>
  <c r="I1548" i="1" a="1"/>
  <c r="I1548" i="1" s="1"/>
  <c r="H1548" i="1" a="1"/>
  <c r="H1548" i="1" s="1"/>
  <c r="G1548" i="1" a="1"/>
  <c r="G1548" i="1" s="1"/>
  <c r="F1548" i="1" a="1"/>
  <c r="F1548" i="1" s="1"/>
  <c r="I1531" i="1" a="1"/>
  <c r="I1531" i="1" s="1"/>
  <c r="H1531" i="1" a="1"/>
  <c r="H1531" i="1" s="1"/>
  <c r="G1531" i="1" a="1"/>
  <c r="G1531" i="1" s="1"/>
  <c r="F1531" i="1" a="1"/>
  <c r="F1531" i="1" s="1"/>
  <c r="I1530" i="1" a="1"/>
  <c r="I1530" i="1" s="1"/>
  <c r="H1530" i="1" a="1"/>
  <c r="H1530" i="1" s="1"/>
  <c r="G1530" i="1" a="1"/>
  <c r="G1530" i="1" s="1"/>
  <c r="F1530" i="1" a="1"/>
  <c r="F1530" i="1" s="1"/>
  <c r="I1529" i="1" a="1"/>
  <c r="I1529" i="1" s="1"/>
  <c r="H1529" i="1" a="1"/>
  <c r="H1529" i="1" s="1"/>
  <c r="G1529" i="1" a="1"/>
  <c r="G1529" i="1" s="1"/>
  <c r="F1529" i="1" a="1"/>
  <c r="F1529" i="1" s="1"/>
  <c r="I1528" i="1" a="1"/>
  <c r="I1528" i="1" s="1"/>
  <c r="H1528" i="1" a="1"/>
  <c r="H1528" i="1" s="1"/>
  <c r="G1528" i="1" a="1"/>
  <c r="G1528" i="1" s="1"/>
  <c r="F1528" i="1" a="1"/>
  <c r="F1528" i="1" s="1"/>
  <c r="I1527" i="1" a="1"/>
  <c r="I1527" i="1" s="1"/>
  <c r="H1527" i="1" a="1"/>
  <c r="H1527" i="1" s="1"/>
  <c r="G1527" i="1" a="1"/>
  <c r="G1527" i="1" s="1"/>
  <c r="F1527" i="1" a="1"/>
  <c r="F1527" i="1" s="1"/>
  <c r="I1526" i="1" a="1"/>
  <c r="I1526" i="1" s="1"/>
  <c r="H1526" i="1" a="1"/>
  <c r="H1526" i="1" s="1"/>
  <c r="G1526" i="1" a="1"/>
  <c r="G1526" i="1" s="1"/>
  <c r="F1526" i="1" a="1"/>
  <c r="F1526" i="1" s="1"/>
  <c r="I1525" i="1" a="1"/>
  <c r="I1525" i="1" s="1"/>
  <c r="H1525" i="1" a="1"/>
  <c r="H1525" i="1" s="1"/>
  <c r="G1525" i="1" a="1"/>
  <c r="G1525" i="1" s="1"/>
  <c r="F1525" i="1" a="1"/>
  <c r="F1525" i="1" s="1"/>
  <c r="I1524" i="1" a="1"/>
  <c r="I1524" i="1" s="1"/>
  <c r="H1524" i="1" a="1"/>
  <c r="H1524" i="1" s="1"/>
  <c r="G1524" i="1" a="1"/>
  <c r="G1524" i="1" s="1"/>
  <c r="F1524" i="1" a="1"/>
  <c r="F1524" i="1" s="1"/>
  <c r="I1523" i="1" a="1"/>
  <c r="I1523" i="1" s="1"/>
  <c r="H1523" i="1" a="1"/>
  <c r="H1523" i="1" s="1"/>
  <c r="G1523" i="1" a="1"/>
  <c r="G1523" i="1" s="1"/>
  <c r="F1523" i="1" a="1"/>
  <c r="F1523" i="1" s="1"/>
  <c r="I1522" i="1" a="1"/>
  <c r="I1522" i="1" s="1"/>
  <c r="H1522" i="1" a="1"/>
  <c r="H1522" i="1" s="1"/>
  <c r="G1522" i="1" a="1"/>
  <c r="G1522" i="1" s="1"/>
  <c r="F1522" i="1" a="1"/>
  <c r="F1522" i="1" s="1"/>
  <c r="I1521" i="1" a="1"/>
  <c r="I1521" i="1" s="1"/>
  <c r="H1521" i="1" a="1"/>
  <c r="H1521" i="1" s="1"/>
  <c r="G1521" i="1" a="1"/>
  <c r="G1521" i="1" s="1"/>
  <c r="F1521" i="1" a="1"/>
  <c r="F1521" i="1" s="1"/>
  <c r="I1520" i="1" a="1"/>
  <c r="I1520" i="1" s="1"/>
  <c r="H1520" i="1" a="1"/>
  <c r="H1520" i="1" s="1"/>
  <c r="G1520" i="1" a="1"/>
  <c r="G1520" i="1" s="1"/>
  <c r="F1520" i="1" a="1"/>
  <c r="F1520" i="1" s="1"/>
  <c r="I1519" i="1" a="1"/>
  <c r="I1519" i="1" s="1"/>
  <c r="H1519" i="1" a="1"/>
  <c r="H1519" i="1" s="1"/>
  <c r="G1519" i="1" a="1"/>
  <c r="G1519" i="1" s="1"/>
  <c r="F1519" i="1" a="1"/>
  <c r="F1519" i="1" s="1"/>
  <c r="I1517" i="1" a="1"/>
  <c r="I1517" i="1" s="1"/>
  <c r="H1517" i="1" a="1"/>
  <c r="H1517" i="1" s="1"/>
  <c r="G1517" i="1" a="1"/>
  <c r="G1517" i="1" s="1"/>
  <c r="F1517" i="1" a="1"/>
  <c r="F1517" i="1" s="1"/>
  <c r="I1516" i="1" a="1"/>
  <c r="I1516" i="1" s="1"/>
  <c r="H1516" i="1" a="1"/>
  <c r="H1516" i="1" s="1"/>
  <c r="G1516" i="1" a="1"/>
  <c r="G1516" i="1" s="1"/>
  <c r="F1516" i="1" a="1"/>
  <c r="F1516" i="1" s="1"/>
  <c r="I1515" i="1" a="1"/>
  <c r="I1515" i="1" s="1"/>
  <c r="H1515" i="1" a="1"/>
  <c r="H1515" i="1" s="1"/>
  <c r="G1515" i="1" a="1"/>
  <c r="G1515" i="1" s="1"/>
  <c r="F1515" i="1" a="1"/>
  <c r="F1515" i="1" s="1"/>
  <c r="I1514" i="1" a="1"/>
  <c r="I1514" i="1" s="1"/>
  <c r="H1514" i="1" a="1"/>
  <c r="H1514" i="1" s="1"/>
  <c r="G1514" i="1" a="1"/>
  <c r="G1514" i="1" s="1"/>
  <c r="F1514" i="1" a="1"/>
  <c r="F1514" i="1" s="1"/>
  <c r="I1513" i="1" a="1"/>
  <c r="I1513" i="1" s="1"/>
  <c r="H1513" i="1" a="1"/>
  <c r="H1513" i="1" s="1"/>
  <c r="G1513" i="1" a="1"/>
  <c r="G1513" i="1" s="1"/>
  <c r="F1513" i="1" a="1"/>
  <c r="F1513" i="1" s="1"/>
  <c r="I1507" i="1" a="1"/>
  <c r="I1507" i="1" s="1"/>
  <c r="H1507" i="1" a="1"/>
  <c r="H1507" i="1" s="1"/>
  <c r="G1507" i="1" a="1"/>
  <c r="G1507" i="1" s="1"/>
  <c r="F1507" i="1" a="1"/>
  <c r="F1507" i="1" s="1"/>
  <c r="I1506" i="1" a="1"/>
  <c r="I1506" i="1" s="1"/>
  <c r="H1506" i="1" a="1"/>
  <c r="H1506" i="1" s="1"/>
  <c r="G1506" i="1" a="1"/>
  <c r="G1506" i="1" s="1"/>
  <c r="F1506" i="1" a="1"/>
  <c r="F1506" i="1" s="1"/>
  <c r="I1505" i="1" a="1"/>
  <c r="I1505" i="1" s="1"/>
  <c r="H1505" i="1" a="1"/>
  <c r="H1505" i="1" s="1"/>
  <c r="G1505" i="1" a="1"/>
  <c r="G1505" i="1" s="1"/>
  <c r="F1505" i="1" a="1"/>
  <c r="F1505" i="1" s="1"/>
  <c r="I1504" i="1" a="1"/>
  <c r="I1504" i="1" s="1"/>
  <c r="H1504" i="1" a="1"/>
  <c r="H1504" i="1" s="1"/>
  <c r="G1504" i="1" a="1"/>
  <c r="G1504" i="1" s="1"/>
  <c r="F1504" i="1" a="1"/>
  <c r="F1504" i="1" s="1"/>
  <c r="I1502" i="1" a="1"/>
  <c r="I1502" i="1" s="1"/>
  <c r="H1502" i="1" a="1"/>
  <c r="H1502" i="1" s="1"/>
  <c r="G1502" i="1" a="1"/>
  <c r="G1502" i="1" s="1"/>
  <c r="F1502" i="1" a="1"/>
  <c r="F1502" i="1" s="1"/>
  <c r="I1501" i="1" a="1"/>
  <c r="I1501" i="1" s="1"/>
  <c r="H1501" i="1" a="1"/>
  <c r="H1501" i="1" s="1"/>
  <c r="G1501" i="1" a="1"/>
  <c r="G1501" i="1" s="1"/>
  <c r="F1501" i="1" a="1"/>
  <c r="F1501" i="1" s="1"/>
  <c r="I1500" i="1" a="1"/>
  <c r="I1500" i="1" s="1"/>
  <c r="H1500" i="1" a="1"/>
  <c r="H1500" i="1" s="1"/>
  <c r="G1500" i="1" a="1"/>
  <c r="G1500" i="1" s="1"/>
  <c r="F1500" i="1" a="1"/>
  <c r="F1500" i="1" s="1"/>
  <c r="I1499" i="1" a="1"/>
  <c r="I1499" i="1" s="1"/>
  <c r="H1499" i="1" a="1"/>
  <c r="H1499" i="1" s="1"/>
  <c r="G1499" i="1" a="1"/>
  <c r="G1499" i="1" s="1"/>
  <c r="F1499" i="1" a="1"/>
  <c r="F1499" i="1" s="1"/>
  <c r="I1494" i="1" a="1"/>
  <c r="I1494" i="1" s="1"/>
  <c r="H1494" i="1" a="1"/>
  <c r="H1494" i="1" s="1"/>
  <c r="G1494" i="1" a="1"/>
  <c r="G1494" i="1" s="1"/>
  <c r="F1494" i="1" a="1"/>
  <c r="F1494" i="1" s="1"/>
  <c r="I1492" i="1" a="1"/>
  <c r="I1492" i="1" s="1"/>
  <c r="H1492" i="1" a="1"/>
  <c r="H1492" i="1" s="1"/>
  <c r="G1492" i="1" a="1"/>
  <c r="G1492" i="1" s="1"/>
  <c r="F1492" i="1" a="1"/>
  <c r="F1492" i="1" s="1"/>
  <c r="I1487" i="1" a="1"/>
  <c r="I1487" i="1" s="1"/>
  <c r="H1487" i="1" a="1"/>
  <c r="H1487" i="1" s="1"/>
  <c r="G1487" i="1" a="1"/>
  <c r="G1487" i="1" s="1"/>
  <c r="F1487" i="1" a="1"/>
  <c r="F1487" i="1" s="1"/>
  <c r="I1485" i="1" a="1"/>
  <c r="I1485" i="1" s="1"/>
  <c r="H1485" i="1" a="1"/>
  <c r="H1485" i="1" s="1"/>
  <c r="G1485" i="1" a="1"/>
  <c r="G1485" i="1" s="1"/>
  <c r="F1485" i="1" a="1"/>
  <c r="F1485" i="1" s="1"/>
  <c r="I1458" i="1" a="1"/>
  <c r="I1458" i="1" s="1"/>
  <c r="H1458" i="1" a="1"/>
  <c r="H1458" i="1" s="1"/>
  <c r="G1458" i="1" a="1"/>
  <c r="G1458" i="1" s="1"/>
  <c r="F1458" i="1" a="1"/>
  <c r="F1458" i="1" s="1"/>
  <c r="I1457" i="1" a="1"/>
  <c r="I1457" i="1" s="1"/>
  <c r="H1457" i="1" a="1"/>
  <c r="H1457" i="1" s="1"/>
  <c r="G1457" i="1" a="1"/>
  <c r="G1457" i="1" s="1"/>
  <c r="F1457" i="1" a="1"/>
  <c r="F1457" i="1" s="1"/>
  <c r="I1456" i="1" a="1"/>
  <c r="I1456" i="1" s="1"/>
  <c r="H1456" i="1" a="1"/>
  <c r="H1456" i="1" s="1"/>
  <c r="G1456" i="1" a="1"/>
  <c r="G1456" i="1" s="1"/>
  <c r="F1456" i="1" a="1"/>
  <c r="F1456" i="1" s="1"/>
  <c r="I1455" i="1" a="1"/>
  <c r="I1455" i="1" s="1"/>
  <c r="H1455" i="1" a="1"/>
  <c r="H1455" i="1" s="1"/>
  <c r="G1455" i="1" a="1"/>
  <c r="G1455" i="1" s="1"/>
  <c r="F1455" i="1" a="1"/>
  <c r="F1455" i="1" s="1"/>
  <c r="I1454" i="1" a="1"/>
  <c r="I1454" i="1" s="1"/>
  <c r="H1454" i="1" a="1"/>
  <c r="H1454" i="1" s="1"/>
  <c r="G1454" i="1" a="1"/>
  <c r="G1454" i="1" s="1"/>
  <c r="F1454" i="1" a="1"/>
  <c r="F1454" i="1" s="1"/>
  <c r="I1453" i="1" a="1"/>
  <c r="I1453" i="1" s="1"/>
  <c r="H1453" i="1" a="1"/>
  <c r="H1453" i="1" s="1"/>
  <c r="G1453" i="1" a="1"/>
  <c r="G1453" i="1" s="1"/>
  <c r="F1453" i="1" a="1"/>
  <c r="F1453" i="1" s="1"/>
  <c r="I1452" i="1" a="1"/>
  <c r="I1452" i="1" s="1"/>
  <c r="H1452" i="1" a="1"/>
  <c r="H1452" i="1" s="1"/>
  <c r="G1452" i="1" a="1"/>
  <c r="G1452" i="1" s="1"/>
  <c r="F1452" i="1" a="1"/>
  <c r="F1452" i="1" s="1"/>
  <c r="I1451" i="1" a="1"/>
  <c r="I1451" i="1" s="1"/>
  <c r="H1451" i="1" a="1"/>
  <c r="H1451" i="1" s="1"/>
  <c r="G1451" i="1" a="1"/>
  <c r="G1451" i="1" s="1"/>
  <c r="F1451" i="1" a="1"/>
  <c r="F1451" i="1" s="1"/>
  <c r="I1450" i="1" a="1"/>
  <c r="I1450" i="1" s="1"/>
  <c r="H1450" i="1" a="1"/>
  <c r="H1450" i="1" s="1"/>
  <c r="G1450" i="1" a="1"/>
  <c r="G1450" i="1" s="1"/>
  <c r="F1450" i="1" a="1"/>
  <c r="F1450" i="1" s="1"/>
  <c r="I1449" i="1" a="1"/>
  <c r="I1449" i="1" s="1"/>
  <c r="H1449" i="1" a="1"/>
  <c r="H1449" i="1" s="1"/>
  <c r="G1449" i="1" a="1"/>
  <c r="G1449" i="1" s="1"/>
  <c r="F1449" i="1" a="1"/>
  <c r="F1449" i="1" s="1"/>
  <c r="I1448" i="1" a="1"/>
  <c r="I1448" i="1" s="1"/>
  <c r="H1448" i="1" a="1"/>
  <c r="H1448" i="1" s="1"/>
  <c r="G1448" i="1" a="1"/>
  <c r="G1448" i="1" s="1"/>
  <c r="F1448" i="1" a="1"/>
  <c r="F1448" i="1" s="1"/>
  <c r="I1447" i="1" a="1"/>
  <c r="I1447" i="1" s="1"/>
  <c r="H1447" i="1" a="1"/>
  <c r="H1447" i="1" s="1"/>
  <c r="G1447" i="1" a="1"/>
  <c r="G1447" i="1" s="1"/>
  <c r="F1447" i="1" a="1"/>
  <c r="F1447" i="1" s="1"/>
  <c r="I1446" i="1" a="1"/>
  <c r="I1446" i="1" s="1"/>
  <c r="H1446" i="1" a="1"/>
  <c r="H1446" i="1" s="1"/>
  <c r="G1446" i="1" a="1"/>
  <c r="G1446" i="1" s="1"/>
  <c r="F1446" i="1" a="1"/>
  <c r="F1446" i="1" s="1"/>
  <c r="I1445" i="1" a="1"/>
  <c r="I1445" i="1" s="1"/>
  <c r="H1445" i="1" a="1"/>
  <c r="H1445" i="1" s="1"/>
  <c r="G1445" i="1" a="1"/>
  <c r="G1445" i="1" s="1"/>
  <c r="F1445" i="1" a="1"/>
  <c r="F1445" i="1" s="1"/>
  <c r="I1444" i="1" a="1"/>
  <c r="I1444" i="1" s="1"/>
  <c r="H1444" i="1" a="1"/>
  <c r="H1444" i="1" s="1"/>
  <c r="G1444" i="1" a="1"/>
  <c r="G1444" i="1" s="1"/>
  <c r="F1444" i="1" a="1"/>
  <c r="F1444" i="1" s="1"/>
  <c r="I1443" i="1" a="1"/>
  <c r="I1443" i="1" s="1"/>
  <c r="H1443" i="1" a="1"/>
  <c r="H1443" i="1" s="1"/>
  <c r="G1443" i="1" a="1"/>
  <c r="G1443" i="1" s="1"/>
  <c r="F1443" i="1" a="1"/>
  <c r="F1443" i="1" s="1"/>
  <c r="I1442" i="1" a="1"/>
  <c r="I1442" i="1" s="1"/>
  <c r="H1442" i="1" a="1"/>
  <c r="H1442" i="1" s="1"/>
  <c r="G1442" i="1" a="1"/>
  <c r="G1442" i="1" s="1"/>
  <c r="F1442" i="1" a="1"/>
  <c r="F1442" i="1" s="1"/>
  <c r="I1441" i="1" a="1"/>
  <c r="I1441" i="1" s="1"/>
  <c r="H1441" i="1" a="1"/>
  <c r="H1441" i="1" s="1"/>
  <c r="G1441" i="1" a="1"/>
  <c r="G1441" i="1" s="1"/>
  <c r="F1441" i="1" a="1"/>
  <c r="F1441" i="1" s="1"/>
  <c r="I1440" i="1" a="1"/>
  <c r="I1440" i="1" s="1"/>
  <c r="H1440" i="1" a="1"/>
  <c r="H1440" i="1" s="1"/>
  <c r="G1440" i="1" a="1"/>
  <c r="G1440" i="1" s="1"/>
  <c r="F1440" i="1" a="1"/>
  <c r="F1440" i="1" s="1"/>
  <c r="I1439" i="1" a="1"/>
  <c r="I1439" i="1" s="1"/>
  <c r="H1439" i="1" a="1"/>
  <c r="H1439" i="1" s="1"/>
  <c r="G1439" i="1" a="1"/>
  <c r="G1439" i="1" s="1"/>
  <c r="F1439" i="1" a="1"/>
  <c r="F1439" i="1" s="1"/>
  <c r="I1438" i="1" a="1"/>
  <c r="I1438" i="1" s="1"/>
  <c r="H1438" i="1" a="1"/>
  <c r="H1438" i="1" s="1"/>
  <c r="G1438" i="1" a="1"/>
  <c r="G1438" i="1" s="1"/>
  <c r="F1438" i="1" a="1"/>
  <c r="F1438" i="1" s="1"/>
  <c r="I1437" i="1" a="1"/>
  <c r="I1437" i="1" s="1"/>
  <c r="H1437" i="1" a="1"/>
  <c r="H1437" i="1" s="1"/>
  <c r="G1437" i="1" a="1"/>
  <c r="G1437" i="1" s="1"/>
  <c r="F1437" i="1" a="1"/>
  <c r="F1437" i="1" s="1"/>
  <c r="I1436" i="1" a="1"/>
  <c r="I1436" i="1" s="1"/>
  <c r="H1436" i="1" a="1"/>
  <c r="H1436" i="1" s="1"/>
  <c r="G1436" i="1" a="1"/>
  <c r="G1436" i="1" s="1"/>
  <c r="F1436" i="1" a="1"/>
  <c r="F1436" i="1" s="1"/>
  <c r="I1434" i="1" a="1"/>
  <c r="I1434" i="1" s="1"/>
  <c r="H1434" i="1" a="1"/>
  <c r="H1434" i="1" s="1"/>
  <c r="G1434" i="1" a="1"/>
  <c r="G1434" i="1" s="1"/>
  <c r="F1434" i="1" a="1"/>
  <c r="F1434" i="1" s="1"/>
  <c r="I1433" i="1" a="1"/>
  <c r="I1433" i="1" s="1"/>
  <c r="H1433" i="1" a="1"/>
  <c r="H1433" i="1" s="1"/>
  <c r="G1433" i="1" a="1"/>
  <c r="G1433" i="1" s="1"/>
  <c r="F1433" i="1" a="1"/>
  <c r="F1433" i="1" s="1"/>
  <c r="I1432" i="1" a="1"/>
  <c r="I1432" i="1" s="1"/>
  <c r="H1432" i="1" a="1"/>
  <c r="H1432" i="1" s="1"/>
  <c r="G1432" i="1" a="1"/>
  <c r="G1432" i="1" s="1"/>
  <c r="F1432" i="1" a="1"/>
  <c r="F1432" i="1" s="1"/>
  <c r="I1431" i="1" a="1"/>
  <c r="I1431" i="1" s="1"/>
  <c r="H1431" i="1" a="1"/>
  <c r="H1431" i="1" s="1"/>
  <c r="G1431" i="1" a="1"/>
  <c r="G1431" i="1" s="1"/>
  <c r="F1431" i="1" a="1"/>
  <c r="F1431" i="1" s="1"/>
  <c r="I1430" i="1" a="1"/>
  <c r="I1430" i="1" s="1"/>
  <c r="H1430" i="1" a="1"/>
  <c r="H1430" i="1" s="1"/>
  <c r="G1430" i="1" a="1"/>
  <c r="G1430" i="1" s="1"/>
  <c r="F1430" i="1" a="1"/>
  <c r="F1430" i="1" s="1"/>
  <c r="I1424" i="1" a="1"/>
  <c r="I1424" i="1" s="1"/>
  <c r="H1424" i="1" a="1"/>
  <c r="H1424" i="1" s="1"/>
  <c r="G1424" i="1" a="1"/>
  <c r="G1424" i="1" s="1"/>
  <c r="F1424" i="1" a="1"/>
  <c r="F1424" i="1" s="1"/>
  <c r="I1423" i="1" a="1"/>
  <c r="I1423" i="1" s="1"/>
  <c r="H1423" i="1" a="1"/>
  <c r="H1423" i="1" s="1"/>
  <c r="G1423" i="1" a="1"/>
  <c r="G1423" i="1" s="1"/>
  <c r="F1423" i="1" a="1"/>
  <c r="F1423" i="1" s="1"/>
  <c r="I1422" i="1" a="1"/>
  <c r="I1422" i="1" s="1"/>
  <c r="H1422" i="1" a="1"/>
  <c r="H1422" i="1" s="1"/>
  <c r="G1422" i="1" a="1"/>
  <c r="G1422" i="1" s="1"/>
  <c r="F1422" i="1" a="1"/>
  <c r="F1422" i="1" s="1"/>
  <c r="I1421" i="1" a="1"/>
  <c r="I1421" i="1" s="1"/>
  <c r="H1421" i="1" a="1"/>
  <c r="H1421" i="1" s="1"/>
  <c r="G1421" i="1" a="1"/>
  <c r="G1421" i="1" s="1"/>
  <c r="F1421" i="1" a="1"/>
  <c r="F1421" i="1" s="1"/>
  <c r="I1420" i="1" a="1"/>
  <c r="I1420" i="1" s="1"/>
  <c r="H1420" i="1" a="1"/>
  <c r="H1420" i="1" s="1"/>
  <c r="G1420" i="1" a="1"/>
  <c r="G1420" i="1" s="1"/>
  <c r="F1420" i="1" a="1"/>
  <c r="F1420" i="1" s="1"/>
  <c r="I1419" i="1" a="1"/>
  <c r="I1419" i="1" s="1"/>
  <c r="H1419" i="1" a="1"/>
  <c r="H1419" i="1" s="1"/>
  <c r="G1419" i="1" a="1"/>
  <c r="G1419" i="1" s="1"/>
  <c r="F1419" i="1" a="1"/>
  <c r="F1419" i="1" s="1"/>
  <c r="I1418" i="1" a="1"/>
  <c r="I1418" i="1" s="1"/>
  <c r="H1418" i="1" a="1"/>
  <c r="H1418" i="1" s="1"/>
  <c r="G1418" i="1" a="1"/>
  <c r="G1418" i="1" s="1"/>
  <c r="F1418" i="1" a="1"/>
  <c r="F1418" i="1" s="1"/>
  <c r="I1417" i="1" a="1"/>
  <c r="I1417" i="1" s="1"/>
  <c r="H1417" i="1" a="1"/>
  <c r="H1417" i="1" s="1"/>
  <c r="G1417" i="1" a="1"/>
  <c r="G1417" i="1" s="1"/>
  <c r="F1417" i="1" a="1"/>
  <c r="F1417" i="1" s="1"/>
  <c r="I1416" i="1" a="1"/>
  <c r="I1416" i="1" s="1"/>
  <c r="H1416" i="1" a="1"/>
  <c r="H1416" i="1" s="1"/>
  <c r="G1416" i="1" a="1"/>
  <c r="G1416" i="1" s="1"/>
  <c r="F1416" i="1" a="1"/>
  <c r="F1416" i="1" s="1"/>
  <c r="I1410" i="1" a="1"/>
  <c r="I1410" i="1" s="1"/>
  <c r="H1410" i="1" a="1"/>
  <c r="H1410" i="1" s="1"/>
  <c r="G1410" i="1" a="1"/>
  <c r="G1410" i="1" s="1"/>
  <c r="F1410" i="1" a="1"/>
  <c r="F1410" i="1" s="1"/>
  <c r="I1409" i="1" a="1"/>
  <c r="I1409" i="1" s="1"/>
  <c r="H1409" i="1" a="1"/>
  <c r="H1409" i="1" s="1"/>
  <c r="G1409" i="1" a="1"/>
  <c r="G1409" i="1" s="1"/>
  <c r="F1409" i="1" a="1"/>
  <c r="F1409" i="1" s="1"/>
  <c r="I1408" i="1" a="1"/>
  <c r="I1408" i="1" s="1"/>
  <c r="H1408" i="1" a="1"/>
  <c r="H1408" i="1" s="1"/>
  <c r="G1408" i="1" a="1"/>
  <c r="G1408" i="1" s="1"/>
  <c r="F1408" i="1" a="1"/>
  <c r="F1408" i="1" s="1"/>
  <c r="I1407" i="1" a="1"/>
  <c r="I1407" i="1" s="1"/>
  <c r="H1407" i="1" a="1"/>
  <c r="H1407" i="1" s="1"/>
  <c r="G1407" i="1" a="1"/>
  <c r="G1407" i="1" s="1"/>
  <c r="F1407" i="1" a="1"/>
  <c r="F1407" i="1" s="1"/>
  <c r="I1405" i="1" a="1"/>
  <c r="I1405" i="1" s="1"/>
  <c r="H1405" i="1" a="1"/>
  <c r="H1405" i="1" s="1"/>
  <c r="G1405" i="1" a="1"/>
  <c r="G1405" i="1" s="1"/>
  <c r="F1405" i="1" a="1"/>
  <c r="F1405" i="1" s="1"/>
  <c r="I1404" i="1" a="1"/>
  <c r="I1404" i="1" s="1"/>
  <c r="H1404" i="1" a="1"/>
  <c r="H1404" i="1" s="1"/>
  <c r="G1404" i="1" a="1"/>
  <c r="G1404" i="1" s="1"/>
  <c r="F1404" i="1" a="1"/>
  <c r="F1404" i="1" s="1"/>
  <c r="I1403" i="1" a="1"/>
  <c r="I1403" i="1" s="1"/>
  <c r="H1403" i="1" a="1"/>
  <c r="H1403" i="1" s="1"/>
  <c r="G1403" i="1" a="1"/>
  <c r="G1403" i="1" s="1"/>
  <c r="F1403" i="1" a="1"/>
  <c r="F1403" i="1" s="1"/>
  <c r="I1402" i="1" a="1"/>
  <c r="I1402" i="1" s="1"/>
  <c r="H1402" i="1" a="1"/>
  <c r="H1402" i="1" s="1"/>
  <c r="G1402" i="1" a="1"/>
  <c r="G1402" i="1" s="1"/>
  <c r="F1402" i="1" a="1"/>
  <c r="F1402" i="1" s="1"/>
  <c r="I1401" i="1" a="1"/>
  <c r="I1401" i="1" s="1"/>
  <c r="H1401" i="1" a="1"/>
  <c r="H1401" i="1" s="1"/>
  <c r="G1401" i="1" a="1"/>
  <c r="G1401" i="1" s="1"/>
  <c r="F1401" i="1" a="1"/>
  <c r="F1401" i="1" s="1"/>
  <c r="I1374" i="1" a="1"/>
  <c r="I1374" i="1" s="1"/>
  <c r="H1374" i="1" a="1"/>
  <c r="H1374" i="1" s="1"/>
  <c r="G1374" i="1" a="1"/>
  <c r="G1374" i="1" s="1"/>
  <c r="F1374" i="1" a="1"/>
  <c r="F1374" i="1" s="1"/>
  <c r="I1373" i="1" a="1"/>
  <c r="I1373" i="1" s="1"/>
  <c r="H1373" i="1" a="1"/>
  <c r="H1373" i="1" s="1"/>
  <c r="G1373" i="1" a="1"/>
  <c r="G1373" i="1" s="1"/>
  <c r="F1373" i="1" a="1"/>
  <c r="F1373" i="1" s="1"/>
  <c r="I1372" i="1" a="1"/>
  <c r="I1372" i="1" s="1"/>
  <c r="H1372" i="1" a="1"/>
  <c r="H1372" i="1" s="1"/>
  <c r="G1372" i="1" a="1"/>
  <c r="G1372" i="1" s="1"/>
  <c r="F1372" i="1" a="1"/>
  <c r="F1372" i="1" s="1"/>
  <c r="I1371" i="1" a="1"/>
  <c r="I1371" i="1" s="1"/>
  <c r="H1371" i="1" a="1"/>
  <c r="H1371" i="1" s="1"/>
  <c r="G1371" i="1" a="1"/>
  <c r="G1371" i="1" s="1"/>
  <c r="F1371" i="1" a="1"/>
  <c r="F1371" i="1" s="1"/>
  <c r="I1370" i="1" a="1"/>
  <c r="I1370" i="1" s="1"/>
  <c r="H1370" i="1" a="1"/>
  <c r="H1370" i="1" s="1"/>
  <c r="G1370" i="1" a="1"/>
  <c r="G1370" i="1" s="1"/>
  <c r="F1370" i="1" a="1"/>
  <c r="F1370" i="1" s="1"/>
  <c r="I1369" i="1" a="1"/>
  <c r="I1369" i="1" s="1"/>
  <c r="H1369" i="1" a="1"/>
  <c r="H1369" i="1" s="1"/>
  <c r="G1369" i="1" a="1"/>
  <c r="G1369" i="1" s="1"/>
  <c r="F1369" i="1" a="1"/>
  <c r="F1369" i="1" s="1"/>
  <c r="I1368" i="1" a="1"/>
  <c r="I1368" i="1" s="1"/>
  <c r="H1368" i="1" a="1"/>
  <c r="H1368" i="1" s="1"/>
  <c r="G1368" i="1" a="1"/>
  <c r="G1368" i="1" s="1"/>
  <c r="F1368" i="1" a="1"/>
  <c r="F1368" i="1" s="1"/>
  <c r="I1367" i="1" a="1"/>
  <c r="I1367" i="1" s="1"/>
  <c r="H1367" i="1" a="1"/>
  <c r="H1367" i="1" s="1"/>
  <c r="G1367" i="1" a="1"/>
  <c r="G1367" i="1" s="1"/>
  <c r="F1367" i="1" a="1"/>
  <c r="F1367" i="1" s="1"/>
  <c r="I1366" i="1" a="1"/>
  <c r="I1366" i="1" s="1"/>
  <c r="H1366" i="1" a="1"/>
  <c r="H1366" i="1" s="1"/>
  <c r="G1366" i="1" a="1"/>
  <c r="G1366" i="1" s="1"/>
  <c r="F1366" i="1" a="1"/>
  <c r="F1366" i="1" s="1"/>
  <c r="I1365" i="1" a="1"/>
  <c r="I1365" i="1" s="1"/>
  <c r="H1365" i="1" a="1"/>
  <c r="H1365" i="1" s="1"/>
  <c r="G1365" i="1" a="1"/>
  <c r="G1365" i="1" s="1"/>
  <c r="F1365" i="1" a="1"/>
  <c r="F1365" i="1" s="1"/>
  <c r="I1364" i="1" a="1"/>
  <c r="I1364" i="1" s="1"/>
  <c r="H1364" i="1" a="1"/>
  <c r="H1364" i="1" s="1"/>
  <c r="G1364" i="1" a="1"/>
  <c r="G1364" i="1" s="1"/>
  <c r="F1364" i="1" a="1"/>
  <c r="F1364" i="1" s="1"/>
  <c r="I1363" i="1" a="1"/>
  <c r="I1363" i="1" s="1"/>
  <c r="H1363" i="1" a="1"/>
  <c r="H1363" i="1" s="1"/>
  <c r="G1363" i="1" a="1"/>
  <c r="G1363" i="1" s="1"/>
  <c r="F1363" i="1" a="1"/>
  <c r="F1363" i="1" s="1"/>
  <c r="I1362" i="1" a="1"/>
  <c r="I1362" i="1" s="1"/>
  <c r="H1362" i="1" a="1"/>
  <c r="H1362" i="1" s="1"/>
  <c r="G1362" i="1" a="1"/>
  <c r="G1362" i="1" s="1"/>
  <c r="F1362" i="1" a="1"/>
  <c r="F1362" i="1" s="1"/>
  <c r="I1361" i="1" a="1"/>
  <c r="I1361" i="1" s="1"/>
  <c r="H1361" i="1" a="1"/>
  <c r="H1361" i="1" s="1"/>
  <c r="G1361" i="1" a="1"/>
  <c r="G1361" i="1" s="1"/>
  <c r="F1361" i="1" a="1"/>
  <c r="F1361" i="1" s="1"/>
  <c r="I1360" i="1" a="1"/>
  <c r="I1360" i="1" s="1"/>
  <c r="H1360" i="1" a="1"/>
  <c r="H1360" i="1" s="1"/>
  <c r="G1360" i="1" a="1"/>
  <c r="G1360" i="1" s="1"/>
  <c r="F1360" i="1" a="1"/>
  <c r="F1360" i="1" s="1"/>
  <c r="I1359" i="1" a="1"/>
  <c r="I1359" i="1" s="1"/>
  <c r="H1359" i="1" a="1"/>
  <c r="H1359" i="1" s="1"/>
  <c r="G1359" i="1" a="1"/>
  <c r="G1359" i="1" s="1"/>
  <c r="F1359" i="1" a="1"/>
  <c r="F1359" i="1" s="1"/>
  <c r="I1358" i="1" a="1"/>
  <c r="I1358" i="1" s="1"/>
  <c r="H1358" i="1" a="1"/>
  <c r="H1358" i="1" s="1"/>
  <c r="G1358" i="1" a="1"/>
  <c r="G1358" i="1" s="1"/>
  <c r="F1358" i="1" a="1"/>
  <c r="F1358" i="1" s="1"/>
  <c r="I1357" i="1" a="1"/>
  <c r="I1357" i="1" s="1"/>
  <c r="H1357" i="1" a="1"/>
  <c r="H1357" i="1" s="1"/>
  <c r="G1357" i="1" a="1"/>
  <c r="G1357" i="1" s="1"/>
  <c r="F1357" i="1" a="1"/>
  <c r="F1357" i="1" s="1"/>
  <c r="I1356" i="1" a="1"/>
  <c r="I1356" i="1" s="1"/>
  <c r="H1356" i="1" a="1"/>
  <c r="H1356" i="1" s="1"/>
  <c r="G1356" i="1" a="1"/>
  <c r="G1356" i="1" s="1"/>
  <c r="F1356" i="1" a="1"/>
  <c r="F1356" i="1" s="1"/>
  <c r="I1355" i="1" a="1"/>
  <c r="I1355" i="1" s="1"/>
  <c r="H1355" i="1" a="1"/>
  <c r="H1355" i="1" s="1"/>
  <c r="G1355" i="1" a="1"/>
  <c r="G1355" i="1" s="1"/>
  <c r="F1355" i="1" a="1"/>
  <c r="F1355" i="1" s="1"/>
  <c r="I1354" i="1" a="1"/>
  <c r="I1354" i="1" s="1"/>
  <c r="H1354" i="1" a="1"/>
  <c r="H1354" i="1" s="1"/>
  <c r="G1354" i="1" a="1"/>
  <c r="G1354" i="1" s="1"/>
  <c r="F1354" i="1" a="1"/>
  <c r="F1354" i="1" s="1"/>
  <c r="I1353" i="1" a="1"/>
  <c r="I1353" i="1" s="1"/>
  <c r="H1353" i="1" a="1"/>
  <c r="H1353" i="1" s="1"/>
  <c r="G1353" i="1" a="1"/>
  <c r="G1353" i="1" s="1"/>
  <c r="F1353" i="1" a="1"/>
  <c r="F1353" i="1" s="1"/>
  <c r="I1352" i="1" a="1"/>
  <c r="I1352" i="1" s="1"/>
  <c r="H1352" i="1" a="1"/>
  <c r="H1352" i="1" s="1"/>
  <c r="G1352" i="1" a="1"/>
  <c r="G1352" i="1" s="1"/>
  <c r="F1352" i="1" a="1"/>
  <c r="F1352" i="1" s="1"/>
  <c r="I1350" i="1" a="1"/>
  <c r="I1350" i="1" s="1"/>
  <c r="H1350" i="1" a="1"/>
  <c r="H1350" i="1" s="1"/>
  <c r="G1350" i="1" a="1"/>
  <c r="G1350" i="1" s="1"/>
  <c r="F1350" i="1" a="1"/>
  <c r="F1350" i="1" s="1"/>
  <c r="I1349" i="1" a="1"/>
  <c r="I1349" i="1" s="1"/>
  <c r="H1349" i="1" a="1"/>
  <c r="H1349" i="1" s="1"/>
  <c r="G1349" i="1" a="1"/>
  <c r="G1349" i="1" s="1"/>
  <c r="F1349" i="1" a="1"/>
  <c r="F1349" i="1" s="1"/>
  <c r="I1348" i="1" a="1"/>
  <c r="I1348" i="1" s="1"/>
  <c r="H1348" i="1" a="1"/>
  <c r="H1348" i="1" s="1"/>
  <c r="G1348" i="1" a="1"/>
  <c r="G1348" i="1" s="1"/>
  <c r="F1348" i="1" a="1"/>
  <c r="F1348" i="1" s="1"/>
  <c r="I1347" i="1" a="1"/>
  <c r="I1347" i="1" s="1"/>
  <c r="H1347" i="1" a="1"/>
  <c r="H1347" i="1" s="1"/>
  <c r="G1347" i="1" a="1"/>
  <c r="G1347" i="1" s="1"/>
  <c r="F1347" i="1" a="1"/>
  <c r="F1347" i="1" s="1"/>
  <c r="I1346" i="1" a="1"/>
  <c r="I1346" i="1" s="1"/>
  <c r="H1346" i="1" a="1"/>
  <c r="H1346" i="1" s="1"/>
  <c r="G1346" i="1" a="1"/>
  <c r="G1346" i="1" s="1"/>
  <c r="F1346" i="1" a="1"/>
  <c r="F1346" i="1" s="1"/>
  <c r="I1340" i="1" a="1"/>
  <c r="I1340" i="1" s="1"/>
  <c r="H1340" i="1" a="1"/>
  <c r="H1340" i="1" s="1"/>
  <c r="G1340" i="1" a="1"/>
  <c r="G1340" i="1" s="1"/>
  <c r="F1340" i="1" a="1"/>
  <c r="F1340" i="1" s="1"/>
  <c r="I1339" i="1" a="1"/>
  <c r="I1339" i="1" s="1"/>
  <c r="H1339" i="1" a="1"/>
  <c r="H1339" i="1" s="1"/>
  <c r="G1339" i="1" a="1"/>
  <c r="G1339" i="1" s="1"/>
  <c r="F1339" i="1" a="1"/>
  <c r="F1339" i="1" s="1"/>
  <c r="I1338" i="1" a="1"/>
  <c r="I1338" i="1" s="1"/>
  <c r="H1338" i="1" a="1"/>
  <c r="H1338" i="1" s="1"/>
  <c r="G1338" i="1" a="1"/>
  <c r="G1338" i="1" s="1"/>
  <c r="F1338" i="1" a="1"/>
  <c r="F1338" i="1" s="1"/>
  <c r="I1337" i="1" a="1"/>
  <c r="I1337" i="1" s="1"/>
  <c r="H1337" i="1" a="1"/>
  <c r="H1337" i="1" s="1"/>
  <c r="G1337" i="1" a="1"/>
  <c r="G1337" i="1" s="1"/>
  <c r="F1337" i="1" a="1"/>
  <c r="F1337" i="1" s="1"/>
  <c r="I1336" i="1" a="1"/>
  <c r="I1336" i="1" s="1"/>
  <c r="H1336" i="1" a="1"/>
  <c r="H1336" i="1" s="1"/>
  <c r="G1336" i="1" a="1"/>
  <c r="G1336" i="1" s="1"/>
  <c r="F1336" i="1" a="1"/>
  <c r="F1336" i="1" s="1"/>
  <c r="I1335" i="1" a="1"/>
  <c r="I1335" i="1" s="1"/>
  <c r="H1335" i="1" a="1"/>
  <c r="H1335" i="1" s="1"/>
  <c r="G1335" i="1" a="1"/>
  <c r="G1335" i="1" s="1"/>
  <c r="F1335" i="1" a="1"/>
  <c r="F1335" i="1" s="1"/>
  <c r="I1334" i="1" a="1"/>
  <c r="I1334" i="1" s="1"/>
  <c r="H1334" i="1" a="1"/>
  <c r="H1334" i="1" s="1"/>
  <c r="G1334" i="1" a="1"/>
  <c r="G1334" i="1" s="1"/>
  <c r="F1334" i="1" a="1"/>
  <c r="F1334" i="1" s="1"/>
  <c r="I1333" i="1" a="1"/>
  <c r="I1333" i="1" s="1"/>
  <c r="H1333" i="1" a="1"/>
  <c r="H1333" i="1" s="1"/>
  <c r="G1333" i="1" a="1"/>
  <c r="G1333" i="1" s="1"/>
  <c r="F1333" i="1" a="1"/>
  <c r="F1333" i="1" s="1"/>
  <c r="I1332" i="1" a="1"/>
  <c r="I1332" i="1" s="1"/>
  <c r="H1332" i="1" a="1"/>
  <c r="H1332" i="1" s="1"/>
  <c r="G1332" i="1" a="1"/>
  <c r="G1332" i="1" s="1"/>
  <c r="F1332" i="1" a="1"/>
  <c r="F1332" i="1" s="1"/>
  <c r="I1326" i="1" a="1"/>
  <c r="I1326" i="1" s="1"/>
  <c r="H1326" i="1" a="1"/>
  <c r="H1326" i="1" s="1"/>
  <c r="G1326" i="1" a="1"/>
  <c r="G1326" i="1" s="1"/>
  <c r="F1326" i="1" a="1"/>
  <c r="F1326" i="1" s="1"/>
  <c r="I1325" i="1" a="1"/>
  <c r="I1325" i="1" s="1"/>
  <c r="H1325" i="1" a="1"/>
  <c r="H1325" i="1" s="1"/>
  <c r="G1325" i="1" a="1"/>
  <c r="G1325" i="1" s="1"/>
  <c r="F1325" i="1" a="1"/>
  <c r="F1325" i="1" s="1"/>
  <c r="I1324" i="1" a="1"/>
  <c r="I1324" i="1" s="1"/>
  <c r="H1324" i="1" a="1"/>
  <c r="H1324" i="1" s="1"/>
  <c r="G1324" i="1" a="1"/>
  <c r="G1324" i="1" s="1"/>
  <c r="F1324" i="1" a="1"/>
  <c r="F1324" i="1" s="1"/>
  <c r="I1323" i="1" a="1"/>
  <c r="I1323" i="1" s="1"/>
  <c r="H1323" i="1" a="1"/>
  <c r="H1323" i="1" s="1"/>
  <c r="G1323" i="1" a="1"/>
  <c r="G1323" i="1" s="1"/>
  <c r="F1323" i="1" a="1"/>
  <c r="F1323" i="1" s="1"/>
  <c r="I1321" i="1" a="1"/>
  <c r="I1321" i="1" s="1"/>
  <c r="H1321" i="1" a="1"/>
  <c r="H1321" i="1" s="1"/>
  <c r="G1321" i="1" a="1"/>
  <c r="G1321" i="1" s="1"/>
  <c r="F1321" i="1" a="1"/>
  <c r="F1321" i="1" s="1"/>
  <c r="I1320" i="1" a="1"/>
  <c r="I1320" i="1" s="1"/>
  <c r="H1320" i="1" a="1"/>
  <c r="H1320" i="1" s="1"/>
  <c r="G1320" i="1" a="1"/>
  <c r="G1320" i="1" s="1"/>
  <c r="F1320" i="1" a="1"/>
  <c r="F1320" i="1" s="1"/>
  <c r="I1319" i="1" a="1"/>
  <c r="I1319" i="1" s="1"/>
  <c r="H1319" i="1" a="1"/>
  <c r="H1319" i="1" s="1"/>
  <c r="G1319" i="1" a="1"/>
  <c r="G1319" i="1" s="1"/>
  <c r="F1319" i="1" a="1"/>
  <c r="F1319" i="1" s="1"/>
  <c r="I1318" i="1" a="1"/>
  <c r="I1318" i="1" s="1"/>
  <c r="H1318" i="1" a="1"/>
  <c r="H1318" i="1" s="1"/>
  <c r="G1318" i="1" a="1"/>
  <c r="G1318" i="1" s="1"/>
  <c r="F1318" i="1" a="1"/>
  <c r="F1318" i="1" s="1"/>
  <c r="I1317" i="1" a="1"/>
  <c r="I1317" i="1" s="1"/>
  <c r="H1317" i="1" a="1"/>
  <c r="H1317" i="1" s="1"/>
  <c r="G1317" i="1" a="1"/>
  <c r="G1317" i="1" s="1"/>
  <c r="F1317" i="1" a="1"/>
  <c r="F1317" i="1" s="1"/>
  <c r="I1263" i="1" a="1"/>
  <c r="I1263" i="1" s="1"/>
  <c r="H1263" i="1" a="1"/>
  <c r="H1263" i="1" s="1"/>
  <c r="G1263" i="1" a="1"/>
  <c r="G1263" i="1" s="1"/>
  <c r="F1263" i="1" a="1"/>
  <c r="F1263" i="1" s="1"/>
  <c r="I1262" i="1" a="1"/>
  <c r="I1262" i="1" s="1"/>
  <c r="H1262" i="1" a="1"/>
  <c r="H1262" i="1" s="1"/>
  <c r="G1262" i="1" a="1"/>
  <c r="G1262" i="1" s="1"/>
  <c r="F1262" i="1" a="1"/>
  <c r="F1262" i="1" s="1"/>
  <c r="I1261" i="1" a="1"/>
  <c r="I1261" i="1" s="1"/>
  <c r="H1261" i="1" a="1"/>
  <c r="H1261" i="1" s="1"/>
  <c r="G1261" i="1" a="1"/>
  <c r="G1261" i="1" s="1"/>
  <c r="F1261" i="1" a="1"/>
  <c r="F1261" i="1" s="1"/>
  <c r="I1260" i="1" a="1"/>
  <c r="I1260" i="1" s="1"/>
  <c r="H1260" i="1" a="1"/>
  <c r="H1260" i="1" s="1"/>
  <c r="G1260" i="1" a="1"/>
  <c r="G1260" i="1" s="1"/>
  <c r="F1260" i="1" a="1"/>
  <c r="F1260" i="1" s="1"/>
  <c r="I1259" i="1" a="1"/>
  <c r="I1259" i="1" s="1"/>
  <c r="H1259" i="1" a="1"/>
  <c r="H1259" i="1" s="1"/>
  <c r="G1259" i="1" a="1"/>
  <c r="G1259" i="1" s="1"/>
  <c r="F1259" i="1" a="1"/>
  <c r="F1259" i="1" s="1"/>
  <c r="I1258" i="1" a="1"/>
  <c r="I1258" i="1" s="1"/>
  <c r="H1258" i="1" a="1"/>
  <c r="H1258" i="1" s="1"/>
  <c r="G1258" i="1" a="1"/>
  <c r="G1258" i="1" s="1"/>
  <c r="F1258" i="1" a="1"/>
  <c r="F1258" i="1" s="1"/>
  <c r="I1257" i="1" a="1"/>
  <c r="I1257" i="1" s="1"/>
  <c r="H1257" i="1" a="1"/>
  <c r="H1257" i="1" s="1"/>
  <c r="G1257" i="1" a="1"/>
  <c r="G1257" i="1" s="1"/>
  <c r="F1257" i="1" a="1"/>
  <c r="F1257" i="1" s="1"/>
  <c r="I1256" i="1" a="1"/>
  <c r="I1256" i="1" s="1"/>
  <c r="H1256" i="1" a="1"/>
  <c r="H1256" i="1" s="1"/>
  <c r="G1256" i="1" a="1"/>
  <c r="G1256" i="1" s="1"/>
  <c r="F1256" i="1" a="1"/>
  <c r="F1256" i="1" s="1"/>
  <c r="I1255" i="1" a="1"/>
  <c r="I1255" i="1" s="1"/>
  <c r="H1255" i="1" a="1"/>
  <c r="H1255" i="1" s="1"/>
  <c r="G1255" i="1" a="1"/>
  <c r="G1255" i="1" s="1"/>
  <c r="F1255" i="1" a="1"/>
  <c r="F1255" i="1" s="1"/>
  <c r="I1254" i="1" a="1"/>
  <c r="I1254" i="1" s="1"/>
  <c r="H1254" i="1" a="1"/>
  <c r="H1254" i="1" s="1"/>
  <c r="G1254" i="1" a="1"/>
  <c r="G1254" i="1" s="1"/>
  <c r="F1254" i="1" a="1"/>
  <c r="F1254" i="1" s="1"/>
  <c r="I1253" i="1" a="1"/>
  <c r="I1253" i="1" s="1"/>
  <c r="H1253" i="1" a="1"/>
  <c r="H1253" i="1" s="1"/>
  <c r="G1253" i="1" a="1"/>
  <c r="G1253" i="1" s="1"/>
  <c r="F1253" i="1" a="1"/>
  <c r="F1253" i="1" s="1"/>
  <c r="I1252" i="1" a="1"/>
  <c r="I1252" i="1" s="1"/>
  <c r="H1252" i="1" a="1"/>
  <c r="H1252" i="1" s="1"/>
  <c r="G1252" i="1" a="1"/>
  <c r="G1252" i="1" s="1"/>
  <c r="F1252" i="1" a="1"/>
  <c r="F1252" i="1" s="1"/>
  <c r="I1251" i="1" a="1"/>
  <c r="I1251" i="1" s="1"/>
  <c r="H1251" i="1" a="1"/>
  <c r="H1251" i="1" s="1"/>
  <c r="G1251" i="1" a="1"/>
  <c r="G1251" i="1" s="1"/>
  <c r="F1251" i="1" a="1"/>
  <c r="F1251" i="1" s="1"/>
  <c r="I1250" i="1" a="1"/>
  <c r="I1250" i="1" s="1"/>
  <c r="H1250" i="1" a="1"/>
  <c r="H1250" i="1" s="1"/>
  <c r="G1250" i="1" a="1"/>
  <c r="G1250" i="1" s="1"/>
  <c r="F1250" i="1" a="1"/>
  <c r="F1250" i="1" s="1"/>
  <c r="I1249" i="1" a="1"/>
  <c r="I1249" i="1" s="1"/>
  <c r="H1249" i="1" a="1"/>
  <c r="H1249" i="1" s="1"/>
  <c r="G1249" i="1" a="1"/>
  <c r="G1249" i="1" s="1"/>
  <c r="F1249" i="1" a="1"/>
  <c r="F1249" i="1" s="1"/>
  <c r="I1248" i="1" a="1"/>
  <c r="I1248" i="1" s="1"/>
  <c r="H1248" i="1" a="1"/>
  <c r="H1248" i="1" s="1"/>
  <c r="G1248" i="1" a="1"/>
  <c r="G1248" i="1" s="1"/>
  <c r="F1248" i="1" a="1"/>
  <c r="F1248" i="1" s="1"/>
  <c r="I1247" i="1" a="1"/>
  <c r="I1247" i="1" s="1"/>
  <c r="H1247" i="1" a="1"/>
  <c r="H1247" i="1" s="1"/>
  <c r="G1247" i="1" a="1"/>
  <c r="G1247" i="1" s="1"/>
  <c r="F1247" i="1" a="1"/>
  <c r="F1247" i="1" s="1"/>
  <c r="I1246" i="1" a="1"/>
  <c r="I1246" i="1" s="1"/>
  <c r="H1246" i="1" a="1"/>
  <c r="H1246" i="1" s="1"/>
  <c r="G1246" i="1" a="1"/>
  <c r="G1246" i="1" s="1"/>
  <c r="F1246" i="1" a="1"/>
  <c r="F1246" i="1" s="1"/>
  <c r="I1245" i="1" a="1"/>
  <c r="I1245" i="1" s="1"/>
  <c r="H1245" i="1" a="1"/>
  <c r="H1245" i="1" s="1"/>
  <c r="G1245" i="1" a="1"/>
  <c r="G1245" i="1" s="1"/>
  <c r="F1245" i="1" a="1"/>
  <c r="F1245" i="1" s="1"/>
  <c r="I1244" i="1" a="1"/>
  <c r="I1244" i="1" s="1"/>
  <c r="H1244" i="1" a="1"/>
  <c r="H1244" i="1" s="1"/>
  <c r="G1244" i="1" a="1"/>
  <c r="G1244" i="1" s="1"/>
  <c r="F1244" i="1" a="1"/>
  <c r="F1244" i="1" s="1"/>
  <c r="I1243" i="1" a="1"/>
  <c r="I1243" i="1" s="1"/>
  <c r="H1243" i="1" a="1"/>
  <c r="H1243" i="1" s="1"/>
  <c r="G1243" i="1" a="1"/>
  <c r="G1243" i="1" s="1"/>
  <c r="F1243" i="1" a="1"/>
  <c r="F1243" i="1" s="1"/>
  <c r="I1242" i="1" a="1"/>
  <c r="I1242" i="1" s="1"/>
  <c r="H1242" i="1" a="1"/>
  <c r="H1242" i="1" s="1"/>
  <c r="G1242" i="1" a="1"/>
  <c r="G1242" i="1" s="1"/>
  <c r="F1242" i="1" a="1"/>
  <c r="F1242" i="1" s="1"/>
  <c r="I1241" i="1" a="1"/>
  <c r="I1241" i="1" s="1"/>
  <c r="H1241" i="1" a="1"/>
  <c r="H1241" i="1" s="1"/>
  <c r="G1241" i="1" a="1"/>
  <c r="G1241" i="1" s="1"/>
  <c r="F1241" i="1" a="1"/>
  <c r="F1241" i="1" s="1"/>
  <c r="I1240" i="1" a="1"/>
  <c r="I1240" i="1" s="1"/>
  <c r="H1240" i="1" a="1"/>
  <c r="H1240" i="1" s="1"/>
  <c r="G1240" i="1" a="1"/>
  <c r="G1240" i="1" s="1"/>
  <c r="F1240" i="1" a="1"/>
  <c r="F1240" i="1" s="1"/>
  <c r="I1239" i="1" a="1"/>
  <c r="I1239" i="1" s="1"/>
  <c r="H1239" i="1" a="1"/>
  <c r="H1239" i="1" s="1"/>
  <c r="G1239" i="1" a="1"/>
  <c r="G1239" i="1" s="1"/>
  <c r="F1239" i="1" a="1"/>
  <c r="F1239" i="1" s="1"/>
  <c r="I1238" i="1" a="1"/>
  <c r="I1238" i="1" s="1"/>
  <c r="H1238" i="1" a="1"/>
  <c r="H1238" i="1" s="1"/>
  <c r="G1238" i="1" a="1"/>
  <c r="G1238" i="1" s="1"/>
  <c r="F1238" i="1" a="1"/>
  <c r="F1238" i="1" s="1"/>
  <c r="I1237" i="1" a="1"/>
  <c r="I1237" i="1" s="1"/>
  <c r="H1237" i="1" a="1"/>
  <c r="H1237" i="1" s="1"/>
  <c r="G1237" i="1" a="1"/>
  <c r="G1237" i="1" s="1"/>
  <c r="F1237" i="1" a="1"/>
  <c r="F1237" i="1" s="1"/>
  <c r="I1236" i="1" a="1"/>
  <c r="I1236" i="1" s="1"/>
  <c r="H1236" i="1" a="1"/>
  <c r="H1236" i="1" s="1"/>
  <c r="G1236" i="1" a="1"/>
  <c r="G1236" i="1" s="1"/>
  <c r="F1236" i="1" a="1"/>
  <c r="F1236" i="1" s="1"/>
  <c r="I1235" i="1" a="1"/>
  <c r="I1235" i="1" s="1"/>
  <c r="H1235" i="1" a="1"/>
  <c r="H1235" i="1" s="1"/>
  <c r="G1235" i="1" a="1"/>
  <c r="G1235" i="1" s="1"/>
  <c r="F1235" i="1" a="1"/>
  <c r="F1235" i="1" s="1"/>
  <c r="I1234" i="1" a="1"/>
  <c r="I1234" i="1" s="1"/>
  <c r="H1234" i="1" a="1"/>
  <c r="H1234" i="1" s="1"/>
  <c r="G1234" i="1" a="1"/>
  <c r="G1234" i="1" s="1"/>
  <c r="F1234" i="1" a="1"/>
  <c r="F1234" i="1" s="1"/>
  <c r="I1233" i="1" a="1"/>
  <c r="I1233" i="1" s="1"/>
  <c r="H1233" i="1" a="1"/>
  <c r="H1233" i="1" s="1"/>
  <c r="G1233" i="1" a="1"/>
  <c r="G1233" i="1" s="1"/>
  <c r="F1233" i="1" a="1"/>
  <c r="F1233" i="1" s="1"/>
  <c r="I1232" i="1" a="1"/>
  <c r="I1232" i="1" s="1"/>
  <c r="H1232" i="1" a="1"/>
  <c r="H1232" i="1" s="1"/>
  <c r="G1232" i="1" a="1"/>
  <c r="G1232" i="1" s="1"/>
  <c r="F1232" i="1" a="1"/>
  <c r="F1232" i="1" s="1"/>
  <c r="I1231" i="1" a="1"/>
  <c r="I1231" i="1" s="1"/>
  <c r="H1231" i="1" a="1"/>
  <c r="H1231" i="1" s="1"/>
  <c r="G1231" i="1" a="1"/>
  <c r="G1231" i="1" s="1"/>
  <c r="F1231" i="1" a="1"/>
  <c r="F1231" i="1" s="1"/>
  <c r="I1230" i="1" a="1"/>
  <c r="I1230" i="1" s="1"/>
  <c r="H1230" i="1" a="1"/>
  <c r="H1230" i="1" s="1"/>
  <c r="G1230" i="1" a="1"/>
  <c r="G1230" i="1" s="1"/>
  <c r="F1230" i="1" a="1"/>
  <c r="F1230" i="1" s="1"/>
  <c r="I1229" i="1" a="1"/>
  <c r="I1229" i="1" s="1"/>
  <c r="H1229" i="1" a="1"/>
  <c r="H1229" i="1" s="1"/>
  <c r="G1229" i="1" a="1"/>
  <c r="G1229" i="1" s="1"/>
  <c r="F1229" i="1" a="1"/>
  <c r="F1229" i="1" s="1"/>
  <c r="I1228" i="1" a="1"/>
  <c r="I1228" i="1" s="1"/>
  <c r="H1228" i="1" a="1"/>
  <c r="H1228" i="1" s="1"/>
  <c r="G1228" i="1" a="1"/>
  <c r="G1228" i="1" s="1"/>
  <c r="F1228" i="1" a="1"/>
  <c r="F1228" i="1" s="1"/>
  <c r="I1227" i="1" a="1"/>
  <c r="I1227" i="1" s="1"/>
  <c r="H1227" i="1" a="1"/>
  <c r="H1227" i="1" s="1"/>
  <c r="G1227" i="1" a="1"/>
  <c r="G1227" i="1" s="1"/>
  <c r="F1227" i="1" a="1"/>
  <c r="F1227" i="1" s="1"/>
  <c r="I1226" i="1" a="1"/>
  <c r="I1226" i="1" s="1"/>
  <c r="H1226" i="1" a="1"/>
  <c r="H1226" i="1" s="1"/>
  <c r="G1226" i="1" a="1"/>
  <c r="G1226" i="1" s="1"/>
  <c r="F1226" i="1" a="1"/>
  <c r="F1226" i="1" s="1"/>
  <c r="I1225" i="1" a="1"/>
  <c r="I1225" i="1" s="1"/>
  <c r="H1225" i="1" a="1"/>
  <c r="H1225" i="1" s="1"/>
  <c r="G1225" i="1" a="1"/>
  <c r="G1225" i="1" s="1"/>
  <c r="F1225" i="1" a="1"/>
  <c r="F1225" i="1" s="1"/>
  <c r="I1224" i="1" a="1"/>
  <c r="I1224" i="1" s="1"/>
  <c r="H1224" i="1" a="1"/>
  <c r="H1224" i="1" s="1"/>
  <c r="G1224" i="1" a="1"/>
  <c r="G1224" i="1" s="1"/>
  <c r="F1224" i="1" a="1"/>
  <c r="F1224" i="1" s="1"/>
  <c r="I1223" i="1" a="1"/>
  <c r="I1223" i="1" s="1"/>
  <c r="H1223" i="1" a="1"/>
  <c r="H1223" i="1" s="1"/>
  <c r="G1223" i="1" a="1"/>
  <c r="G1223" i="1" s="1"/>
  <c r="F1223" i="1" a="1"/>
  <c r="F1223" i="1" s="1"/>
  <c r="I1222" i="1" a="1"/>
  <c r="I1222" i="1" s="1"/>
  <c r="H1222" i="1" a="1"/>
  <c r="H1222" i="1" s="1"/>
  <c r="G1222" i="1" a="1"/>
  <c r="G1222" i="1" s="1"/>
  <c r="F1222" i="1" a="1"/>
  <c r="F1222" i="1" s="1"/>
  <c r="I1221" i="1" a="1"/>
  <c r="I1221" i="1" s="1"/>
  <c r="H1221" i="1" a="1"/>
  <c r="H1221" i="1" s="1"/>
  <c r="G1221" i="1" a="1"/>
  <c r="G1221" i="1" s="1"/>
  <c r="F1221" i="1" a="1"/>
  <c r="F1221" i="1" s="1"/>
  <c r="I1220" i="1" a="1"/>
  <c r="I1220" i="1" s="1"/>
  <c r="H1220" i="1" a="1"/>
  <c r="H1220" i="1" s="1"/>
  <c r="G1220" i="1" a="1"/>
  <c r="G1220" i="1" s="1"/>
  <c r="F1220" i="1" a="1"/>
  <c r="F1220" i="1" s="1"/>
  <c r="I1219" i="1" a="1"/>
  <c r="I1219" i="1" s="1"/>
  <c r="H1219" i="1" a="1"/>
  <c r="H1219" i="1" s="1"/>
  <c r="G1219" i="1" a="1"/>
  <c r="G1219" i="1" s="1"/>
  <c r="F1219" i="1" a="1"/>
  <c r="F1219" i="1" s="1"/>
  <c r="I1218" i="1" a="1"/>
  <c r="I1218" i="1" s="1"/>
  <c r="H1218" i="1" a="1"/>
  <c r="H1218" i="1" s="1"/>
  <c r="G1218" i="1" a="1"/>
  <c r="G1218" i="1" s="1"/>
  <c r="F1218" i="1" a="1"/>
  <c r="F1218" i="1" s="1"/>
  <c r="I1217" i="1" a="1"/>
  <c r="I1217" i="1" s="1"/>
  <c r="H1217" i="1" a="1"/>
  <c r="H1217" i="1" s="1"/>
  <c r="G1217" i="1" a="1"/>
  <c r="G1217" i="1" s="1"/>
  <c r="F1217" i="1" a="1"/>
  <c r="F1217" i="1" s="1"/>
  <c r="I1216" i="1" a="1"/>
  <c r="I1216" i="1" s="1"/>
  <c r="H1216" i="1" a="1"/>
  <c r="H1216" i="1" s="1"/>
  <c r="G1216" i="1" a="1"/>
  <c r="G1216" i="1" s="1"/>
  <c r="F1216" i="1" a="1"/>
  <c r="F1216" i="1" s="1"/>
  <c r="I1215" i="1" a="1"/>
  <c r="I1215" i="1" s="1"/>
  <c r="H1215" i="1" a="1"/>
  <c r="H1215" i="1" s="1"/>
  <c r="G1215" i="1" a="1"/>
  <c r="G1215" i="1" s="1"/>
  <c r="F1215" i="1" a="1"/>
  <c r="F1215" i="1" s="1"/>
  <c r="I1214" i="1" a="1"/>
  <c r="I1214" i="1" s="1"/>
  <c r="H1214" i="1" a="1"/>
  <c r="H1214" i="1" s="1"/>
  <c r="G1214" i="1" a="1"/>
  <c r="G1214" i="1" s="1"/>
  <c r="F1214" i="1" a="1"/>
  <c r="F1214" i="1" s="1"/>
  <c r="I1212" i="1" a="1"/>
  <c r="I1212" i="1" s="1"/>
  <c r="H1212" i="1" a="1"/>
  <c r="H1212" i="1" s="1"/>
  <c r="G1212" i="1" a="1"/>
  <c r="G1212" i="1" s="1"/>
  <c r="F1212" i="1" a="1"/>
  <c r="F1212" i="1" s="1"/>
  <c r="I1211" i="1" a="1"/>
  <c r="I1211" i="1" s="1"/>
  <c r="H1211" i="1" a="1"/>
  <c r="H1211" i="1" s="1"/>
  <c r="G1211" i="1" a="1"/>
  <c r="G1211" i="1" s="1"/>
  <c r="F1211" i="1" a="1"/>
  <c r="F1211" i="1" s="1"/>
  <c r="I1210" i="1" a="1"/>
  <c r="I1210" i="1" s="1"/>
  <c r="H1210" i="1" a="1"/>
  <c r="H1210" i="1" s="1"/>
  <c r="G1210" i="1" a="1"/>
  <c r="G1210" i="1" s="1"/>
  <c r="F1210" i="1" a="1"/>
  <c r="F1210" i="1" s="1"/>
  <c r="I1209" i="1" a="1"/>
  <c r="I1209" i="1" s="1"/>
  <c r="H1209" i="1" a="1"/>
  <c r="H1209" i="1" s="1"/>
  <c r="G1209" i="1" a="1"/>
  <c r="G1209" i="1" s="1"/>
  <c r="F1209" i="1" a="1"/>
  <c r="F1209" i="1" s="1"/>
  <c r="I1208" i="1" a="1"/>
  <c r="I1208" i="1" s="1"/>
  <c r="H1208" i="1" a="1"/>
  <c r="H1208" i="1" s="1"/>
  <c r="G1208" i="1" a="1"/>
  <c r="G1208" i="1" s="1"/>
  <c r="F1208" i="1" a="1"/>
  <c r="F1208" i="1" s="1"/>
  <c r="I1202" i="1" a="1"/>
  <c r="I1202" i="1" s="1"/>
  <c r="H1202" i="1" a="1"/>
  <c r="H1202" i="1" s="1"/>
  <c r="G1202" i="1" a="1"/>
  <c r="G1202" i="1" s="1"/>
  <c r="F1202" i="1" a="1"/>
  <c r="F1202" i="1" s="1"/>
  <c r="I1201" i="1" a="1"/>
  <c r="I1201" i="1" s="1"/>
  <c r="H1201" i="1" a="1"/>
  <c r="H1201" i="1" s="1"/>
  <c r="G1201" i="1" a="1"/>
  <c r="G1201" i="1" s="1"/>
  <c r="F1201" i="1" a="1"/>
  <c r="F1201" i="1" s="1"/>
  <c r="I1200" i="1" a="1"/>
  <c r="I1200" i="1" s="1"/>
  <c r="H1200" i="1" a="1"/>
  <c r="H1200" i="1" s="1"/>
  <c r="G1200" i="1" a="1"/>
  <c r="G1200" i="1" s="1"/>
  <c r="F1200" i="1" a="1"/>
  <c r="F1200" i="1" s="1"/>
  <c r="I1199" i="1" a="1"/>
  <c r="I1199" i="1" s="1"/>
  <c r="H1199" i="1" a="1"/>
  <c r="H1199" i="1" s="1"/>
  <c r="G1199" i="1" a="1"/>
  <c r="G1199" i="1" s="1"/>
  <c r="F1199" i="1" a="1"/>
  <c r="F1199" i="1" s="1"/>
  <c r="I1198" i="1" a="1"/>
  <c r="I1198" i="1" s="1"/>
  <c r="H1198" i="1" a="1"/>
  <c r="H1198" i="1" s="1"/>
  <c r="G1198" i="1" a="1"/>
  <c r="G1198" i="1" s="1"/>
  <c r="F1198" i="1" a="1"/>
  <c r="F1198" i="1" s="1"/>
  <c r="I1197" i="1" a="1"/>
  <c r="I1197" i="1" s="1"/>
  <c r="H1197" i="1" a="1"/>
  <c r="H1197" i="1" s="1"/>
  <c r="G1197" i="1" a="1"/>
  <c r="G1197" i="1" s="1"/>
  <c r="F1197" i="1" a="1"/>
  <c r="F1197" i="1" s="1"/>
  <c r="I1196" i="1" a="1"/>
  <c r="I1196" i="1" s="1"/>
  <c r="H1196" i="1" a="1"/>
  <c r="H1196" i="1" s="1"/>
  <c r="G1196" i="1" a="1"/>
  <c r="G1196" i="1" s="1"/>
  <c r="F1196" i="1" a="1"/>
  <c r="F1196" i="1" s="1"/>
  <c r="I1195" i="1" a="1"/>
  <c r="I1195" i="1" s="1"/>
  <c r="H1195" i="1" a="1"/>
  <c r="H1195" i="1" s="1"/>
  <c r="G1195" i="1" a="1"/>
  <c r="G1195" i="1" s="1"/>
  <c r="F1195" i="1" a="1"/>
  <c r="F1195" i="1" s="1"/>
  <c r="I1194" i="1" a="1"/>
  <c r="I1194" i="1" s="1"/>
  <c r="H1194" i="1" a="1"/>
  <c r="H1194" i="1" s="1"/>
  <c r="G1194" i="1" a="1"/>
  <c r="G1194" i="1" s="1"/>
  <c r="F1194" i="1" a="1"/>
  <c r="F1194" i="1" s="1"/>
  <c r="I1193" i="1" a="1"/>
  <c r="I1193" i="1" s="1"/>
  <c r="H1193" i="1" a="1"/>
  <c r="H1193" i="1" s="1"/>
  <c r="G1193" i="1" a="1"/>
  <c r="G1193" i="1" s="1"/>
  <c r="F1193" i="1" a="1"/>
  <c r="F1193" i="1" s="1"/>
  <c r="I1192" i="1" a="1"/>
  <c r="I1192" i="1" s="1"/>
  <c r="H1192" i="1" a="1"/>
  <c r="H1192" i="1" s="1"/>
  <c r="G1192" i="1" a="1"/>
  <c r="G1192" i="1" s="1"/>
  <c r="F1192" i="1" a="1"/>
  <c r="F1192" i="1" s="1"/>
  <c r="I1191" i="1" a="1"/>
  <c r="I1191" i="1" s="1"/>
  <c r="H1191" i="1" a="1"/>
  <c r="H1191" i="1" s="1"/>
  <c r="G1191" i="1" a="1"/>
  <c r="G1191" i="1" s="1"/>
  <c r="F1191" i="1" a="1"/>
  <c r="F1191" i="1" s="1"/>
  <c r="I1190" i="1" a="1"/>
  <c r="I1190" i="1" s="1"/>
  <c r="H1190" i="1" a="1"/>
  <c r="H1190" i="1" s="1"/>
  <c r="G1190" i="1" a="1"/>
  <c r="G1190" i="1" s="1"/>
  <c r="F1190" i="1" a="1"/>
  <c r="F1190" i="1" s="1"/>
  <c r="I1189" i="1" a="1"/>
  <c r="I1189" i="1" s="1"/>
  <c r="H1189" i="1" a="1"/>
  <c r="H1189" i="1" s="1"/>
  <c r="G1189" i="1" a="1"/>
  <c r="G1189" i="1" s="1"/>
  <c r="F1189" i="1" a="1"/>
  <c r="F1189" i="1" s="1"/>
  <c r="I1188" i="1" a="1"/>
  <c r="I1188" i="1" s="1"/>
  <c r="H1188" i="1" a="1"/>
  <c r="H1188" i="1" s="1"/>
  <c r="G1188" i="1" a="1"/>
  <c r="G1188" i="1" s="1"/>
  <c r="F1188" i="1" a="1"/>
  <c r="F1188" i="1" s="1"/>
  <c r="I1187" i="1" a="1"/>
  <c r="I1187" i="1" s="1"/>
  <c r="H1187" i="1" a="1"/>
  <c r="H1187" i="1" s="1"/>
  <c r="G1187" i="1" a="1"/>
  <c r="G1187" i="1" s="1"/>
  <c r="F1187" i="1" a="1"/>
  <c r="F1187" i="1" s="1"/>
  <c r="I1186" i="1" a="1"/>
  <c r="I1186" i="1" s="1"/>
  <c r="H1186" i="1" a="1"/>
  <c r="H1186" i="1" s="1"/>
  <c r="G1186" i="1" a="1"/>
  <c r="G1186" i="1" s="1"/>
  <c r="F1186" i="1" a="1"/>
  <c r="F1186" i="1" s="1"/>
  <c r="I1185" i="1" a="1"/>
  <c r="I1185" i="1" s="1"/>
  <c r="H1185" i="1" a="1"/>
  <c r="H1185" i="1" s="1"/>
  <c r="G1185" i="1" a="1"/>
  <c r="G1185" i="1" s="1"/>
  <c r="F1185" i="1" a="1"/>
  <c r="F1185" i="1" s="1"/>
  <c r="I1179" i="1" a="1"/>
  <c r="I1179" i="1" s="1"/>
  <c r="H1179" i="1" a="1"/>
  <c r="H1179" i="1" s="1"/>
  <c r="G1179" i="1" a="1"/>
  <c r="G1179" i="1" s="1"/>
  <c r="F1179" i="1" a="1"/>
  <c r="F1179" i="1" s="1"/>
  <c r="I1178" i="1" a="1"/>
  <c r="I1178" i="1" s="1"/>
  <c r="H1178" i="1" a="1"/>
  <c r="H1178" i="1" s="1"/>
  <c r="G1178" i="1" a="1"/>
  <c r="G1178" i="1" s="1"/>
  <c r="F1178" i="1" a="1"/>
  <c r="F1178" i="1" s="1"/>
  <c r="I1177" i="1" a="1"/>
  <c r="I1177" i="1" s="1"/>
  <c r="H1177" i="1" a="1"/>
  <c r="H1177" i="1" s="1"/>
  <c r="G1177" i="1" a="1"/>
  <c r="G1177" i="1" s="1"/>
  <c r="F1177" i="1" a="1"/>
  <c r="F1177" i="1" s="1"/>
  <c r="I1176" i="1" a="1"/>
  <c r="I1176" i="1" s="1"/>
  <c r="H1176" i="1" a="1"/>
  <c r="H1176" i="1" s="1"/>
  <c r="G1176" i="1" a="1"/>
  <c r="G1176" i="1" s="1"/>
  <c r="F1176" i="1" a="1"/>
  <c r="F1176" i="1" s="1"/>
  <c r="I1175" i="1" a="1"/>
  <c r="I1175" i="1" s="1"/>
  <c r="H1175" i="1" a="1"/>
  <c r="H1175" i="1" s="1"/>
  <c r="G1175" i="1" a="1"/>
  <c r="G1175" i="1" s="1"/>
  <c r="F1175" i="1" a="1"/>
  <c r="F1175" i="1" s="1"/>
  <c r="I1174" i="1" a="1"/>
  <c r="I1174" i="1" s="1"/>
  <c r="H1174" i="1" a="1"/>
  <c r="H1174" i="1" s="1"/>
  <c r="G1174" i="1" a="1"/>
  <c r="G1174" i="1" s="1"/>
  <c r="F1174" i="1" a="1"/>
  <c r="F1174" i="1" s="1"/>
  <c r="I1173" i="1" a="1"/>
  <c r="I1173" i="1" s="1"/>
  <c r="H1173" i="1" a="1"/>
  <c r="H1173" i="1" s="1"/>
  <c r="G1173" i="1" a="1"/>
  <c r="G1173" i="1" s="1"/>
  <c r="F1173" i="1" a="1"/>
  <c r="F1173" i="1" s="1"/>
  <c r="I1172" i="1" a="1"/>
  <c r="I1172" i="1" s="1"/>
  <c r="H1172" i="1" a="1"/>
  <c r="H1172" i="1" s="1"/>
  <c r="G1172" i="1" a="1"/>
  <c r="G1172" i="1" s="1"/>
  <c r="F1172" i="1" a="1"/>
  <c r="F1172" i="1" s="1"/>
  <c r="I1171" i="1" a="1"/>
  <c r="I1171" i="1" s="1"/>
  <c r="H1171" i="1" a="1"/>
  <c r="H1171" i="1" s="1"/>
  <c r="G1171" i="1" a="1"/>
  <c r="G1171" i="1" s="1"/>
  <c r="F1171" i="1" a="1"/>
  <c r="F1171" i="1" s="1"/>
  <c r="I1170" i="1" a="1"/>
  <c r="I1170" i="1" s="1"/>
  <c r="H1170" i="1" a="1"/>
  <c r="H1170" i="1" s="1"/>
  <c r="G1170" i="1" a="1"/>
  <c r="G1170" i="1" s="1"/>
  <c r="F1170" i="1" a="1"/>
  <c r="F1170" i="1" s="1"/>
  <c r="I1169" i="1" a="1"/>
  <c r="I1169" i="1" s="1"/>
  <c r="H1169" i="1" a="1"/>
  <c r="H1169" i="1" s="1"/>
  <c r="G1169" i="1" a="1"/>
  <c r="G1169" i="1" s="1"/>
  <c r="F1169" i="1" a="1"/>
  <c r="F1169" i="1" s="1"/>
  <c r="I1168" i="1" a="1"/>
  <c r="I1168" i="1" s="1"/>
  <c r="H1168" i="1" a="1"/>
  <c r="H1168" i="1" s="1"/>
  <c r="G1168" i="1" a="1"/>
  <c r="G1168" i="1" s="1"/>
  <c r="F1168" i="1" a="1"/>
  <c r="F1168" i="1" s="1"/>
  <c r="I1167" i="1" a="1"/>
  <c r="I1167" i="1" s="1"/>
  <c r="H1167" i="1" a="1"/>
  <c r="H1167" i="1" s="1"/>
  <c r="G1167" i="1" a="1"/>
  <c r="G1167" i="1" s="1"/>
  <c r="F1167" i="1" a="1"/>
  <c r="F1167" i="1" s="1"/>
  <c r="I1166" i="1" a="1"/>
  <c r="I1166" i="1" s="1"/>
  <c r="H1166" i="1" a="1"/>
  <c r="H1166" i="1" s="1"/>
  <c r="G1166" i="1" a="1"/>
  <c r="G1166" i="1" s="1"/>
  <c r="F1166" i="1" a="1"/>
  <c r="F1166" i="1" s="1"/>
  <c r="I1165" i="1" a="1"/>
  <c r="I1165" i="1" s="1"/>
  <c r="H1165" i="1" a="1"/>
  <c r="H1165" i="1" s="1"/>
  <c r="G1165" i="1" a="1"/>
  <c r="G1165" i="1" s="1"/>
  <c r="F1165" i="1" a="1"/>
  <c r="F1165" i="1" s="1"/>
  <c r="I1164" i="1" a="1"/>
  <c r="I1164" i="1" s="1"/>
  <c r="H1164" i="1" a="1"/>
  <c r="H1164" i="1" s="1"/>
  <c r="G1164" i="1" a="1"/>
  <c r="G1164" i="1" s="1"/>
  <c r="F1164" i="1" a="1"/>
  <c r="F1164" i="1" s="1"/>
  <c r="I1163" i="1" a="1"/>
  <c r="I1163" i="1" s="1"/>
  <c r="H1163" i="1" a="1"/>
  <c r="H1163" i="1" s="1"/>
  <c r="G1163" i="1" a="1"/>
  <c r="G1163" i="1" s="1"/>
  <c r="F1163" i="1" a="1"/>
  <c r="F1163" i="1" s="1"/>
  <c r="I1162" i="1" a="1"/>
  <c r="I1162" i="1" s="1"/>
  <c r="H1162" i="1" a="1"/>
  <c r="H1162" i="1" s="1"/>
  <c r="G1162" i="1" a="1"/>
  <c r="G1162" i="1" s="1"/>
  <c r="F1162" i="1" a="1"/>
  <c r="F1162" i="1" s="1"/>
  <c r="I1156" i="1" a="1"/>
  <c r="I1156" i="1" s="1"/>
  <c r="H1156" i="1" a="1"/>
  <c r="H1156" i="1" s="1"/>
  <c r="G1156" i="1" a="1"/>
  <c r="G1156" i="1" s="1"/>
  <c r="F1156" i="1" a="1"/>
  <c r="F1156" i="1" s="1"/>
  <c r="I1155" i="1" a="1"/>
  <c r="I1155" i="1" s="1"/>
  <c r="H1155" i="1" a="1"/>
  <c r="H1155" i="1" s="1"/>
  <c r="G1155" i="1" a="1"/>
  <c r="G1155" i="1" s="1"/>
  <c r="F1155" i="1" a="1"/>
  <c r="F1155" i="1" s="1"/>
  <c r="I1154" i="1" a="1"/>
  <c r="I1154" i="1" s="1"/>
  <c r="H1154" i="1" a="1"/>
  <c r="H1154" i="1" s="1"/>
  <c r="G1154" i="1" a="1"/>
  <c r="G1154" i="1" s="1"/>
  <c r="F1154" i="1" a="1"/>
  <c r="F1154" i="1" s="1"/>
  <c r="I1153" i="1" a="1"/>
  <c r="I1153" i="1" s="1"/>
  <c r="H1153" i="1" a="1"/>
  <c r="H1153" i="1" s="1"/>
  <c r="G1153" i="1" a="1"/>
  <c r="G1153" i="1" s="1"/>
  <c r="F1153" i="1" a="1"/>
  <c r="F1153" i="1" s="1"/>
  <c r="I1151" i="1"/>
  <c r="H1151" i="1"/>
  <c r="G1151" i="1"/>
  <c r="F1151" i="1"/>
  <c r="I1150" i="1" a="1"/>
  <c r="I1150" i="1" s="1"/>
  <c r="H1150" i="1" a="1"/>
  <c r="H1150" i="1" s="1"/>
  <c r="G1150" i="1" a="1"/>
  <c r="G1150" i="1" s="1"/>
  <c r="F1150" i="1" a="1"/>
  <c r="F1150" i="1" s="1"/>
  <c r="I1149" i="1" a="1"/>
  <c r="I1149" i="1" s="1"/>
  <c r="H1149" i="1" a="1"/>
  <c r="H1149" i="1" s="1"/>
  <c r="G1149" i="1" a="1"/>
  <c r="G1149" i="1" s="1"/>
  <c r="F1149" i="1" a="1"/>
  <c r="F1149" i="1" s="1"/>
  <c r="I1148" i="1" a="1"/>
  <c r="I1148" i="1" s="1"/>
  <c r="H1148" i="1" a="1"/>
  <c r="H1148" i="1" s="1"/>
  <c r="G1148" i="1" a="1"/>
  <c r="G1148" i="1" s="1"/>
  <c r="F1148" i="1" a="1"/>
  <c r="F1148" i="1" s="1"/>
  <c r="I1147" i="1" a="1"/>
  <c r="I1147" i="1" s="1"/>
  <c r="H1147" i="1" a="1"/>
  <c r="H1147" i="1" s="1"/>
  <c r="G1147" i="1" a="1"/>
  <c r="G1147" i="1" s="1"/>
  <c r="F1147" i="1" a="1"/>
  <c r="F1147" i="1" s="1"/>
  <c r="I1146" i="1" a="1"/>
  <c r="I1146" i="1" s="1"/>
  <c r="H1146" i="1" a="1"/>
  <c r="H1146" i="1" s="1"/>
  <c r="G1146" i="1" a="1"/>
  <c r="G1146" i="1" s="1"/>
  <c r="F1146" i="1" a="1"/>
  <c r="F1146" i="1" s="1"/>
  <c r="I1145" i="1" a="1"/>
  <c r="I1145" i="1" s="1"/>
  <c r="H1145" i="1" a="1"/>
  <c r="H1145" i="1" s="1"/>
  <c r="G1145" i="1" a="1"/>
  <c r="G1145" i="1" s="1"/>
  <c r="F1145" i="1" a="1"/>
  <c r="F1145" i="1" s="1"/>
  <c r="I1144" i="1" a="1"/>
  <c r="I1144" i="1" s="1"/>
  <c r="H1144" i="1" a="1"/>
  <c r="H1144" i="1" s="1"/>
  <c r="G1144" i="1" a="1"/>
  <c r="G1144" i="1" s="1"/>
  <c r="F1144" i="1" a="1"/>
  <c r="F1144" i="1" s="1"/>
  <c r="I1143" i="1" a="1"/>
  <c r="I1143" i="1" s="1"/>
  <c r="H1143" i="1" a="1"/>
  <c r="H1143" i="1" s="1"/>
  <c r="G1143" i="1" a="1"/>
  <c r="G1143" i="1" s="1"/>
  <c r="F1143" i="1" a="1"/>
  <c r="F1143" i="1" s="1"/>
  <c r="I1142" i="1" a="1"/>
  <c r="I1142" i="1" s="1"/>
  <c r="H1142" i="1" a="1"/>
  <c r="H1142" i="1" s="1"/>
  <c r="G1142" i="1" a="1"/>
  <c r="G1142" i="1" s="1"/>
  <c r="F1142" i="1" a="1"/>
  <c r="F1142" i="1" s="1"/>
  <c r="I1141" i="1" a="1"/>
  <c r="I1141" i="1" s="1"/>
  <c r="H1141" i="1" a="1"/>
  <c r="H1141" i="1" s="1"/>
  <c r="G1141" i="1" a="1"/>
  <c r="G1141" i="1" s="1"/>
  <c r="F1141" i="1" a="1"/>
  <c r="F1141" i="1" s="1"/>
  <c r="I1140" i="1" a="1"/>
  <c r="I1140" i="1" s="1"/>
  <c r="H1140" i="1" a="1"/>
  <c r="H1140" i="1" s="1"/>
  <c r="G1140" i="1" a="1"/>
  <c r="G1140" i="1" s="1"/>
  <c r="F1140" i="1" a="1"/>
  <c r="F1140" i="1" s="1"/>
  <c r="I1139" i="1" a="1"/>
  <c r="I1139" i="1" s="1"/>
  <c r="H1139" i="1" a="1"/>
  <c r="H1139" i="1" s="1"/>
  <c r="G1139" i="1" a="1"/>
  <c r="G1139" i="1" s="1"/>
  <c r="F1139" i="1" a="1"/>
  <c r="F1139" i="1" s="1"/>
  <c r="I1138" i="1" a="1"/>
  <c r="I1138" i="1" s="1"/>
  <c r="H1138" i="1" a="1"/>
  <c r="H1138" i="1" s="1"/>
  <c r="G1138" i="1" a="1"/>
  <c r="G1138" i="1" s="1"/>
  <c r="F1138" i="1" a="1"/>
  <c r="F1138" i="1" s="1"/>
  <c r="I1082" i="1"/>
  <c r="H1082" i="1"/>
  <c r="G1082" i="1"/>
  <c r="F1082" i="1"/>
  <c r="I1081" i="1"/>
  <c r="I1107" i="1" s="1"/>
  <c r="H1081" i="1"/>
  <c r="H1107" i="1" s="1"/>
  <c r="G1081" i="1"/>
  <c r="G1107" i="1" s="1"/>
  <c r="F1081" i="1"/>
  <c r="F1107" i="1" s="1"/>
  <c r="I1080" i="1"/>
  <c r="I1106" i="1" s="1"/>
  <c r="H1080" i="1"/>
  <c r="H1106" i="1" s="1"/>
  <c r="G1080" i="1"/>
  <c r="G1106" i="1" s="1"/>
  <c r="F1080" i="1"/>
  <c r="F1106" i="1" s="1"/>
  <c r="I1078" i="1"/>
  <c r="I1104" i="1" s="1"/>
  <c r="H1078" i="1"/>
  <c r="H1104" i="1" s="1"/>
  <c r="G1078" i="1"/>
  <c r="G1104" i="1" s="1"/>
  <c r="F1078" i="1"/>
  <c r="F1104" i="1" s="1"/>
  <c r="I1076" i="1"/>
  <c r="I1102" i="1" s="1"/>
  <c r="H1076" i="1"/>
  <c r="H1102" i="1" s="1"/>
  <c r="G1076" i="1"/>
  <c r="G1102" i="1" s="1"/>
  <c r="F1076" i="1"/>
  <c r="F1102" i="1" s="1"/>
  <c r="I1074" i="1"/>
  <c r="I1100" i="1" s="1"/>
  <c r="H1074" i="1"/>
  <c r="H1100" i="1" s="1"/>
  <c r="G1074" i="1"/>
  <c r="G1100" i="1" s="1"/>
  <c r="F1074" i="1"/>
  <c r="F1100" i="1" s="1"/>
  <c r="I1068" i="1"/>
  <c r="I1094" i="1" s="1"/>
  <c r="H1068" i="1"/>
  <c r="H1094" i="1" s="1"/>
  <c r="G1068" i="1"/>
  <c r="G1094" i="1" s="1"/>
  <c r="F1068" i="1"/>
  <c r="F1094" i="1" s="1"/>
  <c r="I1067" i="1"/>
  <c r="H1067" i="1"/>
  <c r="G1067" i="1"/>
  <c r="F1067" i="1"/>
  <c r="I1066" i="1"/>
  <c r="H1066" i="1"/>
  <c r="G1066" i="1"/>
  <c r="F1066" i="1"/>
  <c r="I1064" i="1"/>
  <c r="I1090" i="1" s="1"/>
  <c r="H1064" i="1"/>
  <c r="H1090" i="1" s="1"/>
  <c r="G1064" i="1"/>
  <c r="G1090" i="1" s="1"/>
  <c r="F1064" i="1"/>
  <c r="F1090" i="1" s="1"/>
  <c r="I1063" i="1"/>
  <c r="I1089" i="1" s="1"/>
  <c r="H1063" i="1"/>
  <c r="H1089" i="1" s="1"/>
  <c r="G1063" i="1"/>
  <c r="G1089" i="1" s="1"/>
  <c r="F1063" i="1"/>
  <c r="F1089" i="1" s="1"/>
  <c r="I1061" i="1"/>
  <c r="I1087" i="1" s="1"/>
  <c r="H1061" i="1"/>
  <c r="H1087" i="1" s="1"/>
  <c r="G1061" i="1"/>
  <c r="G1087" i="1" s="1"/>
  <c r="F1061" i="1"/>
  <c r="F1087" i="1" s="1"/>
  <c r="I1059" i="1"/>
  <c r="I1085" i="1" s="1"/>
  <c r="H1059" i="1"/>
  <c r="H1085" i="1" s="1"/>
  <c r="G1059" i="1"/>
  <c r="G1085" i="1" s="1"/>
  <c r="F1059" i="1"/>
  <c r="F1085" i="1" s="1"/>
  <c r="I1058" i="1"/>
  <c r="I1084" i="1" s="1"/>
  <c r="H1058" i="1"/>
  <c r="H1084" i="1" s="1"/>
  <c r="G1058" i="1"/>
  <c r="G1084" i="1" s="1"/>
  <c r="F1058" i="1"/>
  <c r="F1084" i="1" s="1"/>
  <c r="I1056" i="1"/>
  <c r="H1056" i="1"/>
  <c r="G1056" i="1"/>
  <c r="F1056" i="1"/>
  <c r="I1055" i="1"/>
  <c r="H1055" i="1"/>
  <c r="G1055" i="1"/>
  <c r="F1055" i="1"/>
  <c r="I1048" i="1"/>
  <c r="H1048" i="1"/>
  <c r="G1048" i="1"/>
  <c r="F1048" i="1"/>
  <c r="I1042" i="1"/>
  <c r="H1042" i="1"/>
  <c r="G1042" i="1"/>
  <c r="F1042" i="1"/>
  <c r="I1041" i="1" a="1"/>
  <c r="I1041" i="1" s="1"/>
  <c r="H1041" i="1" a="1"/>
  <c r="H1041" i="1" s="1"/>
  <c r="G1041" i="1" a="1"/>
  <c r="G1041" i="1" s="1"/>
  <c r="F1041" i="1" a="1"/>
  <c r="F1041" i="1" s="1"/>
  <c r="I1039" i="1" a="1"/>
  <c r="I1039" i="1" s="1"/>
  <c r="H1039" i="1" a="1"/>
  <c r="H1039" i="1" s="1"/>
  <c r="G1039" i="1" a="1"/>
  <c r="G1039" i="1" s="1"/>
  <c r="F1039" i="1" a="1"/>
  <c r="F1039" i="1" s="1"/>
  <c r="I1035" i="1"/>
  <c r="H1035" i="1"/>
  <c r="G1035" i="1"/>
  <c r="F1035" i="1"/>
  <c r="I1032" i="1" a="1"/>
  <c r="I1032" i="1" s="1"/>
  <c r="H1032" i="1" a="1"/>
  <c r="H1032" i="1" s="1"/>
  <c r="G1032" i="1" a="1"/>
  <c r="G1032" i="1" s="1"/>
  <c r="F1032" i="1" a="1"/>
  <c r="F1032" i="1" s="1"/>
  <c r="I1030" i="1"/>
  <c r="H1030" i="1"/>
  <c r="G1030" i="1"/>
  <c r="F1030" i="1"/>
  <c r="I1029" i="1" a="1"/>
  <c r="I1029" i="1" s="1"/>
  <c r="H1029" i="1" a="1"/>
  <c r="H1029" i="1" s="1"/>
  <c r="G1029" i="1" a="1"/>
  <c r="G1029" i="1" s="1"/>
  <c r="F1029" i="1" a="1"/>
  <c r="F1029" i="1" s="1"/>
  <c r="I1027" i="1" a="1"/>
  <c r="I1027" i="1" s="1"/>
  <c r="H1027" i="1" a="1"/>
  <c r="H1027" i="1" s="1"/>
  <c r="G1027" i="1" a="1"/>
  <c r="G1027" i="1" s="1"/>
  <c r="F1027" i="1" a="1"/>
  <c r="F1027" i="1" s="1"/>
  <c r="I1024" i="1" a="1"/>
  <c r="I1024" i="1" s="1"/>
  <c r="H1024" i="1" a="1"/>
  <c r="H1024" i="1" s="1"/>
  <c r="G1024" i="1" a="1"/>
  <c r="G1024" i="1" s="1"/>
  <c r="F1024" i="1" a="1"/>
  <c r="F1024" i="1" s="1"/>
  <c r="I1015" i="1"/>
  <c r="H1015" i="1"/>
  <c r="G1015" i="1"/>
  <c r="F1015" i="1"/>
  <c r="I1008" i="1" a="1"/>
  <c r="I1008" i="1" s="1"/>
  <c r="I1054" i="1" s="1" a="1"/>
  <c r="I1054" i="1" s="1"/>
  <c r="H1008" i="1" a="1"/>
  <c r="H1008" i="1" s="1"/>
  <c r="H1054" i="1" s="1" a="1"/>
  <c r="H1054" i="1" s="1"/>
  <c r="G1008" i="1" a="1"/>
  <c r="G1008" i="1" s="1"/>
  <c r="G1054" i="1" s="1" a="1"/>
  <c r="G1054" i="1" s="1"/>
  <c r="F1008" i="1" a="1"/>
  <c r="F1008" i="1" s="1"/>
  <c r="F1054" i="1" s="1" a="1"/>
  <c r="F1054" i="1" s="1"/>
  <c r="I999" i="1" a="1"/>
  <c r="I999" i="1" s="1"/>
  <c r="I1051" i="1" s="1" a="1"/>
  <c r="I1051" i="1" s="1"/>
  <c r="H999" i="1" a="1"/>
  <c r="H999" i="1" s="1"/>
  <c r="H1051" i="1" s="1" a="1"/>
  <c r="H1051" i="1" s="1"/>
  <c r="G999" i="1" a="1"/>
  <c r="G999" i="1" s="1"/>
  <c r="G1051" i="1" s="1" a="1"/>
  <c r="G1051" i="1" s="1"/>
  <c r="F999" i="1" a="1"/>
  <c r="F999" i="1" s="1"/>
  <c r="F1051" i="1" s="1" a="1"/>
  <c r="F1051" i="1" s="1"/>
  <c r="I998" i="1" a="1"/>
  <c r="I998" i="1" s="1"/>
  <c r="H998" i="1" a="1"/>
  <c r="H998" i="1" s="1"/>
  <c r="G998" i="1" a="1"/>
  <c r="G998" i="1" s="1"/>
  <c r="F998" i="1" a="1"/>
  <c r="F998" i="1" s="1"/>
  <c r="I996" i="1"/>
  <c r="H996" i="1"/>
  <c r="G996" i="1"/>
  <c r="F996" i="1"/>
  <c r="I995" i="1"/>
  <c r="H995" i="1"/>
  <c r="G995" i="1"/>
  <c r="F995" i="1"/>
  <c r="I991" i="1" a="1"/>
  <c r="I991" i="1" s="1"/>
  <c r="H991" i="1" a="1"/>
  <c r="H991" i="1" s="1"/>
  <c r="G991" i="1" a="1"/>
  <c r="G991" i="1" s="1"/>
  <c r="F991" i="1" a="1"/>
  <c r="F991" i="1" s="1"/>
  <c r="I985" i="1" a="1"/>
  <c r="I985" i="1" s="1"/>
  <c r="H985" i="1" a="1"/>
  <c r="H985" i="1" s="1"/>
  <c r="G985" i="1" a="1"/>
  <c r="G985" i="1" s="1"/>
  <c r="F985" i="1" a="1"/>
  <c r="F985" i="1" s="1"/>
  <c r="I983" i="1"/>
  <c r="H983" i="1"/>
  <c r="G983" i="1"/>
  <c r="F983" i="1"/>
  <c r="I982" i="1"/>
  <c r="H982" i="1"/>
  <c r="G982" i="1"/>
  <c r="F982" i="1"/>
  <c r="I981" i="1"/>
  <c r="H981" i="1"/>
  <c r="G981" i="1"/>
  <c r="F981" i="1"/>
  <c r="I980" i="1"/>
  <c r="H980" i="1"/>
  <c r="G980" i="1"/>
  <c r="F980" i="1"/>
  <c r="I979" i="1" a="1"/>
  <c r="I979" i="1" s="1"/>
  <c r="I1053" i="1" s="1" a="1"/>
  <c r="I1053" i="1" s="1"/>
  <c r="H979" i="1" a="1"/>
  <c r="H979" i="1" s="1"/>
  <c r="H1053" i="1" s="1" a="1"/>
  <c r="H1053" i="1" s="1"/>
  <c r="G979" i="1" a="1"/>
  <c r="G979" i="1" s="1"/>
  <c r="G1053" i="1" s="1" a="1"/>
  <c r="G1053" i="1" s="1"/>
  <c r="F979" i="1" a="1"/>
  <c r="F979" i="1" s="1"/>
  <c r="F1053" i="1" s="1" a="1"/>
  <c r="F1053" i="1" s="1"/>
  <c r="I978" i="1" a="1"/>
  <c r="I978" i="1" s="1"/>
  <c r="H978" i="1" a="1"/>
  <c r="H978" i="1" s="1"/>
  <c r="G978" i="1" a="1"/>
  <c r="G978" i="1" s="1"/>
  <c r="F978" i="1" a="1"/>
  <c r="F978" i="1" s="1"/>
  <c r="I976" i="1" a="1"/>
  <c r="I976" i="1" s="1"/>
  <c r="H976" i="1" a="1"/>
  <c r="H976" i="1" s="1"/>
  <c r="G976" i="1" a="1"/>
  <c r="G976" i="1" s="1"/>
  <c r="F976" i="1" a="1"/>
  <c r="F976" i="1" s="1"/>
  <c r="I975" i="1" a="1"/>
  <c r="I975" i="1" s="1"/>
  <c r="H975" i="1" a="1"/>
  <c r="H975" i="1" s="1"/>
  <c r="G975" i="1" a="1"/>
  <c r="G975" i="1" s="1"/>
  <c r="F975" i="1" a="1"/>
  <c r="F975" i="1" s="1"/>
  <c r="I973" i="1"/>
  <c r="H973" i="1"/>
  <c r="G973" i="1"/>
  <c r="F973" i="1"/>
  <c r="I972" i="1"/>
  <c r="H972" i="1"/>
  <c r="G972" i="1"/>
  <c r="F972" i="1"/>
  <c r="I953" i="1"/>
  <c r="H953" i="1"/>
  <c r="G953" i="1"/>
  <c r="F953" i="1"/>
  <c r="I952" i="1"/>
  <c r="H952" i="1"/>
  <c r="G952" i="1"/>
  <c r="F952" i="1"/>
  <c r="I950" i="1"/>
  <c r="H950" i="1"/>
  <c r="G950" i="1"/>
  <c r="F950" i="1"/>
  <c r="I948" i="1"/>
  <c r="H948" i="1"/>
  <c r="G948" i="1"/>
  <c r="F948" i="1"/>
  <c r="I946" i="1"/>
  <c r="H946" i="1"/>
  <c r="G946" i="1"/>
  <c r="F946" i="1"/>
  <c r="I944" i="1"/>
  <c r="H944" i="1"/>
  <c r="G944" i="1"/>
  <c r="F944" i="1"/>
  <c r="I938" i="1"/>
  <c r="H938" i="1"/>
  <c r="G938" i="1"/>
  <c r="F938" i="1"/>
  <c r="I936" i="1"/>
  <c r="H936" i="1"/>
  <c r="G936" i="1"/>
  <c r="F936" i="1"/>
  <c r="I935" i="1"/>
  <c r="H935" i="1"/>
  <c r="G935" i="1"/>
  <c r="F935" i="1"/>
  <c r="I934" i="1"/>
  <c r="H934" i="1"/>
  <c r="G934" i="1"/>
  <c r="F934" i="1"/>
  <c r="I932" i="1"/>
  <c r="H932" i="1"/>
  <c r="G932" i="1"/>
  <c r="F932" i="1"/>
  <c r="I930" i="1"/>
  <c r="H930" i="1"/>
  <c r="G930" i="1"/>
  <c r="F930" i="1"/>
  <c r="I929" i="1"/>
  <c r="H929" i="1"/>
  <c r="G929" i="1"/>
  <c r="F929" i="1"/>
  <c r="I928" i="1" a="1"/>
  <c r="I928" i="1" s="1"/>
  <c r="H928" i="1" a="1"/>
  <c r="H928" i="1" s="1"/>
  <c r="G928" i="1" a="1"/>
  <c r="G928" i="1" s="1"/>
  <c r="F928" i="1" a="1"/>
  <c r="F928" i="1" s="1"/>
  <c r="I926" i="1"/>
  <c r="H926" i="1"/>
  <c r="G926" i="1"/>
  <c r="F926" i="1"/>
  <c r="I922" i="1"/>
  <c r="H922" i="1"/>
  <c r="G922" i="1"/>
  <c r="F922" i="1"/>
  <c r="I919" i="1"/>
  <c r="H919" i="1"/>
  <c r="G919" i="1"/>
  <c r="F919" i="1"/>
  <c r="I918" i="1"/>
  <c r="H918" i="1"/>
  <c r="G918" i="1"/>
  <c r="F918" i="1"/>
  <c r="I916" i="1" a="1"/>
  <c r="I916" i="1" s="1"/>
  <c r="H916" i="1" a="1"/>
  <c r="H916" i="1" s="1"/>
  <c r="G916" i="1" a="1"/>
  <c r="G916" i="1" s="1"/>
  <c r="F916" i="1" a="1"/>
  <c r="F916" i="1" s="1"/>
  <c r="I914" i="1" a="1"/>
  <c r="I914" i="1" s="1"/>
  <c r="H914" i="1" a="1"/>
  <c r="H914" i="1" s="1"/>
  <c r="G914" i="1" a="1"/>
  <c r="G914" i="1" s="1"/>
  <c r="F914" i="1" a="1"/>
  <c r="F914" i="1" s="1"/>
  <c r="I906" i="1"/>
  <c r="H906" i="1"/>
  <c r="G906" i="1"/>
  <c r="F906" i="1"/>
  <c r="I905" i="1"/>
  <c r="H905" i="1"/>
  <c r="G905" i="1"/>
  <c r="F905" i="1"/>
  <c r="I904" i="1"/>
  <c r="I901" i="1" s="1"/>
  <c r="H904" i="1"/>
  <c r="H901" i="1" s="1"/>
  <c r="G904" i="1"/>
  <c r="G901" i="1" s="1"/>
  <c r="F904" i="1"/>
  <c r="F901" i="1" s="1"/>
  <c r="I898" i="1"/>
  <c r="H898" i="1"/>
  <c r="G898" i="1"/>
  <c r="F898" i="1"/>
  <c r="I897" i="1"/>
  <c r="H897" i="1"/>
  <c r="G897" i="1"/>
  <c r="F897" i="1"/>
  <c r="I896" i="1" a="1"/>
  <c r="I896" i="1" s="1"/>
  <c r="H896" i="1" a="1"/>
  <c r="H896" i="1" s="1"/>
  <c r="G896" i="1" a="1"/>
  <c r="G896" i="1" s="1"/>
  <c r="F896" i="1" a="1"/>
  <c r="F896" i="1" s="1"/>
  <c r="I895" i="1"/>
  <c r="H895" i="1"/>
  <c r="G895" i="1"/>
  <c r="I893" i="1"/>
  <c r="H893" i="1"/>
  <c r="G893" i="1"/>
  <c r="F893" i="1"/>
  <c r="I890" i="1"/>
  <c r="H890" i="1"/>
  <c r="G890" i="1"/>
  <c r="F890" i="1"/>
  <c r="I886" i="1"/>
  <c r="H886" i="1"/>
  <c r="G886" i="1"/>
  <c r="F886" i="1"/>
  <c r="I885" i="1" a="1"/>
  <c r="I885" i="1" s="1"/>
  <c r="H885" i="1" a="1"/>
  <c r="H885" i="1" s="1"/>
  <c r="G885" i="1" a="1"/>
  <c r="G885" i="1" s="1"/>
  <c r="F885" i="1" a="1"/>
  <c r="F885" i="1" s="1"/>
  <c r="I884" i="1" a="1"/>
  <c r="I884" i="1" s="1"/>
  <c r="H884" i="1" a="1"/>
  <c r="H884" i="1" s="1"/>
  <c r="G884" i="1" a="1"/>
  <c r="G884" i="1" s="1"/>
  <c r="F884" i="1" a="1"/>
  <c r="F884" i="1" s="1"/>
  <c r="I883" i="1"/>
  <c r="H883" i="1"/>
  <c r="G883" i="1"/>
  <c r="F883" i="1"/>
  <c r="I856" i="1"/>
  <c r="I855" i="1" s="1"/>
  <c r="H856" i="1"/>
  <c r="H855" i="1" s="1"/>
  <c r="G856" i="1"/>
  <c r="G855" i="1" s="1"/>
  <c r="F856" i="1"/>
  <c r="F855" i="1" s="1"/>
  <c r="I853" i="1"/>
  <c r="H853" i="1"/>
  <c r="G853" i="1"/>
  <c r="F853" i="1"/>
  <c r="I851" i="1"/>
  <c r="H851" i="1"/>
  <c r="G851" i="1"/>
  <c r="F851" i="1"/>
  <c r="I849" i="1"/>
  <c r="H849" i="1"/>
  <c r="G849" i="1"/>
  <c r="F849" i="1"/>
  <c r="I847" i="1"/>
  <c r="H847" i="1"/>
  <c r="G847" i="1"/>
  <c r="F847" i="1"/>
  <c r="I845" i="1"/>
  <c r="H845" i="1"/>
  <c r="G845" i="1"/>
  <c r="F845" i="1"/>
  <c r="I843" i="1"/>
  <c r="H843" i="1"/>
  <c r="G843" i="1"/>
  <c r="F843" i="1"/>
  <c r="I833" i="1"/>
  <c r="H833" i="1"/>
  <c r="G833" i="1"/>
  <c r="F833" i="1"/>
  <c r="I831" i="1"/>
  <c r="H831" i="1"/>
  <c r="G831" i="1"/>
  <c r="F831" i="1"/>
  <c r="I829" i="1"/>
  <c r="H829" i="1"/>
  <c r="G829" i="1"/>
  <c r="F829" i="1"/>
  <c r="I828" i="1"/>
  <c r="H828" i="1"/>
  <c r="G828" i="1"/>
  <c r="F828" i="1"/>
  <c r="I827" i="1"/>
  <c r="H827" i="1"/>
  <c r="G827" i="1"/>
  <c r="F827" i="1"/>
  <c r="I825" i="1"/>
  <c r="H825" i="1"/>
  <c r="G825" i="1"/>
  <c r="F825" i="1"/>
  <c r="I824" i="1"/>
  <c r="H824" i="1"/>
  <c r="G824" i="1"/>
  <c r="F824" i="1"/>
  <c r="I822" i="1"/>
  <c r="H822" i="1"/>
  <c r="G822" i="1"/>
  <c r="F822" i="1"/>
  <c r="I821" i="1"/>
  <c r="H821" i="1"/>
  <c r="G821" i="1"/>
  <c r="F821" i="1"/>
  <c r="I820" i="1"/>
  <c r="H820" i="1"/>
  <c r="G820" i="1"/>
  <c r="F820" i="1"/>
  <c r="I818" i="1"/>
  <c r="H818" i="1"/>
  <c r="G818" i="1"/>
  <c r="F818" i="1"/>
  <c r="I815" i="1"/>
  <c r="H815" i="1"/>
  <c r="G815" i="1"/>
  <c r="F815" i="1"/>
  <c r="I813" i="1"/>
  <c r="H813" i="1"/>
  <c r="G813" i="1"/>
  <c r="F813" i="1"/>
  <c r="I811" i="1"/>
  <c r="H811" i="1"/>
  <c r="G811" i="1"/>
  <c r="F811" i="1"/>
  <c r="I807" i="1"/>
  <c r="H807" i="1"/>
  <c r="G807" i="1"/>
  <c r="F807" i="1"/>
  <c r="I806" i="1" a="1"/>
  <c r="I806" i="1" s="1"/>
  <c r="H806" i="1" a="1"/>
  <c r="H806" i="1" s="1"/>
  <c r="G806" i="1" a="1"/>
  <c r="G806" i="1" s="1"/>
  <c r="F806" i="1" a="1"/>
  <c r="F806" i="1" s="1"/>
  <c r="I804" i="1" a="1"/>
  <c r="I804" i="1" s="1"/>
  <c r="H804" i="1" a="1"/>
  <c r="H804" i="1" s="1"/>
  <c r="G804" i="1" a="1"/>
  <c r="G804" i="1" s="1"/>
  <c r="F804" i="1" a="1"/>
  <c r="F804" i="1" s="1"/>
  <c r="I802" i="1" a="1"/>
  <c r="I802" i="1" s="1"/>
  <c r="H802" i="1" a="1"/>
  <c r="H802" i="1" s="1"/>
  <c r="G802" i="1" a="1"/>
  <c r="G802" i="1" s="1"/>
  <c r="F802" i="1" a="1"/>
  <c r="F802" i="1" s="1"/>
  <c r="I791" i="1"/>
  <c r="H791" i="1"/>
  <c r="G791" i="1"/>
  <c r="F791" i="1"/>
  <c r="I789" i="1"/>
  <c r="H789" i="1"/>
  <c r="G789" i="1"/>
  <c r="F789" i="1"/>
  <c r="I788" i="1"/>
  <c r="H788" i="1"/>
  <c r="G788" i="1"/>
  <c r="F788" i="1"/>
  <c r="I782" i="1"/>
  <c r="H782" i="1"/>
  <c r="G782" i="1"/>
  <c r="F782" i="1"/>
  <c r="I780" i="1" a="1"/>
  <c r="I780" i="1" s="1"/>
  <c r="I779" i="1" s="1"/>
  <c r="H780" i="1" a="1"/>
  <c r="H780" i="1" s="1"/>
  <c r="H779" i="1" s="1"/>
  <c r="H786" i="1" s="1"/>
  <c r="H787" i="1" s="1"/>
  <c r="G780" i="1" a="1"/>
  <c r="G780" i="1" s="1"/>
  <c r="G779" i="1" s="1"/>
  <c r="F780" i="1" a="1"/>
  <c r="F780" i="1" s="1"/>
  <c r="F779" i="1" s="1"/>
  <c r="I778" i="1"/>
  <c r="H778" i="1"/>
  <c r="G778" i="1"/>
  <c r="F778" i="1"/>
  <c r="I776" i="1"/>
  <c r="H776" i="1"/>
  <c r="G776" i="1"/>
  <c r="F776" i="1"/>
  <c r="I774" i="1"/>
  <c r="H774" i="1"/>
  <c r="G774" i="1"/>
  <c r="F774" i="1"/>
  <c r="I772" i="1"/>
  <c r="H772" i="1"/>
  <c r="G772" i="1"/>
  <c r="F772" i="1"/>
  <c r="I767" i="1"/>
  <c r="H767" i="1"/>
  <c r="G767" i="1"/>
  <c r="F767" i="1"/>
  <c r="I766" i="1" a="1"/>
  <c r="I766" i="1" s="1"/>
  <c r="I816" i="1" s="1" a="1"/>
  <c r="I816" i="1" s="1"/>
  <c r="H766" i="1" a="1"/>
  <c r="H766" i="1" s="1"/>
  <c r="H816" i="1" s="1" a="1"/>
  <c r="H816" i="1" s="1"/>
  <c r="G766" i="1" a="1"/>
  <c r="G766" i="1" s="1"/>
  <c r="G816" i="1" s="1" a="1"/>
  <c r="G816" i="1" s="1"/>
  <c r="F766" i="1" a="1"/>
  <c r="F766" i="1" s="1"/>
  <c r="F816" i="1" s="1" a="1"/>
  <c r="F816" i="1" s="1"/>
  <c r="I764" i="1"/>
  <c r="H764" i="1"/>
  <c r="G764" i="1"/>
  <c r="F764" i="1"/>
  <c r="I743" i="1" a="1"/>
  <c r="I743" i="1" s="1"/>
  <c r="H743" i="1" a="1"/>
  <c r="H743" i="1" s="1"/>
  <c r="G743" i="1" a="1"/>
  <c r="G743" i="1" s="1"/>
  <c r="F743" i="1" a="1"/>
  <c r="F743" i="1" s="1"/>
  <c r="I740" i="1" a="1"/>
  <c r="I740" i="1" s="1"/>
  <c r="H740" i="1" a="1"/>
  <c r="H740" i="1" s="1"/>
  <c r="G740" i="1" a="1"/>
  <c r="G740" i="1" s="1"/>
  <c r="F740" i="1" a="1"/>
  <c r="F740" i="1" s="1"/>
  <c r="I727" i="1" a="1"/>
  <c r="I727" i="1" s="1"/>
  <c r="H727" i="1" a="1"/>
  <c r="H727" i="1" s="1"/>
  <c r="G727" i="1" a="1"/>
  <c r="G727" i="1" s="1"/>
  <c r="F727" i="1" a="1"/>
  <c r="F727" i="1" s="1"/>
  <c r="I724" i="1" a="1"/>
  <c r="I724" i="1" s="1"/>
  <c r="H724" i="1" a="1"/>
  <c r="H724" i="1" s="1"/>
  <c r="G724" i="1" a="1"/>
  <c r="G724" i="1" s="1"/>
  <c r="F724" i="1" a="1"/>
  <c r="F724" i="1" s="1"/>
  <c r="I720" i="1" a="1"/>
  <c r="I720" i="1" s="1"/>
  <c r="H720" i="1" a="1"/>
  <c r="H720" i="1" s="1"/>
  <c r="G720" i="1" a="1"/>
  <c r="G720" i="1" s="1"/>
  <c r="F720" i="1" a="1"/>
  <c r="F720" i="1" s="1"/>
  <c r="I719" i="1" a="1"/>
  <c r="I719" i="1" s="1"/>
  <c r="H719" i="1" a="1"/>
  <c r="H719" i="1" s="1"/>
  <c r="G719" i="1" a="1"/>
  <c r="G719" i="1" s="1"/>
  <c r="F719" i="1" a="1"/>
  <c r="F719" i="1" s="1"/>
  <c r="I718" i="1" a="1"/>
  <c r="I718" i="1" s="1"/>
  <c r="H718" i="1" a="1"/>
  <c r="H718" i="1" s="1"/>
  <c r="G718" i="1" a="1"/>
  <c r="G718" i="1" s="1"/>
  <c r="F718" i="1" a="1"/>
  <c r="F718" i="1" s="1"/>
  <c r="I716" i="1" a="1"/>
  <c r="I716" i="1" s="1"/>
  <c r="H716" i="1" a="1"/>
  <c r="H716" i="1" s="1"/>
  <c r="G716" i="1" a="1"/>
  <c r="G716" i="1" s="1"/>
  <c r="F716" i="1" a="1"/>
  <c r="F716" i="1" s="1"/>
  <c r="I711" i="1" a="1"/>
  <c r="I711" i="1" s="1"/>
  <c r="H711" i="1" a="1"/>
  <c r="H711" i="1" s="1"/>
  <c r="G711" i="1" a="1"/>
  <c r="G711" i="1" s="1"/>
  <c r="F711" i="1" a="1"/>
  <c r="F711" i="1" s="1"/>
  <c r="I709" i="1" a="1"/>
  <c r="I709" i="1" s="1"/>
  <c r="H709" i="1" a="1"/>
  <c r="H709" i="1" s="1"/>
  <c r="G709" i="1" a="1"/>
  <c r="G709" i="1" s="1"/>
  <c r="F709" i="1" a="1"/>
  <c r="F709" i="1" s="1"/>
  <c r="I707" i="1"/>
  <c r="H707" i="1"/>
  <c r="G707" i="1"/>
  <c r="F707" i="1"/>
  <c r="I706" i="1"/>
  <c r="H706" i="1"/>
  <c r="G706" i="1"/>
  <c r="F706" i="1"/>
  <c r="I697" i="1" a="1"/>
  <c r="I697" i="1" s="1"/>
  <c r="H697" i="1" a="1"/>
  <c r="H697" i="1" s="1"/>
  <c r="G697" i="1" a="1"/>
  <c r="G697" i="1" s="1"/>
  <c r="F697" i="1" a="1"/>
  <c r="F697" i="1" s="1"/>
  <c r="I696" i="1" a="1"/>
  <c r="I696" i="1" s="1"/>
  <c r="H696" i="1" a="1"/>
  <c r="H696" i="1" s="1"/>
  <c r="G696" i="1" a="1"/>
  <c r="G696" i="1" s="1"/>
  <c r="F696" i="1" a="1"/>
  <c r="F696" i="1" s="1"/>
  <c r="I688" i="1" a="1"/>
  <c r="I688" i="1" s="1"/>
  <c r="H688" i="1" a="1"/>
  <c r="H688" i="1" s="1"/>
  <c r="G688" i="1" a="1"/>
  <c r="G688" i="1" s="1"/>
  <c r="F688" i="1" a="1"/>
  <c r="F688" i="1" s="1"/>
  <c r="I687" i="1" a="1"/>
  <c r="I687" i="1" s="1"/>
  <c r="H687" i="1" a="1"/>
  <c r="H687" i="1" s="1"/>
  <c r="G687" i="1" a="1"/>
  <c r="G687" i="1" s="1"/>
  <c r="F687" i="1" a="1"/>
  <c r="F687" i="1" s="1"/>
  <c r="I685" i="1" a="1"/>
  <c r="I685" i="1" s="1"/>
  <c r="H685" i="1" a="1"/>
  <c r="H685" i="1" s="1"/>
  <c r="G685" i="1" a="1"/>
  <c r="G685" i="1" s="1"/>
  <c r="F685" i="1" a="1"/>
  <c r="F685" i="1" s="1"/>
  <c r="I683" i="1" a="1"/>
  <c r="I683" i="1" s="1"/>
  <c r="H683" i="1" a="1"/>
  <c r="H683" i="1" s="1"/>
  <c r="G683" i="1" a="1"/>
  <c r="G683" i="1" s="1"/>
  <c r="F683" i="1" a="1"/>
  <c r="F683" i="1" s="1"/>
  <c r="I682" i="1" a="1"/>
  <c r="I682" i="1" s="1"/>
  <c r="H682" i="1" a="1"/>
  <c r="H682" i="1" s="1"/>
  <c r="G682" i="1" a="1"/>
  <c r="G682" i="1" s="1"/>
  <c r="F682" i="1" a="1"/>
  <c r="F682" i="1" s="1"/>
  <c r="I681" i="1" a="1"/>
  <c r="I681" i="1" s="1"/>
  <c r="H681" i="1" a="1"/>
  <c r="H681" i="1" s="1"/>
  <c r="G681" i="1" a="1"/>
  <c r="G681" i="1" s="1"/>
  <c r="F681" i="1" a="1"/>
  <c r="F681" i="1" s="1"/>
  <c r="I678" i="1"/>
  <c r="H678" i="1"/>
  <c r="G678" i="1"/>
  <c r="F678" i="1"/>
  <c r="I677" i="1"/>
  <c r="H677" i="1"/>
  <c r="G677" i="1"/>
  <c r="F677" i="1"/>
  <c r="I669" i="1"/>
  <c r="I675" i="1" s="1"/>
  <c r="H669" i="1"/>
  <c r="H675" i="1" s="1"/>
  <c r="G669" i="1"/>
  <c r="G675" i="1" s="1"/>
  <c r="F669" i="1"/>
  <c r="F675" i="1" s="1"/>
  <c r="I668" i="1"/>
  <c r="I674" i="1" s="1"/>
  <c r="H668" i="1"/>
  <c r="H674" i="1" s="1"/>
  <c r="G668" i="1"/>
  <c r="G674" i="1" s="1"/>
  <c r="F668" i="1"/>
  <c r="F674" i="1" s="1"/>
  <c r="I667" i="1"/>
  <c r="H667" i="1"/>
  <c r="G667" i="1"/>
  <c r="F667" i="1"/>
  <c r="I666" i="1" a="1"/>
  <c r="I666" i="1" s="1"/>
  <c r="H666" i="1" a="1"/>
  <c r="H666" i="1" s="1"/>
  <c r="G666" i="1" a="1"/>
  <c r="G666" i="1" s="1"/>
  <c r="F666" i="1" a="1"/>
  <c r="F666" i="1" s="1"/>
  <c r="I665" i="1" a="1"/>
  <c r="I665" i="1" s="1"/>
  <c r="H665" i="1" a="1"/>
  <c r="H665" i="1" s="1"/>
  <c r="G665" i="1" a="1"/>
  <c r="G665" i="1" s="1"/>
  <c r="F665" i="1" a="1"/>
  <c r="F665" i="1" s="1"/>
  <c r="I664" i="1" a="1"/>
  <c r="I664" i="1" s="1"/>
  <c r="H664" i="1" a="1"/>
  <c r="H664" i="1" s="1"/>
  <c r="G664" i="1" a="1"/>
  <c r="G664" i="1" s="1"/>
  <c r="F664" i="1" a="1"/>
  <c r="F664" i="1" s="1"/>
  <c r="I663" i="1"/>
  <c r="H663" i="1"/>
  <c r="G663" i="1"/>
  <c r="F663" i="1"/>
  <c r="I653" i="1" a="1"/>
  <c r="I653" i="1" s="1"/>
  <c r="H653" i="1" a="1"/>
  <c r="H653" i="1" s="1"/>
  <c r="G653" i="1" a="1"/>
  <c r="G653" i="1" s="1"/>
  <c r="F653" i="1" a="1"/>
  <c r="F653" i="1" s="1"/>
  <c r="I652" i="1" a="1"/>
  <c r="I652" i="1" s="1"/>
  <c r="H652" i="1" a="1"/>
  <c r="H652" i="1" s="1"/>
  <c r="G652" i="1" a="1"/>
  <c r="G652" i="1" s="1"/>
  <c r="F652" i="1" a="1"/>
  <c r="F652" i="1" s="1"/>
  <c r="I650" i="1" a="1"/>
  <c r="I650" i="1" s="1"/>
  <c r="H650" i="1" a="1"/>
  <c r="H650" i="1" s="1"/>
  <c r="G650" i="1" a="1"/>
  <c r="G650" i="1" s="1"/>
  <c r="F650" i="1" a="1"/>
  <c r="F650" i="1" s="1"/>
  <c r="I649" i="1" a="1"/>
  <c r="I649" i="1" s="1"/>
  <c r="H649" i="1" a="1"/>
  <c r="H649" i="1" s="1"/>
  <c r="G649" i="1" a="1"/>
  <c r="G649" i="1" s="1"/>
  <c r="F649" i="1" a="1"/>
  <c r="F649" i="1" s="1"/>
  <c r="I648" i="1" a="1"/>
  <c r="I648" i="1" s="1"/>
  <c r="H648" i="1" a="1"/>
  <c r="H648" i="1" s="1"/>
  <c r="G648" i="1" a="1"/>
  <c r="G648" i="1" s="1"/>
  <c r="F648" i="1" a="1"/>
  <c r="F648" i="1" s="1"/>
  <c r="I647" i="1" a="1"/>
  <c r="I647" i="1" s="1"/>
  <c r="H647" i="1" a="1"/>
  <c r="H647" i="1" s="1"/>
  <c r="G647" i="1" a="1"/>
  <c r="G647" i="1" s="1"/>
  <c r="F647" i="1" a="1"/>
  <c r="F647" i="1" s="1"/>
  <c r="I645" i="1" a="1"/>
  <c r="I645" i="1" s="1"/>
  <c r="H645" i="1" a="1"/>
  <c r="H645" i="1" s="1"/>
  <c r="G645" i="1" a="1"/>
  <c r="G645" i="1" s="1"/>
  <c r="F645" i="1" a="1"/>
  <c r="F645" i="1" s="1"/>
  <c r="I643" i="1" a="1"/>
  <c r="I643" i="1" s="1"/>
  <c r="H643" i="1" a="1"/>
  <c r="H643" i="1" s="1"/>
  <c r="G643" i="1" a="1"/>
  <c r="G643" i="1" s="1"/>
  <c r="F643" i="1" a="1"/>
  <c r="F643" i="1" s="1"/>
  <c r="I642" i="1" a="1"/>
  <c r="I642" i="1" s="1"/>
  <c r="H642" i="1" a="1"/>
  <c r="H642" i="1" s="1"/>
  <c r="G642" i="1" a="1"/>
  <c r="G642" i="1" s="1"/>
  <c r="F642" i="1" a="1"/>
  <c r="F642" i="1" s="1"/>
  <c r="I640" i="1" a="1"/>
  <c r="I640" i="1" s="1"/>
  <c r="H640" i="1" a="1"/>
  <c r="H640" i="1" s="1"/>
  <c r="G640" i="1" a="1"/>
  <c r="G640" i="1" s="1"/>
  <c r="F640" i="1" a="1"/>
  <c r="F640" i="1" s="1"/>
  <c r="I639" i="1" a="1"/>
  <c r="I639" i="1" s="1"/>
  <c r="H639" i="1" a="1"/>
  <c r="H639" i="1" s="1"/>
  <c r="G639" i="1" a="1"/>
  <c r="G639" i="1" s="1"/>
  <c r="F639" i="1" a="1"/>
  <c r="F639" i="1" s="1"/>
  <c r="I638" i="1" a="1"/>
  <c r="I638" i="1" s="1"/>
  <c r="H638" i="1" a="1"/>
  <c r="H638" i="1" s="1"/>
  <c r="G638" i="1" a="1"/>
  <c r="G638" i="1" s="1"/>
  <c r="F638" i="1" a="1"/>
  <c r="F638" i="1" s="1"/>
  <c r="I637" i="1" a="1"/>
  <c r="I637" i="1" s="1"/>
  <c r="H637" i="1" a="1"/>
  <c r="H637" i="1" s="1"/>
  <c r="G637" i="1" a="1"/>
  <c r="G637" i="1" s="1"/>
  <c r="F637" i="1" a="1"/>
  <c r="F637" i="1" s="1"/>
  <c r="I635" i="1" a="1"/>
  <c r="I635" i="1" s="1"/>
  <c r="H635" i="1" a="1"/>
  <c r="H635" i="1" s="1"/>
  <c r="G635" i="1" a="1"/>
  <c r="G635" i="1" s="1"/>
  <c r="F635" i="1" a="1"/>
  <c r="F635" i="1" s="1"/>
  <c r="I633" i="1" a="1"/>
  <c r="I633" i="1" s="1"/>
  <c r="H633" i="1" a="1"/>
  <c r="H633" i="1" s="1"/>
  <c r="G633" i="1" a="1"/>
  <c r="G633" i="1" s="1"/>
  <c r="F633" i="1" a="1"/>
  <c r="F633" i="1" s="1"/>
  <c r="I632" i="1" a="1"/>
  <c r="I632" i="1" s="1"/>
  <c r="H632" i="1" a="1"/>
  <c r="H632" i="1" s="1"/>
  <c r="G632" i="1" a="1"/>
  <c r="G632" i="1" s="1"/>
  <c r="F632" i="1" a="1"/>
  <c r="F632" i="1" s="1"/>
  <c r="I630" i="1" a="1"/>
  <c r="I630" i="1" s="1"/>
  <c r="H630" i="1" a="1"/>
  <c r="H630" i="1" s="1"/>
  <c r="G630" i="1" a="1"/>
  <c r="G630" i="1" s="1"/>
  <c r="F630" i="1" a="1"/>
  <c r="F630" i="1" s="1"/>
  <c r="I629" i="1" a="1"/>
  <c r="I629" i="1" s="1"/>
  <c r="H629" i="1" a="1"/>
  <c r="H629" i="1" s="1"/>
  <c r="G629" i="1" a="1"/>
  <c r="G629" i="1" s="1"/>
  <c r="F629" i="1" a="1"/>
  <c r="F629" i="1" s="1"/>
  <c r="I628" i="1" a="1"/>
  <c r="I628" i="1" s="1"/>
  <c r="H628" i="1" a="1"/>
  <c r="H628" i="1" s="1"/>
  <c r="G628" i="1" a="1"/>
  <c r="G628" i="1" s="1"/>
  <c r="F628" i="1" a="1"/>
  <c r="F628" i="1" s="1"/>
  <c r="I627" i="1" a="1"/>
  <c r="I627" i="1" s="1"/>
  <c r="H627" i="1" a="1"/>
  <c r="H627" i="1" s="1"/>
  <c r="G627" i="1" a="1"/>
  <c r="G627" i="1" s="1"/>
  <c r="F627" i="1" a="1"/>
  <c r="F627" i="1" s="1"/>
  <c r="I625" i="1" a="1"/>
  <c r="I625" i="1" s="1"/>
  <c r="H625" i="1" a="1"/>
  <c r="H625" i="1" s="1"/>
  <c r="G625" i="1" a="1"/>
  <c r="G625" i="1" s="1"/>
  <c r="F625" i="1" a="1"/>
  <c r="F625" i="1" s="1"/>
  <c r="I623" i="1" a="1"/>
  <c r="I623" i="1" s="1"/>
  <c r="H623" i="1" a="1"/>
  <c r="H623" i="1" s="1"/>
  <c r="G623" i="1" a="1"/>
  <c r="G623" i="1" s="1"/>
  <c r="F623" i="1" a="1"/>
  <c r="F623" i="1" s="1"/>
  <c r="I622" i="1" a="1"/>
  <c r="I622" i="1" s="1"/>
  <c r="H622" i="1" a="1"/>
  <c r="H622" i="1" s="1"/>
  <c r="G622" i="1" a="1"/>
  <c r="G622" i="1" s="1"/>
  <c r="F622" i="1" a="1"/>
  <c r="F622" i="1" s="1"/>
  <c r="I621" i="1"/>
  <c r="H621" i="1"/>
  <c r="G621" i="1"/>
  <c r="F621" i="1"/>
  <c r="I620" i="1" a="1"/>
  <c r="I620" i="1" s="1"/>
  <c r="H620" i="1" a="1"/>
  <c r="H620" i="1" s="1"/>
  <c r="G620" i="1" a="1"/>
  <c r="G620" i="1" s="1"/>
  <c r="F620" i="1" a="1"/>
  <c r="F620" i="1" s="1"/>
  <c r="I619" i="1" a="1"/>
  <c r="I619" i="1" s="1"/>
  <c r="H619" i="1" a="1"/>
  <c r="H619" i="1" s="1"/>
  <c r="G619" i="1" a="1"/>
  <c r="G619" i="1" s="1"/>
  <c r="F619" i="1" a="1"/>
  <c r="F619" i="1" s="1"/>
  <c r="I618" i="1" a="1"/>
  <c r="I618" i="1" s="1"/>
  <c r="H618" i="1" a="1"/>
  <c r="H618" i="1" s="1"/>
  <c r="G618" i="1" a="1"/>
  <c r="G618" i="1" s="1"/>
  <c r="F618" i="1" a="1"/>
  <c r="F618" i="1" s="1"/>
  <c r="I617" i="1" a="1"/>
  <c r="I617" i="1" s="1"/>
  <c r="H617" i="1" a="1"/>
  <c r="H617" i="1" s="1"/>
  <c r="G617" i="1" a="1"/>
  <c r="G617" i="1" s="1"/>
  <c r="F617" i="1" a="1"/>
  <c r="F617" i="1" s="1"/>
  <c r="I616" i="1"/>
  <c r="H616" i="1"/>
  <c r="G616" i="1"/>
  <c r="F616" i="1"/>
  <c r="I615" i="1"/>
  <c r="H615" i="1"/>
  <c r="G615" i="1"/>
  <c r="F615" i="1"/>
  <c r="I610" i="1" a="1"/>
  <c r="I610" i="1" s="1"/>
  <c r="H610" i="1" a="1"/>
  <c r="H610" i="1" s="1"/>
  <c r="G610" i="1" a="1"/>
  <c r="G610" i="1" s="1"/>
  <c r="F610" i="1" a="1"/>
  <c r="F610" i="1" s="1"/>
  <c r="I609" i="1" a="1"/>
  <c r="I609" i="1" s="1"/>
  <c r="H609" i="1" a="1"/>
  <c r="H609" i="1" s="1"/>
  <c r="G609" i="1" a="1"/>
  <c r="G609" i="1" s="1"/>
  <c r="F609" i="1" a="1"/>
  <c r="F609" i="1" s="1"/>
  <c r="I607" i="1" a="1"/>
  <c r="I607" i="1" s="1"/>
  <c r="H607" i="1" a="1"/>
  <c r="H607" i="1" s="1"/>
  <c r="G607" i="1" a="1"/>
  <c r="G607" i="1" s="1"/>
  <c r="F607" i="1" a="1"/>
  <c r="F607" i="1" s="1"/>
  <c r="I606" i="1" a="1"/>
  <c r="I606" i="1" s="1"/>
  <c r="H606" i="1" a="1"/>
  <c r="H606" i="1" s="1"/>
  <c r="G606" i="1" a="1"/>
  <c r="G606" i="1" s="1"/>
  <c r="F606" i="1" a="1"/>
  <c r="F606" i="1" s="1"/>
  <c r="I603" i="1" a="1"/>
  <c r="I603" i="1" s="1"/>
  <c r="H603" i="1" a="1"/>
  <c r="H603" i="1" s="1"/>
  <c r="G603" i="1" a="1"/>
  <c r="G603" i="1" s="1"/>
  <c r="F603" i="1" a="1"/>
  <c r="F603" i="1" s="1"/>
  <c r="I602" i="1" a="1"/>
  <c r="I602" i="1" s="1"/>
  <c r="H602" i="1" a="1"/>
  <c r="H602" i="1" s="1"/>
  <c r="G602" i="1" a="1"/>
  <c r="G602" i="1" s="1"/>
  <c r="F602" i="1" a="1"/>
  <c r="F602" i="1" s="1"/>
  <c r="I600" i="1"/>
  <c r="H600" i="1"/>
  <c r="G600" i="1"/>
  <c r="F600" i="1"/>
  <c r="I596" i="1" a="1"/>
  <c r="I596" i="1" s="1"/>
  <c r="H596" i="1" a="1"/>
  <c r="H596" i="1" s="1"/>
  <c r="G596" i="1" a="1"/>
  <c r="G596" i="1" s="1"/>
  <c r="F596" i="1" a="1"/>
  <c r="F596" i="1" s="1"/>
  <c r="I595" i="1" a="1"/>
  <c r="I595" i="1" s="1"/>
  <c r="H595" i="1" a="1"/>
  <c r="H595" i="1" s="1"/>
  <c r="G595" i="1" a="1"/>
  <c r="G595" i="1" s="1"/>
  <c r="F595" i="1" a="1"/>
  <c r="F595" i="1" s="1"/>
  <c r="I593" i="1" a="1"/>
  <c r="I593" i="1" s="1"/>
  <c r="H593" i="1" a="1"/>
  <c r="H593" i="1" s="1"/>
  <c r="G593" i="1" a="1"/>
  <c r="G593" i="1" s="1"/>
  <c r="F593" i="1" a="1"/>
  <c r="F593" i="1" s="1"/>
  <c r="I592" i="1" a="1"/>
  <c r="I592" i="1" s="1"/>
  <c r="H592" i="1" a="1"/>
  <c r="H592" i="1" s="1"/>
  <c r="G592" i="1" a="1"/>
  <c r="G592" i="1" s="1"/>
  <c r="F592" i="1" a="1"/>
  <c r="F592" i="1" s="1"/>
  <c r="I589" i="1" a="1"/>
  <c r="I589" i="1" s="1"/>
  <c r="H589" i="1" a="1"/>
  <c r="H589" i="1" s="1"/>
  <c r="G589" i="1" a="1"/>
  <c r="G589" i="1" s="1"/>
  <c r="F589" i="1" a="1"/>
  <c r="F589" i="1" s="1"/>
  <c r="I588" i="1" a="1"/>
  <c r="I588" i="1" s="1"/>
  <c r="H588" i="1" a="1"/>
  <c r="H588" i="1" s="1"/>
  <c r="G588" i="1" a="1"/>
  <c r="G588" i="1" s="1"/>
  <c r="F588" i="1" a="1"/>
  <c r="F588" i="1" s="1"/>
  <c r="I585" i="1" a="1"/>
  <c r="I585" i="1" s="1"/>
  <c r="H585" i="1" a="1"/>
  <c r="H585" i="1" s="1"/>
  <c r="G585" i="1" a="1"/>
  <c r="G585" i="1" s="1"/>
  <c r="F585" i="1" a="1"/>
  <c r="F585" i="1" s="1"/>
  <c r="I584" i="1" a="1"/>
  <c r="I584" i="1" s="1"/>
  <c r="H584" i="1" a="1"/>
  <c r="H584" i="1" s="1"/>
  <c r="G584" i="1" a="1"/>
  <c r="G584" i="1" s="1"/>
  <c r="F584" i="1" a="1"/>
  <c r="F584" i="1" s="1"/>
  <c r="I582" i="1"/>
  <c r="H582" i="1"/>
  <c r="G582" i="1"/>
  <c r="F582" i="1"/>
  <c r="I505" i="1"/>
  <c r="H505" i="1"/>
  <c r="G505" i="1"/>
  <c r="F505" i="1"/>
  <c r="I462" i="1"/>
  <c r="H462" i="1"/>
  <c r="G462" i="1"/>
  <c r="F462" i="1"/>
  <c r="I460" i="1"/>
  <c r="H460" i="1"/>
  <c r="G460" i="1"/>
  <c r="F460" i="1"/>
  <c r="I458" i="1"/>
  <c r="H458" i="1"/>
  <c r="G458" i="1"/>
  <c r="F458" i="1"/>
  <c r="I456" i="1"/>
  <c r="H456" i="1"/>
  <c r="G456" i="1"/>
  <c r="F456" i="1"/>
  <c r="I450" i="1"/>
  <c r="H450" i="1"/>
  <c r="G450" i="1"/>
  <c r="F450" i="1"/>
  <c r="I448" i="1"/>
  <c r="H448" i="1"/>
  <c r="G448" i="1"/>
  <c r="F448" i="1"/>
  <c r="I446" i="1"/>
  <c r="H446" i="1"/>
  <c r="G446" i="1"/>
  <c r="F446" i="1"/>
  <c r="I444" i="1"/>
  <c r="H444" i="1"/>
  <c r="G444" i="1"/>
  <c r="F444" i="1"/>
  <c r="I408" i="1"/>
  <c r="H408" i="1"/>
  <c r="G408" i="1"/>
  <c r="F408" i="1"/>
  <c r="I407" i="1"/>
  <c r="H407" i="1"/>
  <c r="G407" i="1"/>
  <c r="F407" i="1"/>
  <c r="I406" i="1"/>
  <c r="H406" i="1"/>
  <c r="G406" i="1"/>
  <c r="F406" i="1"/>
  <c r="I405" i="1"/>
  <c r="H405" i="1"/>
  <c r="G405" i="1"/>
  <c r="F405" i="1"/>
  <c r="I404" i="1"/>
  <c r="H404" i="1"/>
  <c r="G404" i="1"/>
  <c r="F404" i="1"/>
  <c r="I403" i="1"/>
  <c r="H403" i="1"/>
  <c r="G403" i="1"/>
  <c r="F403" i="1"/>
  <c r="I402" i="1"/>
  <c r="H402" i="1"/>
  <c r="G402" i="1"/>
  <c r="F402" i="1"/>
  <c r="I396" i="1"/>
  <c r="H396" i="1"/>
  <c r="G396" i="1"/>
  <c r="F396" i="1"/>
  <c r="I395" i="1"/>
  <c r="H395" i="1"/>
  <c r="G395" i="1"/>
  <c r="F395" i="1"/>
  <c r="I394" i="1"/>
  <c r="H394" i="1"/>
  <c r="G394" i="1"/>
  <c r="F394" i="1"/>
  <c r="I393" i="1"/>
  <c r="H393" i="1"/>
  <c r="G393" i="1"/>
  <c r="F393" i="1"/>
  <c r="I392" i="1"/>
  <c r="H392" i="1"/>
  <c r="G392" i="1"/>
  <c r="F392" i="1"/>
  <c r="I391" i="1"/>
  <c r="H391" i="1"/>
  <c r="G391" i="1"/>
  <c r="F391" i="1"/>
  <c r="I390" i="1"/>
  <c r="H390" i="1"/>
  <c r="G390" i="1"/>
  <c r="F390" i="1"/>
  <c r="I388" i="1"/>
  <c r="H388" i="1"/>
  <c r="G388" i="1"/>
  <c r="F388" i="1"/>
  <c r="I381" i="1"/>
  <c r="H381" i="1"/>
  <c r="G381" i="1"/>
  <c r="F381" i="1"/>
  <c r="I360" i="1"/>
  <c r="H360" i="1"/>
  <c r="G360" i="1"/>
  <c r="F360" i="1"/>
  <c r="I359" i="1"/>
  <c r="H359" i="1"/>
  <c r="G359" i="1"/>
  <c r="F359" i="1"/>
  <c r="I313" i="1"/>
  <c r="H313" i="1"/>
  <c r="G313" i="1"/>
  <c r="F313" i="1"/>
  <c r="I312" i="1"/>
  <c r="H312" i="1"/>
  <c r="G312" i="1"/>
  <c r="F312" i="1"/>
  <c r="I311" i="1"/>
  <c r="H311" i="1"/>
  <c r="G311" i="1"/>
  <c r="F311" i="1"/>
  <c r="I299" i="1"/>
  <c r="H299" i="1"/>
  <c r="G299" i="1"/>
  <c r="F299" i="1"/>
  <c r="I297" i="1"/>
  <c r="H297" i="1"/>
  <c r="G297" i="1"/>
  <c r="F297" i="1"/>
  <c r="I296" i="1"/>
  <c r="H296" i="1"/>
  <c r="G296" i="1"/>
  <c r="F296" i="1"/>
  <c r="I295" i="1"/>
  <c r="H295" i="1"/>
  <c r="G295" i="1"/>
  <c r="F295" i="1"/>
  <c r="I293" i="1"/>
  <c r="H293" i="1"/>
  <c r="G293" i="1"/>
  <c r="F293" i="1"/>
  <c r="I290" i="1"/>
  <c r="H290" i="1"/>
  <c r="G290" i="1"/>
  <c r="F290" i="1"/>
  <c r="I289" i="1"/>
  <c r="H289" i="1"/>
  <c r="G289" i="1"/>
  <c r="F289" i="1"/>
  <c r="I287" i="1"/>
  <c r="H287" i="1"/>
  <c r="G287" i="1"/>
  <c r="F287" i="1"/>
  <c r="I286" i="1"/>
  <c r="H286" i="1"/>
  <c r="G286" i="1"/>
  <c r="F286" i="1"/>
  <c r="I285" i="1"/>
  <c r="H285" i="1"/>
  <c r="G285" i="1"/>
  <c r="F285" i="1"/>
  <c r="I284" i="1" a="1"/>
  <c r="I284" i="1" s="1"/>
  <c r="I283" i="1" s="1"/>
  <c r="H284" i="1" a="1"/>
  <c r="H284" i="1" s="1"/>
  <c r="G284" i="1" a="1"/>
  <c r="G284" i="1" s="1"/>
  <c r="F284" i="1" a="1"/>
  <c r="F284" i="1" s="1"/>
  <c r="F283" i="1" s="1"/>
  <c r="I275" i="1" a="1"/>
  <c r="I275" i="1" s="1"/>
  <c r="H275" i="1" a="1"/>
  <c r="H275" i="1" s="1"/>
  <c r="H274" i="1" s="1"/>
  <c r="G275" i="1" a="1"/>
  <c r="G275" i="1" s="1"/>
  <c r="F275" i="1" a="1"/>
  <c r="F275" i="1" s="1"/>
  <c r="F274" i="1" s="1"/>
  <c r="I250" i="1"/>
  <c r="H250" i="1"/>
  <c r="G250" i="1"/>
  <c r="F250" i="1"/>
  <c r="I249" i="1"/>
  <c r="H249" i="1"/>
  <c r="G249" i="1"/>
  <c r="F249" i="1"/>
  <c r="I248" i="1"/>
  <c r="H248" i="1"/>
  <c r="G248" i="1"/>
  <c r="F248" i="1"/>
  <c r="I247" i="1"/>
  <c r="H247" i="1"/>
  <c r="G247" i="1"/>
  <c r="F247" i="1"/>
  <c r="I246" i="1"/>
  <c r="H246" i="1"/>
  <c r="G246" i="1"/>
  <c r="F246" i="1"/>
  <c r="I245" i="1"/>
  <c r="H245" i="1"/>
  <c r="G245" i="1"/>
  <c r="F245" i="1"/>
  <c r="I244" i="1"/>
  <c r="H244" i="1"/>
  <c r="G244" i="1"/>
  <c r="F244" i="1"/>
  <c r="I243" i="1"/>
  <c r="H243" i="1"/>
  <c r="G243" i="1"/>
  <c r="F243" i="1"/>
  <c r="I242" i="1" a="1"/>
  <c r="I242" i="1" s="1"/>
  <c r="H242" i="1" a="1"/>
  <c r="H242" i="1" s="1"/>
  <c r="G242" i="1" a="1"/>
  <c r="G242" i="1" s="1"/>
  <c r="F242" i="1" a="1"/>
  <c r="F242" i="1" s="1"/>
  <c r="I235" i="1"/>
  <c r="H235" i="1"/>
  <c r="G235" i="1"/>
  <c r="F235" i="1"/>
  <c r="I232" i="1"/>
  <c r="H232" i="1"/>
  <c r="G232" i="1"/>
  <c r="F232" i="1"/>
  <c r="I230" i="1"/>
  <c r="H230" i="1"/>
  <c r="G230" i="1"/>
  <c r="F230" i="1"/>
  <c r="I228" i="1"/>
  <c r="H228" i="1"/>
  <c r="G228" i="1"/>
  <c r="F228" i="1"/>
  <c r="I226" i="1"/>
  <c r="H226" i="1"/>
  <c r="G226" i="1"/>
  <c r="F226" i="1"/>
  <c r="I220" i="1"/>
  <c r="H220" i="1"/>
  <c r="G220" i="1"/>
  <c r="F220" i="1"/>
  <c r="I218" i="1"/>
  <c r="H218" i="1"/>
  <c r="G218" i="1"/>
  <c r="F218" i="1"/>
  <c r="I216" i="1"/>
  <c r="I212" i="1" s="1"/>
  <c r="H216" i="1"/>
  <c r="H212" i="1" s="1"/>
  <c r="G216" i="1"/>
  <c r="G212" i="1" s="1"/>
  <c r="F216" i="1"/>
  <c r="F212" i="1" s="1"/>
  <c r="I209" i="1"/>
  <c r="H209" i="1"/>
  <c r="G209" i="1"/>
  <c r="F209" i="1"/>
  <c r="I207" i="1"/>
  <c r="H207" i="1"/>
  <c r="G207" i="1"/>
  <c r="F207" i="1"/>
  <c r="I199" i="1" a="1"/>
  <c r="I199" i="1" s="1"/>
  <c r="I198" i="1" s="1"/>
  <c r="H199" i="1" a="1"/>
  <c r="H199" i="1" s="1"/>
  <c r="G199" i="1" a="1"/>
  <c r="G199" i="1" s="1"/>
  <c r="G198" i="1" s="1"/>
  <c r="F199" i="1" a="1"/>
  <c r="F199" i="1" s="1"/>
  <c r="F198" i="1" s="1"/>
  <c r="I190" i="1"/>
  <c r="H190" i="1"/>
  <c r="G190" i="1"/>
  <c r="F190" i="1"/>
  <c r="I189" i="1"/>
  <c r="H189" i="1"/>
  <c r="G189" i="1"/>
  <c r="F189" i="1"/>
  <c r="I185" i="1"/>
  <c r="H185" i="1"/>
  <c r="G185" i="1"/>
  <c r="F185" i="1"/>
  <c r="I180" i="1"/>
  <c r="H180" i="1"/>
  <c r="G180" i="1"/>
  <c r="F180" i="1"/>
  <c r="I179" i="1"/>
  <c r="H179" i="1"/>
  <c r="G179" i="1"/>
  <c r="F179" i="1"/>
  <c r="I178" i="1"/>
  <c r="H178" i="1"/>
  <c r="G178" i="1"/>
  <c r="F178" i="1"/>
  <c r="I177" i="1"/>
  <c r="H177" i="1"/>
  <c r="G177" i="1"/>
  <c r="F177" i="1"/>
  <c r="I176" i="1"/>
  <c r="H176" i="1"/>
  <c r="G176" i="1"/>
  <c r="F176" i="1"/>
  <c r="I175" i="1"/>
  <c r="H175" i="1"/>
  <c r="G175" i="1"/>
  <c r="F175" i="1"/>
  <c r="I174" i="1"/>
  <c r="H174" i="1"/>
  <c r="G174" i="1"/>
  <c r="F174" i="1"/>
  <c r="I172" i="1"/>
  <c r="H172" i="1"/>
  <c r="G172" i="1"/>
  <c r="F172" i="1"/>
  <c r="I171" i="1"/>
  <c r="H171" i="1"/>
  <c r="G171" i="1"/>
  <c r="F171" i="1"/>
  <c r="I170" i="1"/>
  <c r="H170" i="1"/>
  <c r="G170" i="1"/>
  <c r="F170" i="1"/>
  <c r="I167" i="1"/>
  <c r="H167" i="1"/>
  <c r="G167" i="1"/>
  <c r="F167" i="1"/>
  <c r="I166" i="1"/>
  <c r="H166" i="1"/>
  <c r="G166" i="1"/>
  <c r="F166" i="1"/>
  <c r="I165" i="1"/>
  <c r="H165" i="1"/>
  <c r="G165" i="1"/>
  <c r="F165" i="1"/>
  <c r="I164" i="1"/>
  <c r="H164" i="1"/>
  <c r="G164" i="1"/>
  <c r="F164" i="1"/>
  <c r="I163" i="1"/>
  <c r="H163" i="1"/>
  <c r="G163" i="1"/>
  <c r="F163" i="1"/>
  <c r="I162" i="1"/>
  <c r="H162" i="1"/>
  <c r="G162" i="1"/>
  <c r="F162" i="1"/>
  <c r="I160" i="1"/>
  <c r="H160" i="1"/>
  <c r="G160" i="1"/>
  <c r="F160" i="1"/>
  <c r="I158" i="1"/>
  <c r="H158" i="1"/>
  <c r="G158" i="1"/>
  <c r="F158" i="1"/>
  <c r="I157" i="1"/>
  <c r="H157" i="1"/>
  <c r="G157" i="1"/>
  <c r="F157" i="1"/>
  <c r="I156" i="1"/>
  <c r="H156" i="1"/>
  <c r="G156" i="1"/>
  <c r="F156" i="1"/>
  <c r="I155" i="1"/>
  <c r="H155" i="1"/>
  <c r="G155" i="1"/>
  <c r="F155" i="1"/>
  <c r="I154" i="1"/>
  <c r="H154" i="1"/>
  <c r="G154" i="1"/>
  <c r="F154" i="1"/>
  <c r="I153" i="1"/>
  <c r="H153" i="1"/>
  <c r="G153" i="1"/>
  <c r="F153" i="1"/>
  <c r="I152" i="1"/>
  <c r="H152" i="1"/>
  <c r="G152" i="1"/>
  <c r="F152" i="1"/>
  <c r="I136" i="1"/>
  <c r="H136" i="1"/>
  <c r="G136" i="1"/>
  <c r="F136" i="1"/>
  <c r="I135" i="1"/>
  <c r="H135" i="1"/>
  <c r="G135" i="1"/>
  <c r="F135" i="1"/>
  <c r="I134" i="1"/>
  <c r="H134" i="1"/>
  <c r="H141" i="1" s="1" a="1"/>
  <c r="H141" i="1" s="1"/>
  <c r="G134" i="1"/>
  <c r="G141" i="1" s="1" a="1"/>
  <c r="G141" i="1" s="1"/>
  <c r="F134" i="1"/>
  <c r="I133" i="1"/>
  <c r="I140" i="1" s="1" a="1"/>
  <c r="I140" i="1" s="1"/>
  <c r="H133" i="1"/>
  <c r="H140" i="1" s="1" a="1"/>
  <c r="H140" i="1" s="1"/>
  <c r="G133" i="1"/>
  <c r="G140" i="1" s="1" a="1"/>
  <c r="G140" i="1" s="1"/>
  <c r="F133" i="1"/>
  <c r="F140" i="1" s="1" a="1"/>
  <c r="F140" i="1" s="1"/>
  <c r="I132" i="1"/>
  <c r="I139" i="1" s="1" a="1"/>
  <c r="I139" i="1" s="1"/>
  <c r="H132" i="1"/>
  <c r="H139" i="1" s="1" a="1"/>
  <c r="H139" i="1" s="1"/>
  <c r="G132" i="1"/>
  <c r="G139" i="1" s="1" a="1"/>
  <c r="G139" i="1" s="1"/>
  <c r="F132" i="1"/>
  <c r="F139" i="1" s="1" a="1"/>
  <c r="F139" i="1" s="1"/>
  <c r="I131" i="1"/>
  <c r="I138" i="1" s="1" a="1"/>
  <c r="I138" i="1" s="1"/>
  <c r="H131" i="1"/>
  <c r="H138" i="1" s="1" a="1"/>
  <c r="H138" i="1" s="1"/>
  <c r="G131" i="1"/>
  <c r="G138" i="1" s="1" a="1"/>
  <c r="G138" i="1" s="1"/>
  <c r="F131" i="1"/>
  <c r="F138" i="1" s="1" a="1"/>
  <c r="F138" i="1" s="1"/>
  <c r="F122" i="1"/>
  <c r="I97" i="1"/>
  <c r="H97" i="1"/>
  <c r="H129" i="1" s="1"/>
  <c r="G97" i="1"/>
  <c r="F97" i="1"/>
  <c r="I96" i="1"/>
  <c r="H96" i="1"/>
  <c r="H128" i="1" s="1"/>
  <c r="G96" i="1"/>
  <c r="G128" i="1" s="1"/>
  <c r="F96" i="1"/>
  <c r="F128" i="1" s="1"/>
  <c r="I95" i="1"/>
  <c r="H95" i="1"/>
  <c r="G95" i="1"/>
  <c r="F95" i="1"/>
  <c r="I94" i="1"/>
  <c r="I126" i="1" s="1"/>
  <c r="H94" i="1"/>
  <c r="G94" i="1"/>
  <c r="G126" i="1" s="1"/>
  <c r="F94" i="1"/>
  <c r="I93" i="1"/>
  <c r="I125" i="1" s="1"/>
  <c r="H93" i="1"/>
  <c r="H125" i="1" s="1"/>
  <c r="G93" i="1"/>
  <c r="G125" i="1" s="1"/>
  <c r="F93" i="1"/>
  <c r="F125" i="1" s="1"/>
  <c r="I92" i="1"/>
  <c r="I124" i="1" s="1"/>
  <c r="H92" i="1"/>
  <c r="G92" i="1"/>
  <c r="G124" i="1" s="1"/>
  <c r="F92" i="1"/>
  <c r="F124" i="1" s="1"/>
  <c r="I91" i="1"/>
  <c r="I319" i="1" s="1"/>
  <c r="I474" i="1" s="1"/>
  <c r="H91" i="1"/>
  <c r="H123" i="1" s="1"/>
  <c r="G91" i="1"/>
  <c r="G123" i="1" s="1"/>
  <c r="F91" i="1"/>
  <c r="I90" i="1"/>
  <c r="H90" i="1"/>
  <c r="G90" i="1"/>
  <c r="F90" i="1"/>
  <c r="I89" i="1"/>
  <c r="I121" i="1" s="1"/>
  <c r="H89" i="1"/>
  <c r="G89" i="1"/>
  <c r="G121" i="1" s="1"/>
  <c r="F89" i="1"/>
  <c r="I88" i="1"/>
  <c r="I120" i="1" s="1"/>
  <c r="H88" i="1"/>
  <c r="G88" i="1"/>
  <c r="G120" i="1" s="1"/>
  <c r="F88" i="1"/>
  <c r="F120" i="1" s="1"/>
  <c r="I87" i="1"/>
  <c r="H87" i="1"/>
  <c r="G87" i="1"/>
  <c r="F87" i="1"/>
  <c r="F119" i="1" s="1"/>
  <c r="I86" i="1"/>
  <c r="H86" i="1"/>
  <c r="H118" i="1" s="1"/>
  <c r="G86" i="1"/>
  <c r="F86" i="1"/>
  <c r="F118" i="1" s="1"/>
  <c r="I85" i="1"/>
  <c r="I117" i="1" s="1"/>
  <c r="H85" i="1"/>
  <c r="H117" i="1" s="1"/>
  <c r="G85" i="1"/>
  <c r="G117" i="1" s="1"/>
  <c r="F85" i="1"/>
  <c r="F117" i="1" s="1"/>
  <c r="I84" i="1"/>
  <c r="I116" i="1" s="1"/>
  <c r="H84" i="1"/>
  <c r="H116" i="1" s="1"/>
  <c r="G84" i="1"/>
  <c r="G116" i="1" s="1"/>
  <c r="F84" i="1"/>
  <c r="F116" i="1" s="1"/>
  <c r="I83" i="1"/>
  <c r="I115" i="1" s="1"/>
  <c r="H83" i="1"/>
  <c r="H115" i="1" s="1"/>
  <c r="G83" i="1"/>
  <c r="G115" i="1" s="1"/>
  <c r="F83" i="1"/>
  <c r="F115" i="1" s="1"/>
  <c r="I77" i="1"/>
  <c r="H77" i="1"/>
  <c r="G77" i="1"/>
  <c r="F77" i="1"/>
  <c r="I76" i="1"/>
  <c r="H76" i="1"/>
  <c r="G76" i="1"/>
  <c r="F76" i="1"/>
  <c r="I73" i="1"/>
  <c r="H73" i="1"/>
  <c r="G73" i="1"/>
  <c r="F73" i="1"/>
  <c r="I72" i="1"/>
  <c r="H72" i="1"/>
  <c r="G72" i="1"/>
  <c r="F72" i="1"/>
  <c r="I71" i="1"/>
  <c r="H71" i="1"/>
  <c r="G71" i="1"/>
  <c r="F71" i="1"/>
  <c r="I69" i="1"/>
  <c r="H69" i="1"/>
  <c r="G69" i="1"/>
  <c r="F69" i="1"/>
  <c r="I68" i="1"/>
  <c r="H68" i="1"/>
  <c r="G68" i="1"/>
  <c r="F68" i="1"/>
  <c r="I67" i="1"/>
  <c r="H67" i="1"/>
  <c r="G67" i="1"/>
  <c r="F67" i="1"/>
  <c r="I65" i="1"/>
  <c r="H65" i="1"/>
  <c r="G65" i="1"/>
  <c r="F65" i="1"/>
  <c r="I62" i="1" a="1"/>
  <c r="I62" i="1" s="1"/>
  <c r="H62" i="1" a="1"/>
  <c r="H62" i="1" s="1"/>
  <c r="G62" i="1" a="1"/>
  <c r="G62" i="1" s="1"/>
  <c r="F62" i="1" a="1"/>
  <c r="F62" i="1" s="1"/>
  <c r="I61" i="1" a="1"/>
  <c r="I61" i="1" s="1"/>
  <c r="H61" i="1" a="1"/>
  <c r="H61" i="1" s="1"/>
  <c r="G61" i="1" a="1"/>
  <c r="G61" i="1" s="1"/>
  <c r="F61" i="1" a="1"/>
  <c r="F61" i="1" s="1"/>
  <c r="I60" i="1" a="1"/>
  <c r="I60" i="1" s="1"/>
  <c r="H60" i="1" a="1"/>
  <c r="H60" i="1" s="1"/>
  <c r="G60" i="1" a="1"/>
  <c r="G60" i="1" s="1"/>
  <c r="F60" i="1" a="1"/>
  <c r="F60" i="1" s="1"/>
  <c r="I59" i="1" a="1"/>
  <c r="I59" i="1" s="1"/>
  <c r="H59" i="1" a="1"/>
  <c r="H59" i="1" s="1"/>
  <c r="G59" i="1" a="1"/>
  <c r="G59" i="1" s="1"/>
  <c r="F59" i="1" a="1"/>
  <c r="F59" i="1" s="1"/>
  <c r="I56" i="1" a="1"/>
  <c r="I56" i="1" s="1"/>
  <c r="H56" i="1" a="1"/>
  <c r="H56" i="1" s="1"/>
  <c r="G56" i="1" a="1"/>
  <c r="G56" i="1" s="1"/>
  <c r="F56" i="1" a="1"/>
  <c r="F56" i="1" s="1"/>
  <c r="I55" i="1" a="1"/>
  <c r="I55" i="1" s="1"/>
  <c r="H55" i="1" a="1"/>
  <c r="H55" i="1" s="1"/>
  <c r="G55" i="1" a="1"/>
  <c r="G55" i="1" s="1"/>
  <c r="F55" i="1" a="1"/>
  <c r="F55" i="1" s="1"/>
  <c r="I54" i="1" a="1"/>
  <c r="I54" i="1" s="1"/>
  <c r="H54" i="1" a="1"/>
  <c r="H54" i="1" s="1"/>
  <c r="G54" i="1" a="1"/>
  <c r="G54" i="1" s="1"/>
  <c r="F54" i="1" a="1"/>
  <c r="F54" i="1" s="1"/>
  <c r="I53" i="1" a="1"/>
  <c r="I53" i="1" s="1"/>
  <c r="H53" i="1" a="1"/>
  <c r="H53" i="1" s="1"/>
  <c r="G53" i="1" a="1"/>
  <c r="G53" i="1" s="1"/>
  <c r="F53" i="1" a="1"/>
  <c r="F53" i="1" s="1"/>
  <c r="I52" i="1" a="1"/>
  <c r="I52" i="1" s="1"/>
  <c r="H52" i="1" a="1"/>
  <c r="H52" i="1" s="1"/>
  <c r="G52" i="1" a="1"/>
  <c r="G52" i="1" s="1"/>
  <c r="F52" i="1" a="1"/>
  <c r="F52" i="1" s="1"/>
  <c r="I50" i="1" a="1"/>
  <c r="I50" i="1" s="1"/>
  <c r="H50" i="1" a="1"/>
  <c r="H50" i="1" s="1"/>
  <c r="G50" i="1" a="1"/>
  <c r="G50" i="1" s="1"/>
  <c r="F50" i="1" a="1"/>
  <c r="F50" i="1" s="1"/>
  <c r="I45" i="1" a="1"/>
  <c r="I45" i="1" s="1"/>
  <c r="H45" i="1" a="1"/>
  <c r="H45" i="1" s="1"/>
  <c r="G45" i="1" a="1"/>
  <c r="G45" i="1" s="1"/>
  <c r="F45" i="1" a="1"/>
  <c r="F45" i="1" s="1"/>
  <c r="I44" i="1" a="1"/>
  <c r="I44" i="1" s="1"/>
  <c r="H44" i="1" a="1"/>
  <c r="H44" i="1" s="1"/>
  <c r="G44" i="1" a="1"/>
  <c r="G44" i="1" s="1"/>
  <c r="F44" i="1" a="1"/>
  <c r="F44" i="1" s="1"/>
  <c r="I43" i="1" a="1"/>
  <c r="I43" i="1" s="1"/>
  <c r="H43" i="1" a="1"/>
  <c r="H43" i="1" s="1"/>
  <c r="G43" i="1" a="1"/>
  <c r="G43" i="1" s="1"/>
  <c r="F43" i="1" a="1"/>
  <c r="F43" i="1" s="1"/>
  <c r="I36" i="1"/>
  <c r="H36" i="1"/>
  <c r="G36" i="1"/>
  <c r="F36" i="1"/>
  <c r="I32" i="1"/>
  <c r="I30" i="1" s="1" a="1"/>
  <c r="I30" i="1" s="1"/>
  <c r="H32" i="1"/>
  <c r="H30" i="1" s="1" a="1"/>
  <c r="H30" i="1" s="1"/>
  <c r="G32" i="1"/>
  <c r="G30" i="1" s="1" a="1"/>
  <c r="G30" i="1" s="1"/>
  <c r="F32" i="1"/>
  <c r="F30" i="1" s="1" a="1"/>
  <c r="F30" i="1" s="1"/>
  <c r="I31" i="1" a="1"/>
  <c r="I31" i="1" s="1"/>
  <c r="H31" i="1" a="1"/>
  <c r="H31" i="1" s="1"/>
  <c r="G31" i="1" a="1"/>
  <c r="G31" i="1" s="1"/>
  <c r="F31" i="1" a="1"/>
  <c r="F31" i="1" s="1"/>
  <c r="I28" i="1" a="1"/>
  <c r="I28" i="1" s="1"/>
  <c r="H28" i="1" a="1"/>
  <c r="H28" i="1" s="1"/>
  <c r="G28" i="1" a="1"/>
  <c r="G28" i="1" s="1"/>
  <c r="F28" i="1" a="1"/>
  <c r="F28" i="1" s="1"/>
  <c r="I27" i="1" a="1"/>
  <c r="I27" i="1" s="1"/>
  <c r="H27" i="1" a="1"/>
  <c r="H27" i="1" s="1"/>
  <c r="G27" i="1" a="1"/>
  <c r="G27" i="1" s="1"/>
  <c r="F27" i="1" a="1"/>
  <c r="F27" i="1" s="1"/>
  <c r="I26" i="1" a="1"/>
  <c r="I26" i="1" s="1"/>
  <c r="H26" i="1" a="1"/>
  <c r="H26" i="1" s="1"/>
  <c r="G26" i="1" a="1"/>
  <c r="G26" i="1" s="1"/>
  <c r="F26" i="1" a="1"/>
  <c r="F26" i="1" s="1"/>
  <c r="I25" i="1" a="1"/>
  <c r="I25" i="1" s="1"/>
  <c r="H25" i="1" a="1"/>
  <c r="H25" i="1" s="1"/>
  <c r="G25" i="1" a="1"/>
  <c r="G25" i="1" s="1"/>
  <c r="F25" i="1" a="1"/>
  <c r="F25" i="1" s="1"/>
  <c r="I24" i="1" a="1"/>
  <c r="I24" i="1" s="1"/>
  <c r="H24" i="1" a="1"/>
  <c r="H24" i="1" s="1"/>
  <c r="G24" i="1" a="1"/>
  <c r="G24" i="1" s="1"/>
  <c r="F24" i="1" a="1"/>
  <c r="F24" i="1" s="1"/>
  <c r="I21" i="1" a="1"/>
  <c r="I21" i="1" s="1"/>
  <c r="H21" i="1" a="1"/>
  <c r="H21" i="1" s="1"/>
  <c r="G21" i="1" a="1"/>
  <c r="G21" i="1" s="1"/>
  <c r="F21" i="1" a="1"/>
  <c r="F21" i="1" s="1"/>
  <c r="I19" i="1"/>
  <c r="I18" i="1" s="1"/>
  <c r="H19" i="1"/>
  <c r="H18" i="1" s="1"/>
  <c r="G19" i="1"/>
  <c r="G18" i="1" s="1"/>
  <c r="F19" i="1"/>
  <c r="F18" i="1" s="1"/>
  <c r="I17" i="1" a="1"/>
  <c r="I17" i="1" s="1"/>
  <c r="H17" i="1" a="1"/>
  <c r="H17" i="1" s="1"/>
  <c r="G17" i="1" a="1"/>
  <c r="G17" i="1" s="1"/>
  <c r="F17" i="1" a="1"/>
  <c r="F17" i="1" s="1"/>
  <c r="I16" i="1" a="1"/>
  <c r="I16" i="1" s="1"/>
  <c r="H16" i="1" a="1"/>
  <c r="H16" i="1" s="1"/>
  <c r="G16" i="1" a="1"/>
  <c r="G16" i="1" s="1"/>
  <c r="F16" i="1" a="1"/>
  <c r="F16" i="1" s="1"/>
  <c r="I15" i="1" a="1"/>
  <c r="I15" i="1" s="1"/>
  <c r="H15" i="1" a="1"/>
  <c r="H15" i="1" s="1"/>
  <c r="G15" i="1" a="1"/>
  <c r="G15" i="1" s="1"/>
  <c r="F15" i="1" a="1"/>
  <c r="F15" i="1" s="1"/>
  <c r="I14" i="1" a="1"/>
  <c r="I14" i="1" s="1"/>
  <c r="H14" i="1" a="1"/>
  <c r="H14" i="1" s="1"/>
  <c r="G14" i="1" a="1"/>
  <c r="G14" i="1" s="1"/>
  <c r="F14" i="1" a="1"/>
  <c r="F14" i="1" s="1"/>
  <c r="I13" i="1" a="1"/>
  <c r="I13" i="1" s="1"/>
  <c r="H13" i="1" a="1"/>
  <c r="H13" i="1" s="1"/>
  <c r="G13" i="1" a="1"/>
  <c r="G13" i="1" s="1"/>
  <c r="F13" i="1" a="1"/>
  <c r="F13" i="1" s="1"/>
  <c r="I11" i="1" a="1"/>
  <c r="I11" i="1" s="1"/>
  <c r="H11" i="1" a="1"/>
  <c r="H11" i="1" s="1"/>
  <c r="G11" i="1" a="1"/>
  <c r="G11" i="1" s="1"/>
  <c r="F11" i="1" a="1"/>
  <c r="F11" i="1" s="1"/>
  <c r="I10" i="1" a="1"/>
  <c r="I10" i="1" s="1"/>
  <c r="H10" i="1" a="1"/>
  <c r="H10" i="1" s="1"/>
  <c r="G10" i="1" a="1"/>
  <c r="G10" i="1" s="1"/>
  <c r="F10" i="1" a="1"/>
  <c r="F10" i="1" s="1"/>
  <c r="I9" i="1" a="1"/>
  <c r="I9" i="1" s="1"/>
  <c r="H9" i="1" a="1"/>
  <c r="H9" i="1" s="1"/>
  <c r="G9" i="1" a="1"/>
  <c r="G9" i="1" s="1"/>
  <c r="F9" i="1" a="1"/>
  <c r="F9" i="1" s="1"/>
  <c r="I7" i="1" a="1"/>
  <c r="I7" i="1" s="1"/>
  <c r="H7" i="1" a="1"/>
  <c r="H7" i="1" s="1"/>
  <c r="G7" i="1" a="1"/>
  <c r="G7" i="1" s="1"/>
  <c r="F7" i="1" a="1"/>
  <c r="F7" i="1" s="1"/>
  <c r="I6" i="1" a="1"/>
  <c r="I6" i="1" s="1"/>
  <c r="H6" i="1" a="1"/>
  <c r="H6" i="1" s="1"/>
  <c r="G6" i="1" a="1"/>
  <c r="G6" i="1" s="1"/>
  <c r="F6" i="1" a="1"/>
  <c r="F6" i="1" s="1"/>
  <c r="I5" i="1" a="1"/>
  <c r="I5" i="1" s="1"/>
  <c r="H5" i="1" a="1"/>
  <c r="H5" i="1" s="1"/>
  <c r="G5" i="1" a="1"/>
  <c r="G5" i="1" s="1"/>
  <c r="F5" i="1" a="1"/>
  <c r="F5" i="1" s="1"/>
  <c r="I4" i="1" a="1"/>
  <c r="I4" i="1" s="1"/>
  <c r="H4" i="1" a="1"/>
  <c r="H4" i="1" s="1"/>
  <c r="G4" i="1" a="1"/>
  <c r="G4" i="1" s="1"/>
  <c r="F4" i="1" a="1"/>
  <c r="F4" i="1" s="1"/>
  <c r="F322" i="1" l="1"/>
  <c r="F477" i="1" s="1"/>
  <c r="F362" i="1"/>
  <c r="F429" i="1" s="1"/>
  <c r="H319" i="1"/>
  <c r="H474" i="1" s="1"/>
  <c r="I386" i="1"/>
  <c r="I517" i="1" s="1"/>
  <c r="F318" i="1"/>
  <c r="F473" i="1" s="1"/>
  <c r="I318" i="1"/>
  <c r="I473" i="1" s="1"/>
  <c r="I323" i="1"/>
  <c r="I478" i="1" s="1"/>
  <c r="H400" i="1"/>
  <c r="H520" i="1" s="1"/>
  <c r="G386" i="1"/>
  <c r="G517" i="1" s="1"/>
  <c r="H315" i="1"/>
  <c r="H420" i="1" s="1"/>
  <c r="H320" i="1"/>
  <c r="H475" i="1" s="1"/>
  <c r="F383" i="1"/>
  <c r="F514" i="1" s="1"/>
  <c r="H300" i="1"/>
  <c r="H413" i="1" s="1"/>
  <c r="F386" i="1"/>
  <c r="F517" i="1" s="1"/>
  <c r="G361" i="1"/>
  <c r="G428" i="1" s="1"/>
  <c r="F400" i="1"/>
  <c r="F520" i="1" s="1"/>
  <c r="F384" i="1"/>
  <c r="F515" i="1" s="1"/>
  <c r="G398" i="1"/>
  <c r="G439" i="1" s="1"/>
  <c r="I384" i="1"/>
  <c r="I515" i="1" s="1"/>
  <c r="F319" i="1"/>
  <c r="F474" i="1" s="1"/>
  <c r="G380" i="1"/>
  <c r="G437" i="1" s="1"/>
  <c r="G314" i="1"/>
  <c r="G419" i="1" s="1"/>
  <c r="I899" i="1"/>
  <c r="I314" i="1"/>
  <c r="I419" i="1" s="1"/>
  <c r="I324" i="1"/>
  <c r="I479" i="1" s="1"/>
  <c r="G315" i="1"/>
  <c r="G420" i="1" s="1"/>
  <c r="G320" i="1"/>
  <c r="G475" i="1" s="1"/>
  <c r="G325" i="1"/>
  <c r="G480" i="1" s="1"/>
  <c r="F324" i="1"/>
  <c r="F479" i="1" s="1"/>
  <c r="I315" i="1"/>
  <c r="I420" i="1" s="1"/>
  <c r="I399" i="1"/>
  <c r="I519" i="1" s="1"/>
  <c r="G241" i="1"/>
  <c r="G316" i="1" s="1"/>
  <c r="G471" i="1" s="1"/>
  <c r="G321" i="1"/>
  <c r="G476" i="1" s="1"/>
  <c r="G384" i="1"/>
  <c r="G515" i="1" s="1"/>
  <c r="F325" i="1"/>
  <c r="F480" i="1" s="1"/>
  <c r="H726" i="1" a="1"/>
  <c r="H726" i="1" s="1"/>
  <c r="H728" i="1" s="1" a="1"/>
  <c r="H728" i="1" s="1"/>
  <c r="H241" i="1"/>
  <c r="H316" i="1" s="1"/>
  <c r="H471" i="1" s="1"/>
  <c r="H398" i="1"/>
  <c r="H439" i="1" s="1"/>
  <c r="F399" i="1"/>
  <c r="F519" i="1" s="1"/>
  <c r="F314" i="1"/>
  <c r="F419" i="1" s="1"/>
  <c r="G385" i="1"/>
  <c r="G516" i="1" s="1"/>
  <c r="H317" i="1"/>
  <c r="H472" i="1" s="1"/>
  <c r="I300" i="1"/>
  <c r="I413" i="1" s="1"/>
  <c r="F123" i="1"/>
  <c r="F323" i="1"/>
  <c r="F478" i="1" s="1"/>
  <c r="H903" i="1"/>
  <c r="H925" i="1"/>
  <c r="H924" i="1" s="1"/>
  <c r="G903" i="1"/>
  <c r="G902" i="1"/>
  <c r="I241" i="1"/>
  <c r="I316" i="1" s="1"/>
  <c r="I471" i="1" s="1"/>
  <c r="I317" i="1"/>
  <c r="I472" i="1" s="1"/>
  <c r="H383" i="1"/>
  <c r="H514" i="1" s="1"/>
  <c r="H283" i="1"/>
  <c r="H382" i="1" s="1"/>
  <c r="H513" i="1" s="1"/>
  <c r="I742" i="1" a="1"/>
  <c r="I742" i="1" s="1"/>
  <c r="I744" i="1" s="1" a="1"/>
  <c r="I744" i="1" s="1"/>
  <c r="I726" i="1" a="1"/>
  <c r="I726" i="1" s="1"/>
  <c r="I728" i="1" s="1" a="1"/>
  <c r="I728" i="1" s="1"/>
  <c r="I383" i="1"/>
  <c r="I514" i="1" s="1"/>
  <c r="F363" i="1"/>
  <c r="F504" i="1" s="1"/>
  <c r="F321" i="1"/>
  <c r="F476" i="1" s="1"/>
  <c r="I362" i="1"/>
  <c r="I429" i="1" s="1"/>
  <c r="F398" i="1"/>
  <c r="F439" i="1" s="1"/>
  <c r="H321" i="1"/>
  <c r="H476" i="1" s="1"/>
  <c r="F141" i="1" a="1"/>
  <c r="F141" i="1" s="1"/>
  <c r="I398" i="1"/>
  <c r="I439" i="1" s="1"/>
  <c r="G399" i="1"/>
  <c r="G519" i="1" s="1"/>
  <c r="F129" i="1"/>
  <c r="F380" i="1"/>
  <c r="F437" i="1" s="1"/>
  <c r="F385" i="1"/>
  <c r="F516" i="1" s="1"/>
  <c r="F315" i="1"/>
  <c r="F420" i="1" s="1"/>
  <c r="I902" i="1"/>
  <c r="F364" i="1"/>
  <c r="H385" i="1"/>
  <c r="H516" i="1" s="1"/>
  <c r="H399" i="1"/>
  <c r="H519" i="1" s="1"/>
  <c r="F300" i="1"/>
  <c r="F413" i="1" s="1"/>
  <c r="F317" i="1"/>
  <c r="F472" i="1" s="1"/>
  <c r="G129" i="1"/>
  <c r="I322" i="1"/>
  <c r="I477" i="1" s="1"/>
  <c r="I119" i="1"/>
  <c r="H380" i="1"/>
  <c r="H437" i="1" s="1"/>
  <c r="H322" i="1"/>
  <c r="H477" i="1" s="1"/>
  <c r="I380" i="1"/>
  <c r="I437" i="1" s="1"/>
  <c r="I385" i="1"/>
  <c r="I516" i="1" s="1"/>
  <c r="G301" i="1"/>
  <c r="G465" i="1" s="1"/>
  <c r="G318" i="1"/>
  <c r="G473" i="1" s="1"/>
  <c r="G323" i="1"/>
  <c r="G478" i="1" s="1"/>
  <c r="H386" i="1"/>
  <c r="H517" i="1" s="1"/>
  <c r="I320" i="1"/>
  <c r="I475" i="1" s="1"/>
  <c r="H301" i="1"/>
  <c r="H465" i="1" s="1"/>
  <c r="H318" i="1"/>
  <c r="H473" i="1" s="1"/>
  <c r="H323" i="1"/>
  <c r="H478" i="1" s="1"/>
  <c r="H121" i="1"/>
  <c r="I400" i="1"/>
  <c r="I520" i="1" s="1"/>
  <c r="I321" i="1"/>
  <c r="I476" i="1" s="1"/>
  <c r="I325" i="1"/>
  <c r="I480" i="1" s="1"/>
  <c r="I301" i="1"/>
  <c r="I465" i="1" s="1"/>
  <c r="F361" i="1"/>
  <c r="F428" i="1" s="1"/>
  <c r="H384" i="1"/>
  <c r="H515" i="1" s="1"/>
  <c r="G322" i="1"/>
  <c r="G477" i="1" s="1"/>
  <c r="I122" i="1"/>
  <c r="F320" i="1"/>
  <c r="F475" i="1" s="1"/>
  <c r="F895" i="1"/>
  <c r="F902" i="1" s="1"/>
  <c r="H314" i="1"/>
  <c r="H419" i="1" s="1"/>
  <c r="H324" i="1"/>
  <c r="H479" i="1" s="1"/>
  <c r="F301" i="1"/>
  <c r="F465" i="1" s="1"/>
  <c r="G899" i="1"/>
  <c r="H902" i="1"/>
  <c r="I903" i="1"/>
  <c r="H364" i="1"/>
  <c r="I274" i="1"/>
  <c r="I363" i="1" s="1"/>
  <c r="I504" i="1" s="1"/>
  <c r="I364" i="1"/>
  <c r="G786" i="1"/>
  <c r="G787" i="1" s="1"/>
  <c r="G783" i="1"/>
  <c r="F742" i="1" a="1"/>
  <c r="F742" i="1" s="1"/>
  <c r="F744" i="1" s="1" a="1"/>
  <c r="F744" i="1" s="1"/>
  <c r="F726" i="1" a="1"/>
  <c r="F726" i="1" s="1"/>
  <c r="F728" i="1" s="1" a="1"/>
  <c r="F728" i="1" s="1"/>
  <c r="I786" i="1"/>
  <c r="I787" i="1" s="1"/>
  <c r="I783" i="1"/>
  <c r="F382" i="1"/>
  <c r="F513" i="1" s="1"/>
  <c r="G364" i="1"/>
  <c r="G274" i="1"/>
  <c r="G363" i="1" s="1"/>
  <c r="G504" i="1" s="1"/>
  <c r="F786" i="1"/>
  <c r="F787" i="1" s="1"/>
  <c r="F783" i="1"/>
  <c r="G383" i="1"/>
  <c r="G514" i="1" s="1"/>
  <c r="G283" i="1"/>
  <c r="G382" i="1" s="1"/>
  <c r="G513" i="1" s="1"/>
  <c r="H363" i="1"/>
  <c r="H504" i="1" s="1"/>
  <c r="I382" i="1"/>
  <c r="I513" i="1" s="1"/>
  <c r="H198" i="1"/>
  <c r="H361" i="1" s="1"/>
  <c r="H428" i="1" s="1"/>
  <c r="H362" i="1"/>
  <c r="H429" i="1" s="1"/>
  <c r="I361" i="1"/>
  <c r="I428" i="1" s="1"/>
  <c r="H742" i="1" a="1"/>
  <c r="H742" i="1" s="1"/>
  <c r="H744" i="1" s="1" a="1"/>
  <c r="H744" i="1" s="1"/>
  <c r="H120" i="1"/>
  <c r="F925" i="1"/>
  <c r="F924" i="1" s="1"/>
  <c r="F126" i="1"/>
  <c r="F121" i="1"/>
  <c r="H126" i="1"/>
  <c r="G925" i="1"/>
  <c r="G924" i="1" s="1"/>
  <c r="G300" i="1"/>
  <c r="G413" i="1" s="1"/>
  <c r="I141" i="1" a="1"/>
  <c r="I141" i="1" s="1"/>
  <c r="I925" i="1"/>
  <c r="I924" i="1" s="1"/>
  <c r="H325" i="1"/>
  <c r="H480" i="1" s="1"/>
  <c r="G362" i="1"/>
  <c r="G429" i="1" s="1"/>
  <c r="H899" i="1"/>
  <c r="G122" i="1"/>
  <c r="G317" i="1"/>
  <c r="G472" i="1" s="1"/>
  <c r="G726" i="1" a="1"/>
  <c r="G726" i="1" s="1"/>
  <c r="G728" i="1" s="1" a="1"/>
  <c r="G728" i="1" s="1"/>
  <c r="H122" i="1"/>
  <c r="I128" i="1"/>
  <c r="H783" i="1"/>
  <c r="F241" i="1"/>
  <c r="F316" i="1" s="1"/>
  <c r="F471" i="1" s="1"/>
  <c r="G118" i="1"/>
  <c r="I129" i="1"/>
  <c r="G400" i="1"/>
  <c r="G520" i="1" s="1"/>
  <c r="G319" i="1"/>
  <c r="G474" i="1" s="1"/>
  <c r="G324" i="1"/>
  <c r="G479" i="1" s="1"/>
  <c r="I123" i="1"/>
  <c r="I118" i="1"/>
  <c r="G119" i="1"/>
  <c r="H124" i="1"/>
  <c r="H119" i="1"/>
  <c r="G742" i="1" a="1"/>
  <c r="G742" i="1" s="1"/>
  <c r="G744" i="1" s="1" a="1"/>
  <c r="G744" i="1" s="1"/>
  <c r="I470" i="1" l="1"/>
  <c r="I310" i="1"/>
  <c r="F903" i="1"/>
  <c r="F899" i="1"/>
  <c r="L2113" i="1"/>
  <c r="K2113" i="1"/>
  <c r="J2113" i="1"/>
  <c r="L2112" i="1"/>
  <c r="K2112" i="1"/>
  <c r="J2112" i="1"/>
  <c r="L2111" i="1"/>
  <c r="K2111" i="1"/>
  <c r="J2111" i="1"/>
  <c r="L2110" i="1"/>
  <c r="K2110" i="1"/>
  <c r="J2110" i="1"/>
  <c r="L2109" i="1"/>
  <c r="K2109" i="1"/>
  <c r="J2109" i="1"/>
  <c r="L2108" i="1"/>
  <c r="K2108" i="1"/>
  <c r="J2108" i="1"/>
  <c r="L2107" i="1"/>
  <c r="K2107" i="1"/>
  <c r="J2107" i="1"/>
  <c r="L2105" i="1"/>
  <c r="K2105" i="1"/>
  <c r="J2105" i="1"/>
  <c r="L2104" i="1"/>
  <c r="K2104" i="1"/>
  <c r="J2104" i="1"/>
  <c r="L2103" i="1"/>
  <c r="K2103" i="1"/>
  <c r="J2103" i="1"/>
  <c r="L2100" i="1"/>
  <c r="K2100" i="1"/>
  <c r="J2100" i="1"/>
  <c r="L2099" i="1"/>
  <c r="K2099" i="1"/>
  <c r="J2099" i="1"/>
  <c r="L2098" i="1"/>
  <c r="K2098" i="1"/>
  <c r="J2098" i="1"/>
  <c r="L2097" i="1"/>
  <c r="K2097" i="1"/>
  <c r="J2097" i="1"/>
  <c r="L2096" i="1"/>
  <c r="K2096" i="1"/>
  <c r="J2096" i="1"/>
  <c r="L2095" i="1"/>
  <c r="K2095" i="1"/>
  <c r="J2095" i="1"/>
  <c r="L2093" i="1"/>
  <c r="K2093" i="1"/>
  <c r="J2093" i="1"/>
  <c r="L2091" i="1"/>
  <c r="K2091" i="1"/>
  <c r="J2091" i="1"/>
  <c r="L2090" i="1"/>
  <c r="K2090" i="1"/>
  <c r="J2090" i="1"/>
  <c r="L2089" i="1"/>
  <c r="K2089" i="1"/>
  <c r="J2089" i="1"/>
  <c r="L2088" i="1"/>
  <c r="K2088" i="1"/>
  <c r="J2088" i="1"/>
  <c r="L2087" i="1"/>
  <c r="K2087" i="1"/>
  <c r="J2087" i="1"/>
  <c r="L2086" i="1"/>
  <c r="K2086" i="1"/>
  <c r="J2086" i="1"/>
  <c r="L2085" i="1"/>
  <c r="K2085" i="1"/>
  <c r="J2085" i="1"/>
  <c r="L2083" i="1"/>
  <c r="K2083" i="1"/>
  <c r="J2083" i="1"/>
  <c r="L2082" i="1"/>
  <c r="K2082" i="1"/>
  <c r="J2082" i="1"/>
  <c r="L2081" i="1"/>
  <c r="K2081" i="1"/>
  <c r="J2081" i="1"/>
  <c r="L2080" i="1"/>
  <c r="K2080" i="1"/>
  <c r="J2080" i="1"/>
  <c r="L2079" i="1"/>
  <c r="K2079" i="1"/>
  <c r="J2079" i="1"/>
  <c r="L2078" i="1"/>
  <c r="K2078" i="1"/>
  <c r="J2078" i="1"/>
  <c r="L2076" i="1"/>
  <c r="K2076" i="1"/>
  <c r="J2076" i="1"/>
  <c r="L2075" i="1"/>
  <c r="K2075" i="1"/>
  <c r="J2075" i="1"/>
  <c r="L2074" i="1"/>
  <c r="K2074" i="1"/>
  <c r="J2074" i="1"/>
  <c r="L2073" i="1"/>
  <c r="K2073" i="1"/>
  <c r="J2073" i="1"/>
  <c r="L2072" i="1"/>
  <c r="K2072" i="1"/>
  <c r="J2072" i="1"/>
  <c r="L2071" i="1"/>
  <c r="K2071" i="1"/>
  <c r="J2071" i="1"/>
  <c r="L2070" i="1"/>
  <c r="K2070" i="1"/>
  <c r="J2070" i="1"/>
  <c r="L2069" i="1"/>
  <c r="K2069" i="1"/>
  <c r="J2069" i="1"/>
  <c r="L2068" i="1"/>
  <c r="K2068" i="1"/>
  <c r="J2068" i="1"/>
  <c r="L2067" i="1"/>
  <c r="K2067" i="1"/>
  <c r="J2067" i="1"/>
  <c r="L2066" i="1"/>
  <c r="K2066" i="1"/>
  <c r="J2066" i="1"/>
  <c r="L2065" i="1"/>
  <c r="K2065" i="1"/>
  <c r="J2065" i="1"/>
  <c r="L2064" i="1"/>
  <c r="K2064" i="1"/>
  <c r="J2064" i="1"/>
  <c r="L2063" i="1"/>
  <c r="K2063" i="1"/>
  <c r="J2063" i="1"/>
  <c r="L2062" i="1"/>
  <c r="K2062" i="1"/>
  <c r="J2062" i="1"/>
  <c r="L2060" i="1"/>
  <c r="K2060" i="1"/>
  <c r="J2060" i="1"/>
  <c r="L2059" i="1"/>
  <c r="K2059" i="1"/>
  <c r="J2059" i="1"/>
  <c r="L2058" i="1"/>
  <c r="K2058" i="1"/>
  <c r="J2058" i="1"/>
  <c r="L2056" i="1"/>
  <c r="K2056" i="1"/>
  <c r="J2056" i="1"/>
  <c r="L2055" i="1"/>
  <c r="K2055" i="1"/>
  <c r="J2055" i="1"/>
  <c r="L2054" i="1"/>
  <c r="K2054" i="1"/>
  <c r="J2054" i="1"/>
  <c r="L2052" i="1"/>
  <c r="K2052" i="1"/>
  <c r="J2052" i="1"/>
  <c r="L1822" i="1"/>
  <c r="K1822" i="1"/>
  <c r="J1822" i="1"/>
  <c r="L1821" i="1"/>
  <c r="K1821" i="1"/>
  <c r="J1821" i="1"/>
  <c r="L1820" i="1"/>
  <c r="K1820" i="1"/>
  <c r="J1820" i="1"/>
  <c r="L1819" i="1"/>
  <c r="K1819" i="1"/>
  <c r="J1819" i="1"/>
  <c r="L1818" i="1"/>
  <c r="K1818" i="1"/>
  <c r="J1818" i="1"/>
  <c r="L1817" i="1"/>
  <c r="K1817" i="1"/>
  <c r="J1817" i="1"/>
  <c r="L1816" i="1"/>
  <c r="K1816" i="1"/>
  <c r="J1816" i="1"/>
  <c r="L1814" i="1"/>
  <c r="K1814" i="1"/>
  <c r="J1814" i="1"/>
  <c r="L1813" i="1"/>
  <c r="K1813" i="1"/>
  <c r="J1813" i="1"/>
  <c r="L1812" i="1"/>
  <c r="K1812" i="1"/>
  <c r="J1812" i="1"/>
  <c r="L1809" i="1"/>
  <c r="K1809" i="1"/>
  <c r="J1809" i="1"/>
  <c r="L1808" i="1"/>
  <c r="K1808" i="1"/>
  <c r="J1808" i="1"/>
  <c r="L1807" i="1"/>
  <c r="K1807" i="1"/>
  <c r="J1807" i="1"/>
  <c r="L1806" i="1"/>
  <c r="K1806" i="1"/>
  <c r="J1806" i="1"/>
  <c r="L1805" i="1"/>
  <c r="K1805" i="1"/>
  <c r="J1805" i="1"/>
  <c r="L1804" i="1"/>
  <c r="K1804" i="1"/>
  <c r="J1804" i="1"/>
  <c r="L1802" i="1"/>
  <c r="K1802" i="1"/>
  <c r="J1802" i="1"/>
  <c r="L1800" i="1"/>
  <c r="K1800" i="1"/>
  <c r="J1800" i="1"/>
  <c r="L1799" i="1"/>
  <c r="K1799" i="1"/>
  <c r="J1799" i="1"/>
  <c r="L1798" i="1"/>
  <c r="K1798" i="1"/>
  <c r="J1798" i="1"/>
  <c r="L1797" i="1"/>
  <c r="K1797" i="1"/>
  <c r="J1797" i="1"/>
  <c r="L1796" i="1"/>
  <c r="K1796" i="1"/>
  <c r="J1796" i="1"/>
  <c r="L1795" i="1"/>
  <c r="K1795" i="1"/>
  <c r="J1795" i="1"/>
  <c r="L1794" i="1"/>
  <c r="K1794" i="1"/>
  <c r="J1794" i="1"/>
  <c r="L1792" i="1"/>
  <c r="K1792" i="1"/>
  <c r="J1792" i="1"/>
  <c r="L1791" i="1"/>
  <c r="K1791" i="1"/>
  <c r="J1791" i="1"/>
  <c r="L1790" i="1"/>
  <c r="K1790" i="1"/>
  <c r="J1790" i="1"/>
  <c r="L1789" i="1"/>
  <c r="K1789" i="1"/>
  <c r="J1789" i="1"/>
  <c r="L1788" i="1"/>
  <c r="K1788" i="1"/>
  <c r="J1788" i="1"/>
  <c r="L1787" i="1"/>
  <c r="K1787" i="1"/>
  <c r="J1787" i="1"/>
  <c r="L1785" i="1"/>
  <c r="K1785" i="1"/>
  <c r="J1785" i="1"/>
  <c r="L1784" i="1"/>
  <c r="K1784" i="1"/>
  <c r="J1784" i="1"/>
  <c r="L1783" i="1"/>
  <c r="K1783" i="1"/>
  <c r="J1783" i="1"/>
  <c r="L1782" i="1"/>
  <c r="K1782" i="1"/>
  <c r="J1782" i="1"/>
  <c r="L1781" i="1"/>
  <c r="K1781" i="1"/>
  <c r="J1781" i="1"/>
  <c r="L1780" i="1"/>
  <c r="K1780" i="1"/>
  <c r="J1780" i="1"/>
  <c r="L1779" i="1"/>
  <c r="K1779" i="1"/>
  <c r="J1779" i="1"/>
  <c r="L1778" i="1"/>
  <c r="K1778" i="1"/>
  <c r="J1778" i="1"/>
  <c r="L1777" i="1"/>
  <c r="K1777" i="1"/>
  <c r="J1777" i="1"/>
  <c r="L1776" i="1"/>
  <c r="K1776" i="1"/>
  <c r="J1776" i="1"/>
  <c r="L1775" i="1"/>
  <c r="K1775" i="1"/>
  <c r="J1775" i="1"/>
  <c r="L1774" i="1"/>
  <c r="K1774" i="1"/>
  <c r="J1774" i="1"/>
  <c r="L1773" i="1"/>
  <c r="K1773" i="1"/>
  <c r="J1773" i="1"/>
  <c r="L1772" i="1"/>
  <c r="K1772" i="1"/>
  <c r="J1772" i="1"/>
  <c r="L1771" i="1"/>
  <c r="K1771" i="1"/>
  <c r="J1771" i="1"/>
  <c r="L1769" i="1"/>
  <c r="K1769" i="1"/>
  <c r="J1769" i="1"/>
  <c r="L1768" i="1"/>
  <c r="K1768" i="1"/>
  <c r="J1768" i="1"/>
  <c r="L1767" i="1"/>
  <c r="K1767" i="1"/>
  <c r="J1767" i="1"/>
  <c r="L1765" i="1"/>
  <c r="K1765" i="1"/>
  <c r="J1765" i="1"/>
  <c r="L1764" i="1"/>
  <c r="K1764" i="1"/>
  <c r="J1764" i="1"/>
  <c r="L1763" i="1"/>
  <c r="K1763" i="1"/>
  <c r="J1763" i="1"/>
  <c r="L1761" i="1"/>
  <c r="K1761" i="1"/>
  <c r="J1761" i="1"/>
  <c r="J1693" i="1" a="1"/>
  <c r="J1693" i="1" s="1"/>
  <c r="K1693" i="1" a="1"/>
  <c r="K1693" i="1" s="1"/>
  <c r="L1693" i="1" a="1"/>
  <c r="L1693" i="1" s="1"/>
  <c r="L1705" i="1"/>
  <c r="K1705" i="1"/>
  <c r="J1705" i="1"/>
  <c r="L1704" i="1"/>
  <c r="K1704" i="1"/>
  <c r="J1704" i="1"/>
  <c r="L1703" i="1"/>
  <c r="K1703" i="1"/>
  <c r="J1703" i="1"/>
  <c r="L1701" i="1"/>
  <c r="K1701" i="1"/>
  <c r="J1701" i="1"/>
  <c r="L1700" i="1"/>
  <c r="K1700" i="1"/>
  <c r="J1700" i="1"/>
  <c r="L1699" i="1"/>
  <c r="K1699" i="1"/>
  <c r="J1699" i="1"/>
  <c r="L1698" i="1"/>
  <c r="K1698" i="1"/>
  <c r="J1698" i="1"/>
  <c r="L1697" i="1"/>
  <c r="K1697" i="1"/>
  <c r="J1697" i="1"/>
  <c r="L1696" i="1"/>
  <c r="K1696" i="1"/>
  <c r="J1696" i="1"/>
  <c r="L1695" i="1"/>
  <c r="K1695" i="1"/>
  <c r="J1695" i="1"/>
  <c r="L1694" i="1"/>
  <c r="K1694" i="1"/>
  <c r="J1694" i="1"/>
  <c r="L1691" i="1"/>
  <c r="K1691" i="1"/>
  <c r="J1691" i="1"/>
  <c r="L1690" i="1"/>
  <c r="K1690" i="1"/>
  <c r="J1690" i="1"/>
  <c r="L1689" i="1"/>
  <c r="K1689" i="1"/>
  <c r="J1689" i="1"/>
  <c r="L1655" i="1"/>
  <c r="K1655" i="1"/>
  <c r="J1655" i="1"/>
  <c r="K1558" i="1" a="1"/>
  <c r="K1558" i="1" s="1"/>
  <c r="J1558" i="1" a="1"/>
  <c r="J1558" i="1" s="1"/>
  <c r="L1557" i="1" a="1"/>
  <c r="L1557" i="1" s="1"/>
  <c r="K1557" i="1" a="1"/>
  <c r="K1557" i="1" s="1"/>
  <c r="J1557" i="1" a="1"/>
  <c r="J1557" i="1" s="1"/>
  <c r="L1549" i="1" a="1"/>
  <c r="L1549" i="1" s="1"/>
  <c r="L1551" i="1" a="1"/>
  <c r="L1551" i="1" s="1"/>
  <c r="K1551" i="1" a="1"/>
  <c r="K1551" i="1" s="1"/>
  <c r="K1549" i="1" a="1"/>
  <c r="K1549" i="1" s="1"/>
  <c r="L1548" i="1" a="1"/>
  <c r="L1548" i="1" s="1"/>
  <c r="J1549" i="1" a="1"/>
  <c r="J1549" i="1" s="1"/>
  <c r="J1548" i="1" a="1"/>
  <c r="J1548" i="1" s="1"/>
  <c r="J1551" i="1" a="1"/>
  <c r="J1551" i="1" s="1"/>
  <c r="K1548" i="1" a="1"/>
  <c r="K1548" i="1" s="1"/>
  <c r="K1531" i="1" a="1"/>
  <c r="K1531" i="1" s="1"/>
  <c r="L1528" i="1" a="1"/>
  <c r="L1528" i="1" s="1"/>
  <c r="K1528" i="1" a="1"/>
  <c r="K1528" i="1" s="1"/>
  <c r="J1531" i="1" a="1"/>
  <c r="J1531" i="1" s="1"/>
  <c r="L1530" i="1" a="1"/>
  <c r="L1530" i="1" s="1"/>
  <c r="L1531" i="1" a="1"/>
  <c r="L1531" i="1" s="1"/>
  <c r="J1529" i="1" a="1"/>
  <c r="J1529" i="1" s="1"/>
  <c r="J1528" i="1" a="1"/>
  <c r="J1528" i="1" s="1"/>
  <c r="K1530" i="1" a="1"/>
  <c r="K1530" i="1" s="1"/>
  <c r="K1529" i="1" a="1"/>
  <c r="K1529" i="1" s="1"/>
  <c r="J1530" i="1" a="1"/>
  <c r="J1530" i="1" s="1"/>
  <c r="L1529" i="1" a="1"/>
  <c r="L1529" i="1" s="1"/>
  <c r="L1522" i="1" a="1"/>
  <c r="L1522" i="1" s="1"/>
  <c r="L1525" i="1" a="1"/>
  <c r="L1525" i="1" s="1"/>
  <c r="K1525" i="1" a="1"/>
  <c r="K1525" i="1" s="1"/>
  <c r="K1522" i="1" a="1"/>
  <c r="K1522" i="1" s="1"/>
  <c r="L1524" i="1" a="1"/>
  <c r="L1524" i="1" s="1"/>
  <c r="J1522" i="1" a="1"/>
  <c r="J1522" i="1" s="1"/>
  <c r="K1524" i="1" a="1"/>
  <c r="K1524" i="1" s="1"/>
  <c r="L1523" i="1" a="1"/>
  <c r="L1523" i="1" s="1"/>
  <c r="K1523" i="1" a="1"/>
  <c r="K1523" i="1" s="1"/>
  <c r="J1523" i="1" a="1"/>
  <c r="J1523" i="1" s="1"/>
  <c r="K1521" i="1" a="1"/>
  <c r="K1521" i="1" s="1"/>
  <c r="L1527" i="1" a="1"/>
  <c r="L1527" i="1" s="1"/>
  <c r="J1525" i="1" a="1"/>
  <c r="J1525" i="1" s="1"/>
  <c r="K1527" i="1" a="1"/>
  <c r="K1527" i="1" s="1"/>
  <c r="J1527" i="1" a="1"/>
  <c r="J1527" i="1" s="1"/>
  <c r="J1526" i="1" a="1"/>
  <c r="J1526" i="1" s="1"/>
  <c r="J1524" i="1" a="1"/>
  <c r="J1524" i="1" s="1"/>
  <c r="J1521" i="1" a="1"/>
  <c r="J1521" i="1" s="1"/>
  <c r="L1526" i="1" a="1"/>
  <c r="L1526" i="1" s="1"/>
  <c r="K1526" i="1" a="1"/>
  <c r="K1526" i="1" s="1"/>
  <c r="L1521" i="1" a="1"/>
  <c r="L1521" i="1" s="1"/>
  <c r="J1519" i="1" a="1"/>
  <c r="J1519" i="1" s="1"/>
  <c r="L1520" i="1" a="1"/>
  <c r="L1520" i="1" s="1"/>
  <c r="K1517" i="1" a="1"/>
  <c r="K1517" i="1" s="1"/>
  <c r="K1515" i="1" a="1"/>
  <c r="K1515" i="1" s="1"/>
  <c r="J1515" i="1" a="1"/>
  <c r="J1515" i="1" s="1"/>
  <c r="L1519" i="1" a="1"/>
  <c r="L1519" i="1" s="1"/>
  <c r="K1519" i="1" a="1"/>
  <c r="K1519" i="1" s="1"/>
  <c r="L1516" i="1" a="1"/>
  <c r="L1516" i="1" s="1"/>
  <c r="L1514" i="1" a="1"/>
  <c r="L1514" i="1" s="1"/>
  <c r="L1517" i="1" a="1"/>
  <c r="L1517" i="1" s="1"/>
  <c r="L1513" i="1" a="1"/>
  <c r="L1513" i="1" s="1"/>
  <c r="J1517" i="1" a="1"/>
  <c r="J1517" i="1" s="1"/>
  <c r="J1516" i="1" a="1"/>
  <c r="J1516" i="1" s="1"/>
  <c r="J1513" i="1" a="1"/>
  <c r="J1513" i="1" s="1"/>
  <c r="K1520" i="1" a="1"/>
  <c r="K1520" i="1" s="1"/>
  <c r="J1520" i="1" a="1"/>
  <c r="J1520" i="1" s="1"/>
  <c r="L1515" i="1" a="1"/>
  <c r="L1515" i="1" s="1"/>
  <c r="J1514" i="1" a="1"/>
  <c r="J1514" i="1" s="1"/>
  <c r="K1516" i="1" a="1"/>
  <c r="K1516" i="1" s="1"/>
  <c r="K1514" i="1" a="1"/>
  <c r="K1514" i="1" s="1"/>
  <c r="K1513" i="1" a="1"/>
  <c r="K1513" i="1" s="1"/>
  <c r="K1507" i="1" a="1"/>
  <c r="K1507" i="1" s="1"/>
  <c r="J1507" i="1" a="1"/>
  <c r="J1507" i="1" s="1"/>
  <c r="L1505" i="1" a="1"/>
  <c r="L1505" i="1" s="1"/>
  <c r="L1506" i="1" a="1"/>
  <c r="L1506" i="1" s="1"/>
  <c r="K1502" i="1" a="1"/>
  <c r="K1502" i="1" s="1"/>
  <c r="J1504" i="1" a="1"/>
  <c r="J1504" i="1" s="1"/>
  <c r="J1505" i="1" a="1"/>
  <c r="J1505" i="1" s="1"/>
  <c r="K1504" i="1" a="1"/>
  <c r="K1504" i="1" s="1"/>
  <c r="L1507" i="1" a="1"/>
  <c r="L1507" i="1" s="1"/>
  <c r="J1502" i="1" a="1"/>
  <c r="J1502" i="1" s="1"/>
  <c r="K1501" i="1" a="1"/>
  <c r="K1501" i="1" s="1"/>
  <c r="J1506" i="1" a="1"/>
  <c r="J1506" i="1" s="1"/>
  <c r="K1505" i="1" a="1"/>
  <c r="K1505" i="1" s="1"/>
  <c r="L1502" i="1" a="1"/>
  <c r="L1502" i="1" s="1"/>
  <c r="J1501" i="1" a="1"/>
  <c r="J1501" i="1" s="1"/>
  <c r="L1504" i="1" a="1"/>
  <c r="L1504" i="1" s="1"/>
  <c r="L1500" i="1" a="1"/>
  <c r="L1500" i="1" s="1"/>
  <c r="K1506" i="1" a="1"/>
  <c r="K1506" i="1" s="1"/>
  <c r="L1501" i="1" a="1"/>
  <c r="L1501" i="1" s="1"/>
  <c r="K1487" i="1" a="1"/>
  <c r="K1487" i="1" s="1"/>
  <c r="J1487" i="1" a="1"/>
  <c r="J1487" i="1" s="1"/>
  <c r="J1500" i="1" a="1"/>
  <c r="J1500" i="1" s="1"/>
  <c r="L1499" i="1" a="1"/>
  <c r="L1499" i="1" s="1"/>
  <c r="L1492" i="1" a="1"/>
  <c r="L1492" i="1" s="1"/>
  <c r="K1485" i="1" a="1"/>
  <c r="K1485" i="1" s="1"/>
  <c r="K1500" i="1" a="1"/>
  <c r="K1500" i="1" s="1"/>
  <c r="K1499" i="1" a="1"/>
  <c r="K1499" i="1" s="1"/>
  <c r="J1492" i="1" a="1"/>
  <c r="J1492" i="1" s="1"/>
  <c r="L1485" i="1" a="1"/>
  <c r="L1485" i="1" s="1"/>
  <c r="J1485" i="1" a="1"/>
  <c r="J1485" i="1" s="1"/>
  <c r="L1487" i="1" a="1"/>
  <c r="L1487" i="1" s="1"/>
  <c r="J1499" i="1" a="1"/>
  <c r="J1499" i="1" s="1"/>
  <c r="L1494" i="1" a="1"/>
  <c r="L1494" i="1" s="1"/>
  <c r="K1494" i="1" a="1"/>
  <c r="K1494" i="1" s="1"/>
  <c r="J1494" i="1" a="1"/>
  <c r="J1494" i="1" s="1"/>
  <c r="K1492" i="1" a="1"/>
  <c r="K1492" i="1" s="1"/>
  <c r="K1458" i="1" a="1"/>
  <c r="K1458" i="1" s="1"/>
  <c r="J1458" i="1" a="1"/>
  <c r="J1458" i="1" s="1"/>
  <c r="L1458" i="1" a="1"/>
  <c r="L1458" i="1" s="1"/>
  <c r="K1450" i="1" a="1"/>
  <c r="K1450" i="1" s="1"/>
  <c r="L1451" i="1" a="1"/>
  <c r="L1451" i="1" s="1"/>
  <c r="K1457" i="1" a="1"/>
  <c r="K1457" i="1" s="1"/>
  <c r="K1454" i="1" a="1"/>
  <c r="K1454" i="1" s="1"/>
  <c r="J1457" i="1" a="1"/>
  <c r="J1457" i="1" s="1"/>
  <c r="L1456" i="1" a="1"/>
  <c r="L1456" i="1" s="1"/>
  <c r="K1452" i="1" a="1"/>
  <c r="K1452" i="1" s="1"/>
  <c r="L1452" i="1" a="1"/>
  <c r="L1452" i="1" s="1"/>
  <c r="K1449" i="1" a="1"/>
  <c r="K1449" i="1" s="1"/>
  <c r="J1453" i="1" a="1"/>
  <c r="J1453" i="1" s="1"/>
  <c r="L1453" i="1" a="1"/>
  <c r="L1453" i="1" s="1"/>
  <c r="K1455" i="1" a="1"/>
  <c r="K1455" i="1" s="1"/>
  <c r="J1455" i="1" a="1"/>
  <c r="J1455" i="1" s="1"/>
  <c r="J1449" i="1" a="1"/>
  <c r="J1449" i="1" s="1"/>
  <c r="L1457" i="1" a="1"/>
  <c r="L1457" i="1" s="1"/>
  <c r="K1456" i="1" a="1"/>
  <c r="K1456" i="1" s="1"/>
  <c r="J1456" i="1" a="1"/>
  <c r="J1456" i="1" s="1"/>
  <c r="L1455" i="1" a="1"/>
  <c r="L1455" i="1" s="1"/>
  <c r="L1454" i="1" a="1"/>
  <c r="L1454" i="1" s="1"/>
  <c r="J1454" i="1" a="1"/>
  <c r="J1454" i="1" s="1"/>
  <c r="L1450" i="1" a="1"/>
  <c r="L1450" i="1" s="1"/>
  <c r="L1449" i="1" a="1"/>
  <c r="L1449" i="1" s="1"/>
  <c r="J1451" i="1" a="1"/>
  <c r="J1451" i="1" s="1"/>
  <c r="K1453" i="1" a="1"/>
  <c r="K1453" i="1" s="1"/>
  <c r="K1451" i="1" a="1"/>
  <c r="K1451" i="1" s="1"/>
  <c r="J1450" i="1" a="1"/>
  <c r="J1450" i="1" s="1"/>
  <c r="J1452" i="1" a="1"/>
  <c r="J1452" i="1" s="1"/>
  <c r="L1444" i="1" a="1"/>
  <c r="L1444" i="1" s="1"/>
  <c r="J1445" i="1" a="1"/>
  <c r="J1445" i="1" s="1"/>
  <c r="J1443" i="1" a="1"/>
  <c r="J1443" i="1" s="1"/>
  <c r="K1445" i="1" a="1"/>
  <c r="K1445" i="1" s="1"/>
  <c r="L1448" i="1" a="1"/>
  <c r="L1448" i="1" s="1"/>
  <c r="K1448" i="1" a="1"/>
  <c r="K1448" i="1" s="1"/>
  <c r="J1444" i="1" a="1"/>
  <c r="J1444" i="1" s="1"/>
  <c r="L1445" i="1" a="1"/>
  <c r="L1445" i="1" s="1"/>
  <c r="J1448" i="1" a="1"/>
  <c r="J1448" i="1" s="1"/>
  <c r="L1447" i="1" a="1"/>
  <c r="L1447" i="1" s="1"/>
  <c r="K1447" i="1" a="1"/>
  <c r="K1447" i="1" s="1"/>
  <c r="L1443" i="1" a="1"/>
  <c r="L1443" i="1" s="1"/>
  <c r="K1446" i="1" a="1"/>
  <c r="K1446" i="1" s="1"/>
  <c r="J1446" i="1" a="1"/>
  <c r="J1446" i="1" s="1"/>
  <c r="K1444" i="1" a="1"/>
  <c r="K1444" i="1" s="1"/>
  <c r="K1443" i="1" a="1"/>
  <c r="K1443" i="1" s="1"/>
  <c r="J1447" i="1" a="1"/>
  <c r="J1447" i="1" s="1"/>
  <c r="L1446" i="1" a="1"/>
  <c r="L1446" i="1" s="1"/>
  <c r="K1440" i="1" a="1"/>
  <c r="K1440" i="1" s="1"/>
  <c r="J1440" i="1" a="1"/>
  <c r="J1440" i="1" s="1"/>
  <c r="L1439" i="1" a="1"/>
  <c r="L1439" i="1" s="1"/>
  <c r="L1437" i="1" a="1"/>
  <c r="L1437" i="1" s="1"/>
  <c r="K1437" i="1" a="1"/>
  <c r="K1437" i="1" s="1"/>
  <c r="J1437" i="1" a="1"/>
  <c r="J1437" i="1" s="1"/>
  <c r="J1438" i="1" a="1"/>
  <c r="J1438" i="1" s="1"/>
  <c r="K1438" i="1" a="1"/>
  <c r="K1438" i="1" s="1"/>
  <c r="L1442" i="1" a="1"/>
  <c r="L1442" i="1" s="1"/>
  <c r="K1441" i="1" a="1"/>
  <c r="K1441" i="1" s="1"/>
  <c r="L1438" i="1" a="1"/>
  <c r="L1438" i="1" s="1"/>
  <c r="K1442" i="1" a="1"/>
  <c r="K1442" i="1" s="1"/>
  <c r="L1440" i="1" a="1"/>
  <c r="L1440" i="1" s="1"/>
  <c r="J1442" i="1" a="1"/>
  <c r="J1442" i="1" s="1"/>
  <c r="J1439" i="1" a="1"/>
  <c r="J1439" i="1" s="1"/>
  <c r="L1441" i="1" a="1"/>
  <c r="L1441" i="1" s="1"/>
  <c r="J1441" i="1" a="1"/>
  <c r="J1441" i="1" s="1"/>
  <c r="K1439" i="1" a="1"/>
  <c r="K1439" i="1" s="1"/>
  <c r="J1433" i="1" a="1"/>
  <c r="J1433" i="1" s="1"/>
  <c r="K1433" i="1" a="1"/>
  <c r="K1433" i="1" s="1"/>
  <c r="L1434" i="1" a="1"/>
  <c r="L1434" i="1" s="1"/>
  <c r="J1432" i="1" a="1"/>
  <c r="J1432" i="1" s="1"/>
  <c r="L1436" i="1" a="1"/>
  <c r="L1436" i="1" s="1"/>
  <c r="K1431" i="1" a="1"/>
  <c r="K1431" i="1" s="1"/>
  <c r="K1436" i="1" a="1"/>
  <c r="K1436" i="1" s="1"/>
  <c r="J1436" i="1" a="1"/>
  <c r="J1436" i="1" s="1"/>
  <c r="K1432" i="1" a="1"/>
  <c r="K1432" i="1" s="1"/>
  <c r="J1434" i="1" a="1"/>
  <c r="J1434" i="1" s="1"/>
  <c r="K1430" i="1" a="1"/>
  <c r="K1430" i="1" s="1"/>
  <c r="L1431" i="1" a="1"/>
  <c r="L1431" i="1" s="1"/>
  <c r="K1434" i="1" a="1"/>
  <c r="K1434" i="1" s="1"/>
  <c r="J1430" i="1" a="1"/>
  <c r="J1430" i="1" s="1"/>
  <c r="L1433" i="1" a="1"/>
  <c r="L1433" i="1" s="1"/>
  <c r="L1432" i="1" a="1"/>
  <c r="L1432" i="1" s="1"/>
  <c r="J1431" i="1" a="1"/>
  <c r="J1431" i="1" s="1"/>
  <c r="L1430" i="1" a="1"/>
  <c r="L1430" i="1" s="1"/>
  <c r="L1676" i="1" a="1"/>
  <c r="L1676" i="1" s="1"/>
  <c r="J1676" i="1" a="1"/>
  <c r="J1676" i="1" s="1"/>
  <c r="K1676" i="1" a="1"/>
  <c r="K1676" i="1" s="1"/>
  <c r="K1673" i="1" a="1"/>
  <c r="K1673" i="1" s="1"/>
  <c r="J1673" i="1" a="1"/>
  <c r="J1673" i="1" s="1"/>
  <c r="L1673" i="1" a="1"/>
  <c r="L1673" i="1" s="1"/>
  <c r="L1675" i="1" a="1"/>
  <c r="L1675" i="1" s="1"/>
  <c r="K1675" i="1" a="1"/>
  <c r="K1675" i="1" s="1"/>
  <c r="J1675" i="1" a="1"/>
  <c r="J1675" i="1" s="1"/>
  <c r="L1674" i="1" a="1"/>
  <c r="L1674" i="1" s="1"/>
  <c r="K1674" i="1" a="1"/>
  <c r="K1674" i="1" s="1"/>
  <c r="J1674" i="1" a="1"/>
  <c r="J1674" i="1" s="1"/>
  <c r="K1672" i="1" a="1"/>
  <c r="K1672" i="1" s="1"/>
  <c r="J1671" i="1" a="1"/>
  <c r="J1671" i="1" s="1"/>
  <c r="J1672" i="1" a="1"/>
  <c r="J1672" i="1" s="1"/>
  <c r="L1672" i="1" a="1"/>
  <c r="L1672" i="1" s="1"/>
  <c r="L1671" i="1" a="1"/>
  <c r="L1671" i="1" s="1"/>
  <c r="K1671" i="1" a="1"/>
  <c r="K1671" i="1" s="1"/>
  <c r="L1670" i="1" a="1"/>
  <c r="L1670" i="1" s="1"/>
  <c r="J1670" i="1" a="1"/>
  <c r="J1670" i="1" s="1"/>
  <c r="K1670" i="1" a="1"/>
  <c r="K1670" i="1" s="1"/>
  <c r="L1667" i="1" a="1"/>
  <c r="L1667" i="1" s="1"/>
  <c r="K1662" i="1" a="1"/>
  <c r="K1662" i="1" s="1"/>
  <c r="K1667" i="1" a="1"/>
  <c r="K1667" i="1" s="1"/>
  <c r="L1662" i="1" a="1"/>
  <c r="L1662" i="1" s="1"/>
  <c r="L1669" i="1" a="1"/>
  <c r="L1669" i="1" s="1"/>
  <c r="J1667" i="1" a="1"/>
  <c r="J1667" i="1" s="1"/>
  <c r="K1669" i="1" a="1"/>
  <c r="K1669" i="1" s="1"/>
  <c r="J1669" i="1" a="1"/>
  <c r="J1669" i="1" s="1"/>
  <c r="L1668" i="1" a="1"/>
  <c r="L1668" i="1" s="1"/>
  <c r="K1668" i="1" a="1"/>
  <c r="K1668" i="1" s="1"/>
  <c r="J1668" i="1" a="1"/>
  <c r="J1668" i="1" s="1"/>
  <c r="J1662" i="1" a="1"/>
  <c r="J1662" i="1" s="1"/>
  <c r="L1654" i="1" a="1"/>
  <c r="L1654" i="1" s="1"/>
  <c r="J1654" i="1" a="1"/>
  <c r="J1654" i="1" s="1"/>
  <c r="L1647" i="1" a="1"/>
  <c r="L1647" i="1" s="1"/>
  <c r="K1660" i="1" a="1"/>
  <c r="K1660" i="1" s="1"/>
  <c r="L1661" i="1" a="1"/>
  <c r="L1661" i="1" s="1"/>
  <c r="K1661" i="1" a="1"/>
  <c r="K1661" i="1" s="1"/>
  <c r="J1661" i="1" a="1"/>
  <c r="J1661" i="1" s="1"/>
  <c r="L1646" i="1" a="1"/>
  <c r="L1646" i="1" s="1"/>
  <c r="K1646" i="1" a="1"/>
  <c r="K1646" i="1" s="1"/>
  <c r="K1647" i="1" a="1"/>
  <c r="K1647" i="1" s="1"/>
  <c r="J1646" i="1" a="1"/>
  <c r="J1646" i="1" s="1"/>
  <c r="J1647" i="1" a="1"/>
  <c r="J1647" i="1" s="1"/>
  <c r="K1654" i="1" a="1"/>
  <c r="K1654" i="1" s="1"/>
  <c r="L1660" i="1" a="1"/>
  <c r="L1660" i="1" s="1"/>
  <c r="J1660" i="1" a="1"/>
  <c r="J1660" i="1" s="1"/>
  <c r="L1629" i="1" a="1"/>
  <c r="L1629" i="1" s="1"/>
  <c r="L1643" i="1" a="1"/>
  <c r="L1643" i="1" s="1"/>
  <c r="J1642" i="1" a="1"/>
  <c r="J1642" i="1" s="1"/>
  <c r="K1643" i="1" a="1"/>
  <c r="K1643" i="1" s="1"/>
  <c r="L1628" i="1" a="1"/>
  <c r="L1628" i="1" s="1"/>
  <c r="K1629" i="1" a="1"/>
  <c r="K1629" i="1" s="1"/>
  <c r="K1628" i="1" a="1"/>
  <c r="K1628" i="1" s="1"/>
  <c r="K1642" i="1" a="1"/>
  <c r="K1642" i="1" s="1"/>
  <c r="L1642" i="1" a="1"/>
  <c r="L1642" i="1" s="1"/>
  <c r="J1643" i="1" a="1"/>
  <c r="J1643" i="1" s="1"/>
  <c r="J1628" i="1" a="1"/>
  <c r="J1628" i="1" s="1"/>
  <c r="J1629" i="1" a="1"/>
  <c r="J1629" i="1" s="1"/>
  <c r="K1625" i="1" a="1"/>
  <c r="K1625" i="1" s="1"/>
  <c r="J1625" i="1" a="1"/>
  <c r="J1625" i="1" s="1"/>
  <c r="J1622" i="1" a="1"/>
  <c r="J1622" i="1" s="1"/>
  <c r="J1624" i="1" a="1"/>
  <c r="J1624" i="1" s="1"/>
  <c r="K1623" i="1" a="1"/>
  <c r="K1623" i="1" s="1"/>
  <c r="J1619" i="1" a="1"/>
  <c r="J1619" i="1" s="1"/>
  <c r="J1626" i="1" a="1"/>
  <c r="J1626" i="1" s="1"/>
  <c r="L1623" i="1" a="1"/>
  <c r="L1623" i="1" s="1"/>
  <c r="K1621" i="1" a="1"/>
  <c r="K1621" i="1" s="1"/>
  <c r="L1621" i="1" a="1"/>
  <c r="L1621" i="1" s="1"/>
  <c r="L1626" i="1" a="1"/>
  <c r="L1626" i="1" s="1"/>
  <c r="L1625" i="1" a="1"/>
  <c r="L1625" i="1" s="1"/>
  <c r="J1621" i="1" a="1"/>
  <c r="J1621" i="1" s="1"/>
  <c r="K1626" i="1" a="1"/>
  <c r="K1626" i="1" s="1"/>
  <c r="J1623" i="1" a="1"/>
  <c r="J1623" i="1" s="1"/>
  <c r="L1622" i="1" a="1"/>
  <c r="L1622" i="1" s="1"/>
  <c r="L1624" i="1" a="1"/>
  <c r="L1624" i="1" s="1"/>
  <c r="K1624" i="1" a="1"/>
  <c r="K1624" i="1" s="1"/>
  <c r="L1619" i="1" a="1"/>
  <c r="L1619" i="1" s="1"/>
  <c r="K1619" i="1" a="1"/>
  <c r="K1619" i="1" s="1"/>
  <c r="K1622" i="1" a="1"/>
  <c r="K1622" i="1" s="1"/>
  <c r="J1627" i="1" a="1"/>
  <c r="J1627" i="1" s="1"/>
  <c r="L1627" i="1" a="1"/>
  <c r="L1627" i="1" s="1"/>
  <c r="K1627" i="1" a="1"/>
  <c r="K1627" i="1" s="1"/>
  <c r="J1613" i="1" a="1"/>
  <c r="J1613" i="1" s="1"/>
  <c r="L1612" i="1" a="1"/>
  <c r="L1612" i="1" s="1"/>
  <c r="K1613" i="1" a="1"/>
  <c r="K1613" i="1" s="1"/>
  <c r="L1613" i="1" a="1"/>
  <c r="L1613" i="1" s="1"/>
  <c r="J1612" i="1" a="1"/>
  <c r="J1612" i="1" s="1"/>
  <c r="K1612" i="1" a="1"/>
  <c r="K1612" i="1" s="1"/>
  <c r="L1611" i="1" a="1"/>
  <c r="L1611" i="1" s="1"/>
  <c r="K1611" i="1" a="1"/>
  <c r="K1611" i="1" s="1"/>
  <c r="J1611" i="1" a="1"/>
  <c r="J1611" i="1" s="1"/>
  <c r="L1605" i="1" a="1"/>
  <c r="L1605" i="1" s="1"/>
  <c r="K1605" i="1" a="1"/>
  <c r="K1605" i="1" s="1"/>
  <c r="J1605" i="1" a="1"/>
  <c r="J1605" i="1" s="1"/>
  <c r="L1604" i="1" a="1"/>
  <c r="L1604" i="1" s="1"/>
  <c r="K1604" i="1" a="1"/>
  <c r="K1604" i="1" s="1"/>
  <c r="J1604" i="1" a="1"/>
  <c r="J1604" i="1" s="1"/>
  <c r="L1598" i="1" a="1"/>
  <c r="L1598" i="1" s="1"/>
  <c r="J1598" i="1" a="1"/>
  <c r="J1598" i="1" s="1"/>
  <c r="K1598" i="1" a="1"/>
  <c r="K1598" i="1" s="1"/>
  <c r="J1595" i="1" a="1"/>
  <c r="J1595" i="1" s="1"/>
  <c r="L1595" i="1" a="1"/>
  <c r="L1595" i="1" s="1"/>
  <c r="K1595" i="1" a="1"/>
  <c r="K1595" i="1" s="1"/>
  <c r="L1596" i="1" a="1"/>
  <c r="L1596" i="1" s="1"/>
  <c r="K1596" i="1" a="1"/>
  <c r="K1596" i="1" s="1"/>
  <c r="J1596" i="1" a="1"/>
  <c r="J1596" i="1" s="1"/>
  <c r="K1579" i="1" a="1"/>
  <c r="K1579" i="1" s="1"/>
  <c r="K1581" i="1" a="1"/>
  <c r="K1581" i="1" s="1"/>
  <c r="K1578" i="1" a="1"/>
  <c r="K1578" i="1" s="1"/>
  <c r="K1580" i="1" a="1"/>
  <c r="K1580" i="1" s="1"/>
  <c r="L1581" i="1" a="1"/>
  <c r="L1581" i="1" s="1"/>
  <c r="J1580" i="1" a="1"/>
  <c r="J1580" i="1" s="1"/>
  <c r="J1582" i="1" a="1"/>
  <c r="J1582" i="1" s="1"/>
  <c r="L1579" i="1" a="1"/>
  <c r="L1579" i="1" s="1"/>
  <c r="K1577" i="1" a="1"/>
  <c r="K1577" i="1" s="1"/>
  <c r="K1582" i="1" a="1"/>
  <c r="K1582" i="1" s="1"/>
  <c r="L1577" i="1" a="1"/>
  <c r="L1577" i="1" s="1"/>
  <c r="L1582" i="1" a="1"/>
  <c r="L1582" i="1" s="1"/>
  <c r="J1577" i="1" a="1"/>
  <c r="J1577" i="1" s="1"/>
  <c r="J1578" i="1" a="1"/>
  <c r="J1578" i="1" s="1"/>
  <c r="J1579" i="1" a="1"/>
  <c r="J1579" i="1" s="1"/>
  <c r="L1580" i="1" a="1"/>
  <c r="L1580" i="1" s="1"/>
  <c r="J1581" i="1" a="1"/>
  <c r="J1581" i="1" s="1"/>
  <c r="L1578" i="1" a="1"/>
  <c r="L1578" i="1" s="1"/>
  <c r="J1572" i="1" a="1"/>
  <c r="J1572" i="1" s="1"/>
  <c r="K1576" i="1" a="1"/>
  <c r="K1576" i="1" s="1"/>
  <c r="K1565" i="1" a="1"/>
  <c r="K1565" i="1" s="1"/>
  <c r="K1574" i="1" a="1"/>
  <c r="K1574" i="1" s="1"/>
  <c r="L1572" i="1" a="1"/>
  <c r="L1572" i="1" s="1"/>
  <c r="K1575" i="1" a="1"/>
  <c r="K1575" i="1" s="1"/>
  <c r="J1566" i="1" a="1"/>
  <c r="J1566" i="1" s="1"/>
  <c r="J1575" i="1" a="1"/>
  <c r="J1575" i="1" s="1"/>
  <c r="K1572" i="1" a="1"/>
  <c r="K1572" i="1" s="1"/>
  <c r="J1565" i="1" a="1"/>
  <c r="J1565" i="1" s="1"/>
  <c r="J1576" i="1" a="1"/>
  <c r="J1576" i="1" s="1"/>
  <c r="J1574" i="1" a="1"/>
  <c r="J1574" i="1" s="1"/>
  <c r="L1576" i="1" a="1"/>
  <c r="L1576" i="1" s="1"/>
  <c r="L1575" i="1" a="1"/>
  <c r="L1575" i="1" s="1"/>
  <c r="L1574" i="1" a="1"/>
  <c r="L1574" i="1" s="1"/>
  <c r="L1565" i="1" a="1"/>
  <c r="L1565" i="1" s="1"/>
  <c r="K1566" i="1" a="1"/>
  <c r="K1566" i="1" s="1"/>
  <c r="L1566" i="1" a="1"/>
  <c r="L1566" i="1" s="1"/>
  <c r="L1564" i="1" a="1"/>
  <c r="L1564" i="1" s="1"/>
  <c r="K1564" i="1" a="1"/>
  <c r="K1564" i="1" s="1"/>
  <c r="J1564" i="1" a="1"/>
  <c r="J1564" i="1" s="1"/>
  <c r="L1558" i="1" a="1"/>
  <c r="L1558" i="1" s="1"/>
  <c r="L1211" i="1" a="1"/>
  <c r="L1211" i="1" s="1"/>
  <c r="K1211" i="1" a="1"/>
  <c r="K1211" i="1" s="1"/>
  <c r="J1210" i="1" a="1"/>
  <c r="J1210" i="1" s="1"/>
  <c r="K1209" i="1" a="1"/>
  <c r="K1209" i="1" s="1"/>
  <c r="J1202" i="1" a="1"/>
  <c r="J1202" i="1" s="1"/>
  <c r="L1208" i="1" a="1"/>
  <c r="L1208" i="1" s="1"/>
  <c r="K1202" i="1" a="1"/>
  <c r="K1202" i="1" s="1"/>
  <c r="L1202" i="1" a="1"/>
  <c r="L1202" i="1" s="1"/>
  <c r="K1201" i="1" a="1"/>
  <c r="K1201" i="1" s="1"/>
  <c r="L1209" i="1" a="1"/>
  <c r="L1209" i="1" s="1"/>
  <c r="L1201" i="1" a="1"/>
  <c r="L1201" i="1" s="1"/>
  <c r="J1208" i="1" a="1"/>
  <c r="J1208" i="1" s="1"/>
  <c r="K1212" i="1" a="1"/>
  <c r="K1212" i="1" s="1"/>
  <c r="J1211" i="1" a="1"/>
  <c r="J1211" i="1" s="1"/>
  <c r="L1210" i="1" a="1"/>
  <c r="L1210" i="1" s="1"/>
  <c r="L1212" i="1" a="1"/>
  <c r="L1212" i="1" s="1"/>
  <c r="K1210" i="1" a="1"/>
  <c r="K1210" i="1" s="1"/>
  <c r="J1209" i="1" a="1"/>
  <c r="J1209" i="1" s="1"/>
  <c r="K1208" i="1" a="1"/>
  <c r="K1208" i="1" s="1"/>
  <c r="J1212" i="1" a="1"/>
  <c r="J1212" i="1" s="1"/>
  <c r="J1197" i="1" a="1"/>
  <c r="J1197" i="1" s="1"/>
  <c r="J1193" i="1" a="1"/>
  <c r="J1193" i="1" s="1"/>
  <c r="L1192" i="1" a="1"/>
  <c r="L1192" i="1" s="1"/>
  <c r="L1200" i="1" a="1"/>
  <c r="L1200" i="1" s="1"/>
  <c r="K1192" i="1" a="1"/>
  <c r="K1192" i="1" s="1"/>
  <c r="J1198" i="1" a="1"/>
  <c r="J1198" i="1" s="1"/>
  <c r="K1197" i="1" a="1"/>
  <c r="K1197" i="1" s="1"/>
  <c r="J1192" i="1" a="1"/>
  <c r="J1192" i="1" s="1"/>
  <c r="L1199" i="1" a="1"/>
  <c r="L1199" i="1" s="1"/>
  <c r="K1199" i="1" a="1"/>
  <c r="K1199" i="1" s="1"/>
  <c r="L1198" i="1" a="1"/>
  <c r="L1198" i="1" s="1"/>
  <c r="L1195" i="1" a="1"/>
  <c r="L1195" i="1" s="1"/>
  <c r="L1193" i="1" a="1"/>
  <c r="L1193" i="1" s="1"/>
  <c r="L1197" i="1" a="1"/>
  <c r="L1197" i="1" s="1"/>
  <c r="K1196" i="1" a="1"/>
  <c r="K1196" i="1" s="1"/>
  <c r="L1196" i="1" a="1"/>
  <c r="L1196" i="1" s="1"/>
  <c r="K1193" i="1" a="1"/>
  <c r="K1193" i="1" s="1"/>
  <c r="J1196" i="1" a="1"/>
  <c r="J1196" i="1" s="1"/>
  <c r="K1195" i="1" a="1"/>
  <c r="K1195" i="1" s="1"/>
  <c r="J1200" i="1" a="1"/>
  <c r="J1200" i="1" s="1"/>
  <c r="J1199" i="1" a="1"/>
  <c r="J1199" i="1" s="1"/>
  <c r="K1198" i="1" a="1"/>
  <c r="K1198" i="1" s="1"/>
  <c r="L1194" i="1" a="1"/>
  <c r="L1194" i="1" s="1"/>
  <c r="K1200" i="1" a="1"/>
  <c r="K1200" i="1" s="1"/>
  <c r="J1195" i="1" a="1"/>
  <c r="J1195" i="1" s="1"/>
  <c r="K1194" i="1" a="1"/>
  <c r="K1194" i="1" s="1"/>
  <c r="J1194" i="1" a="1"/>
  <c r="J1194" i="1" s="1"/>
  <c r="J1201" i="1" a="1"/>
  <c r="J1201" i="1" s="1"/>
  <c r="L1186" i="1" a="1"/>
  <c r="L1186" i="1" s="1"/>
  <c r="J1186" i="1" a="1"/>
  <c r="J1186" i="1" s="1"/>
  <c r="J1185" i="1" a="1"/>
  <c r="J1185" i="1" s="1"/>
  <c r="L1187" i="1" a="1"/>
  <c r="L1187" i="1" s="1"/>
  <c r="J1187" i="1" a="1"/>
  <c r="J1187" i="1" s="1"/>
  <c r="K1187" i="1" a="1"/>
  <c r="K1187" i="1" s="1"/>
  <c r="K1185" i="1" a="1"/>
  <c r="K1185" i="1" s="1"/>
  <c r="L1190" i="1" a="1"/>
  <c r="L1190" i="1" s="1"/>
  <c r="L1189" i="1" a="1"/>
  <c r="L1189" i="1" s="1"/>
  <c r="J1190" i="1" a="1"/>
  <c r="J1190" i="1" s="1"/>
  <c r="J1188" i="1" a="1"/>
  <c r="J1188" i="1" s="1"/>
  <c r="K1186" i="1" a="1"/>
  <c r="K1186" i="1" s="1"/>
  <c r="K1190" i="1" a="1"/>
  <c r="K1190" i="1" s="1"/>
  <c r="L1185" i="1" a="1"/>
  <c r="L1185" i="1" s="1"/>
  <c r="L1191" i="1" a="1"/>
  <c r="L1191" i="1" s="1"/>
  <c r="K1191" i="1" a="1"/>
  <c r="K1191" i="1" s="1"/>
  <c r="J1191" i="1" a="1"/>
  <c r="J1191" i="1" s="1"/>
  <c r="L1188" i="1" a="1"/>
  <c r="L1188" i="1" s="1"/>
  <c r="K1189" i="1" a="1"/>
  <c r="K1189" i="1" s="1"/>
  <c r="K1188" i="1" a="1"/>
  <c r="K1188" i="1" s="1"/>
  <c r="J1189" i="1" a="1"/>
  <c r="J1189" i="1" s="1"/>
  <c r="L1179" i="1" a="1"/>
  <c r="L1179" i="1" s="1"/>
  <c r="J1173" i="1" a="1"/>
  <c r="J1173" i="1" s="1"/>
  <c r="L1174" i="1" a="1"/>
  <c r="L1174" i="1" s="1"/>
  <c r="J1175" i="1" a="1"/>
  <c r="J1175" i="1" s="1"/>
  <c r="L1175" i="1" a="1"/>
  <c r="L1175" i="1" s="1"/>
  <c r="L1172" i="1" a="1"/>
  <c r="L1172" i="1" s="1"/>
  <c r="K1178" i="1" a="1"/>
  <c r="K1178" i="1" s="1"/>
  <c r="K1172" i="1" a="1"/>
  <c r="K1172" i="1" s="1"/>
  <c r="L1178" i="1" a="1"/>
  <c r="L1178" i="1" s="1"/>
  <c r="J1172" i="1" a="1"/>
  <c r="J1172" i="1" s="1"/>
  <c r="K1179" i="1" a="1"/>
  <c r="K1179" i="1" s="1"/>
  <c r="K1174" i="1" a="1"/>
  <c r="K1174" i="1" s="1"/>
  <c r="L1177" i="1" a="1"/>
  <c r="L1177" i="1" s="1"/>
  <c r="L1173" i="1" a="1"/>
  <c r="L1173" i="1" s="1"/>
  <c r="J1176" i="1" a="1"/>
  <c r="J1176" i="1" s="1"/>
  <c r="K1177" i="1" a="1"/>
  <c r="K1177" i="1" s="1"/>
  <c r="J1177" i="1" a="1"/>
  <c r="J1177" i="1" s="1"/>
  <c r="K1176" i="1" a="1"/>
  <c r="K1176" i="1" s="1"/>
  <c r="J1174" i="1" a="1"/>
  <c r="J1174" i="1" s="1"/>
  <c r="K1173" i="1" a="1"/>
  <c r="K1173" i="1" s="1"/>
  <c r="J1178" i="1" a="1"/>
  <c r="J1178" i="1" s="1"/>
  <c r="J1179" i="1" a="1"/>
  <c r="J1179" i="1" s="1"/>
  <c r="K1175" i="1" a="1"/>
  <c r="K1175" i="1" s="1"/>
  <c r="L1176" i="1" a="1"/>
  <c r="L1176" i="1" s="1"/>
  <c r="J1170" i="1" a="1"/>
  <c r="J1170" i="1" s="1"/>
  <c r="L1169" i="1" a="1"/>
  <c r="L1169" i="1" s="1"/>
  <c r="L1167" i="1" a="1"/>
  <c r="L1167" i="1" s="1"/>
  <c r="K1165" i="1" a="1"/>
  <c r="K1165" i="1" s="1"/>
  <c r="J1164" i="1" a="1"/>
  <c r="J1164" i="1" s="1"/>
  <c r="L1170" i="1" a="1"/>
  <c r="L1170" i="1" s="1"/>
  <c r="K1164" i="1" a="1"/>
  <c r="K1164" i="1" s="1"/>
  <c r="K1166" i="1" a="1"/>
  <c r="K1166" i="1" s="1"/>
  <c r="L1164" i="1" a="1"/>
  <c r="L1164" i="1" s="1"/>
  <c r="K1169" i="1" a="1"/>
  <c r="K1169" i="1" s="1"/>
  <c r="J1165" i="1" a="1"/>
  <c r="J1165" i="1" s="1"/>
  <c r="L1165" i="1" a="1"/>
  <c r="L1165" i="1" s="1"/>
  <c r="K1170" i="1" a="1"/>
  <c r="K1170" i="1" s="1"/>
  <c r="J1169" i="1" a="1"/>
  <c r="J1169" i="1" s="1"/>
  <c r="J1167" i="1" a="1"/>
  <c r="J1167" i="1" s="1"/>
  <c r="L1166" i="1" a="1"/>
  <c r="L1166" i="1" s="1"/>
  <c r="J1166" i="1" a="1"/>
  <c r="J1166" i="1" s="1"/>
  <c r="K1168" i="1" a="1"/>
  <c r="K1168" i="1" s="1"/>
  <c r="J1168" i="1" a="1"/>
  <c r="J1168" i="1" s="1"/>
  <c r="K1167" i="1" a="1"/>
  <c r="K1167" i="1" s="1"/>
  <c r="L1171" i="1" a="1"/>
  <c r="L1171" i="1" s="1"/>
  <c r="K1171" i="1" a="1"/>
  <c r="K1171" i="1" s="1"/>
  <c r="L1168" i="1" a="1"/>
  <c r="L1168" i="1" s="1"/>
  <c r="J1171" i="1" a="1"/>
  <c r="J1171" i="1" s="1"/>
  <c r="J1162" i="1" a="1"/>
  <c r="J1162" i="1" s="1"/>
  <c r="J1156" i="1" a="1"/>
  <c r="J1156" i="1" s="1"/>
  <c r="K1154" i="1" a="1"/>
  <c r="K1154" i="1" s="1"/>
  <c r="L1163" i="1" a="1"/>
  <c r="L1163" i="1" s="1"/>
  <c r="L1162" i="1" a="1"/>
  <c r="L1162" i="1" s="1"/>
  <c r="L1156" i="1" a="1"/>
  <c r="L1156" i="1" s="1"/>
  <c r="K1155" i="1" a="1"/>
  <c r="K1155" i="1" s="1"/>
  <c r="K1163" i="1" a="1"/>
  <c r="K1163" i="1" s="1"/>
  <c r="J1163" i="1" a="1"/>
  <c r="J1163" i="1" s="1"/>
  <c r="K1156" i="1" a="1"/>
  <c r="K1156" i="1" s="1"/>
  <c r="J1153" i="1" a="1"/>
  <c r="J1153" i="1" s="1"/>
  <c r="L1153" i="1" a="1"/>
  <c r="L1153" i="1" s="1"/>
  <c r="K1153" i="1" a="1"/>
  <c r="K1153" i="1" s="1"/>
  <c r="L1154" i="1" a="1"/>
  <c r="L1154" i="1" s="1"/>
  <c r="J1155" i="1" a="1"/>
  <c r="J1155" i="1" s="1"/>
  <c r="L1155" i="1" a="1"/>
  <c r="L1155" i="1" s="1"/>
  <c r="J1154" i="1" a="1"/>
  <c r="J1154" i="1" s="1"/>
  <c r="K1162" i="1" a="1"/>
  <c r="K1162" i="1" s="1"/>
  <c r="K1147" i="1" a="1"/>
  <c r="K1147" i="1" s="1"/>
  <c r="L1146" i="1" a="1"/>
  <c r="L1146" i="1" s="1"/>
  <c r="J1143" i="1" a="1"/>
  <c r="J1143" i="1" s="1"/>
  <c r="J1147" i="1" a="1"/>
  <c r="J1147" i="1" s="1"/>
  <c r="K1150" i="1" a="1"/>
  <c r="K1150" i="1" s="1"/>
  <c r="K1145" i="1" a="1"/>
  <c r="K1145" i="1" s="1"/>
  <c r="L1149" i="1" a="1"/>
  <c r="L1149" i="1" s="1"/>
  <c r="J1148" i="1" a="1"/>
  <c r="J1148" i="1" s="1"/>
  <c r="K1146" i="1" a="1"/>
  <c r="K1146" i="1" s="1"/>
  <c r="L1143" i="1" a="1"/>
  <c r="L1143" i="1" s="1"/>
  <c r="K1143" i="1" a="1"/>
  <c r="K1143" i="1" s="1"/>
  <c r="K1149" i="1" a="1"/>
  <c r="K1149" i="1" s="1"/>
  <c r="L1147" i="1" a="1"/>
  <c r="L1147" i="1" s="1"/>
  <c r="L1150" i="1" a="1"/>
  <c r="L1150" i="1" s="1"/>
  <c r="K1148" i="1" a="1"/>
  <c r="K1148" i="1" s="1"/>
  <c r="L1144" i="1" a="1"/>
  <c r="L1144" i="1" s="1"/>
  <c r="J1146" i="1" a="1"/>
  <c r="J1146" i="1" s="1"/>
  <c r="J1150" i="1" a="1"/>
  <c r="J1150" i="1" s="1"/>
  <c r="L1145" i="1" a="1"/>
  <c r="L1145" i="1" s="1"/>
  <c r="J1145" i="1" a="1"/>
  <c r="J1145" i="1" s="1"/>
  <c r="K1144" i="1" a="1"/>
  <c r="K1144" i="1" s="1"/>
  <c r="J1149" i="1" a="1"/>
  <c r="J1149" i="1" s="1"/>
  <c r="J1144" i="1" a="1"/>
  <c r="J1144" i="1" s="1"/>
  <c r="L1148" i="1" a="1"/>
  <c r="L1148" i="1" s="1"/>
  <c r="L1140" i="1" a="1"/>
  <c r="L1140" i="1" s="1"/>
  <c r="K1139" i="1" a="1"/>
  <c r="K1139" i="1" s="1"/>
  <c r="L1138" i="1" a="1"/>
  <c r="L1138" i="1" s="1"/>
  <c r="J1138" i="1" a="1"/>
  <c r="J1138" i="1" s="1"/>
  <c r="K1138" i="1" a="1"/>
  <c r="K1138" i="1" s="1"/>
  <c r="L1142" i="1" a="1"/>
  <c r="L1142" i="1" s="1"/>
  <c r="J1141" i="1" a="1"/>
  <c r="J1141" i="1" s="1"/>
  <c r="L1139" i="1" a="1"/>
  <c r="L1139" i="1" s="1"/>
  <c r="J1140" i="1" a="1"/>
  <c r="J1140" i="1" s="1"/>
  <c r="J1139" i="1" a="1"/>
  <c r="J1139" i="1" s="1"/>
  <c r="K1142" i="1" a="1"/>
  <c r="K1142" i="1" s="1"/>
  <c r="J1142" i="1" a="1"/>
  <c r="J1142" i="1" s="1"/>
  <c r="K1140" i="1" a="1"/>
  <c r="K1140" i="1" s="1"/>
  <c r="L1141" i="1" a="1"/>
  <c r="L1141" i="1" s="1"/>
  <c r="K1141" i="1" a="1"/>
  <c r="K1141" i="1" s="1"/>
  <c r="K1993" i="1" a="1"/>
  <c r="K1993" i="1" s="1"/>
  <c r="L1991" i="1" a="1"/>
  <c r="L1991" i="1" s="1"/>
  <c r="L1992" i="1" a="1"/>
  <c r="L1992" i="1" s="1"/>
  <c r="K1991" i="1" a="1"/>
  <c r="K1991" i="1" s="1"/>
  <c r="K1995" i="1" a="1"/>
  <c r="K1995" i="1" s="1"/>
  <c r="J1991" i="1" a="1"/>
  <c r="J1991" i="1" s="1"/>
  <c r="K1998" i="1" a="1"/>
  <c r="K1998" i="1" s="1"/>
  <c r="J1998" i="1" a="1"/>
  <c r="J1998" i="1" s="1"/>
  <c r="J1994" i="1" a="1"/>
  <c r="J1994" i="1" s="1"/>
  <c r="J1997" i="1" a="1"/>
  <c r="J1997" i="1" s="1"/>
  <c r="L1996" i="1" a="1"/>
  <c r="L1996" i="1" s="1"/>
  <c r="J1995" i="1" a="1"/>
  <c r="J1995" i="1" s="1"/>
  <c r="L1993" i="1" a="1"/>
  <c r="L1993" i="1" s="1"/>
  <c r="L1994" i="1" a="1"/>
  <c r="L1994" i="1" s="1"/>
  <c r="J1992" i="1" a="1"/>
  <c r="J1992" i="1" s="1"/>
  <c r="K1994" i="1" a="1"/>
  <c r="K1994" i="1" s="1"/>
  <c r="K1992" i="1" a="1"/>
  <c r="K1992" i="1" s="1"/>
  <c r="L1997" i="1" a="1"/>
  <c r="L1997" i="1" s="1"/>
  <c r="J1993" i="1" a="1"/>
  <c r="J1993" i="1" s="1"/>
  <c r="K1997" i="1" a="1"/>
  <c r="K1997" i="1" s="1"/>
  <c r="K1996" i="1" a="1"/>
  <c r="K1996" i="1" s="1"/>
  <c r="L1995" i="1" a="1"/>
  <c r="L1995" i="1" s="1"/>
  <c r="J1996" i="1" a="1"/>
  <c r="J1996" i="1" s="1"/>
  <c r="J2190" i="1" a="1"/>
  <c r="J2190" i="1" s="1"/>
  <c r="L2193" i="1" a="1"/>
  <c r="L2193" i="1" s="1"/>
  <c r="K2193" i="1" a="1"/>
  <c r="K2193" i="1" s="1"/>
  <c r="J2188" i="1" a="1"/>
  <c r="J2188" i="1" s="1"/>
  <c r="J2191" i="1" a="1"/>
  <c r="J2191" i="1" s="1"/>
  <c r="L2188" i="1" a="1"/>
  <c r="L2188" i="1" s="1"/>
  <c r="J2192" i="1" a="1"/>
  <c r="J2192" i="1" s="1"/>
  <c r="K2192" i="1" a="1"/>
  <c r="K2192" i="1" s="1"/>
  <c r="L2191" i="1" a="1"/>
  <c r="L2191" i="1" s="1"/>
  <c r="L2187" i="1" a="1"/>
  <c r="L2187" i="1" s="1"/>
  <c r="L2196" i="1" a="1"/>
  <c r="L2196" i="1" s="1"/>
  <c r="K2196" i="1" a="1"/>
  <c r="K2196" i="1" s="1"/>
  <c r="J2193" i="1" a="1"/>
  <c r="J2193" i="1" s="1"/>
  <c r="L2190" i="1" a="1"/>
  <c r="L2190" i="1" s="1"/>
  <c r="J2196" i="1" a="1"/>
  <c r="J2196" i="1" s="1"/>
  <c r="K2187" i="1" a="1"/>
  <c r="K2187" i="1" s="1"/>
  <c r="J2194" i="1" a="1"/>
  <c r="J2194" i="1" s="1"/>
  <c r="K2190" i="1" a="1"/>
  <c r="K2190" i="1" s="1"/>
  <c r="L2195" i="1" a="1"/>
  <c r="L2195" i="1" s="1"/>
  <c r="K2195" i="1" a="1"/>
  <c r="K2195" i="1" s="1"/>
  <c r="K2188" i="1" a="1"/>
  <c r="K2188" i="1" s="1"/>
  <c r="J2195" i="1" a="1"/>
  <c r="J2195" i="1" s="1"/>
  <c r="K2194" i="1" a="1"/>
  <c r="K2194" i="1" s="1"/>
  <c r="L2192" i="1" a="1"/>
  <c r="L2192" i="1" s="1"/>
  <c r="K2191" i="1" a="1"/>
  <c r="K2191" i="1" s="1"/>
  <c r="L2194" i="1" a="1"/>
  <c r="L2194" i="1" s="1"/>
  <c r="L2181" i="1" a="1"/>
  <c r="L2181" i="1" s="1"/>
  <c r="L2179" i="1" a="1"/>
  <c r="L2179" i="1" s="1"/>
  <c r="J2180" i="1" a="1"/>
  <c r="J2180" i="1" s="1"/>
  <c r="J2187" i="1" a="1"/>
  <c r="J2187" i="1" s="1"/>
  <c r="J2182" i="1" a="1"/>
  <c r="J2182" i="1" s="1"/>
  <c r="L2184" i="1" a="1"/>
  <c r="L2184" i="1" s="1"/>
  <c r="K2178" i="1" a="1"/>
  <c r="K2178" i="1" s="1"/>
  <c r="J2183" i="1" a="1"/>
  <c r="J2183" i="1" s="1"/>
  <c r="L2186" i="1" a="1"/>
  <c r="L2186" i="1" s="1"/>
  <c r="K2186" i="1" a="1"/>
  <c r="K2186" i="1" s="1"/>
  <c r="J2181" i="1" a="1"/>
  <c r="J2181" i="1" s="1"/>
  <c r="J2185" i="1" a="1"/>
  <c r="J2185" i="1" s="1"/>
  <c r="J2179" i="1" a="1"/>
  <c r="J2179" i="1" s="1"/>
  <c r="K2182" i="1" a="1"/>
  <c r="K2182" i="1" s="1"/>
  <c r="L2185" i="1" a="1"/>
  <c r="L2185" i="1" s="1"/>
  <c r="K2185" i="1" a="1"/>
  <c r="K2185" i="1" s="1"/>
  <c r="K2184" i="1" a="1"/>
  <c r="K2184" i="1" s="1"/>
  <c r="K2181" i="1" a="1"/>
  <c r="K2181" i="1" s="1"/>
  <c r="L2183" i="1" a="1"/>
  <c r="L2183" i="1" s="1"/>
  <c r="L2182" i="1" a="1"/>
  <c r="L2182" i="1" s="1"/>
  <c r="J2184" i="1" a="1"/>
  <c r="J2184" i="1" s="1"/>
  <c r="K2179" i="1" a="1"/>
  <c r="K2179" i="1" s="1"/>
  <c r="K2183" i="1" a="1"/>
  <c r="K2183" i="1" s="1"/>
  <c r="L2180" i="1" a="1"/>
  <c r="L2180" i="1" s="1"/>
  <c r="J2186" i="1" a="1"/>
  <c r="J2186" i="1" s="1"/>
  <c r="K2180" i="1" a="1"/>
  <c r="K2180" i="1" s="1"/>
  <c r="J2178" i="1" a="1"/>
  <c r="J2178" i="1" s="1"/>
  <c r="L2178" i="1" a="1"/>
  <c r="L2178" i="1" s="1"/>
  <c r="J2172" i="1" a="1"/>
  <c r="J2172" i="1" s="1"/>
  <c r="L2169" i="1" a="1"/>
  <c r="L2169" i="1" s="1"/>
  <c r="K2169" i="1" a="1"/>
  <c r="K2169" i="1" s="1"/>
  <c r="J2175" i="1" a="1"/>
  <c r="J2175" i="1" s="1"/>
  <c r="K2172" i="1" a="1"/>
  <c r="K2172" i="1" s="1"/>
  <c r="J2171" i="1" a="1"/>
  <c r="J2171" i="1" s="1"/>
  <c r="L2172" i="1" a="1"/>
  <c r="L2172" i="1" s="1"/>
  <c r="K2170" i="1" a="1"/>
  <c r="K2170" i="1" s="1"/>
  <c r="J2169" i="1" a="1"/>
  <c r="J2169" i="1" s="1"/>
  <c r="J2170" i="1" a="1"/>
  <c r="J2170" i="1" s="1"/>
  <c r="K2171" i="1" a="1"/>
  <c r="K2171" i="1" s="1"/>
  <c r="L2171" i="1" a="1"/>
  <c r="L2171" i="1" s="1"/>
  <c r="K2173" i="1" a="1"/>
  <c r="K2173" i="1" s="1"/>
  <c r="J2176" i="1" a="1"/>
  <c r="J2176" i="1" s="1"/>
  <c r="J2173" i="1" a="1"/>
  <c r="J2173" i="1" s="1"/>
  <c r="K2176" i="1" a="1"/>
  <c r="K2176" i="1" s="1"/>
  <c r="L2175" i="1" a="1"/>
  <c r="L2175" i="1" s="1"/>
  <c r="K2175" i="1" a="1"/>
  <c r="K2175" i="1" s="1"/>
  <c r="L2170" i="1" a="1"/>
  <c r="L2170" i="1" s="1"/>
  <c r="K2174" i="1" a="1"/>
  <c r="K2174" i="1" s="1"/>
  <c r="L2173" i="1" a="1"/>
  <c r="L2173" i="1" s="1"/>
  <c r="L2177" i="1" a="1"/>
  <c r="L2177" i="1" s="1"/>
  <c r="K2177" i="1" a="1"/>
  <c r="K2177" i="1" s="1"/>
  <c r="L2174" i="1" a="1"/>
  <c r="L2174" i="1" s="1"/>
  <c r="J2174" i="1" a="1"/>
  <c r="J2174" i="1" s="1"/>
  <c r="J2177" i="1" a="1"/>
  <c r="J2177" i="1" s="1"/>
  <c r="L2176" i="1" a="1"/>
  <c r="L2176" i="1" s="1"/>
  <c r="K2164" i="1" a="1"/>
  <c r="K2164" i="1" s="1"/>
  <c r="K2163" i="1" a="1"/>
  <c r="K2163" i="1" s="1"/>
  <c r="L2164" i="1" a="1"/>
  <c r="L2164" i="1" s="1"/>
  <c r="K2160" i="1" a="1"/>
  <c r="K2160" i="1" s="1"/>
  <c r="J2161" i="1" a="1"/>
  <c r="J2161" i="1" s="1"/>
  <c r="L2161" i="1" a="1"/>
  <c r="L2161" i="1" s="1"/>
  <c r="K2162" i="1" a="1"/>
  <c r="K2162" i="1" s="1"/>
  <c r="L2167" i="1" a="1"/>
  <c r="L2167" i="1" s="1"/>
  <c r="J2166" i="1" a="1"/>
  <c r="J2166" i="1" s="1"/>
  <c r="L2163" i="1" a="1"/>
  <c r="L2163" i="1" s="1"/>
  <c r="K2161" i="1" a="1"/>
  <c r="K2161" i="1" s="1"/>
  <c r="L2160" i="1" a="1"/>
  <c r="L2160" i="1" s="1"/>
  <c r="L2162" i="1" a="1"/>
  <c r="L2162" i="1" s="1"/>
  <c r="J2160" i="1" a="1"/>
  <c r="J2160" i="1" s="1"/>
  <c r="L2159" i="1" a="1"/>
  <c r="L2159" i="1" s="1"/>
  <c r="J2162" i="1" a="1"/>
  <c r="J2162" i="1" s="1"/>
  <c r="K2166" i="1" a="1"/>
  <c r="K2166" i="1" s="1"/>
  <c r="J2168" i="1" a="1"/>
  <c r="J2168" i="1" s="1"/>
  <c r="J2164" i="1" a="1"/>
  <c r="J2164" i="1" s="1"/>
  <c r="J2163" i="1" a="1"/>
  <c r="J2163" i="1" s="1"/>
  <c r="L2166" i="1" a="1"/>
  <c r="L2166" i="1" s="1"/>
  <c r="K2167" i="1" a="1"/>
  <c r="K2167" i="1" s="1"/>
  <c r="L2168" i="1" a="1"/>
  <c r="L2168" i="1" s="1"/>
  <c r="K2168" i="1" a="1"/>
  <c r="K2168" i="1" s="1"/>
  <c r="J2167" i="1" a="1"/>
  <c r="J2167" i="1" s="1"/>
  <c r="J2155" i="1" a="1"/>
  <c r="J2155" i="1" s="1"/>
  <c r="K2158" i="1" a="1"/>
  <c r="K2158" i="1" s="1"/>
  <c r="K2155" i="1" a="1"/>
  <c r="K2155" i="1" s="1"/>
  <c r="K2152" i="1" a="1"/>
  <c r="K2152" i="1" s="1"/>
  <c r="L2155" i="1" a="1"/>
  <c r="L2155" i="1" s="1"/>
  <c r="K2154" i="1" a="1"/>
  <c r="K2154" i="1" s="1"/>
  <c r="L2158" i="1" a="1"/>
  <c r="L2158" i="1" s="1"/>
  <c r="J2157" i="1" a="1"/>
  <c r="J2157" i="1" s="1"/>
  <c r="L2156" i="1" a="1"/>
  <c r="L2156" i="1" s="1"/>
  <c r="L2153" i="1" a="1"/>
  <c r="L2153" i="1" s="1"/>
  <c r="J2154" i="1" a="1"/>
  <c r="J2154" i="1" s="1"/>
  <c r="J2158" i="1" a="1"/>
  <c r="J2158" i="1" s="1"/>
  <c r="L2151" i="1" a="1"/>
  <c r="L2151" i="1" s="1"/>
  <c r="L2154" i="1" a="1"/>
  <c r="L2154" i="1" s="1"/>
  <c r="K2159" i="1" a="1"/>
  <c r="K2159" i="1" s="1"/>
  <c r="K2153" i="1" a="1"/>
  <c r="K2153" i="1" s="1"/>
  <c r="L2152" i="1" a="1"/>
  <c r="L2152" i="1" s="1"/>
  <c r="K2150" i="1" a="1"/>
  <c r="K2150" i="1" s="1"/>
  <c r="L2150" i="1" a="1"/>
  <c r="L2150" i="1" s="1"/>
  <c r="K2156" i="1" a="1"/>
  <c r="K2156" i="1" s="1"/>
  <c r="J2159" i="1" a="1"/>
  <c r="J2159" i="1" s="1"/>
  <c r="L2157" i="1" a="1"/>
  <c r="L2157" i="1" s="1"/>
  <c r="J2156" i="1" a="1"/>
  <c r="J2156" i="1" s="1"/>
  <c r="K2151" i="1" a="1"/>
  <c r="K2151" i="1" s="1"/>
  <c r="K2157" i="1" a="1"/>
  <c r="K2157" i="1" s="1"/>
  <c r="J2153" i="1" a="1"/>
  <c r="J2153" i="1" s="1"/>
  <c r="J2152" i="1" a="1"/>
  <c r="J2152" i="1" s="1"/>
  <c r="J2151" i="1" a="1"/>
  <c r="J2151" i="1" s="1"/>
  <c r="L2143" i="1" a="1"/>
  <c r="L2143" i="1" s="1"/>
  <c r="L2148" i="1" a="1"/>
  <c r="L2148" i="1" s="1"/>
  <c r="L2147" i="1" a="1"/>
  <c r="L2147" i="1" s="1"/>
  <c r="K2147" i="1" a="1"/>
  <c r="K2147" i="1" s="1"/>
  <c r="L2145" i="1" a="1"/>
  <c r="L2145" i="1" s="1"/>
  <c r="K2143" i="1" a="1"/>
  <c r="K2143" i="1" s="1"/>
  <c r="J2142" i="1" a="1"/>
  <c r="J2142" i="1" s="1"/>
  <c r="J2143" i="1" a="1"/>
  <c r="J2143" i="1" s="1"/>
  <c r="L2142" i="1" a="1"/>
  <c r="L2142" i="1" s="1"/>
  <c r="K2142" i="1" a="1"/>
  <c r="K2142" i="1" s="1"/>
  <c r="K2148" i="1" a="1"/>
  <c r="K2148" i="1" s="1"/>
  <c r="L2144" i="1" a="1"/>
  <c r="L2144" i="1" s="1"/>
  <c r="J2144" i="1" a="1"/>
  <c r="J2144" i="1" s="1"/>
  <c r="K2144" i="1" a="1"/>
  <c r="K2144" i="1" s="1"/>
  <c r="J2148" i="1" a="1"/>
  <c r="J2148" i="1" s="1"/>
  <c r="J2150" i="1" a="1"/>
  <c r="J2150" i="1" s="1"/>
  <c r="L2149" i="1" a="1"/>
  <c r="L2149" i="1" s="1"/>
  <c r="K2145" i="1" a="1"/>
  <c r="K2145" i="1" s="1"/>
  <c r="K2149" i="1" a="1"/>
  <c r="K2149" i="1" s="1"/>
  <c r="J2149" i="1" a="1"/>
  <c r="J2149" i="1" s="1"/>
  <c r="J2146" i="1" a="1"/>
  <c r="J2146" i="1" s="1"/>
  <c r="J2147" i="1" a="1"/>
  <c r="J2147" i="1" s="1"/>
  <c r="J2145" i="1" a="1"/>
  <c r="J2145" i="1" s="1"/>
  <c r="L2146" i="1" a="1"/>
  <c r="L2146" i="1" s="1"/>
  <c r="K2146" i="1" a="1"/>
  <c r="K2146" i="1" s="1"/>
  <c r="K2136" i="1" a="1"/>
  <c r="K2136" i="1" s="1"/>
  <c r="L2141" i="1" a="1"/>
  <c r="L2141" i="1" s="1"/>
  <c r="K2137" i="1" a="1"/>
  <c r="K2137" i="1" s="1"/>
  <c r="K2135" i="1" a="1"/>
  <c r="K2135" i="1" s="1"/>
  <c r="J2135" i="1" a="1"/>
  <c r="J2135" i="1" s="1"/>
  <c r="K2141" i="1" a="1"/>
  <c r="K2141" i="1" s="1"/>
  <c r="J2141" i="1" a="1"/>
  <c r="J2141" i="1" s="1"/>
  <c r="L2140" i="1" a="1"/>
  <c r="L2140" i="1" s="1"/>
  <c r="J2133" i="1" a="1"/>
  <c r="J2133" i="1" s="1"/>
  <c r="J2139" i="1" a="1"/>
  <c r="J2139" i="1" s="1"/>
  <c r="K2139" i="1" a="1"/>
  <c r="K2139" i="1" s="1"/>
  <c r="L2138" i="1" a="1"/>
  <c r="L2138" i="1" s="1"/>
  <c r="K2140" i="1" a="1"/>
  <c r="K2140" i="1" s="1"/>
  <c r="J2140" i="1" a="1"/>
  <c r="J2140" i="1" s="1"/>
  <c r="L2133" i="1" a="1"/>
  <c r="L2133" i="1" s="1"/>
  <c r="L2139" i="1" a="1"/>
  <c r="L2139" i="1" s="1"/>
  <c r="L2136" i="1" a="1"/>
  <c r="L2136" i="1" s="1"/>
  <c r="K2138" i="1" a="1"/>
  <c r="K2138" i="1" s="1"/>
  <c r="L2137" i="1" a="1"/>
  <c r="L2137" i="1" s="1"/>
  <c r="J2137" i="1" a="1"/>
  <c r="J2137" i="1" s="1"/>
  <c r="J2136" i="1" a="1"/>
  <c r="J2136" i="1" s="1"/>
  <c r="J2138" i="1" a="1"/>
  <c r="J2138" i="1" s="1"/>
  <c r="J2134" i="1" a="1"/>
  <c r="J2134" i="1" s="1"/>
  <c r="K2134" i="1" a="1"/>
  <c r="K2134" i="1" s="1"/>
  <c r="L2132" i="1" a="1"/>
  <c r="L2132" i="1" s="1"/>
  <c r="K2133" i="1" a="1"/>
  <c r="K2133" i="1" s="1"/>
  <c r="L2135" i="1" a="1"/>
  <c r="L2135" i="1" s="1"/>
  <c r="L2134" i="1" a="1"/>
  <c r="L2134" i="1" s="1"/>
  <c r="L2129" i="1" a="1"/>
  <c r="L2129" i="1" s="1"/>
  <c r="J2127" i="1" a="1"/>
  <c r="J2127" i="1" s="1"/>
  <c r="L2123" i="1" a="1"/>
  <c r="L2123" i="1" s="1"/>
  <c r="J2125" i="1" a="1"/>
  <c r="J2125" i="1" s="1"/>
  <c r="L2126" i="1" a="1"/>
  <c r="L2126" i="1" s="1"/>
  <c r="K2125" i="1" a="1"/>
  <c r="K2125" i="1" s="1"/>
  <c r="J2126" i="1" a="1"/>
  <c r="J2126" i="1" s="1"/>
  <c r="L2125" i="1" a="1"/>
  <c r="L2125" i="1" s="1"/>
  <c r="K2132" i="1" a="1"/>
  <c r="K2132" i="1" s="1"/>
  <c r="J2132" i="1" a="1"/>
  <c r="J2132" i="1" s="1"/>
  <c r="K2123" i="1" a="1"/>
  <c r="K2123" i="1" s="1"/>
  <c r="K2129" i="1" a="1"/>
  <c r="K2129" i="1" s="1"/>
  <c r="K2131" i="1" a="1"/>
  <c r="K2131" i="1" s="1"/>
  <c r="L2124" i="1" a="1"/>
  <c r="L2124" i="1" s="1"/>
  <c r="J2128" i="1" a="1"/>
  <c r="J2128" i="1" s="1"/>
  <c r="K2130" i="1" a="1"/>
  <c r="K2130" i="1" s="1"/>
  <c r="L2127" i="1" a="1"/>
  <c r="L2127" i="1" s="1"/>
  <c r="J2129" i="1" a="1"/>
  <c r="J2129" i="1" s="1"/>
  <c r="J2130" i="1" a="1"/>
  <c r="J2130" i="1" s="1"/>
  <c r="J2131" i="1" a="1"/>
  <c r="J2131" i="1" s="1"/>
  <c r="L2128" i="1" a="1"/>
  <c r="L2128" i="1" s="1"/>
  <c r="K2126" i="1" a="1"/>
  <c r="K2126" i="1" s="1"/>
  <c r="K2127" i="1" a="1"/>
  <c r="K2127" i="1" s="1"/>
  <c r="K2128" i="1" a="1"/>
  <c r="K2128" i="1" s="1"/>
  <c r="J2124" i="1" a="1"/>
  <c r="J2124" i="1" s="1"/>
  <c r="K2124" i="1" a="1"/>
  <c r="K2124" i="1" s="1"/>
  <c r="L2131" i="1" a="1"/>
  <c r="L2131" i="1" s="1"/>
  <c r="L2130" i="1" a="1"/>
  <c r="L2130" i="1" s="1"/>
  <c r="J2122" i="1" a="1"/>
  <c r="J2122" i="1" s="1"/>
  <c r="L2121" i="1" a="1"/>
  <c r="L2121" i="1" s="1"/>
  <c r="J2117" i="1" a="1"/>
  <c r="J2117" i="1" s="1"/>
  <c r="K2116" i="1" a="1"/>
  <c r="K2116" i="1" s="1"/>
  <c r="J2121" i="1" a="1"/>
  <c r="J2121" i="1" s="1"/>
  <c r="J2119" i="1" a="1"/>
  <c r="J2119" i="1" s="1"/>
  <c r="L2117" i="1" a="1"/>
  <c r="L2117" i="1" s="1"/>
  <c r="J2123" i="1" a="1"/>
  <c r="J2123" i="1" s="1"/>
  <c r="K2121" i="1" a="1"/>
  <c r="K2121" i="1" s="1"/>
  <c r="K2119" i="1" a="1"/>
  <c r="K2119" i="1" s="1"/>
  <c r="K2115" i="1" a="1"/>
  <c r="K2115" i="1" s="1"/>
  <c r="J2115" i="1" a="1"/>
  <c r="J2115" i="1" s="1"/>
  <c r="L2120" i="1" a="1"/>
  <c r="L2120" i="1" s="1"/>
  <c r="K2120" i="1" a="1"/>
  <c r="K2120" i="1" s="1"/>
  <c r="J2116" i="1" a="1"/>
  <c r="J2116" i="1" s="1"/>
  <c r="L2119" i="1" a="1"/>
  <c r="L2119" i="1" s="1"/>
  <c r="J2118" i="1" a="1"/>
  <c r="J2118" i="1" s="1"/>
  <c r="L2118" i="1" a="1"/>
  <c r="L2118" i="1" s="1"/>
  <c r="K2118" i="1" a="1"/>
  <c r="K2118" i="1" s="1"/>
  <c r="L2115" i="1" a="1"/>
  <c r="L2115" i="1" s="1"/>
  <c r="L2122" i="1" a="1"/>
  <c r="L2122" i="1" s="1"/>
  <c r="K2122" i="1" a="1"/>
  <c r="K2122" i="1" s="1"/>
  <c r="J2120" i="1" a="1"/>
  <c r="J2120" i="1" s="1"/>
  <c r="K2117" i="1" a="1"/>
  <c r="K2117" i="1" s="1"/>
  <c r="L2116" i="1" a="1"/>
  <c r="L2116" i="1" s="1"/>
  <c r="K2021" i="1" a="1"/>
  <c r="K2021" i="1" s="1"/>
  <c r="L2018" i="1" a="1"/>
  <c r="L2018" i="1" s="1"/>
  <c r="L2019" i="1" s="1" a="1"/>
  <c r="L2019" i="1" s="1"/>
  <c r="L2021" i="1" a="1"/>
  <c r="L2021" i="1" s="1"/>
  <c r="K2018" i="1" a="1"/>
  <c r="K2018" i="1" s="1"/>
  <c r="K2019" i="1" s="1" a="1"/>
  <c r="K2019" i="1" s="1"/>
  <c r="L2020" i="1" a="1"/>
  <c r="L2020" i="1" s="1"/>
  <c r="J2021" i="1" a="1"/>
  <c r="J2021" i="1" s="1"/>
  <c r="J2018" i="1" a="1"/>
  <c r="J2018" i="1" s="1"/>
  <c r="J2019" i="1" s="1" a="1"/>
  <c r="J2019" i="1" s="1"/>
  <c r="J2020" i="1" a="1"/>
  <c r="J2020" i="1" s="1"/>
  <c r="K2020" i="1" a="1"/>
  <c r="K2020" i="1" s="1"/>
  <c r="J2015" i="1" a="1"/>
  <c r="J2015" i="1" s="1"/>
  <c r="K2011" i="1" a="1"/>
  <c r="K2011" i="1" s="1"/>
  <c r="K2008" i="1" a="1"/>
  <c r="K2008" i="1" s="1"/>
  <c r="K2009" i="1" s="1" a="1"/>
  <c r="K2009" i="1" s="1"/>
  <c r="K2015" i="1" a="1"/>
  <c r="K2015" i="1" s="1"/>
  <c r="J2011" i="1" a="1"/>
  <c r="J2011" i="1" s="1"/>
  <c r="K2010" i="1" a="1"/>
  <c r="K2010" i="1" s="1"/>
  <c r="L2011" i="1" a="1"/>
  <c r="L2011" i="1" s="1"/>
  <c r="K2016" i="1" a="1"/>
  <c r="K2016" i="1" s="1"/>
  <c r="K2017" i="1" s="1" a="1"/>
  <c r="K2017" i="1" s="1"/>
  <c r="L2015" i="1" a="1"/>
  <c r="L2015" i="1" s="1"/>
  <c r="L2013" i="1" a="1"/>
  <c r="L2013" i="1" s="1"/>
  <c r="L2014" i="1" s="1" a="1"/>
  <c r="L2014" i="1" s="1"/>
  <c r="K2013" i="1" a="1"/>
  <c r="K2013" i="1" s="1"/>
  <c r="K2014" i="1" s="1" a="1"/>
  <c r="K2014" i="1" s="1"/>
  <c r="L2010" i="1" a="1"/>
  <c r="L2010" i="1" s="1"/>
  <c r="J2010" i="1" a="1"/>
  <c r="J2010" i="1" s="1"/>
  <c r="J2013" i="1" a="1"/>
  <c r="J2013" i="1" s="1"/>
  <c r="J2014" i="1" s="1" a="1"/>
  <c r="J2014" i="1" s="1"/>
  <c r="L2008" i="1" a="1"/>
  <c r="L2008" i="1" s="1"/>
  <c r="L2009" i="1" s="1" a="1"/>
  <c r="L2009" i="1" s="1"/>
  <c r="L2016" i="1" a="1"/>
  <c r="L2016" i="1" s="1"/>
  <c r="L2017" i="1" s="1" a="1"/>
  <c r="L2017" i="1" s="1"/>
  <c r="J2008" i="1" a="1"/>
  <c r="J2008" i="1" s="1"/>
  <c r="J2009" i="1" s="1" a="1"/>
  <c r="J2009" i="1" s="1"/>
  <c r="J2016" i="1" a="1"/>
  <c r="J2016" i="1" s="1"/>
  <c r="J2017" i="1" s="1" a="1"/>
  <c r="J2017" i="1" s="1"/>
  <c r="K2003" i="1" a="1"/>
  <c r="K2003" i="1" s="1"/>
  <c r="K2004" i="1" s="1" a="1"/>
  <c r="K2004" i="1" s="1"/>
  <c r="K2000" i="1" a="1"/>
  <c r="K2000" i="1" s="1"/>
  <c r="J2000" i="1" a="1"/>
  <c r="J2000" i="1" s="1"/>
  <c r="L2000" i="1" a="1"/>
  <c r="L2000" i="1" s="1"/>
  <c r="L1998" i="1" a="1"/>
  <c r="L1998" i="1" s="1"/>
  <c r="K2001" i="1" a="1"/>
  <c r="K2001" i="1" s="1"/>
  <c r="L1999" i="1" a="1"/>
  <c r="L1999" i="1" s="1"/>
  <c r="L2001" i="1" a="1"/>
  <c r="L2001" i="1" s="1"/>
  <c r="J2003" i="1" a="1"/>
  <c r="J2003" i="1" s="1"/>
  <c r="J2004" i="1" s="1" a="1"/>
  <c r="J2004" i="1" s="1"/>
  <c r="J1999" i="1" a="1"/>
  <c r="J1999" i="1" s="1"/>
  <c r="K1999" i="1" a="1"/>
  <c r="K1999" i="1" s="1"/>
  <c r="L2003" i="1" a="1"/>
  <c r="L2003" i="1" s="1"/>
  <c r="L2004" i="1" s="1" a="1"/>
  <c r="L2004" i="1" s="1"/>
  <c r="L2006" i="1" a="1"/>
  <c r="L2006" i="1" s="1"/>
  <c r="L2007" i="1" s="1" a="1"/>
  <c r="L2007" i="1" s="1"/>
  <c r="K2006" i="1" a="1"/>
  <c r="K2006" i="1" s="1"/>
  <c r="K2007" i="1" s="1" a="1"/>
  <c r="K2007" i="1" s="1"/>
  <c r="J2006" i="1" a="1"/>
  <c r="J2006" i="1" s="1"/>
  <c r="J2007" i="1" s="1" a="1"/>
  <c r="J2007" i="1" s="1"/>
  <c r="L2005" i="1" a="1"/>
  <c r="L2005" i="1" s="1"/>
  <c r="J2005" i="1" a="1"/>
  <c r="J2005" i="1" s="1"/>
  <c r="K2005" i="1" a="1"/>
  <c r="K2005" i="1" s="1"/>
  <c r="J2001" i="1" a="1"/>
  <c r="J2001" i="1" s="1"/>
  <c r="L1226" i="1" a="1"/>
  <c r="L1226" i="1" s="1"/>
  <c r="J1227" i="1" a="1"/>
  <c r="J1227" i="1" s="1"/>
  <c r="L1228" i="1" a="1"/>
  <c r="L1228" i="1" s="1"/>
  <c r="L1230" i="1" a="1"/>
  <c r="L1230" i="1" s="1"/>
  <c r="K1230" i="1" a="1"/>
  <c r="K1230" i="1" s="1"/>
  <c r="L1229" i="1" a="1"/>
  <c r="L1229" i="1" s="1"/>
  <c r="L1227" i="1" a="1"/>
  <c r="L1227" i="1" s="1"/>
  <c r="J1230" i="1" a="1"/>
  <c r="J1230" i="1" s="1"/>
  <c r="L1223" i="1" a="1"/>
  <c r="L1223" i="1" s="1"/>
  <c r="K1228" i="1" a="1"/>
  <c r="K1228" i="1" s="1"/>
  <c r="L1222" i="1" a="1"/>
  <c r="L1222" i="1" s="1"/>
  <c r="K1225" i="1" a="1"/>
  <c r="K1225" i="1" s="1"/>
  <c r="J1225" i="1" a="1"/>
  <c r="J1225" i="1" s="1"/>
  <c r="K1223" i="1" a="1"/>
  <c r="K1223" i="1" s="1"/>
  <c r="J1223" i="1" a="1"/>
  <c r="J1223" i="1" s="1"/>
  <c r="K1229" i="1" a="1"/>
  <c r="K1229" i="1" s="1"/>
  <c r="J1229" i="1" a="1"/>
  <c r="J1229" i="1" s="1"/>
  <c r="J1228" i="1" a="1"/>
  <c r="J1228" i="1" s="1"/>
  <c r="K1227" i="1" a="1"/>
  <c r="K1227" i="1" s="1"/>
  <c r="J1226" i="1" a="1"/>
  <c r="J1226" i="1" s="1"/>
  <c r="K1224" i="1" a="1"/>
  <c r="K1224" i="1" s="1"/>
  <c r="L1225" i="1" a="1"/>
  <c r="L1225" i="1" s="1"/>
  <c r="L1224" i="1" a="1"/>
  <c r="L1224" i="1" s="1"/>
  <c r="J1224" i="1" a="1"/>
  <c r="J1224" i="1" s="1"/>
  <c r="K1226" i="1" a="1"/>
  <c r="K1226" i="1" s="1"/>
  <c r="L1214" i="1" a="1"/>
  <c r="L1214" i="1" s="1"/>
  <c r="K1214" i="1" a="1"/>
  <c r="K1214" i="1" s="1"/>
  <c r="K1221" i="1" a="1"/>
  <c r="K1221" i="1" s="1"/>
  <c r="J1221" i="1" a="1"/>
  <c r="J1221" i="1" s="1"/>
  <c r="J1217" i="1" a="1"/>
  <c r="J1217" i="1" s="1"/>
  <c r="L1220" i="1" a="1"/>
  <c r="L1220" i="1" s="1"/>
  <c r="K1219" i="1" a="1"/>
  <c r="K1219" i="1" s="1"/>
  <c r="J1218" i="1" a="1"/>
  <c r="J1218" i="1" s="1"/>
  <c r="J1219" i="1" a="1"/>
  <c r="J1219" i="1" s="1"/>
  <c r="J1215" i="1" a="1"/>
  <c r="J1215" i="1" s="1"/>
  <c r="L1216" i="1" a="1"/>
  <c r="L1216" i="1" s="1"/>
  <c r="J1216" i="1" a="1"/>
  <c r="J1216" i="1" s="1"/>
  <c r="K1215" i="1" a="1"/>
  <c r="K1215" i="1" s="1"/>
  <c r="L1218" i="1" a="1"/>
  <c r="L1218" i="1" s="1"/>
  <c r="L1215" i="1" a="1"/>
  <c r="L1215" i="1" s="1"/>
  <c r="L1219" i="1" a="1"/>
  <c r="L1219" i="1" s="1"/>
  <c r="L1221" i="1" a="1"/>
  <c r="L1221" i="1" s="1"/>
  <c r="L1217" i="1" a="1"/>
  <c r="L1217" i="1" s="1"/>
  <c r="K1216" i="1" a="1"/>
  <c r="K1216" i="1" s="1"/>
  <c r="K1222" i="1" a="1"/>
  <c r="K1222" i="1" s="1"/>
  <c r="J1222" i="1" a="1"/>
  <c r="J1222" i="1" s="1"/>
  <c r="J1220" i="1" a="1"/>
  <c r="J1220" i="1" s="1"/>
  <c r="K1220" i="1" a="1"/>
  <c r="K1220" i="1" s="1"/>
  <c r="K1218" i="1" a="1"/>
  <c r="K1218" i="1" s="1"/>
  <c r="K1217" i="1" a="1"/>
  <c r="K1217" i="1" s="1"/>
  <c r="J1214" i="1" a="1"/>
  <c r="J1214" i="1" s="1"/>
  <c r="K1421" i="1" a="1"/>
  <c r="K1421" i="1" s="1"/>
  <c r="K1420" i="1" a="1"/>
  <c r="K1420" i="1" s="1"/>
  <c r="L1422" i="1" a="1"/>
  <c r="L1422" i="1" s="1"/>
  <c r="J1422" i="1" a="1"/>
  <c r="J1422" i="1" s="1"/>
  <c r="K1416" i="1" a="1"/>
  <c r="K1416" i="1" s="1"/>
  <c r="L1417" i="1" a="1"/>
  <c r="L1417" i="1" s="1"/>
  <c r="K1418" i="1" a="1"/>
  <c r="K1418" i="1" s="1"/>
  <c r="L1416" i="1" a="1"/>
  <c r="L1416" i="1" s="1"/>
  <c r="J1416" i="1" a="1"/>
  <c r="J1416" i="1" s="1"/>
  <c r="L1421" i="1" a="1"/>
  <c r="L1421" i="1" s="1"/>
  <c r="L1420" i="1" a="1"/>
  <c r="L1420" i="1" s="1"/>
  <c r="K1419" i="1" a="1"/>
  <c r="K1419" i="1" s="1"/>
  <c r="J1417" i="1" a="1"/>
  <c r="J1417" i="1" s="1"/>
  <c r="J1418" i="1" a="1"/>
  <c r="J1418" i="1" s="1"/>
  <c r="J1419" i="1" a="1"/>
  <c r="J1419" i="1" s="1"/>
  <c r="K1423" i="1" a="1"/>
  <c r="K1423" i="1" s="1"/>
  <c r="L1424" i="1" a="1"/>
  <c r="L1424" i="1" s="1"/>
  <c r="K1424" i="1" a="1"/>
  <c r="K1424" i="1" s="1"/>
  <c r="L1423" i="1" a="1"/>
  <c r="L1423" i="1" s="1"/>
  <c r="K1422" i="1" a="1"/>
  <c r="K1422" i="1" s="1"/>
  <c r="L1419" i="1" a="1"/>
  <c r="L1419" i="1" s="1"/>
  <c r="J1421" i="1" a="1"/>
  <c r="J1421" i="1" s="1"/>
  <c r="J1423" i="1" a="1"/>
  <c r="J1423" i="1" s="1"/>
  <c r="J1420" i="1" a="1"/>
  <c r="J1420" i="1" s="1"/>
  <c r="K1417" i="1" a="1"/>
  <c r="K1417" i="1" s="1"/>
  <c r="L1418" i="1" a="1"/>
  <c r="L1418" i="1" s="1"/>
  <c r="J1424" i="1" a="1"/>
  <c r="J1424" i="1" s="1"/>
  <c r="K1408" i="1" a="1"/>
  <c r="K1408" i="1" s="1"/>
  <c r="L1407" i="1" a="1"/>
  <c r="L1407" i="1" s="1"/>
  <c r="K1409" i="1" a="1"/>
  <c r="K1409" i="1" s="1"/>
  <c r="J1405" i="1" a="1"/>
  <c r="J1405" i="1" s="1"/>
  <c r="J1409" i="1" a="1"/>
  <c r="J1409" i="1" s="1"/>
  <c r="K1407" i="1" a="1"/>
  <c r="K1407" i="1" s="1"/>
  <c r="L1408" i="1" a="1"/>
  <c r="L1408" i="1" s="1"/>
  <c r="K1410" i="1" a="1"/>
  <c r="K1410" i="1" s="1"/>
  <c r="J1407" i="1" a="1"/>
  <c r="J1407" i="1" s="1"/>
  <c r="J1408" i="1" a="1"/>
  <c r="J1408" i="1" s="1"/>
  <c r="K1405" i="1" a="1"/>
  <c r="K1405" i="1" s="1"/>
  <c r="L1410" i="1" a="1"/>
  <c r="L1410" i="1" s="1"/>
  <c r="J1410" i="1" a="1"/>
  <c r="J1410" i="1" s="1"/>
  <c r="L1405" i="1" a="1"/>
  <c r="L1405" i="1" s="1"/>
  <c r="L1409" i="1" a="1"/>
  <c r="L1409" i="1" s="1"/>
  <c r="L1404" i="1" a="1"/>
  <c r="L1404" i="1" s="1"/>
  <c r="K1404" i="1" a="1"/>
  <c r="K1404" i="1" s="1"/>
  <c r="J1404" i="1" a="1"/>
  <c r="J1404" i="1" s="1"/>
  <c r="K1401" i="1" a="1"/>
  <c r="K1401" i="1" s="1"/>
  <c r="L1403" i="1" a="1"/>
  <c r="L1403" i="1" s="1"/>
  <c r="J1401" i="1" a="1"/>
  <c r="J1401" i="1" s="1"/>
  <c r="K1403" i="1" a="1"/>
  <c r="K1403" i="1" s="1"/>
  <c r="J1403" i="1" a="1"/>
  <c r="J1403" i="1" s="1"/>
  <c r="K1402" i="1" a="1"/>
  <c r="K1402" i="1" s="1"/>
  <c r="J1402" i="1" a="1"/>
  <c r="J1402" i="1" s="1"/>
  <c r="L1401" i="1" a="1"/>
  <c r="L1401" i="1" s="1"/>
  <c r="L1402" i="1" a="1"/>
  <c r="L1402" i="1" s="1"/>
  <c r="J1372" i="1" a="1"/>
  <c r="J1372" i="1" s="1"/>
  <c r="J1373" i="1" a="1"/>
  <c r="J1373" i="1" s="1"/>
  <c r="K1372" i="1" a="1"/>
  <c r="K1372" i="1" s="1"/>
  <c r="K1371" i="1" a="1"/>
  <c r="K1371" i="1" s="1"/>
  <c r="J1370" i="1" a="1"/>
  <c r="J1370" i="1" s="1"/>
  <c r="L1369" i="1" a="1"/>
  <c r="L1369" i="1" s="1"/>
  <c r="K1374" i="1" a="1"/>
  <c r="K1374" i="1" s="1"/>
  <c r="K1369" i="1" a="1"/>
  <c r="K1369" i="1" s="1"/>
  <c r="L1371" i="1" a="1"/>
  <c r="L1371" i="1" s="1"/>
  <c r="L1373" i="1" a="1"/>
  <c r="L1373" i="1" s="1"/>
  <c r="K1370" i="1" a="1"/>
  <c r="K1370" i="1" s="1"/>
  <c r="J1371" i="1" a="1"/>
  <c r="J1371" i="1" s="1"/>
  <c r="J1374" i="1" a="1"/>
  <c r="J1374" i="1" s="1"/>
  <c r="K1373" i="1" a="1"/>
  <c r="K1373" i="1" s="1"/>
  <c r="L1370" i="1" a="1"/>
  <c r="L1370" i="1" s="1"/>
  <c r="L1374" i="1" a="1"/>
  <c r="L1374" i="1" s="1"/>
  <c r="J1369" i="1" a="1"/>
  <c r="J1369" i="1" s="1"/>
  <c r="L1372" i="1" a="1"/>
  <c r="L1372" i="1" s="1"/>
  <c r="K1360" i="1" a="1"/>
  <c r="K1360" i="1" s="1"/>
  <c r="L1368" i="1" a="1"/>
  <c r="L1368" i="1" s="1"/>
  <c r="K1361" i="1" a="1"/>
  <c r="K1361" i="1" s="1"/>
  <c r="K1368" i="1" a="1"/>
  <c r="K1368" i="1" s="1"/>
  <c r="K1365" i="1" a="1"/>
  <c r="K1365" i="1" s="1"/>
  <c r="L1362" i="1" a="1"/>
  <c r="L1362" i="1" s="1"/>
  <c r="L1363" i="1" a="1"/>
  <c r="L1363" i="1" s="1"/>
  <c r="J1368" i="1" a="1"/>
  <c r="J1368" i="1" s="1"/>
  <c r="J1362" i="1" a="1"/>
  <c r="J1362" i="1" s="1"/>
  <c r="K1367" i="1" a="1"/>
  <c r="K1367" i="1" s="1"/>
  <c r="J1366" i="1" a="1"/>
  <c r="J1366" i="1" s="1"/>
  <c r="L1360" i="1" a="1"/>
  <c r="L1360" i="1" s="1"/>
  <c r="J1367" i="1" a="1"/>
  <c r="J1367" i="1" s="1"/>
  <c r="L1366" i="1" a="1"/>
  <c r="L1366" i="1" s="1"/>
  <c r="J1365" i="1" a="1"/>
  <c r="J1365" i="1" s="1"/>
  <c r="L1365" i="1" a="1"/>
  <c r="L1365" i="1" s="1"/>
  <c r="L1364" i="1" a="1"/>
  <c r="L1364" i="1" s="1"/>
  <c r="K1363" i="1" a="1"/>
  <c r="K1363" i="1" s="1"/>
  <c r="J1363" i="1" a="1"/>
  <c r="J1363" i="1" s="1"/>
  <c r="J1361" i="1" a="1"/>
  <c r="J1361" i="1" s="1"/>
  <c r="J1360" i="1" a="1"/>
  <c r="J1360" i="1" s="1"/>
  <c r="L1367" i="1" a="1"/>
  <c r="L1367" i="1" s="1"/>
  <c r="K1366" i="1" a="1"/>
  <c r="K1366" i="1" s="1"/>
  <c r="K1364" i="1" a="1"/>
  <c r="K1364" i="1" s="1"/>
  <c r="K1362" i="1" a="1"/>
  <c r="K1362" i="1" s="1"/>
  <c r="L1361" i="1" a="1"/>
  <c r="L1361" i="1" s="1"/>
  <c r="J1364" i="1" a="1"/>
  <c r="J1364" i="1" s="1"/>
  <c r="L1354" i="1" a="1"/>
  <c r="L1354" i="1" s="1"/>
  <c r="J1359" i="1" a="1"/>
  <c r="J1359" i="1" s="1"/>
  <c r="K1350" i="1" a="1"/>
  <c r="K1350" i="1" s="1"/>
  <c r="K1357" i="1" a="1"/>
  <c r="K1357" i="1" s="1"/>
  <c r="L1357" i="1" a="1"/>
  <c r="L1357" i="1" s="1"/>
  <c r="K1355" i="1" a="1"/>
  <c r="K1355" i="1" s="1"/>
  <c r="K1352" i="1" a="1"/>
  <c r="K1352" i="1" s="1"/>
  <c r="L1350" i="1" a="1"/>
  <c r="L1350" i="1" s="1"/>
  <c r="L1356" i="1" a="1"/>
  <c r="L1356" i="1" s="1"/>
  <c r="K1358" i="1" a="1"/>
  <c r="K1358" i="1" s="1"/>
  <c r="J1358" i="1" a="1"/>
  <c r="J1358" i="1" s="1"/>
  <c r="L1352" i="1" a="1"/>
  <c r="L1352" i="1" s="1"/>
  <c r="J1354" i="1" a="1"/>
  <c r="J1354" i="1" s="1"/>
  <c r="L1355" i="1" a="1"/>
  <c r="L1355" i="1" s="1"/>
  <c r="J1352" i="1" a="1"/>
  <c r="J1352" i="1" s="1"/>
  <c r="J1353" i="1" a="1"/>
  <c r="J1353" i="1" s="1"/>
  <c r="J1355" i="1" a="1"/>
  <c r="J1355" i="1" s="1"/>
  <c r="K1353" i="1" a="1"/>
  <c r="K1353" i="1" s="1"/>
  <c r="K1354" i="1" a="1"/>
  <c r="K1354" i="1" s="1"/>
  <c r="J1356" i="1" a="1"/>
  <c r="J1356" i="1" s="1"/>
  <c r="J1357" i="1" a="1"/>
  <c r="J1357" i="1" s="1"/>
  <c r="L1358" i="1" a="1"/>
  <c r="L1358" i="1" s="1"/>
  <c r="K1356" i="1" a="1"/>
  <c r="K1356" i="1" s="1"/>
  <c r="L1353" i="1" a="1"/>
  <c r="L1353" i="1" s="1"/>
  <c r="L1359" i="1" a="1"/>
  <c r="L1359" i="1" s="1"/>
  <c r="K1359" i="1" a="1"/>
  <c r="K1359" i="1" s="1"/>
  <c r="K1347" i="1" a="1"/>
  <c r="K1347" i="1" s="1"/>
  <c r="K1340" i="1" a="1"/>
  <c r="K1340" i="1" s="1"/>
  <c r="J1339" i="1" a="1"/>
  <c r="J1339" i="1" s="1"/>
  <c r="K1348" i="1" a="1"/>
  <c r="K1348" i="1" s="1"/>
  <c r="L1347" i="1" a="1"/>
  <c r="L1347" i="1" s="1"/>
  <c r="K1339" i="1" a="1"/>
  <c r="K1339" i="1" s="1"/>
  <c r="J1350" i="1" a="1"/>
  <c r="J1350" i="1" s="1"/>
  <c r="L1348" i="1" a="1"/>
  <c r="L1348" i="1" s="1"/>
  <c r="J1348" i="1" a="1"/>
  <c r="J1348" i="1" s="1"/>
  <c r="L1349" i="1" a="1"/>
  <c r="L1349" i="1" s="1"/>
  <c r="K1349" i="1" a="1"/>
  <c r="K1349" i="1" s="1"/>
  <c r="J1349" i="1" a="1"/>
  <c r="J1349" i="1" s="1"/>
  <c r="J1347" i="1" a="1"/>
  <c r="J1347" i="1" s="1"/>
  <c r="L1346" i="1" a="1"/>
  <c r="L1346" i="1" s="1"/>
  <c r="K1346" i="1" a="1"/>
  <c r="K1346" i="1" s="1"/>
  <c r="J1340" i="1" a="1"/>
  <c r="J1340" i="1" s="1"/>
  <c r="L1340" i="1" a="1"/>
  <c r="L1340" i="1" s="1"/>
  <c r="J1346" i="1" a="1"/>
  <c r="J1346" i="1" s="1"/>
  <c r="L1339" i="1" a="1"/>
  <c r="L1339" i="1" s="1"/>
  <c r="K1332" i="1" a="1"/>
  <c r="K1332" i="1" s="1"/>
  <c r="K1338" i="1" a="1"/>
  <c r="K1338" i="1" s="1"/>
  <c r="K1333" i="1" a="1"/>
  <c r="K1333" i="1" s="1"/>
  <c r="J1336" i="1" a="1"/>
  <c r="J1336" i="1" s="1"/>
  <c r="J1334" i="1" a="1"/>
  <c r="J1334" i="1" s="1"/>
  <c r="L1337" i="1" a="1"/>
  <c r="L1337" i="1" s="1"/>
  <c r="L1333" i="1" a="1"/>
  <c r="L1333" i="1" s="1"/>
  <c r="J1337" i="1" a="1"/>
  <c r="J1337" i="1" s="1"/>
  <c r="K1336" i="1" a="1"/>
  <c r="K1336" i="1" s="1"/>
  <c r="L1334" i="1" a="1"/>
  <c r="L1334" i="1" s="1"/>
  <c r="J1333" i="1" a="1"/>
  <c r="J1333" i="1" s="1"/>
  <c r="J1332" i="1" a="1"/>
  <c r="J1332" i="1" s="1"/>
  <c r="L1332" i="1" a="1"/>
  <c r="L1332" i="1" s="1"/>
  <c r="L1335" i="1" a="1"/>
  <c r="L1335" i="1" s="1"/>
  <c r="L1336" i="1" a="1"/>
  <c r="L1336" i="1" s="1"/>
  <c r="K1335" i="1" a="1"/>
  <c r="K1335" i="1" s="1"/>
  <c r="K1337" i="1" a="1"/>
  <c r="K1337" i="1" s="1"/>
  <c r="J1335" i="1" a="1"/>
  <c r="J1335" i="1" s="1"/>
  <c r="K1334" i="1" a="1"/>
  <c r="K1334" i="1" s="1"/>
  <c r="L1338" i="1" a="1"/>
  <c r="L1338" i="1" s="1"/>
  <c r="J1338" i="1" a="1"/>
  <c r="J1338" i="1" s="1"/>
  <c r="K1326" i="1" a="1"/>
  <c r="K1326" i="1" s="1"/>
  <c r="J1326" i="1" a="1"/>
  <c r="J1326" i="1" s="1"/>
  <c r="L1325" i="1" a="1"/>
  <c r="L1325" i="1" s="1"/>
  <c r="L1319" i="1" a="1"/>
  <c r="L1319" i="1" s="1"/>
  <c r="K1319" i="1" a="1"/>
  <c r="K1319" i="1" s="1"/>
  <c r="L1318" i="1" a="1"/>
  <c r="L1318" i="1" s="1"/>
  <c r="J1323" i="1" a="1"/>
  <c r="J1323" i="1" s="1"/>
  <c r="K1317" i="1" a="1"/>
  <c r="K1317" i="1" s="1"/>
  <c r="J1319" i="1" a="1"/>
  <c r="J1319" i="1" s="1"/>
  <c r="K1325" i="1" a="1"/>
  <c r="K1325" i="1" s="1"/>
  <c r="J1325" i="1" a="1"/>
  <c r="J1325" i="1" s="1"/>
  <c r="L1324" i="1" a="1"/>
  <c r="L1324" i="1" s="1"/>
  <c r="K1324" i="1" a="1"/>
  <c r="K1324" i="1" s="1"/>
  <c r="J1317" i="1" a="1"/>
  <c r="J1317" i="1" s="1"/>
  <c r="K1323" i="1" a="1"/>
  <c r="K1323" i="1" s="1"/>
  <c r="L1321" i="1" a="1"/>
  <c r="L1321" i="1" s="1"/>
  <c r="K1321" i="1" a="1"/>
  <c r="K1321" i="1" s="1"/>
  <c r="K1320" i="1" a="1"/>
  <c r="K1320" i="1" s="1"/>
  <c r="J1320" i="1" a="1"/>
  <c r="J1320" i="1" s="1"/>
  <c r="J1321" i="1" a="1"/>
  <c r="J1321" i="1" s="1"/>
  <c r="L1320" i="1" a="1"/>
  <c r="L1320" i="1" s="1"/>
  <c r="K1318" i="1" a="1"/>
  <c r="K1318" i="1" s="1"/>
  <c r="L1317" i="1" a="1"/>
  <c r="L1317" i="1" s="1"/>
  <c r="L1323" i="1" a="1"/>
  <c r="L1323" i="1" s="1"/>
  <c r="J1318" i="1" a="1"/>
  <c r="J1318" i="1" s="1"/>
  <c r="L1326" i="1" a="1"/>
  <c r="L1326" i="1" s="1"/>
  <c r="J1324" i="1" a="1"/>
  <c r="J1324" i="1" s="1"/>
  <c r="J1262" i="1" a="1"/>
  <c r="J1262" i="1" s="1"/>
  <c r="K1260" i="1" a="1"/>
  <c r="K1260" i="1" s="1"/>
  <c r="J1258" i="1" a="1"/>
  <c r="J1258" i="1" s="1"/>
  <c r="L1262" i="1" a="1"/>
  <c r="L1262" i="1" s="1"/>
  <c r="L1259" i="1" a="1"/>
  <c r="L1259" i="1" s="1"/>
  <c r="L1260" i="1" a="1"/>
  <c r="L1260" i="1" s="1"/>
  <c r="L1263" i="1" a="1"/>
  <c r="L1263" i="1" s="1"/>
  <c r="L1257" i="1" a="1"/>
  <c r="L1257" i="1" s="1"/>
  <c r="J1263" i="1" a="1"/>
  <c r="J1263" i="1" s="1"/>
  <c r="L1258" i="1" a="1"/>
  <c r="L1258" i="1" s="1"/>
  <c r="K1257" i="1" a="1"/>
  <c r="K1257" i="1" s="1"/>
  <c r="K1262" i="1" a="1"/>
  <c r="K1262" i="1" s="1"/>
  <c r="K1261" i="1" a="1"/>
  <c r="K1261" i="1" s="1"/>
  <c r="K1259" i="1" a="1"/>
  <c r="K1259" i="1" s="1"/>
  <c r="K1263" i="1" a="1"/>
  <c r="K1263" i="1" s="1"/>
  <c r="L1261" i="1" a="1"/>
  <c r="L1261" i="1" s="1"/>
  <c r="J1261" i="1" a="1"/>
  <c r="J1261" i="1" s="1"/>
  <c r="K1258" i="1" a="1"/>
  <c r="K1258" i="1" s="1"/>
  <c r="J1260" i="1" a="1"/>
  <c r="J1260" i="1" s="1"/>
  <c r="J1259" i="1" a="1"/>
  <c r="J1259" i="1" s="1"/>
  <c r="J1248" i="1" a="1"/>
  <c r="J1248" i="1" s="1"/>
  <c r="L1249" i="1" a="1"/>
  <c r="L1249" i="1" s="1"/>
  <c r="J1251" i="1" a="1"/>
  <c r="J1251" i="1" s="1"/>
  <c r="K1256" i="1" a="1"/>
  <c r="K1256" i="1" s="1"/>
  <c r="K1249" i="1" a="1"/>
  <c r="K1249" i="1" s="1"/>
  <c r="J1256" i="1" a="1"/>
  <c r="J1256" i="1" s="1"/>
  <c r="J1255" i="1" a="1"/>
  <c r="J1255" i="1" s="1"/>
  <c r="J1254" i="1" a="1"/>
  <c r="J1254" i="1" s="1"/>
  <c r="J1249" i="1" a="1"/>
  <c r="J1249" i="1" s="1"/>
  <c r="L1250" i="1" a="1"/>
  <c r="L1250" i="1" s="1"/>
  <c r="K1252" i="1" a="1"/>
  <c r="K1252" i="1" s="1"/>
  <c r="K1255" i="1" a="1"/>
  <c r="K1255" i="1" s="1"/>
  <c r="L1252" i="1" a="1"/>
  <c r="L1252" i="1" s="1"/>
  <c r="K1254" i="1" a="1"/>
  <c r="K1254" i="1" s="1"/>
  <c r="L1254" i="1" a="1"/>
  <c r="L1254" i="1" s="1"/>
  <c r="L1253" i="1" a="1"/>
  <c r="L1253" i="1" s="1"/>
  <c r="L1255" i="1" a="1"/>
  <c r="L1255" i="1" s="1"/>
  <c r="J1257" i="1" a="1"/>
  <c r="J1257" i="1" s="1"/>
  <c r="L1256" i="1" a="1"/>
  <c r="L1256" i="1" s="1"/>
  <c r="L1248" i="1" a="1"/>
  <c r="L1248" i="1" s="1"/>
  <c r="J1253" i="1" a="1"/>
  <c r="J1253" i="1" s="1"/>
  <c r="K1251" i="1" a="1"/>
  <c r="K1251" i="1" s="1"/>
  <c r="K1253" i="1" a="1"/>
  <c r="K1253" i="1" s="1"/>
  <c r="J1252" i="1" a="1"/>
  <c r="J1252" i="1" s="1"/>
  <c r="K1248" i="1" a="1"/>
  <c r="K1248" i="1" s="1"/>
  <c r="J1250" i="1" a="1"/>
  <c r="J1250" i="1" s="1"/>
  <c r="K1250" i="1" a="1"/>
  <c r="K1250" i="1" s="1"/>
  <c r="L1251" i="1" a="1"/>
  <c r="L1251" i="1" s="1"/>
  <c r="L1244" i="1" a="1"/>
  <c r="L1244" i="1" s="1"/>
  <c r="K1243" i="1" a="1"/>
  <c r="K1243" i="1" s="1"/>
  <c r="K1244" i="1" a="1"/>
  <c r="K1244" i="1" s="1"/>
  <c r="L1247" i="1" a="1"/>
  <c r="L1247" i="1" s="1"/>
  <c r="L1240" i="1" a="1"/>
  <c r="L1240" i="1" s="1"/>
  <c r="J1241" i="1" a="1"/>
  <c r="J1241" i="1" s="1"/>
  <c r="L1246" i="1" a="1"/>
  <c r="L1246" i="1" s="1"/>
  <c r="J1242" i="1" a="1"/>
  <c r="J1242" i="1" s="1"/>
  <c r="L1243" i="1" a="1"/>
  <c r="L1243" i="1" s="1"/>
  <c r="J1243" i="1" a="1"/>
  <c r="J1243" i="1" s="1"/>
  <c r="L1245" i="1" a="1"/>
  <c r="L1245" i="1" s="1"/>
  <c r="J1239" i="1" a="1"/>
  <c r="J1239" i="1" s="1"/>
  <c r="K1247" i="1" a="1"/>
  <c r="K1247" i="1" s="1"/>
  <c r="J1246" i="1" a="1"/>
  <c r="J1246" i="1" s="1"/>
  <c r="J1244" i="1" a="1"/>
  <c r="J1244" i="1" s="1"/>
  <c r="L1242" i="1" a="1"/>
  <c r="L1242" i="1" s="1"/>
  <c r="L1241" i="1" a="1"/>
  <c r="L1241" i="1" s="1"/>
  <c r="L1239" i="1" a="1"/>
  <c r="L1239" i="1" s="1"/>
  <c r="K1239" i="1" a="1"/>
  <c r="K1239" i="1" s="1"/>
  <c r="K1241" i="1" a="1"/>
  <c r="K1241" i="1" s="1"/>
  <c r="K1240" i="1" a="1"/>
  <c r="K1240" i="1" s="1"/>
  <c r="K1246" i="1" a="1"/>
  <c r="K1246" i="1" s="1"/>
  <c r="J1240" i="1" a="1"/>
  <c r="J1240" i="1" s="1"/>
  <c r="J1245" i="1" a="1"/>
  <c r="J1245" i="1" s="1"/>
  <c r="K1245" i="1" a="1"/>
  <c r="K1245" i="1" s="1"/>
  <c r="K1242" i="1" a="1"/>
  <c r="K1242" i="1" s="1"/>
  <c r="J1247" i="1" a="1"/>
  <c r="J1247" i="1" s="1"/>
  <c r="K1236" i="1" a="1"/>
  <c r="K1236" i="1" s="1"/>
  <c r="J1235" i="1" a="1"/>
  <c r="J1235" i="1" s="1"/>
  <c r="L1234" i="1" a="1"/>
  <c r="L1234" i="1" s="1"/>
  <c r="K1233" i="1" a="1"/>
  <c r="K1233" i="1" s="1"/>
  <c r="K1232" i="1" a="1"/>
  <c r="K1232" i="1" s="1"/>
  <c r="L1236" i="1" a="1"/>
  <c r="L1236" i="1" s="1"/>
  <c r="L1233" i="1" a="1"/>
  <c r="L1233" i="1" s="1"/>
  <c r="J1233" i="1" a="1"/>
  <c r="J1233" i="1" s="1"/>
  <c r="K1231" i="1" a="1"/>
  <c r="K1231" i="1" s="1"/>
  <c r="J1231" i="1" a="1"/>
  <c r="J1231" i="1" s="1"/>
  <c r="K1237" i="1" a="1"/>
  <c r="K1237" i="1" s="1"/>
  <c r="L1235" i="1" a="1"/>
  <c r="L1235" i="1" s="1"/>
  <c r="K1235" i="1" a="1"/>
  <c r="K1235" i="1" s="1"/>
  <c r="J1237" i="1" a="1"/>
  <c r="J1237" i="1" s="1"/>
  <c r="J1234" i="1" a="1"/>
  <c r="J1234" i="1" s="1"/>
  <c r="L1232" i="1" a="1"/>
  <c r="L1232" i="1" s="1"/>
  <c r="L1238" i="1" a="1"/>
  <c r="L1238" i="1" s="1"/>
  <c r="K1238" i="1" a="1"/>
  <c r="K1238" i="1" s="1"/>
  <c r="J1238" i="1" a="1"/>
  <c r="J1238" i="1" s="1"/>
  <c r="K1234" i="1" a="1"/>
  <c r="K1234" i="1" s="1"/>
  <c r="L1237" i="1" a="1"/>
  <c r="L1237" i="1" s="1"/>
  <c r="J1232" i="1" a="1"/>
  <c r="J1232" i="1" s="1"/>
  <c r="J1236" i="1" a="1"/>
  <c r="J1236" i="1" s="1"/>
  <c r="L1231" i="1" a="1"/>
  <c r="L1231" i="1" s="1"/>
  <c r="L1985" i="1" a="1"/>
  <c r="L1985" i="1" s="1"/>
  <c r="K1984" i="1" a="1"/>
  <c r="K1984" i="1" s="1"/>
  <c r="L1986" i="1" a="1"/>
  <c r="L1986" i="1" s="1"/>
  <c r="J1985" i="1" a="1"/>
  <c r="J1985" i="1" s="1"/>
  <c r="L1982" i="1" a="1"/>
  <c r="L1982" i="1" s="1"/>
  <c r="J1983" i="1" a="1"/>
  <c r="J1983" i="1" s="1"/>
  <c r="J1986" i="1" a="1"/>
  <c r="J1986" i="1" s="1"/>
  <c r="J1982" i="1" a="1"/>
  <c r="J1982" i="1" s="1"/>
  <c r="L1990" i="1" a="1"/>
  <c r="L1990" i="1" s="1"/>
  <c r="K1990" i="1" a="1"/>
  <c r="K1990" i="1" s="1"/>
  <c r="J1990" i="1" a="1"/>
  <c r="J1990" i="1" s="1"/>
  <c r="J1984" i="1" a="1"/>
  <c r="J1984" i="1" s="1"/>
  <c r="K1989" i="1" a="1"/>
  <c r="K1989" i="1" s="1"/>
  <c r="K1987" i="1" a="1"/>
  <c r="K1987" i="1" s="1"/>
  <c r="K1983" i="1" a="1"/>
  <c r="K1983" i="1" s="1"/>
  <c r="L1989" i="1" a="1"/>
  <c r="L1989" i="1" s="1"/>
  <c r="K1988" i="1" a="1"/>
  <c r="K1988" i="1" s="1"/>
  <c r="J1989" i="1" a="1"/>
  <c r="J1989" i="1" s="1"/>
  <c r="L1984" i="1" a="1"/>
  <c r="L1984" i="1" s="1"/>
  <c r="K1982" i="1" a="1"/>
  <c r="K1982" i="1" s="1"/>
  <c r="K1985" i="1" a="1"/>
  <c r="K1985" i="1" s="1"/>
  <c r="L1988" i="1" a="1"/>
  <c r="L1988" i="1" s="1"/>
  <c r="L1987" i="1" a="1"/>
  <c r="L1987" i="1" s="1"/>
  <c r="K1986" i="1" a="1"/>
  <c r="K1986" i="1" s="1"/>
  <c r="L1983" i="1" a="1"/>
  <c r="L1983" i="1" s="1"/>
  <c r="J1988" i="1" a="1"/>
  <c r="J1988" i="1" s="1"/>
  <c r="J1987" i="1" a="1"/>
  <c r="J1987" i="1" s="1"/>
  <c r="J1980" i="1" a="1"/>
  <c r="J1980" i="1" s="1"/>
  <c r="L1974" i="1" a="1"/>
  <c r="L1974" i="1" s="1"/>
  <c r="L1980" i="1" a="1"/>
  <c r="L1980" i="1" s="1"/>
  <c r="K1980" i="1" a="1"/>
  <c r="K1980" i="1" s="1"/>
  <c r="K1979" i="1" a="1"/>
  <c r="K1979" i="1" s="1"/>
  <c r="J1976" i="1" a="1"/>
  <c r="J1976" i="1" s="1"/>
  <c r="L1975" i="1" a="1"/>
  <c r="L1975" i="1" s="1"/>
  <c r="J1979" i="1" a="1"/>
  <c r="J1979" i="1" s="1"/>
  <c r="J1974" i="1" a="1"/>
  <c r="J1974" i="1" s="1"/>
  <c r="L1976" i="1" a="1"/>
  <c r="L1976" i="1" s="1"/>
  <c r="J1977" i="1" a="1"/>
  <c r="J1977" i="1" s="1"/>
  <c r="K1974" i="1" a="1"/>
  <c r="K1974" i="1" s="1"/>
  <c r="K1976" i="1" a="1"/>
  <c r="K1976" i="1" s="1"/>
  <c r="K1973" i="1" a="1"/>
  <c r="K1973" i="1" s="1"/>
  <c r="J1975" i="1" a="1"/>
  <c r="J1975" i="1" s="1"/>
  <c r="L1973" i="1" a="1"/>
  <c r="L1973" i="1" s="1"/>
  <c r="J1981" i="1" a="1"/>
  <c r="J1981" i="1" s="1"/>
  <c r="L1979" i="1" a="1"/>
  <c r="L1979" i="1" s="1"/>
  <c r="K1975" i="1" a="1"/>
  <c r="K1975" i="1" s="1"/>
  <c r="K1977" i="1" a="1"/>
  <c r="K1977" i="1" s="1"/>
  <c r="J1973" i="1" a="1"/>
  <c r="J1973" i="1" s="1"/>
  <c r="L1981" i="1" a="1"/>
  <c r="L1981" i="1" s="1"/>
  <c r="K1981" i="1" a="1"/>
  <c r="K1981" i="1" s="1"/>
  <c r="L1977" i="1" a="1"/>
  <c r="L1977" i="1" s="1"/>
  <c r="K1967" i="1" a="1"/>
  <c r="K1967" i="1" s="1"/>
  <c r="L1964" i="1" a="1"/>
  <c r="L1964" i="1" s="1"/>
  <c r="J1965" i="1" a="1"/>
  <c r="J1965" i="1" s="1"/>
  <c r="J1967" i="1" a="1"/>
  <c r="J1967" i="1" s="1"/>
  <c r="J1972" i="1" a="1"/>
  <c r="J1972" i="1" s="1"/>
  <c r="L1970" i="1" a="1"/>
  <c r="L1970" i="1" s="1"/>
  <c r="K1968" i="1" a="1"/>
  <c r="K1968" i="1" s="1"/>
  <c r="L1965" i="1" a="1"/>
  <c r="L1965" i="1" s="1"/>
  <c r="L1971" i="1" a="1"/>
  <c r="L1971" i="1" s="1"/>
  <c r="J1971" i="1" a="1"/>
  <c r="J1971" i="1" s="1"/>
  <c r="J1969" i="1" a="1"/>
  <c r="J1969" i="1" s="1"/>
  <c r="L1969" i="1" a="1"/>
  <c r="L1969" i="1" s="1"/>
  <c r="J1970" i="1" a="1"/>
  <c r="J1970" i="1" s="1"/>
  <c r="J1966" i="1" a="1"/>
  <c r="J1966" i="1" s="1"/>
  <c r="K1965" i="1" a="1"/>
  <c r="K1965" i="1" s="1"/>
  <c r="K1969" i="1" a="1"/>
  <c r="K1969" i="1" s="1"/>
  <c r="K1971" i="1" a="1"/>
  <c r="K1971" i="1" s="1"/>
  <c r="K1970" i="1" a="1"/>
  <c r="K1970" i="1" s="1"/>
  <c r="L1968" i="1" a="1"/>
  <c r="L1968" i="1" s="1"/>
  <c r="J1968" i="1" a="1"/>
  <c r="J1968" i="1" s="1"/>
  <c r="K1966" i="1" a="1"/>
  <c r="K1966" i="1" s="1"/>
  <c r="J1964" i="1" a="1"/>
  <c r="J1964" i="1" s="1"/>
  <c r="L1967" i="1" a="1"/>
  <c r="L1967" i="1" s="1"/>
  <c r="L1966" i="1" a="1"/>
  <c r="L1966" i="1" s="1"/>
  <c r="K1964" i="1" a="1"/>
  <c r="K1964" i="1" s="1"/>
  <c r="L1972" i="1" a="1"/>
  <c r="L1972" i="1" s="1"/>
  <c r="K1972" i="1" a="1"/>
  <c r="K1972" i="1" s="1"/>
  <c r="K1958" i="1" a="1"/>
  <c r="K1958" i="1" s="1"/>
  <c r="J1956" i="1" a="1"/>
  <c r="J1956" i="1" s="1"/>
  <c r="L1962" i="1" a="1"/>
  <c r="L1962" i="1" s="1"/>
  <c r="J1961" i="1" a="1"/>
  <c r="J1961" i="1" s="1"/>
  <c r="K1956" i="1" a="1"/>
  <c r="K1956" i="1" s="1"/>
  <c r="L1963" i="1" a="1"/>
  <c r="L1963" i="1" s="1"/>
  <c r="K1963" i="1" a="1"/>
  <c r="K1963" i="1" s="1"/>
  <c r="J1963" i="1" a="1"/>
  <c r="J1963" i="1" s="1"/>
  <c r="J1962" i="1" a="1"/>
  <c r="J1962" i="1" s="1"/>
  <c r="L1960" i="1" a="1"/>
  <c r="L1960" i="1" s="1"/>
  <c r="L1959" i="1" a="1"/>
  <c r="L1959" i="1" s="1"/>
  <c r="J1959" i="1" a="1"/>
  <c r="J1959" i="1" s="1"/>
  <c r="L1957" i="1" a="1"/>
  <c r="L1957" i="1" s="1"/>
  <c r="L1961" i="1" a="1"/>
  <c r="L1961" i="1" s="1"/>
  <c r="L1955" i="1" a="1"/>
  <c r="L1955" i="1"/>
  <c r="L1956" i="1" a="1"/>
  <c r="L1956" i="1" s="1"/>
  <c r="K1957" i="1" a="1"/>
  <c r="K1957" i="1" s="1"/>
  <c r="K1959" i="1" a="1"/>
  <c r="K1959" i="1" s="1"/>
  <c r="L1958" i="1" a="1"/>
  <c r="L1958" i="1" s="1"/>
  <c r="J1955" i="1" a="1"/>
  <c r="J1955" i="1" s="1"/>
  <c r="J1957" i="1" a="1"/>
  <c r="J1957" i="1" s="1"/>
  <c r="K1955" i="1" a="1"/>
  <c r="K1955" i="1" s="1"/>
  <c r="K1960" i="1" a="1"/>
  <c r="K1960" i="1" s="1"/>
  <c r="K1961" i="1" a="1"/>
  <c r="K1961" i="1" s="1"/>
  <c r="K1962" i="1" a="1"/>
  <c r="K1962" i="1" s="1"/>
  <c r="J1960" i="1" a="1"/>
  <c r="J1960" i="1" s="1"/>
  <c r="J1958" i="1" a="1"/>
  <c r="J1958" i="1" s="1"/>
  <c r="J1953" i="1" a="1"/>
  <c r="J1953" i="1" s="1"/>
  <c r="L1945" i="1" a="1"/>
  <c r="L1945" i="1" s="1"/>
  <c r="J1947" i="1" a="1"/>
  <c r="J1947" i="1" s="1"/>
  <c r="J1948" i="1" a="1"/>
  <c r="J1948" i="1" s="1"/>
  <c r="L1949" i="1" a="1"/>
  <c r="L1949" i="1" s="1"/>
  <c r="L1952" i="1" a="1"/>
  <c r="L1952" i="1" s="1"/>
  <c r="J1952" i="1" a="1"/>
  <c r="J1952" i="1" s="1"/>
  <c r="K1952" i="1" a="1"/>
  <c r="K1952" i="1" s="1"/>
  <c r="L1948" i="1" a="1"/>
  <c r="L1948" i="1" s="1"/>
  <c r="L1951" i="1" a="1"/>
  <c r="L1951" i="1" s="1"/>
  <c r="L1950" i="1" a="1"/>
  <c r="L1950" i="1" s="1"/>
  <c r="J1946" i="1" a="1"/>
  <c r="J1946" i="1" s="1"/>
  <c r="K1948" i="1" a="1"/>
  <c r="K1948" i="1" s="1"/>
  <c r="K1947" i="1" a="1"/>
  <c r="K1947" i="1" s="1"/>
  <c r="K1945" i="1" a="1"/>
  <c r="K1945" i="1" s="1"/>
  <c r="K1949" i="1" a="1"/>
  <c r="K1949" i="1" s="1"/>
  <c r="J1945" i="1" a="1"/>
  <c r="J1945" i="1" s="1"/>
  <c r="K1951" i="1" a="1"/>
  <c r="K1951" i="1" s="1"/>
  <c r="L1953" i="1" a="1"/>
  <c r="L1953" i="1" s="1"/>
  <c r="J1951" i="1" a="1"/>
  <c r="J1951" i="1" s="1"/>
  <c r="J1950" i="1" a="1"/>
  <c r="J1950" i="1" s="1"/>
  <c r="L1947" i="1" a="1"/>
  <c r="L1947" i="1" s="1"/>
  <c r="L1946" i="1" a="1"/>
  <c r="L1946" i="1" s="1"/>
  <c r="K1950" i="1" a="1"/>
  <c r="K1950" i="1" s="1"/>
  <c r="J1949" i="1" a="1"/>
  <c r="J1949" i="1" s="1"/>
  <c r="K1946" i="1" a="1"/>
  <c r="K1946" i="1" s="1"/>
  <c r="K1953" i="1" a="1"/>
  <c r="K1953" i="1" s="1"/>
  <c r="L1943" i="1" a="1"/>
  <c r="L1943" i="1" s="1"/>
  <c r="K1943" i="1" a="1"/>
  <c r="K1943" i="1" s="1"/>
  <c r="L1936" i="1" a="1"/>
  <c r="L1936" i="1" s="1"/>
  <c r="K1941" i="1" a="1"/>
  <c r="K1941" i="1" s="1"/>
  <c r="L1940" i="1" a="1"/>
  <c r="L1940" i="1" s="1"/>
  <c r="K1938" i="1" a="1"/>
  <c r="K1938" i="1" s="1"/>
  <c r="L1942" i="1" a="1"/>
  <c r="L1942" i="1" s="1"/>
  <c r="J1942" i="1" a="1"/>
  <c r="J1942" i="1" s="1"/>
  <c r="K1942" i="1" a="1"/>
  <c r="K1942" i="1" s="1"/>
  <c r="J1941" i="1" a="1"/>
  <c r="J1941" i="1" s="1"/>
  <c r="K1940" i="1" a="1"/>
  <c r="K1940" i="1" s="1"/>
  <c r="J1940" i="1" a="1"/>
  <c r="J1940" i="1" s="1"/>
  <c r="K1939" i="1" a="1"/>
  <c r="K1939" i="1" s="1"/>
  <c r="J1939" i="1" a="1"/>
  <c r="J1939" i="1" s="1"/>
  <c r="J1936" i="1" a="1"/>
  <c r="J1936" i="1" s="1"/>
  <c r="L1938" i="1" a="1"/>
  <c r="L1938" i="1" s="1"/>
  <c r="J1938" i="1" a="1"/>
  <c r="J1938" i="1" s="1"/>
  <c r="K1937" i="1" a="1"/>
  <c r="K1937" i="1" s="1"/>
  <c r="J1937" i="1" a="1"/>
  <c r="J1937" i="1" s="1"/>
  <c r="L1939" i="1" a="1"/>
  <c r="L1939" i="1" s="1"/>
  <c r="K1936" i="1" a="1"/>
  <c r="K1936" i="1" s="1"/>
  <c r="L1937" i="1" a="1"/>
  <c r="L1937" i="1" s="1"/>
  <c r="L1944" i="1" a="1"/>
  <c r="L1944" i="1" s="1"/>
  <c r="K1944" i="1" a="1"/>
  <c r="K1944" i="1" s="1"/>
  <c r="J1944" i="1" a="1"/>
  <c r="J1944" i="1" s="1"/>
  <c r="L1941" i="1" a="1"/>
  <c r="L1941" i="1" s="1"/>
  <c r="J1943" i="1" a="1"/>
  <c r="J1943" i="1" s="1"/>
  <c r="K1935" i="1" a="1"/>
  <c r="K1935" i="1" s="1"/>
  <c r="J1935" i="1" a="1"/>
  <c r="J1935" i="1" s="1"/>
  <c r="K1932" i="1" a="1"/>
  <c r="K1932" i="1" s="1"/>
  <c r="K1929" i="1" a="1"/>
  <c r="K1929" i="1" s="1"/>
  <c r="J1934" i="1" a="1"/>
  <c r="J1934" i="1" s="1"/>
  <c r="L1934" i="1" a="1"/>
  <c r="L1934" i="1" s="1"/>
  <c r="L1929" i="1" a="1"/>
  <c r="L1929" i="1" s="1"/>
  <c r="K1934" i="1" a="1"/>
  <c r="K1934" i="1" s="1"/>
  <c r="J1928" i="1" a="1"/>
  <c r="J1928" i="1" s="1"/>
  <c r="L1933" i="1" a="1"/>
  <c r="L1933" i="1" s="1"/>
  <c r="J1933" i="1" a="1"/>
  <c r="J1933" i="1" s="1"/>
  <c r="K1928" i="1" a="1"/>
  <c r="K1928" i="1" s="1"/>
  <c r="L1932" i="1" a="1"/>
  <c r="L1932" i="1" s="1"/>
  <c r="J1929" i="1" a="1"/>
  <c r="J1929" i="1" s="1"/>
  <c r="L1931" i="1" a="1"/>
  <c r="L1931" i="1" s="1"/>
  <c r="J1931" i="1" a="1"/>
  <c r="J1931" i="1" s="1"/>
  <c r="L1930" i="1" a="1"/>
  <c r="L1930" i="1" s="1"/>
  <c r="K1931" i="1" a="1"/>
  <c r="K1931" i="1" s="1"/>
  <c r="J1927" i="1" a="1"/>
  <c r="J1927" i="1" s="1"/>
  <c r="J1930" i="1" a="1"/>
  <c r="J1930" i="1" s="1"/>
  <c r="K1933" i="1" a="1"/>
  <c r="K1933" i="1" s="1"/>
  <c r="J1932" i="1" a="1"/>
  <c r="J1932" i="1" s="1"/>
  <c r="K1927" i="1" a="1"/>
  <c r="K1927" i="1" s="1"/>
  <c r="L1928" i="1" a="1"/>
  <c r="L1928" i="1" s="1"/>
  <c r="K1930" i="1" a="1"/>
  <c r="K1930" i="1" s="1"/>
  <c r="L1927" i="1" a="1"/>
  <c r="L1927" i="1" s="1"/>
  <c r="L1935" i="1" a="1"/>
  <c r="L1935" i="1" s="1"/>
  <c r="L1926" i="1" a="1"/>
  <c r="L1926" i="1" s="1"/>
  <c r="L1921" i="1" a="1"/>
  <c r="L1921" i="1" s="1"/>
  <c r="J1926" i="1" a="1"/>
  <c r="J1926" i="1" s="1"/>
  <c r="J1923" i="1" a="1"/>
  <c r="J1923" i="1" s="1"/>
  <c r="J1925" i="1" a="1"/>
  <c r="J1925" i="1" s="1"/>
  <c r="K1919" i="1" a="1"/>
  <c r="K1919" i="1" s="1"/>
  <c r="K1918" i="1" a="1"/>
  <c r="K1918" i="1" s="1"/>
  <c r="K1920" i="1" a="1"/>
  <c r="K1920" i="1" s="1"/>
  <c r="K1926" i="1" a="1"/>
  <c r="K1926" i="1" s="1"/>
  <c r="L1925" i="1" a="1"/>
  <c r="L1925" i="1" s="1"/>
  <c r="L1923" i="1" a="1"/>
  <c r="L1923" i="1" s="1"/>
  <c r="K1921" i="1" a="1"/>
  <c r="K1921" i="1" s="1"/>
  <c r="L1922" i="1" a="1"/>
  <c r="L1922" i="1" s="1"/>
  <c r="J1918" i="1" a="1"/>
  <c r="J1918" i="1" s="1"/>
  <c r="J1924" i="1" a="1"/>
  <c r="J1924" i="1" s="1"/>
  <c r="J1922" i="1" a="1"/>
  <c r="J1922" i="1" s="1"/>
  <c r="K1925" i="1" a="1"/>
  <c r="K1925" i="1" s="1"/>
  <c r="L1919" i="1" a="1"/>
  <c r="L1919" i="1" s="1"/>
  <c r="J1919" i="1" a="1"/>
  <c r="J1919" i="1" s="1"/>
  <c r="L1918" i="1" a="1"/>
  <c r="L1918" i="1" s="1"/>
  <c r="K1923" i="1" a="1"/>
  <c r="K1923" i="1" s="1"/>
  <c r="L1924" i="1" a="1"/>
  <c r="L1924" i="1" s="1"/>
  <c r="K1924" i="1" a="1"/>
  <c r="K1924" i="1" s="1"/>
  <c r="L1920" i="1" a="1"/>
  <c r="L1920" i="1" s="1"/>
  <c r="J1921" i="1" a="1"/>
  <c r="J1921" i="1" s="1"/>
  <c r="K1922" i="1" a="1"/>
  <c r="K1922" i="1" s="1"/>
  <c r="J1920" i="1" a="1"/>
  <c r="J1920" i="1" s="1"/>
  <c r="K1909" i="1" a="1"/>
  <c r="K1909" i="1" s="1"/>
  <c r="K1910" i="1" a="1"/>
  <c r="K1910" i="1" s="1"/>
  <c r="K1915" i="1" a="1"/>
  <c r="K1915" i="1" s="1"/>
  <c r="L1916" i="1" a="1"/>
  <c r="L1916" i="1" s="1"/>
  <c r="J1909" i="1" a="1"/>
  <c r="J1909" i="1" s="1"/>
  <c r="K1916" i="1" a="1"/>
  <c r="K1916" i="1" s="1"/>
  <c r="L1910" i="1" a="1"/>
  <c r="L1910" i="1" s="1"/>
  <c r="L1914" i="1" a="1"/>
  <c r="L1914" i="1" s="1"/>
  <c r="L1915" i="1" a="1"/>
  <c r="L1915" i="1" s="1"/>
  <c r="J1915" i="1" a="1"/>
  <c r="J1915" i="1" s="1"/>
  <c r="L1909" i="1" a="1"/>
  <c r="L1909" i="1" s="1"/>
  <c r="J1911" i="1" a="1"/>
  <c r="J1911" i="1"/>
  <c r="J1914" i="1" a="1"/>
  <c r="J1914" i="1" s="1"/>
  <c r="L1912" i="1" a="1"/>
  <c r="L1912" i="1" s="1"/>
  <c r="J1913" i="1" a="1"/>
  <c r="J1913" i="1" s="1"/>
  <c r="J1910" i="1" a="1"/>
  <c r="J1910" i="1" s="1"/>
  <c r="K1912" i="1" a="1"/>
  <c r="K1912" i="1" s="1"/>
  <c r="L1913" i="1" a="1"/>
  <c r="L1913" i="1" s="1"/>
  <c r="L1908" i="1" a="1"/>
  <c r="L1908" i="1" s="1"/>
  <c r="L1911" i="1" a="1"/>
  <c r="L1911" i="1" s="1"/>
  <c r="J1912" i="1" a="1"/>
  <c r="J1912" i="1" s="1"/>
  <c r="L1917" i="1" a="1"/>
  <c r="L1917" i="1" s="1"/>
  <c r="K1917" i="1" a="1"/>
  <c r="K1917" i="1" s="1"/>
  <c r="J1917" i="1" a="1"/>
  <c r="J1917" i="1" s="1"/>
  <c r="K1914" i="1" a="1"/>
  <c r="K1914" i="1" s="1"/>
  <c r="J1916" i="1" a="1"/>
  <c r="J1916" i="1" s="1"/>
  <c r="K1911" i="1" a="1"/>
  <c r="K1911" i="1" s="1"/>
  <c r="K1913" i="1" a="1"/>
  <c r="K1913" i="1" s="1"/>
  <c r="K1907" i="1" a="1"/>
  <c r="K1907" i="1" s="1"/>
  <c r="K1906" i="1" a="1"/>
  <c r="K1906" i="1" s="1"/>
  <c r="J1906" i="1" a="1"/>
  <c r="J1906" i="1" s="1"/>
  <c r="J1907" i="1" a="1"/>
  <c r="J1907" i="1" s="1"/>
  <c r="L1906" i="1" a="1"/>
  <c r="L1906" i="1" s="1"/>
  <c r="L1905" i="1" a="1"/>
  <c r="L1905" i="1" s="1"/>
  <c r="K1905" i="1" a="1"/>
  <c r="K1905" i="1" s="1"/>
  <c r="L1904" i="1" a="1"/>
  <c r="L1904" i="1" s="1"/>
  <c r="K1904" i="1" a="1"/>
  <c r="K1904" i="1" s="1"/>
  <c r="J1904" i="1" a="1"/>
  <c r="J1904" i="1" s="1"/>
  <c r="J1905" i="1" a="1"/>
  <c r="J1905" i="1" s="1"/>
  <c r="K1908" i="1" a="1"/>
  <c r="K1908" i="1" s="1"/>
  <c r="J1908" i="1" a="1"/>
  <c r="J1908" i="1" s="1"/>
  <c r="L1907" i="1" a="1"/>
  <c r="L1907" i="1" s="1"/>
  <c r="L2229" i="1" a="1"/>
  <c r="L2229" i="1" s="1"/>
  <c r="L2230" i="1" s="1" a="1"/>
  <c r="L2230" i="1" s="1"/>
  <c r="J2226" i="1" a="1"/>
  <c r="J2226" i="1" s="1"/>
  <c r="L2232" i="1" a="1"/>
  <c r="L2232" i="1" s="1"/>
  <c r="J2232" i="1" a="1"/>
  <c r="J2232" i="1" s="1"/>
  <c r="K2229" i="1" a="1"/>
  <c r="K2229" i="1" s="1"/>
  <c r="K2230" i="1" s="1" a="1"/>
  <c r="K2230" i="1" s="1"/>
  <c r="L2226" i="1" a="1"/>
  <c r="L2226" i="1" s="1"/>
  <c r="J2227" i="1" a="1"/>
  <c r="J2227" i="1" s="1"/>
  <c r="J2228" i="1" s="1" a="1"/>
  <c r="J2228" i="1" s="1"/>
  <c r="K2227" i="1" a="1"/>
  <c r="K2227" i="1" s="1"/>
  <c r="K2228" i="1" s="1" a="1"/>
  <c r="K2228" i="1" s="1"/>
  <c r="K2226" i="1" a="1"/>
  <c r="K2226" i="1" s="1"/>
  <c r="L2227" i="1" a="1"/>
  <c r="L2227" i="1" s="1"/>
  <c r="L2228" i="1" s="1" a="1"/>
  <c r="L2228" i="1" s="1"/>
  <c r="K2231" i="1" a="1"/>
  <c r="K2231" i="1" s="1"/>
  <c r="J2231" i="1" a="1"/>
  <c r="J2231" i="1" s="1"/>
  <c r="J2229" i="1" a="1"/>
  <c r="J2229" i="1" s="1"/>
  <c r="J2230" i="1" s="1" a="1"/>
  <c r="J2230" i="1" s="1"/>
  <c r="K2232" i="1" a="1"/>
  <c r="K2232" i="1" s="1"/>
  <c r="L2231" i="1" a="1"/>
  <c r="L2231" i="1" s="1"/>
  <c r="J2216" i="1" a="1"/>
  <c r="J2216" i="1" s="1"/>
  <c r="J2219" i="1" a="1"/>
  <c r="J2219" i="1" s="1"/>
  <c r="J2220" i="1" s="1" a="1"/>
  <c r="J2220" i="1" s="1"/>
  <c r="L2222" i="1" a="1"/>
  <c r="L2222" i="1" s="1"/>
  <c r="K2222" i="1" a="1"/>
  <c r="K2222" i="1" s="1"/>
  <c r="K2219" i="1" a="1"/>
  <c r="K2219" i="1" s="1"/>
  <c r="K2220" i="1" s="1" a="1"/>
  <c r="K2220" i="1" s="1"/>
  <c r="L2217" i="1" a="1"/>
  <c r="L2217" i="1" s="1"/>
  <c r="L2218" i="1" s="1" a="1"/>
  <c r="L2218" i="1" s="1"/>
  <c r="K2217" i="1" a="1"/>
  <c r="K2217" i="1" s="1"/>
  <c r="K2218" i="1" s="1" a="1"/>
  <c r="K2218" i="1" s="1"/>
  <c r="J2217" i="1" a="1"/>
  <c r="J2217" i="1" s="1"/>
  <c r="J2218" i="1" s="1" a="1"/>
  <c r="J2218" i="1" s="1"/>
  <c r="L2219" i="1" a="1"/>
  <c r="L2219" i="1" s="1"/>
  <c r="L2220" i="1" s="1" a="1"/>
  <c r="L2220" i="1" s="1"/>
  <c r="J2224" i="1" a="1"/>
  <c r="J2224" i="1" s="1"/>
  <c r="J2225" i="1" s="1" a="1"/>
  <c r="J2225" i="1" s="1"/>
  <c r="L2224" i="1" a="1"/>
  <c r="L2224" i="1" s="1"/>
  <c r="L2225" i="1" s="1" a="1"/>
  <c r="L2225" i="1" s="1"/>
  <c r="L2221" i="1" a="1"/>
  <c r="L2221" i="1" s="1"/>
  <c r="J2221" i="1" a="1"/>
  <c r="J2221" i="1" s="1"/>
  <c r="K2224" i="1" a="1"/>
  <c r="K2224" i="1" s="1"/>
  <c r="K2225" i="1" s="1" a="1"/>
  <c r="K2225" i="1" s="1"/>
  <c r="K2216" i="1" a="1"/>
  <c r="K2216" i="1" s="1"/>
  <c r="K2221" i="1" a="1"/>
  <c r="K2221" i="1" s="1"/>
  <c r="L2216" i="1" a="1"/>
  <c r="L2216" i="1" s="1"/>
  <c r="J2222" i="1" a="1"/>
  <c r="J2222" i="1" s="1"/>
  <c r="L2206" i="1" a="1"/>
  <c r="L2206" i="1" s="1"/>
  <c r="J2211" i="1" a="1"/>
  <c r="J2211" i="1" s="1"/>
  <c r="K2211" i="1" a="1"/>
  <c r="K2211" i="1" s="1"/>
  <c r="J2212" i="1" a="1"/>
  <c r="J2212" i="1" s="1"/>
  <c r="K2209" i="1" a="1"/>
  <c r="K2209" i="1" s="1"/>
  <c r="L2209" i="1" a="1"/>
  <c r="L2209" i="1" s="1"/>
  <c r="L2210" i="1" a="1"/>
  <c r="L2210" i="1" s="1"/>
  <c r="K2212" i="1" a="1"/>
  <c r="K2212" i="1" s="1"/>
  <c r="K2214" i="1" a="1"/>
  <c r="K2214" i="1" s="1"/>
  <c r="K2215" i="1" s="1" a="1"/>
  <c r="K2215" i="1" s="1"/>
  <c r="L2212" i="1" a="1"/>
  <c r="L2212" i="1" s="1"/>
  <c r="J2209" i="1" a="1"/>
  <c r="J2209" i="1" s="1"/>
  <c r="L2214" i="1" a="1"/>
  <c r="L2214" i="1" s="1"/>
  <c r="L2215" i="1" s="1" a="1"/>
  <c r="L2215" i="1" s="1"/>
  <c r="J2214" i="1" a="1"/>
  <c r="J2214" i="1" s="1"/>
  <c r="J2215" i="1" s="1" a="1"/>
  <c r="J2215" i="1" s="1"/>
  <c r="K2208" i="1" a="1"/>
  <c r="K2208" i="1" s="1"/>
  <c r="K2207" i="1" a="1"/>
  <c r="K2207" i="1" s="1"/>
  <c r="K2210" i="1" a="1"/>
  <c r="K2210" i="1" s="1"/>
  <c r="L2205" i="1" a="1"/>
  <c r="L2205" i="1" s="1"/>
  <c r="J2208" i="1" a="1"/>
  <c r="J2208" i="1" s="1"/>
  <c r="L2207" i="1" a="1"/>
  <c r="L2207" i="1" s="1"/>
  <c r="J2206" i="1" a="1"/>
  <c r="J2206" i="1" s="1"/>
  <c r="L2211" i="1" a="1"/>
  <c r="L2211" i="1" s="1"/>
  <c r="J2210" i="1" a="1"/>
  <c r="J2210" i="1" s="1"/>
  <c r="K2206" i="1" a="1"/>
  <c r="K2206" i="1" s="1"/>
  <c r="J2207" i="1" a="1"/>
  <c r="J2207" i="1" s="1"/>
  <c r="L2208" i="1" a="1"/>
  <c r="L2208" i="1" s="1"/>
  <c r="L2202" i="1" a="1"/>
  <c r="L2202" i="1" s="1"/>
  <c r="J2200" i="1" a="1"/>
  <c r="J2200" i="1" s="1"/>
  <c r="K2201" i="1" a="1"/>
  <c r="K2201" i="1" s="1"/>
  <c r="L2200" i="1" a="1"/>
  <c r="L2200" i="1" s="1"/>
  <c r="L2204" i="1" a="1"/>
  <c r="L2204" i="1" s="1"/>
  <c r="J2199" i="1" a="1"/>
  <c r="J2199" i="1" s="1"/>
  <c r="K2204" i="1" a="1"/>
  <c r="K2204" i="1" s="1"/>
  <c r="J2204" i="1" a="1"/>
  <c r="J2204" i="1" s="1"/>
  <c r="K2197" i="1" a="1"/>
  <c r="K2197" i="1" s="1"/>
  <c r="J2201" i="1" a="1"/>
  <c r="J2201" i="1" s="1"/>
  <c r="L2199" i="1" a="1"/>
  <c r="L2199" i="1" s="1"/>
  <c r="L2203" i="1" a="1"/>
  <c r="L2203" i="1" s="1"/>
  <c r="K2200" i="1" a="1"/>
  <c r="K2200" i="1" s="1"/>
  <c r="J2198" i="1" a="1"/>
  <c r="J2198" i="1" s="1"/>
  <c r="K2203" i="1" a="1"/>
  <c r="K2203" i="1" s="1"/>
  <c r="J2203" i="1" a="1"/>
  <c r="J2203" i="1" s="1"/>
  <c r="K2198" i="1" a="1"/>
  <c r="K2198" i="1" s="1"/>
  <c r="K2205" i="1" a="1"/>
  <c r="K2205" i="1" s="1"/>
  <c r="J2205" i="1" a="1"/>
  <c r="J2205" i="1" s="1"/>
  <c r="K2202" i="1" a="1"/>
  <c r="K2202" i="1" s="1"/>
  <c r="J2202" i="1" a="1"/>
  <c r="J2202" i="1" s="1"/>
  <c r="L2201" i="1" a="1"/>
  <c r="L2201" i="1" s="1"/>
  <c r="K2199" i="1" a="1"/>
  <c r="K2199" i="1" s="1"/>
  <c r="J2197" i="1" a="1"/>
  <c r="J2197" i="1" s="1"/>
  <c r="L2198" i="1" a="1"/>
  <c r="L2198" i="1" s="1"/>
  <c r="L2197" i="1" a="1"/>
  <c r="L2197" i="1" s="1"/>
  <c r="L1082" i="1"/>
  <c r="K1082" i="1"/>
  <c r="J1082" i="1"/>
  <c r="L1081" i="1"/>
  <c r="L1107" i="1" s="1"/>
  <c r="K1081" i="1"/>
  <c r="K1107" i="1" s="1"/>
  <c r="J1081" i="1"/>
  <c r="J1107" i="1" s="1"/>
  <c r="L1080" i="1"/>
  <c r="L1106" i="1" s="1"/>
  <c r="K1080" i="1"/>
  <c r="K1106" i="1" s="1"/>
  <c r="J1080" i="1"/>
  <c r="J1106" i="1" s="1"/>
  <c r="L1078" i="1"/>
  <c r="L1104" i="1" s="1"/>
  <c r="K1078" i="1"/>
  <c r="K1104" i="1" s="1"/>
  <c r="J1078" i="1"/>
  <c r="J1104" i="1" s="1"/>
  <c r="L1076" i="1"/>
  <c r="L1102" i="1" s="1"/>
  <c r="K1076" i="1"/>
  <c r="K1102" i="1" s="1"/>
  <c r="J1076" i="1"/>
  <c r="J1102" i="1" s="1"/>
  <c r="L1074" i="1"/>
  <c r="L1100" i="1" s="1"/>
  <c r="K1074" i="1"/>
  <c r="K1100" i="1" s="1"/>
  <c r="J1074" i="1"/>
  <c r="J1100" i="1" s="1"/>
  <c r="L1068" i="1"/>
  <c r="L1094" i="1" s="1"/>
  <c r="K1068" i="1"/>
  <c r="K1094" i="1" s="1"/>
  <c r="J1068" i="1"/>
  <c r="J1094" i="1" s="1"/>
  <c r="L1067" i="1"/>
  <c r="K1067" i="1"/>
  <c r="J1067" i="1"/>
  <c r="L1066" i="1"/>
  <c r="K1066" i="1"/>
  <c r="J1066" i="1"/>
  <c r="L1064" i="1"/>
  <c r="L1090" i="1" s="1"/>
  <c r="K1064" i="1"/>
  <c r="K1090" i="1" s="1"/>
  <c r="J1064" i="1"/>
  <c r="J1090" i="1" s="1"/>
  <c r="L1063" i="1"/>
  <c r="L1089" i="1" s="1"/>
  <c r="K1063" i="1"/>
  <c r="K1089" i="1" s="1"/>
  <c r="J1063" i="1"/>
  <c r="J1089" i="1" s="1"/>
  <c r="L1061" i="1"/>
  <c r="L1087" i="1" s="1"/>
  <c r="K1061" i="1"/>
  <c r="K1087" i="1" s="1"/>
  <c r="J1061" i="1"/>
  <c r="J1087" i="1" s="1"/>
  <c r="L1059" i="1"/>
  <c r="L1085" i="1" s="1"/>
  <c r="K1059" i="1"/>
  <c r="K1085" i="1" s="1"/>
  <c r="J1059" i="1"/>
  <c r="J1085" i="1" s="1"/>
  <c r="L1058" i="1"/>
  <c r="L1084" i="1" s="1"/>
  <c r="K1058" i="1"/>
  <c r="K1084" i="1" s="1"/>
  <c r="J1058" i="1"/>
  <c r="J1084" i="1" s="1"/>
  <c r="L1056" i="1"/>
  <c r="K1056" i="1"/>
  <c r="J1056" i="1"/>
  <c r="L1055" i="1"/>
  <c r="K1055" i="1"/>
  <c r="J1055" i="1"/>
  <c r="L1048" i="1"/>
  <c r="K1048" i="1"/>
  <c r="J1048" i="1"/>
  <c r="L1042" i="1"/>
  <c r="K1042" i="1"/>
  <c r="J1042" i="1"/>
  <c r="L1035" i="1"/>
  <c r="K1035" i="1"/>
  <c r="J1035" i="1"/>
  <c r="L1030" i="1"/>
  <c r="K1030" i="1"/>
  <c r="J1030" i="1"/>
  <c r="L1015" i="1"/>
  <c r="K1015" i="1"/>
  <c r="J1015" i="1"/>
  <c r="L996" i="1"/>
  <c r="K996" i="1"/>
  <c r="J996" i="1"/>
  <c r="L995" i="1"/>
  <c r="K995" i="1"/>
  <c r="J995" i="1"/>
  <c r="L983" i="1"/>
  <c r="K983" i="1"/>
  <c r="J983" i="1"/>
  <c r="L982" i="1"/>
  <c r="K982" i="1"/>
  <c r="J982" i="1"/>
  <c r="L981" i="1"/>
  <c r="K981" i="1"/>
  <c r="J981" i="1"/>
  <c r="L980" i="1"/>
  <c r="K980" i="1"/>
  <c r="J980" i="1"/>
  <c r="L973" i="1"/>
  <c r="K973" i="1"/>
  <c r="J973" i="1"/>
  <c r="L972" i="1"/>
  <c r="K972" i="1"/>
  <c r="J972" i="1"/>
  <c r="L953" i="1"/>
  <c r="K953" i="1"/>
  <c r="J953" i="1"/>
  <c r="L952" i="1"/>
  <c r="K952" i="1"/>
  <c r="J952" i="1"/>
  <c r="L950" i="1"/>
  <c r="K950" i="1"/>
  <c r="J950" i="1"/>
  <c r="L948" i="1"/>
  <c r="K948" i="1"/>
  <c r="J948" i="1"/>
  <c r="L946" i="1"/>
  <c r="K946" i="1"/>
  <c r="J946" i="1"/>
  <c r="L944" i="1"/>
  <c r="K944" i="1"/>
  <c r="J944" i="1"/>
  <c r="L938" i="1"/>
  <c r="K938" i="1"/>
  <c r="J938" i="1"/>
  <c r="L936" i="1"/>
  <c r="K936" i="1"/>
  <c r="J936" i="1"/>
  <c r="L935" i="1"/>
  <c r="K935" i="1"/>
  <c r="J935" i="1"/>
  <c r="L934" i="1"/>
  <c r="K934" i="1"/>
  <c r="J934" i="1"/>
  <c r="L932" i="1"/>
  <c r="K932" i="1"/>
  <c r="J932" i="1"/>
  <c r="L930" i="1"/>
  <c r="K930" i="1"/>
  <c r="J930" i="1"/>
  <c r="L929" i="1"/>
  <c r="K929" i="1"/>
  <c r="J929" i="1"/>
  <c r="L926" i="1"/>
  <c r="K926" i="1"/>
  <c r="J926" i="1"/>
  <c r="L922" i="1"/>
  <c r="K922" i="1"/>
  <c r="J922" i="1"/>
  <c r="L919" i="1"/>
  <c r="K919" i="1"/>
  <c r="J919" i="1"/>
  <c r="L918" i="1"/>
  <c r="K918" i="1"/>
  <c r="J918" i="1"/>
  <c r="L906" i="1"/>
  <c r="K906" i="1"/>
  <c r="J906" i="1"/>
  <c r="L905" i="1"/>
  <c r="K905" i="1"/>
  <c r="J905" i="1"/>
  <c r="L904" i="1"/>
  <c r="L901" i="1" s="1"/>
  <c r="K904" i="1"/>
  <c r="K901" i="1" s="1"/>
  <c r="J904" i="1"/>
  <c r="J901" i="1" s="1"/>
  <c r="L898" i="1"/>
  <c r="K898" i="1"/>
  <c r="J898" i="1"/>
  <c r="L897" i="1"/>
  <c r="K897" i="1"/>
  <c r="J897" i="1"/>
  <c r="L895" i="1"/>
  <c r="K895" i="1"/>
  <c r="J895" i="1"/>
  <c r="L893" i="1"/>
  <c r="K893" i="1"/>
  <c r="J893" i="1"/>
  <c r="L890" i="1"/>
  <c r="K890" i="1"/>
  <c r="J890" i="1"/>
  <c r="L886" i="1"/>
  <c r="K886" i="1"/>
  <c r="J886" i="1"/>
  <c r="L883" i="1"/>
  <c r="K883" i="1"/>
  <c r="J883" i="1"/>
  <c r="J1832" i="1" a="1"/>
  <c r="J1832" i="1" s="1"/>
  <c r="J1827" i="1" a="1"/>
  <c r="J1827" i="1" s="1"/>
  <c r="J1831" i="1" a="1"/>
  <c r="J1831" i="1" s="1"/>
  <c r="K1829" i="1" a="1"/>
  <c r="K1829" i="1" s="1"/>
  <c r="L1831" i="1" a="1"/>
  <c r="L1831" i="1" s="1"/>
  <c r="K1831" i="1" a="1"/>
  <c r="K1831" i="1" s="1"/>
  <c r="K1826" i="1" a="1"/>
  <c r="K1826" i="1" s="1"/>
  <c r="L1829" i="1" a="1"/>
  <c r="L1829" i="1" s="1"/>
  <c r="J1829" i="1" a="1"/>
  <c r="J1829" i="1" s="1"/>
  <c r="J1826" i="1" a="1"/>
  <c r="J1826" i="1" s="1"/>
  <c r="L1827" i="1" a="1"/>
  <c r="L1827" i="1" s="1"/>
  <c r="K1827" i="1" a="1"/>
  <c r="K1827" i="1" s="1"/>
  <c r="L1826" i="1" a="1"/>
  <c r="L1826" i="1" s="1"/>
  <c r="L914" i="1" a="1"/>
  <c r="L914" i="1" s="1"/>
  <c r="K914" i="1" a="1"/>
  <c r="K914" i="1" s="1"/>
  <c r="J914" i="1" a="1"/>
  <c r="J914" i="1" s="1"/>
  <c r="L885" i="1" a="1"/>
  <c r="L885" i="1" s="1"/>
  <c r="L884" i="1" a="1"/>
  <c r="L884" i="1" s="1"/>
  <c r="K884" i="1" a="1"/>
  <c r="K884" i="1" s="1"/>
  <c r="J896" i="1" a="1"/>
  <c r="J896" i="1" s="1"/>
  <c r="J925" i="1" s="1"/>
  <c r="J924" i="1" s="1"/>
  <c r="L896" i="1" a="1"/>
  <c r="L896" i="1" s="1"/>
  <c r="L925" i="1" s="1"/>
  <c r="L924" i="1" s="1"/>
  <c r="K885" i="1" a="1"/>
  <c r="K885" i="1" s="1"/>
  <c r="K896" i="1" a="1"/>
  <c r="K896" i="1" s="1"/>
  <c r="J885" i="1" a="1"/>
  <c r="J885" i="1" s="1"/>
  <c r="J884" i="1" a="1"/>
  <c r="J884" i="1" s="1"/>
  <c r="K806" i="1" a="1"/>
  <c r="K806" i="1" s="1"/>
  <c r="J806" i="1" a="1"/>
  <c r="J806" i="1" s="1"/>
  <c r="L806" i="1" a="1"/>
  <c r="L806" i="1" s="1"/>
  <c r="J802" i="1" a="1"/>
  <c r="J802" i="1" s="1"/>
  <c r="K802" i="1" a="1"/>
  <c r="K802" i="1" s="1"/>
  <c r="L804" i="1" a="1"/>
  <c r="L804" i="1" s="1"/>
  <c r="K804" i="1" a="1"/>
  <c r="K804" i="1" s="1"/>
  <c r="J804" i="1" a="1"/>
  <c r="J804" i="1" s="1"/>
  <c r="L802" i="1" a="1"/>
  <c r="L802" i="1" s="1"/>
  <c r="K780" i="1" a="1"/>
  <c r="K780" i="1" s="1"/>
  <c r="J780" i="1" a="1"/>
  <c r="J780" i="1" s="1"/>
  <c r="J779" i="1" s="1"/>
  <c r="J786" i="1" s="1"/>
  <c r="J787" i="1" s="1"/>
  <c r="L780" i="1" a="1"/>
  <c r="L780" i="1" s="1"/>
  <c r="L779" i="1" s="1"/>
  <c r="L783" i="1" s="1"/>
  <c r="J766" i="1" a="1"/>
  <c r="J766" i="1" s="1"/>
  <c r="J816" i="1" s="1" a="1"/>
  <c r="J816" i="1" s="1"/>
  <c r="L766" i="1" a="1"/>
  <c r="L766" i="1" s="1"/>
  <c r="L816" i="1" s="1" a="1"/>
  <c r="L816" i="1" s="1"/>
  <c r="K766" i="1" a="1"/>
  <c r="K766" i="1" s="1"/>
  <c r="K816" i="1" s="1" a="1"/>
  <c r="K816" i="1" s="1"/>
  <c r="L1039" i="1" a="1"/>
  <c r="L1039" i="1" s="1"/>
  <c r="J1041" i="1" a="1"/>
  <c r="J1041" i="1" s="1"/>
  <c r="L1041" i="1" a="1"/>
  <c r="L1041" i="1" s="1"/>
  <c r="J1039" i="1" a="1"/>
  <c r="J1039" i="1" s="1"/>
  <c r="K1041" i="1" a="1"/>
  <c r="K1041" i="1" s="1"/>
  <c r="K1039" i="1" a="1"/>
  <c r="K1039" i="1" s="1"/>
  <c r="L1032" i="1" a="1"/>
  <c r="L1032" i="1" s="1"/>
  <c r="K1032" i="1" a="1"/>
  <c r="K1032" i="1" s="1"/>
  <c r="J1032" i="1" a="1"/>
  <c r="J1032" i="1" s="1"/>
  <c r="L1024" i="1" a="1"/>
  <c r="L1024" i="1" s="1"/>
  <c r="L1029" i="1" a="1"/>
  <c r="L1029" i="1" s="1"/>
  <c r="K1029" i="1" a="1"/>
  <c r="K1029" i="1" s="1"/>
  <c r="J1029" i="1" a="1"/>
  <c r="J1029" i="1" s="1"/>
  <c r="K1027" i="1" a="1"/>
  <c r="K1027" i="1" s="1"/>
  <c r="J1027" i="1" a="1"/>
  <c r="J1027" i="1" s="1"/>
  <c r="K1024" i="1" a="1"/>
  <c r="K1024" i="1" s="1"/>
  <c r="J1024" i="1" a="1"/>
  <c r="J1024" i="1" s="1"/>
  <c r="L1027" i="1" a="1"/>
  <c r="L1027" i="1" s="1"/>
  <c r="J999" i="1" a="1"/>
  <c r="J999" i="1" s="1"/>
  <c r="J1051" i="1" s="1" a="1"/>
  <c r="J1051" i="1" s="1"/>
  <c r="K998" i="1" a="1"/>
  <c r="K998" i="1" s="1"/>
  <c r="L991" i="1" a="1"/>
  <c r="L991" i="1" s="1"/>
  <c r="L999" i="1" a="1"/>
  <c r="L999" i="1" s="1"/>
  <c r="L1051" i="1" s="1" a="1"/>
  <c r="L1051" i="1" s="1"/>
  <c r="J998" i="1" a="1"/>
  <c r="J998" i="1" s="1"/>
  <c r="K999" i="1" a="1"/>
  <c r="K999" i="1" s="1"/>
  <c r="K1051" i="1" s="1" a="1"/>
  <c r="K1051" i="1" s="1"/>
  <c r="J991" i="1" a="1"/>
  <c r="J991" i="1" s="1"/>
  <c r="L998" i="1" a="1"/>
  <c r="L998" i="1" s="1"/>
  <c r="L1008" i="1" a="1"/>
  <c r="L1008" i="1" s="1"/>
  <c r="L1054" i="1" s="1" a="1"/>
  <c r="L1054" i="1" s="1"/>
  <c r="K1008" i="1" a="1"/>
  <c r="K1008" i="1" s="1"/>
  <c r="K1054" i="1" s="1" a="1"/>
  <c r="K1054" i="1" s="1"/>
  <c r="J1008" i="1" a="1"/>
  <c r="J1008" i="1" s="1"/>
  <c r="J1054" i="1" s="1" a="1"/>
  <c r="J1054" i="1" s="1"/>
  <c r="K991" i="1" a="1"/>
  <c r="K991" i="1" s="1"/>
  <c r="L975" i="1" a="1"/>
  <c r="L975" i="1" s="1"/>
  <c r="K978" i="1" a="1"/>
  <c r="K978" i="1" s="1"/>
  <c r="K985" i="1" a="1"/>
  <c r="K985" i="1" s="1"/>
  <c r="L976" i="1" a="1"/>
  <c r="L976" i="1" s="1"/>
  <c r="J976" i="1" a="1"/>
  <c r="J976" i="1" s="1"/>
  <c r="L985" i="1" a="1"/>
  <c r="L985" i="1" s="1"/>
  <c r="L978" i="1" a="1"/>
  <c r="L978" i="1" s="1"/>
  <c r="J975" i="1" a="1"/>
  <c r="J975" i="1" s="1"/>
  <c r="J985" i="1" a="1"/>
  <c r="J985" i="1" s="1"/>
  <c r="K975" i="1" a="1"/>
  <c r="K975" i="1" s="1"/>
  <c r="K976" i="1" a="1"/>
  <c r="K976" i="1" s="1"/>
  <c r="K979" i="1" a="1"/>
  <c r="K979" i="1" s="1"/>
  <c r="K1053" i="1" s="1" a="1"/>
  <c r="K1053" i="1" s="1"/>
  <c r="J979" i="1" a="1"/>
  <c r="J979" i="1" s="1"/>
  <c r="J1053" i="1" s="1" a="1"/>
  <c r="J1053" i="1" s="1"/>
  <c r="J978" i="1" a="1"/>
  <c r="J978" i="1" s="1"/>
  <c r="L979" i="1" a="1"/>
  <c r="L979" i="1" s="1"/>
  <c r="L1053" i="1" s="1" a="1"/>
  <c r="L1053" i="1" s="1"/>
  <c r="K928" i="1" a="1"/>
  <c r="K928" i="1" s="1"/>
  <c r="K916" i="1" a="1"/>
  <c r="K916" i="1" s="1"/>
  <c r="L916" i="1" a="1"/>
  <c r="L916" i="1" s="1"/>
  <c r="L928" i="1" a="1"/>
  <c r="L928" i="1" s="1"/>
  <c r="J928" i="1" a="1"/>
  <c r="J928" i="1" s="1"/>
  <c r="J916" i="1" a="1"/>
  <c r="J916" i="1" s="1"/>
  <c r="L1848" i="1" a="1"/>
  <c r="L1848" i="1" s="1"/>
  <c r="K1851" i="1" a="1"/>
  <c r="K1851" i="1" s="1"/>
  <c r="J1851" i="1" a="1"/>
  <c r="J1851" i="1" s="1"/>
  <c r="L1846" i="1" a="1"/>
  <c r="L1846" i="1" s="1"/>
  <c r="K1850" i="1" a="1"/>
  <c r="K1850" i="1" s="1"/>
  <c r="L1845" i="1" a="1"/>
  <c r="L1845" i="1" s="1"/>
  <c r="J1845" i="1" a="1"/>
  <c r="J1845" i="1" s="1"/>
  <c r="K1845" i="1" a="1"/>
  <c r="K1845" i="1" s="1"/>
  <c r="L1850" i="1" a="1"/>
  <c r="L1850" i="1" s="1"/>
  <c r="K1848" i="1" a="1"/>
  <c r="K1848" i="1" s="1"/>
  <c r="K1846" i="1" a="1"/>
  <c r="K1846" i="1" s="1"/>
  <c r="J1850" i="1" a="1"/>
  <c r="J1850" i="1" s="1"/>
  <c r="J1846" i="1" a="1"/>
  <c r="J1846" i="1" s="1"/>
  <c r="J1848" i="1" a="1"/>
  <c r="J1848" i="1" s="1"/>
  <c r="L1851" i="1" a="1"/>
  <c r="L1851" i="1" s="1"/>
  <c r="K1842" i="1" a="1"/>
  <c r="K1842" i="1" s="1"/>
  <c r="J1842" i="1" a="1"/>
  <c r="J1842" i="1" s="1"/>
  <c r="K1840" i="1" a="1"/>
  <c r="K1840" i="1" s="1"/>
  <c r="J1834" i="1" a="1"/>
  <c r="J1834" i="1" s="1"/>
  <c r="J1838" i="1" a="1"/>
  <c r="J1838" i="1" s="1"/>
  <c r="L1834" i="1" a="1"/>
  <c r="L1834" i="1" s="1"/>
  <c r="L1832" i="1" a="1"/>
  <c r="L1832" i="1" s="1"/>
  <c r="K1836" i="1" a="1"/>
  <c r="K1836" i="1" s="1"/>
  <c r="L1842" i="1" a="1"/>
  <c r="L1842" i="1" s="1"/>
  <c r="K1838" i="1" a="1"/>
  <c r="K1838" i="1" s="1"/>
  <c r="K1832" i="1" a="1"/>
  <c r="K1832" i="1" s="1"/>
  <c r="L1836" i="1" a="1"/>
  <c r="L1836" i="1" s="1"/>
  <c r="L1840" i="1" a="1"/>
  <c r="L1840" i="1" s="1"/>
  <c r="J1840" i="1" a="1"/>
  <c r="J1840" i="1" s="1"/>
  <c r="L1838" i="1" a="1"/>
  <c r="L1838" i="1" s="1"/>
  <c r="K1834" i="1" a="1"/>
  <c r="K1834" i="1" s="1"/>
  <c r="J1836" i="1" a="1"/>
  <c r="J1836" i="1" s="1"/>
  <c r="L1902" i="1" a="1"/>
  <c r="L1902" i="1" s="1"/>
  <c r="L1900" i="1" a="1"/>
  <c r="L1900" i="1" s="1"/>
  <c r="K1902" i="1" a="1"/>
  <c r="K1902" i="1" s="1"/>
  <c r="J1902" i="1" a="1"/>
  <c r="J1902" i="1" s="1"/>
  <c r="K1900" i="1" a="1"/>
  <c r="K1900" i="1" s="1"/>
  <c r="J1900" i="1" a="1"/>
  <c r="J1900" i="1" s="1"/>
  <c r="J1888" i="1" a="1"/>
  <c r="J1888" i="1" s="1"/>
  <c r="L1898" i="1" a="1"/>
  <c r="L1898" i="1" s="1"/>
  <c r="J1898" i="1" a="1"/>
  <c r="J1898" i="1" s="1"/>
  <c r="K1888" i="1" a="1"/>
  <c r="K1888" i="1" s="1"/>
  <c r="K1894" i="1" a="1"/>
  <c r="K1894" i="1" s="1"/>
  <c r="K1898" i="1" a="1"/>
  <c r="K1898" i="1" s="1"/>
  <c r="L1894" i="1" a="1"/>
  <c r="L1894" i="1" s="1"/>
  <c r="K1896" i="1" a="1"/>
  <c r="K1896" i="1" s="1"/>
  <c r="J1892" i="1" a="1"/>
  <c r="J1892" i="1" s="1"/>
  <c r="K1893" i="1" a="1"/>
  <c r="K1893" i="1" s="1"/>
  <c r="K1890" i="1" a="1"/>
  <c r="K1890" i="1" s="1"/>
  <c r="J1890" i="1" a="1"/>
  <c r="J1890" i="1" s="1"/>
  <c r="J1896" i="1" a="1"/>
  <c r="J1896" i="1" s="1"/>
  <c r="K1892" i="1" a="1"/>
  <c r="K1892" i="1" s="1"/>
  <c r="L1896" i="1" a="1"/>
  <c r="L1896" i="1"/>
  <c r="L1893" i="1" a="1"/>
  <c r="L1893" i="1" s="1"/>
  <c r="L1892" i="1" a="1"/>
  <c r="L1892" i="1" s="1"/>
  <c r="L1888" i="1" a="1"/>
  <c r="L1888" i="1" s="1"/>
  <c r="J1894" i="1" a="1"/>
  <c r="J1894" i="1" s="1"/>
  <c r="L1890" i="1" a="1"/>
  <c r="L1890" i="1" s="1"/>
  <c r="J1893" i="1" a="1"/>
  <c r="J1893" i="1" s="1"/>
  <c r="K1882" i="1" a="1"/>
  <c r="K1882" i="1" s="1"/>
  <c r="L1887" i="1" a="1"/>
  <c r="L1887" i="1" s="1"/>
  <c r="L1874" i="1" a="1"/>
  <c r="L1874" i="1" s="1"/>
  <c r="J1887" i="1" a="1"/>
  <c r="J1887" i="1" s="1"/>
  <c r="K1887" i="1" a="1"/>
  <c r="K1887" i="1" s="1"/>
  <c r="K1878" i="1" a="1"/>
  <c r="K1878" i="1" s="1"/>
  <c r="L1876" i="1" a="1"/>
  <c r="L1876" i="1" s="1"/>
  <c r="L1882" i="1" a="1"/>
  <c r="L1882" i="1" s="1"/>
  <c r="J1874" i="1" a="1"/>
  <c r="J1874" i="1" s="1"/>
  <c r="K1884" i="1" a="1"/>
  <c r="K1884" i="1" s="1"/>
  <c r="J1884" i="1" a="1"/>
  <c r="J1884" i="1" s="1"/>
  <c r="J1882" i="1" a="1"/>
  <c r="J1882" i="1" s="1"/>
  <c r="K1876" i="1" a="1"/>
  <c r="K1876" i="1" s="1"/>
  <c r="J1878" i="1" a="1"/>
  <c r="J1878" i="1" s="1"/>
  <c r="J1880" i="1" a="1"/>
  <c r="J1880" i="1" s="1"/>
  <c r="L1884" i="1" a="1"/>
  <c r="L1884" i="1" s="1"/>
  <c r="J1876" i="1" a="1"/>
  <c r="J1876" i="1" s="1"/>
  <c r="L1878" i="1" a="1"/>
  <c r="L1878" i="1" s="1"/>
  <c r="L1880" i="1" a="1"/>
  <c r="L1880" i="1" s="1"/>
  <c r="K1880" i="1" a="1"/>
  <c r="K1880" i="1" s="1"/>
  <c r="K1874" i="1" a="1"/>
  <c r="K1874" i="1" s="1"/>
  <c r="L1865" i="1" a="1"/>
  <c r="L1865" i="1" s="1"/>
  <c r="L1861" i="1" a="1"/>
  <c r="L1861" i="1" s="1"/>
  <c r="J1865" i="1" a="1"/>
  <c r="J1865" i="1" s="1"/>
  <c r="J1867" i="1" a="1"/>
  <c r="J1867" i="1" s="1"/>
  <c r="L1872" i="1" a="1"/>
  <c r="L1872" i="1" s="1"/>
  <c r="K1872" i="1" a="1"/>
  <c r="K1872" i="1" s="1"/>
  <c r="L1868" i="1" a="1"/>
  <c r="L1868" i="1" s="1"/>
  <c r="J1872" i="1" a="1"/>
  <c r="J1872" i="1" s="1"/>
  <c r="J1871" i="1" a="1"/>
  <c r="J1871" i="1" s="1"/>
  <c r="K1867" i="1" a="1"/>
  <c r="K1867" i="1" s="1"/>
  <c r="K1871" i="1" a="1"/>
  <c r="K1871" i="1" s="1"/>
  <c r="K1865" i="1" a="1"/>
  <c r="K1865" i="1" s="1"/>
  <c r="L1871" i="1" a="1"/>
  <c r="L1871" i="1" s="1"/>
  <c r="L1864" i="1" a="1"/>
  <c r="L1864" i="1" s="1"/>
  <c r="K1868" i="1" a="1"/>
  <c r="K1868" i="1" s="1"/>
  <c r="J1870" i="1" a="1"/>
  <c r="J1870" i="1" s="1"/>
  <c r="L1870" i="1" a="1"/>
  <c r="L1870" i="1" s="1"/>
  <c r="K1870" i="1" a="1"/>
  <c r="K1870" i="1" s="1"/>
  <c r="L1867" i="1" a="1"/>
  <c r="L1867" i="1" s="1"/>
  <c r="K1864" i="1" a="1"/>
  <c r="K1864" i="1" s="1"/>
  <c r="J1864" i="1" a="1"/>
  <c r="J1864" i="1" s="1"/>
  <c r="J1868" i="1" a="1"/>
  <c r="J1868" i="1" s="1"/>
  <c r="L1853" i="1" a="1"/>
  <c r="L1853" i="1" s="1"/>
  <c r="L1857" i="1" a="1"/>
  <c r="L1857" i="1" s="1"/>
  <c r="K1855" i="1" a="1"/>
  <c r="K1855" i="1" s="1"/>
  <c r="J1855" i="1" a="1"/>
  <c r="J1855" i="1" s="1"/>
  <c r="K1853" i="1" a="1"/>
  <c r="K1853" i="1" s="1"/>
  <c r="J1857" i="1" a="1"/>
  <c r="J1857" i="1" s="1"/>
  <c r="J1861" i="1" a="1"/>
  <c r="J1861" i="1" s="1"/>
  <c r="L1855" i="1" a="1"/>
  <c r="L1855" i="1" s="1"/>
  <c r="J1853" i="1" a="1"/>
  <c r="J1853" i="1" s="1"/>
  <c r="K1861" i="1" a="1"/>
  <c r="K1861" i="1" s="1"/>
  <c r="J1859" i="1" a="1"/>
  <c r="J1859" i="1" s="1"/>
  <c r="L1859" i="1" a="1"/>
  <c r="L1859" i="1" s="1"/>
  <c r="K1857" i="1" a="1"/>
  <c r="K1857" i="1" s="1"/>
  <c r="K1859" i="1" a="1"/>
  <c r="K1859" i="1" s="1"/>
  <c r="J2244" i="1" a="1"/>
  <c r="J2244" i="1" s="1"/>
  <c r="L2244" i="1" a="1"/>
  <c r="L2244" i="1" s="1"/>
  <c r="K2244" i="1" a="1"/>
  <c r="K2244" i="1" s="1"/>
  <c r="J2237" i="1" a="1"/>
  <c r="J2237" i="1" s="1"/>
  <c r="L2239" i="1" a="1"/>
  <c r="L2239" i="1" s="1"/>
  <c r="L2242" i="1" a="1"/>
  <c r="L2242" i="1" s="1"/>
  <c r="K2242" i="1" a="1"/>
  <c r="K2242" i="1" s="1"/>
  <c r="J2242" i="1" a="1"/>
  <c r="J2242" i="1" s="1"/>
  <c r="K2241" i="1" a="1"/>
  <c r="K2241" i="1" s="1"/>
  <c r="K2236" i="1" a="1"/>
  <c r="K2236" i="1" s="1"/>
  <c r="L2237" i="1" a="1"/>
  <c r="L2237" i="1" s="1"/>
  <c r="J2241" i="1" a="1"/>
  <c r="J2241" i="1" s="1"/>
  <c r="K2239" i="1" a="1"/>
  <c r="K2239" i="1" s="1"/>
  <c r="K2237" i="1" a="1"/>
  <c r="K2237" i="1" s="1"/>
  <c r="J2236" i="1" a="1"/>
  <c r="J2236" i="1" s="1"/>
  <c r="J2239" i="1" a="1"/>
  <c r="J2239" i="1" s="1"/>
  <c r="L2236" i="1" a="1"/>
  <c r="L2236" i="1" s="1"/>
  <c r="L2241" i="1" a="1"/>
  <c r="L2241" i="1" s="1"/>
  <c r="L2312" i="1" a="1"/>
  <c r="L2312" i="1" s="1"/>
  <c r="K2312" i="1" a="1"/>
  <c r="K2312" i="1" s="1"/>
  <c r="J2312" i="1" a="1"/>
  <c r="J2312" i="1" s="1"/>
  <c r="K2310" i="1" a="1"/>
  <c r="K2310" i="1" s="1"/>
  <c r="L2310" i="1" a="1"/>
  <c r="L2310" i="1" s="1"/>
  <c r="J2306" i="1" a="1"/>
  <c r="J2306" i="1" s="1"/>
  <c r="K2302" i="1" a="1"/>
  <c r="K2302" i="1" s="1"/>
  <c r="K2304" i="1" a="1"/>
  <c r="K2304" i="1" s="1"/>
  <c r="K2308" i="1" a="1"/>
  <c r="K2308" i="1" s="1"/>
  <c r="L2302" i="1" a="1"/>
  <c r="L2302" i="1" s="1"/>
  <c r="L2303" i="1" a="1"/>
  <c r="L2303" i="1" s="1"/>
  <c r="K2306" i="1" a="1"/>
  <c r="K2306" i="1" s="1"/>
  <c r="J2310" i="1" a="1"/>
  <c r="J2310" i="1" s="1"/>
  <c r="L2306" i="1" a="1"/>
  <c r="L2306" i="1" s="1"/>
  <c r="K2303" i="1" a="1"/>
  <c r="K2303" i="1" s="1"/>
  <c r="J2303" i="1" a="1"/>
  <c r="J2303" i="1" s="1"/>
  <c r="J2308" i="1" a="1"/>
  <c r="J2308" i="1" s="1"/>
  <c r="L2308" i="1" a="1"/>
  <c r="L2308" i="1" s="1"/>
  <c r="L2304" i="1" a="1"/>
  <c r="L2304" i="1" s="1"/>
  <c r="J2304" i="1" a="1"/>
  <c r="J2304" i="1" s="1"/>
  <c r="J2302" i="1" a="1"/>
  <c r="J2302" i="1" s="1"/>
  <c r="K2297" i="1" a="1"/>
  <c r="K2297" i="1" s="1"/>
  <c r="J2297" i="1" a="1"/>
  <c r="J2297" i="1" s="1"/>
  <c r="J2292" i="1" a="1"/>
  <c r="J2292" i="1" s="1"/>
  <c r="J2298" i="1" a="1"/>
  <c r="J2298" i="1" s="1"/>
  <c r="L2300" i="1" a="1"/>
  <c r="L2300" i="1" s="1"/>
  <c r="J2300" i="1" a="1"/>
  <c r="J2300" i="1" s="1"/>
  <c r="K2294" i="1" a="1"/>
  <c r="K2294" i="1" s="1"/>
  <c r="K2292" i="1" a="1"/>
  <c r="K2292" i="1" s="1"/>
  <c r="J2288" i="1" a="1"/>
  <c r="J2288" i="1" s="1"/>
  <c r="J2290" i="1" a="1"/>
  <c r="J2290" i="1" s="1"/>
  <c r="K2300" i="1" a="1"/>
  <c r="K2300" i="1" s="1"/>
  <c r="K2298" i="1" a="1"/>
  <c r="K2298" i="1" s="1"/>
  <c r="L2290" i="1" a="1"/>
  <c r="L2290" i="1" s="1"/>
  <c r="L2288" i="1" a="1"/>
  <c r="L2288" i="1" s="1"/>
  <c r="L2298" i="1" a="1"/>
  <c r="L2298" i="1" s="1"/>
  <c r="L2292" i="1" a="1"/>
  <c r="L2292" i="1" s="1"/>
  <c r="K2290" i="1" a="1"/>
  <c r="K2290" i="1" s="1"/>
  <c r="L2294" i="1" a="1"/>
  <c r="L2294" i="1" s="1"/>
  <c r="J2294" i="1" a="1"/>
  <c r="J2294" i="1" s="1"/>
  <c r="K2288" i="1" a="1"/>
  <c r="K2288" i="1" s="1"/>
  <c r="L2297" i="1" a="1"/>
  <c r="L2297" i="1" s="1"/>
  <c r="J2282" i="1" a="1"/>
  <c r="J2282" i="1" s="1"/>
  <c r="K2278" i="1" a="1"/>
  <c r="K2278" i="1" s="1"/>
  <c r="K2281" i="1" a="1"/>
  <c r="K2281" i="1" s="1"/>
  <c r="J2278" i="1" a="1"/>
  <c r="J2278" i="1" s="1"/>
  <c r="K2284" i="1" a="1"/>
  <c r="K2284" i="1" s="1"/>
  <c r="L2282" i="1" a="1"/>
  <c r="L2282" i="1" s="1"/>
  <c r="L2275" i="1" a="1"/>
  <c r="L2275" i="1" s="1"/>
  <c r="K2282" i="1" a="1"/>
  <c r="K2282" i="1" s="1"/>
  <c r="L2277" i="1" a="1"/>
  <c r="L2277" i="1" s="1"/>
  <c r="J2277" i="1" a="1"/>
  <c r="J2277" i="1" s="1"/>
  <c r="K2280" i="1" a="1"/>
  <c r="K2280" i="1" s="1"/>
  <c r="L2281" i="1" a="1"/>
  <c r="L2281" i="1" s="1"/>
  <c r="J2281" i="1" a="1"/>
  <c r="J2281" i="1" s="1"/>
  <c r="J2275" i="1" a="1"/>
  <c r="J2275" i="1" s="1"/>
  <c r="L2278" i="1" a="1"/>
  <c r="L2278" i="1" s="1"/>
  <c r="K2277" i="1" a="1"/>
  <c r="K2277" i="1" s="1"/>
  <c r="L2280" i="1" a="1"/>
  <c r="L2280" i="1" s="1"/>
  <c r="J2280" i="1" a="1"/>
  <c r="J2280" i="1" s="1"/>
  <c r="L2286" i="1" a="1"/>
  <c r="L2286" i="1" s="1"/>
  <c r="J2286" i="1" a="1"/>
  <c r="J2286" i="1" s="1"/>
  <c r="K2286" i="1" a="1"/>
  <c r="K2286" i="1" s="1"/>
  <c r="L2284" i="1" a="1"/>
  <c r="L2284" i="1" s="1"/>
  <c r="J2284" i="1" a="1"/>
  <c r="J2284" i="1" s="1"/>
  <c r="K2275" i="1" a="1"/>
  <c r="K2275" i="1" s="1"/>
  <c r="L2265" i="1" a="1"/>
  <c r="L2265" i="1" s="1"/>
  <c r="J2271" i="1" a="1"/>
  <c r="J2271" i="1" s="1"/>
  <c r="K2269" i="1" a="1"/>
  <c r="K2269" i="1" s="1"/>
  <c r="K2260" i="1" a="1"/>
  <c r="K2260" i="1" s="1"/>
  <c r="L2261" i="1" a="1"/>
  <c r="L2261" i="1" s="1"/>
  <c r="K2267" i="1" a="1"/>
  <c r="K2267" i="1" s="1"/>
  <c r="J2265" i="1" a="1"/>
  <c r="J2265" i="1" s="1"/>
  <c r="K2271" i="1" a="1"/>
  <c r="K2271" i="1" s="1"/>
  <c r="J2267" i="1" a="1"/>
  <c r="J2267" i="1" s="1"/>
  <c r="J2261" i="1" a="1"/>
  <c r="J2261" i="1" s="1"/>
  <c r="L2271" i="1" a="1"/>
  <c r="L2271" i="1" s="1"/>
  <c r="K2265" i="1" a="1"/>
  <c r="K2265" i="1" s="1"/>
  <c r="L2274" i="1" a="1"/>
  <c r="L2274" i="1" s="1"/>
  <c r="K2274" i="1" a="1"/>
  <c r="K2274" i="1" s="1"/>
  <c r="J2274" i="1" a="1"/>
  <c r="J2274" i="1" s="1"/>
  <c r="J2269" i="1" a="1"/>
  <c r="J2269" i="1" s="1"/>
  <c r="K2263" i="1" a="1"/>
  <c r="K2263" i="1" s="1"/>
  <c r="L2263" i="1" a="1"/>
  <c r="L2263" i="1" s="1"/>
  <c r="L2260" i="1" a="1"/>
  <c r="L2260" i="1" s="1"/>
  <c r="J2263" i="1" a="1"/>
  <c r="J2263" i="1" s="1"/>
  <c r="K2261" i="1" a="1"/>
  <c r="K2261" i="1" s="1"/>
  <c r="L2269" i="1" a="1"/>
  <c r="L2269" i="1" s="1"/>
  <c r="L2267" i="1" a="1"/>
  <c r="L2267" i="1" s="1"/>
  <c r="L2252" i="1" a="1"/>
  <c r="L2252" i="1" s="1"/>
  <c r="K2250" i="1" a="1"/>
  <c r="K2250" i="1" s="1"/>
  <c r="J2250" i="1" a="1"/>
  <c r="J2250" i="1" s="1"/>
  <c r="K2246" i="1" a="1"/>
  <c r="K2246" i="1" s="1"/>
  <c r="J2260" i="1" a="1"/>
  <c r="J2260" i="1" s="1"/>
  <c r="L2256" i="1" a="1"/>
  <c r="L2256" i="1" s="1"/>
  <c r="K2256" i="1" a="1"/>
  <c r="K2256" i="1" s="1"/>
  <c r="L2255" i="1" a="1"/>
  <c r="L2255" i="1" s="1"/>
  <c r="L2258" i="1" a="1"/>
  <c r="L2258" i="1" s="1"/>
  <c r="J2258" i="1" a="1"/>
  <c r="J2258" i="1" s="1"/>
  <c r="K2248" i="1" a="1"/>
  <c r="K2248" i="1" s="1"/>
  <c r="K2258" i="1" a="1"/>
  <c r="K2258" i="1" s="1"/>
  <c r="J2256" i="1" a="1"/>
  <c r="J2256" i="1" s="1"/>
  <c r="L2250" i="1" a="1"/>
  <c r="L2250" i="1" s="1"/>
  <c r="J2246" i="1" a="1"/>
  <c r="J2246" i="1" s="1"/>
  <c r="J2248" i="1" a="1"/>
  <c r="J2248" i="1" s="1"/>
  <c r="K2252" i="1" a="1"/>
  <c r="K2252" i="1" s="1"/>
  <c r="L2246" i="1" a="1"/>
  <c r="L2246" i="1" s="1"/>
  <c r="K2255" i="1" a="1"/>
  <c r="K2255" i="1" s="1"/>
  <c r="L2248" i="1" a="1"/>
  <c r="L2248" i="1" s="1"/>
  <c r="J2255" i="1" a="1"/>
  <c r="J2255" i="1" s="1"/>
  <c r="J2252" i="1" a="1"/>
  <c r="J2252" i="1" s="1"/>
  <c r="L856" i="1"/>
  <c r="L855" i="1" s="1"/>
  <c r="K856" i="1"/>
  <c r="K855" i="1" s="1"/>
  <c r="J856" i="1"/>
  <c r="J855" i="1" s="1"/>
  <c r="L853" i="1"/>
  <c r="K853" i="1"/>
  <c r="J853" i="1"/>
  <c r="L851" i="1"/>
  <c r="K851" i="1"/>
  <c r="J851" i="1"/>
  <c r="L849" i="1"/>
  <c r="K849" i="1"/>
  <c r="J849" i="1"/>
  <c r="L847" i="1"/>
  <c r="K847" i="1"/>
  <c r="J847" i="1"/>
  <c r="L845" i="1"/>
  <c r="K845" i="1"/>
  <c r="J845" i="1"/>
  <c r="L843" i="1"/>
  <c r="K843" i="1"/>
  <c r="J843" i="1"/>
  <c r="L833" i="1"/>
  <c r="K833" i="1"/>
  <c r="J833" i="1"/>
  <c r="L831" i="1"/>
  <c r="K831" i="1"/>
  <c r="J831" i="1"/>
  <c r="L829" i="1"/>
  <c r="K829" i="1"/>
  <c r="J829" i="1"/>
  <c r="L828" i="1"/>
  <c r="K828" i="1"/>
  <c r="J828" i="1"/>
  <c r="L827" i="1"/>
  <c r="K827" i="1"/>
  <c r="J827" i="1"/>
  <c r="L825" i="1"/>
  <c r="K825" i="1"/>
  <c r="J825" i="1"/>
  <c r="L824" i="1"/>
  <c r="K824" i="1"/>
  <c r="J824" i="1"/>
  <c r="L822" i="1"/>
  <c r="K822" i="1"/>
  <c r="J822" i="1"/>
  <c r="L821" i="1"/>
  <c r="K821" i="1"/>
  <c r="J821" i="1"/>
  <c r="L820" i="1"/>
  <c r="K820" i="1"/>
  <c r="J820" i="1"/>
  <c r="L818" i="1"/>
  <c r="K818" i="1"/>
  <c r="J818" i="1"/>
  <c r="L815" i="1"/>
  <c r="K815" i="1"/>
  <c r="J815" i="1"/>
  <c r="L813" i="1"/>
  <c r="K813" i="1"/>
  <c r="J813" i="1"/>
  <c r="L811" i="1"/>
  <c r="K811" i="1"/>
  <c r="J811" i="1"/>
  <c r="L807" i="1"/>
  <c r="K807" i="1"/>
  <c r="J807" i="1"/>
  <c r="L791" i="1"/>
  <c r="K791" i="1"/>
  <c r="J791" i="1"/>
  <c r="L789" i="1"/>
  <c r="K789" i="1"/>
  <c r="J789" i="1"/>
  <c r="L788" i="1"/>
  <c r="K788" i="1"/>
  <c r="J788" i="1"/>
  <c r="L782" i="1"/>
  <c r="K782" i="1"/>
  <c r="J782" i="1"/>
  <c r="K779" i="1"/>
  <c r="K783" i="1" s="1"/>
  <c r="L778" i="1"/>
  <c r="K778" i="1"/>
  <c r="J778" i="1"/>
  <c r="L776" i="1"/>
  <c r="K776" i="1"/>
  <c r="J776" i="1"/>
  <c r="L774" i="1"/>
  <c r="K774" i="1"/>
  <c r="J774" i="1"/>
  <c r="L772" i="1"/>
  <c r="K772" i="1"/>
  <c r="J772" i="1"/>
  <c r="L767" i="1"/>
  <c r="K767" i="1"/>
  <c r="J767" i="1"/>
  <c r="L764" i="1"/>
  <c r="K764" i="1"/>
  <c r="J764" i="1"/>
  <c r="L707" i="1"/>
  <c r="K707" i="1"/>
  <c r="J707" i="1"/>
  <c r="L706" i="1"/>
  <c r="K706" i="1"/>
  <c r="J706" i="1"/>
  <c r="L678" i="1"/>
  <c r="K678" i="1"/>
  <c r="J678" i="1"/>
  <c r="L677" i="1"/>
  <c r="K677" i="1"/>
  <c r="J677" i="1"/>
  <c r="L669" i="1"/>
  <c r="L675" i="1" s="1"/>
  <c r="K669" i="1"/>
  <c r="K675" i="1" s="1"/>
  <c r="J669" i="1"/>
  <c r="J675" i="1" s="1"/>
  <c r="L668" i="1"/>
  <c r="L674" i="1" s="1"/>
  <c r="K668" i="1"/>
  <c r="K674" i="1" s="1"/>
  <c r="J668" i="1"/>
  <c r="J674" i="1" s="1"/>
  <c r="L667" i="1"/>
  <c r="K667" i="1"/>
  <c r="J667" i="1"/>
  <c r="L663" i="1"/>
  <c r="K663" i="1"/>
  <c r="J663" i="1"/>
  <c r="L621" i="1"/>
  <c r="K621" i="1"/>
  <c r="J621" i="1"/>
  <c r="L616" i="1"/>
  <c r="K616" i="1"/>
  <c r="J616" i="1"/>
  <c r="L615" i="1"/>
  <c r="K615" i="1"/>
  <c r="J615" i="1"/>
  <c r="L600" i="1"/>
  <c r="K600" i="1"/>
  <c r="J600" i="1"/>
  <c r="L582" i="1"/>
  <c r="K582" i="1"/>
  <c r="J582" i="1"/>
  <c r="L505" i="1"/>
  <c r="K505" i="1"/>
  <c r="J505" i="1"/>
  <c r="L462" i="1"/>
  <c r="K462" i="1"/>
  <c r="J462" i="1"/>
  <c r="L460" i="1"/>
  <c r="K460" i="1"/>
  <c r="J460" i="1"/>
  <c r="L458" i="1"/>
  <c r="K458" i="1"/>
  <c r="J458" i="1"/>
  <c r="L456" i="1"/>
  <c r="K456" i="1"/>
  <c r="J456" i="1"/>
  <c r="L450" i="1"/>
  <c r="K450" i="1"/>
  <c r="J450" i="1"/>
  <c r="L448" i="1"/>
  <c r="K448" i="1"/>
  <c r="J448" i="1"/>
  <c r="L446" i="1"/>
  <c r="K446" i="1"/>
  <c r="J446" i="1"/>
  <c r="L444" i="1"/>
  <c r="K444" i="1"/>
  <c r="J444" i="1"/>
  <c r="L408" i="1"/>
  <c r="K408" i="1"/>
  <c r="J408" i="1"/>
  <c r="L407" i="1"/>
  <c r="K407" i="1"/>
  <c r="J407" i="1"/>
  <c r="L406" i="1"/>
  <c r="K406" i="1"/>
  <c r="J406" i="1"/>
  <c r="L405" i="1"/>
  <c r="K405" i="1"/>
  <c r="J405" i="1"/>
  <c r="L404" i="1"/>
  <c r="K404" i="1"/>
  <c r="J404" i="1"/>
  <c r="L403" i="1"/>
  <c r="K403" i="1"/>
  <c r="J403" i="1"/>
  <c r="L402" i="1"/>
  <c r="K402" i="1"/>
  <c r="J402" i="1"/>
  <c r="L396" i="1"/>
  <c r="K396" i="1"/>
  <c r="J396" i="1"/>
  <c r="L394" i="1"/>
  <c r="K394" i="1"/>
  <c r="J394" i="1"/>
  <c r="L393" i="1"/>
  <c r="K393" i="1"/>
  <c r="J393" i="1"/>
  <c r="L392" i="1"/>
  <c r="K392" i="1"/>
  <c r="J392" i="1"/>
  <c r="L391" i="1"/>
  <c r="K391" i="1"/>
  <c r="J391" i="1"/>
  <c r="L390" i="1"/>
  <c r="K390" i="1"/>
  <c r="J390" i="1"/>
  <c r="L388" i="1"/>
  <c r="K388" i="1"/>
  <c r="J388" i="1"/>
  <c r="L381" i="1"/>
  <c r="K381" i="1"/>
  <c r="J381" i="1"/>
  <c r="L360" i="1"/>
  <c r="K360" i="1"/>
  <c r="J360" i="1"/>
  <c r="L359" i="1"/>
  <c r="K359" i="1"/>
  <c r="J359" i="1"/>
  <c r="L313" i="1"/>
  <c r="K313" i="1"/>
  <c r="J313" i="1"/>
  <c r="L312" i="1"/>
  <c r="K312" i="1"/>
  <c r="J312" i="1"/>
  <c r="L311" i="1"/>
  <c r="K311" i="1"/>
  <c r="J311" i="1"/>
  <c r="L299" i="1"/>
  <c r="K299" i="1"/>
  <c r="J299" i="1"/>
  <c r="L297" i="1"/>
  <c r="K297" i="1"/>
  <c r="J297" i="1"/>
  <c r="L296" i="1"/>
  <c r="K296" i="1"/>
  <c r="J296" i="1"/>
  <c r="L295" i="1"/>
  <c r="K295" i="1"/>
  <c r="J295" i="1"/>
  <c r="L293" i="1"/>
  <c r="K293" i="1"/>
  <c r="J293" i="1"/>
  <c r="L395" i="1"/>
  <c r="K395" i="1"/>
  <c r="J395" i="1"/>
  <c r="L290" i="1"/>
  <c r="K290" i="1"/>
  <c r="J290" i="1"/>
  <c r="L289" i="1"/>
  <c r="K289" i="1"/>
  <c r="J289" i="1"/>
  <c r="L287" i="1"/>
  <c r="K287" i="1"/>
  <c r="J287" i="1"/>
  <c r="L286" i="1"/>
  <c r="K286" i="1"/>
  <c r="J286" i="1"/>
  <c r="L285" i="1"/>
  <c r="K285" i="1"/>
  <c r="J285" i="1"/>
  <c r="L250" i="1"/>
  <c r="K250" i="1"/>
  <c r="J250" i="1"/>
  <c r="L249" i="1"/>
  <c r="K249" i="1"/>
  <c r="J249" i="1"/>
  <c r="L248" i="1"/>
  <c r="K248" i="1"/>
  <c r="J248" i="1"/>
  <c r="L247" i="1"/>
  <c r="K247" i="1"/>
  <c r="J247" i="1"/>
  <c r="L246" i="1"/>
  <c r="K246" i="1"/>
  <c r="J246" i="1"/>
  <c r="L245" i="1"/>
  <c r="K245" i="1"/>
  <c r="J245" i="1"/>
  <c r="L244" i="1"/>
  <c r="K244" i="1"/>
  <c r="J244" i="1"/>
  <c r="L243" i="1"/>
  <c r="K243" i="1"/>
  <c r="J243" i="1"/>
  <c r="L235" i="1"/>
  <c r="K235" i="1"/>
  <c r="J235" i="1"/>
  <c r="L232" i="1"/>
  <c r="K232" i="1"/>
  <c r="J232" i="1"/>
  <c r="L230" i="1"/>
  <c r="K230" i="1"/>
  <c r="J230" i="1"/>
  <c r="L228" i="1"/>
  <c r="K228" i="1"/>
  <c r="J228" i="1"/>
  <c r="L226" i="1"/>
  <c r="K226" i="1"/>
  <c r="J226" i="1"/>
  <c r="L220" i="1"/>
  <c r="K220" i="1"/>
  <c r="J220" i="1"/>
  <c r="L218" i="1"/>
  <c r="K218" i="1"/>
  <c r="J218" i="1"/>
  <c r="L216" i="1"/>
  <c r="L212" i="1" s="1"/>
  <c r="K216" i="1"/>
  <c r="K212" i="1" s="1"/>
  <c r="J216" i="1"/>
  <c r="J212" i="1" s="1"/>
  <c r="L209" i="1"/>
  <c r="K209" i="1"/>
  <c r="J209" i="1"/>
  <c r="L207" i="1"/>
  <c r="K207" i="1"/>
  <c r="J207" i="1"/>
  <c r="L190" i="1"/>
  <c r="K190" i="1"/>
  <c r="J190" i="1"/>
  <c r="L189" i="1"/>
  <c r="K189" i="1"/>
  <c r="J189" i="1"/>
  <c r="L185" i="1"/>
  <c r="K185" i="1"/>
  <c r="J185" i="1"/>
  <c r="L180" i="1"/>
  <c r="K180" i="1"/>
  <c r="J180" i="1"/>
  <c r="L179" i="1"/>
  <c r="K179" i="1"/>
  <c r="J179" i="1"/>
  <c r="L178" i="1"/>
  <c r="K178" i="1"/>
  <c r="J178" i="1"/>
  <c r="L177" i="1"/>
  <c r="K177" i="1"/>
  <c r="J177" i="1"/>
  <c r="L176" i="1"/>
  <c r="K176" i="1"/>
  <c r="J176" i="1"/>
  <c r="L175" i="1"/>
  <c r="K175" i="1"/>
  <c r="J175" i="1"/>
  <c r="L174" i="1"/>
  <c r="K174" i="1"/>
  <c r="J174" i="1"/>
  <c r="L172" i="1"/>
  <c r="K172" i="1"/>
  <c r="J172" i="1"/>
  <c r="L171" i="1"/>
  <c r="K171" i="1"/>
  <c r="J171" i="1"/>
  <c r="J399" i="1" s="1"/>
  <c r="J519" i="1" s="1"/>
  <c r="L170" i="1"/>
  <c r="K170" i="1"/>
  <c r="J170" i="1"/>
  <c r="L167" i="1"/>
  <c r="K167" i="1"/>
  <c r="J167" i="1"/>
  <c r="L166" i="1"/>
  <c r="K166" i="1"/>
  <c r="J166" i="1"/>
  <c r="L165" i="1"/>
  <c r="K165" i="1"/>
  <c r="J165" i="1"/>
  <c r="L164" i="1"/>
  <c r="K164" i="1"/>
  <c r="J164" i="1"/>
  <c r="L163" i="1"/>
  <c r="K163" i="1"/>
  <c r="J163" i="1"/>
  <c r="L162" i="1"/>
  <c r="K162" i="1"/>
  <c r="J162" i="1"/>
  <c r="L160" i="1"/>
  <c r="K160" i="1"/>
  <c r="J160" i="1"/>
  <c r="L158" i="1"/>
  <c r="K158" i="1"/>
  <c r="J158" i="1"/>
  <c r="L157" i="1"/>
  <c r="K157" i="1"/>
  <c r="J157" i="1"/>
  <c r="L156" i="1"/>
  <c r="K156" i="1"/>
  <c r="J156" i="1"/>
  <c r="L155" i="1"/>
  <c r="K155" i="1"/>
  <c r="J155" i="1"/>
  <c r="L154" i="1"/>
  <c r="K154" i="1"/>
  <c r="J154" i="1"/>
  <c r="L153" i="1"/>
  <c r="K153" i="1"/>
  <c r="J153" i="1"/>
  <c r="L152" i="1"/>
  <c r="K152" i="1"/>
  <c r="J152" i="1"/>
  <c r="L136" i="1"/>
  <c r="K136" i="1"/>
  <c r="J136" i="1"/>
  <c r="L135" i="1"/>
  <c r="K135" i="1"/>
  <c r="J135" i="1"/>
  <c r="L134" i="1"/>
  <c r="L141" i="1" s="1" a="1"/>
  <c r="L141" i="1" s="1"/>
  <c r="K134" i="1"/>
  <c r="K141" i="1" s="1" a="1"/>
  <c r="K141" i="1" s="1"/>
  <c r="J134" i="1"/>
  <c r="J141" i="1" s="1" a="1"/>
  <c r="J141" i="1" s="1"/>
  <c r="L133" i="1"/>
  <c r="L140" i="1" s="1" a="1"/>
  <c r="L140" i="1" s="1"/>
  <c r="K133" i="1"/>
  <c r="K140" i="1" s="1" a="1"/>
  <c r="K140" i="1" s="1"/>
  <c r="J133" i="1"/>
  <c r="J140" i="1" s="1" a="1"/>
  <c r="J140" i="1" s="1"/>
  <c r="L132" i="1"/>
  <c r="L139" i="1" s="1" a="1"/>
  <c r="L139" i="1" s="1"/>
  <c r="K132" i="1"/>
  <c r="K139" i="1" s="1" a="1"/>
  <c r="K139" i="1" s="1"/>
  <c r="J132" i="1"/>
  <c r="J139" i="1" s="1" a="1"/>
  <c r="J139" i="1" s="1"/>
  <c r="L131" i="1"/>
  <c r="L138" i="1" s="1" a="1"/>
  <c r="L138" i="1" s="1"/>
  <c r="K131" i="1"/>
  <c r="K138" i="1" s="1" a="1"/>
  <c r="K138" i="1" s="1"/>
  <c r="J131" i="1"/>
  <c r="J138" i="1" s="1" a="1"/>
  <c r="J138" i="1" s="1"/>
  <c r="L97" i="1"/>
  <c r="L129" i="1" s="1"/>
  <c r="K97" i="1"/>
  <c r="J97" i="1"/>
  <c r="J129" i="1" s="1"/>
  <c r="L96" i="1"/>
  <c r="L128" i="1" s="1"/>
  <c r="K96" i="1"/>
  <c r="J96" i="1"/>
  <c r="J128" i="1" s="1"/>
  <c r="L95" i="1"/>
  <c r="K95" i="1"/>
  <c r="J95" i="1"/>
  <c r="L94" i="1"/>
  <c r="L126" i="1" s="1"/>
  <c r="K94" i="1"/>
  <c r="J94" i="1"/>
  <c r="L93" i="1"/>
  <c r="L125" i="1" s="1"/>
  <c r="K93" i="1"/>
  <c r="K125" i="1" s="1"/>
  <c r="J93" i="1"/>
  <c r="J125" i="1" s="1"/>
  <c r="L92" i="1"/>
  <c r="L124" i="1" s="1"/>
  <c r="K92" i="1"/>
  <c r="K124" i="1" s="1"/>
  <c r="J92" i="1"/>
  <c r="L91" i="1"/>
  <c r="L123" i="1" s="1"/>
  <c r="K91" i="1"/>
  <c r="J91" i="1"/>
  <c r="J123" i="1" s="1"/>
  <c r="L90" i="1"/>
  <c r="L122" i="1" s="1"/>
  <c r="K90" i="1"/>
  <c r="J90" i="1"/>
  <c r="J122" i="1" s="1"/>
  <c r="L89" i="1"/>
  <c r="L121" i="1" s="1"/>
  <c r="K89" i="1"/>
  <c r="K121" i="1" s="1"/>
  <c r="J89" i="1"/>
  <c r="J121" i="1" s="1"/>
  <c r="L88" i="1"/>
  <c r="L120" i="1" s="1"/>
  <c r="K88" i="1"/>
  <c r="J88" i="1"/>
  <c r="L87" i="1"/>
  <c r="L119" i="1" s="1"/>
  <c r="K87" i="1"/>
  <c r="K119" i="1" s="1"/>
  <c r="J87" i="1"/>
  <c r="J119" i="1" s="1"/>
  <c r="L86" i="1"/>
  <c r="K86" i="1"/>
  <c r="K118" i="1" s="1"/>
  <c r="J86" i="1"/>
  <c r="J118" i="1" s="1"/>
  <c r="L85" i="1"/>
  <c r="L117" i="1" s="1"/>
  <c r="K85" i="1"/>
  <c r="K117" i="1" s="1"/>
  <c r="J85" i="1"/>
  <c r="J117" i="1" s="1"/>
  <c r="L84" i="1"/>
  <c r="L116" i="1" s="1"/>
  <c r="K84" i="1"/>
  <c r="K116" i="1" s="1"/>
  <c r="J84" i="1"/>
  <c r="J116" i="1" s="1"/>
  <c r="L83" i="1"/>
  <c r="L115" i="1" s="1"/>
  <c r="K83" i="1"/>
  <c r="K115" i="1" s="1"/>
  <c r="J83" i="1"/>
  <c r="J115" i="1" s="1"/>
  <c r="L77" i="1"/>
  <c r="K77" i="1"/>
  <c r="J77" i="1"/>
  <c r="L76" i="1"/>
  <c r="K76" i="1"/>
  <c r="J76" i="1"/>
  <c r="L73" i="1"/>
  <c r="K73" i="1"/>
  <c r="K301" i="1" s="1"/>
  <c r="K465" i="1" s="1"/>
  <c r="J73" i="1"/>
  <c r="J301" i="1" s="1"/>
  <c r="J465" i="1" s="1"/>
  <c r="L72" i="1"/>
  <c r="K72" i="1"/>
  <c r="J72" i="1"/>
  <c r="L71" i="1"/>
  <c r="K71" i="1"/>
  <c r="J71" i="1"/>
  <c r="L69" i="1"/>
  <c r="K69" i="1"/>
  <c r="J69" i="1"/>
  <c r="L68" i="1"/>
  <c r="K68" i="1"/>
  <c r="J68" i="1"/>
  <c r="L67" i="1"/>
  <c r="K67" i="1"/>
  <c r="J67" i="1"/>
  <c r="L65" i="1"/>
  <c r="K65" i="1"/>
  <c r="J65" i="1"/>
  <c r="L1151" i="1"/>
  <c r="K1151" i="1"/>
  <c r="J1151" i="1"/>
  <c r="J1648" i="1" a="1"/>
  <c r="J1648" i="1" s="1"/>
  <c r="L1648" i="1" a="1"/>
  <c r="L1648" i="1" s="1"/>
  <c r="K1648" i="1" a="1"/>
  <c r="K1648" i="1" s="1"/>
  <c r="L1644" i="1" a="1"/>
  <c r="L1644" i="1" s="1"/>
  <c r="J1644" i="1" a="1"/>
  <c r="J1644" i="1" s="1"/>
  <c r="K1644" i="1" a="1"/>
  <c r="K1644" i="1" s="1"/>
  <c r="L1663" i="1"/>
  <c r="K1663" i="1"/>
  <c r="J1663" i="1"/>
  <c r="L32" i="1"/>
  <c r="L30" i="1" s="1" a="1"/>
  <c r="L30" i="1" s="1"/>
  <c r="K32" i="1"/>
  <c r="K30" i="1" s="1" a="1"/>
  <c r="K30" i="1" s="1"/>
  <c r="J32" i="1"/>
  <c r="J30" i="1" s="1" a="1"/>
  <c r="J30" i="1" s="1"/>
  <c r="K1709" i="1" a="1"/>
  <c r="K1709" i="1" s="1"/>
  <c r="J1709" i="1" a="1"/>
  <c r="J1709" i="1" s="1"/>
  <c r="J1708" i="1" a="1"/>
  <c r="J1708" i="1" s="1"/>
  <c r="L1708" i="1" a="1"/>
  <c r="L1708" i="1" s="1"/>
  <c r="K1708" i="1" a="1"/>
  <c r="K1708" i="1" s="1"/>
  <c r="L1709" i="1" a="1"/>
  <c r="L1709" i="1" s="1"/>
  <c r="J743" i="1" a="1"/>
  <c r="J743" i="1" s="1"/>
  <c r="L740" i="1" a="1"/>
  <c r="L740" i="1" s="1"/>
  <c r="K743" i="1" a="1"/>
  <c r="K743" i="1" s="1"/>
  <c r="J740" i="1" a="1"/>
  <c r="J740" i="1" s="1"/>
  <c r="L743" i="1" a="1"/>
  <c r="L743" i="1" s="1"/>
  <c r="K740" i="1" a="1"/>
  <c r="K740" i="1" s="1"/>
  <c r="J720" i="1" a="1"/>
  <c r="J720" i="1" s="1"/>
  <c r="L724" i="1" a="1"/>
  <c r="L724" i="1" s="1"/>
  <c r="J724" i="1" a="1"/>
  <c r="J724" i="1" s="1"/>
  <c r="L727" i="1" a="1"/>
  <c r="L727" i="1" s="1"/>
  <c r="L719" i="1" a="1"/>
  <c r="L719" i="1" s="1"/>
  <c r="K724" i="1" a="1"/>
  <c r="K724" i="1" s="1"/>
  <c r="L720" i="1" a="1"/>
  <c r="L720" i="1" s="1"/>
  <c r="J727" i="1" a="1"/>
  <c r="J727" i="1" s="1"/>
  <c r="K727" i="1" a="1"/>
  <c r="K727" i="1" s="1"/>
  <c r="J719" i="1" a="1"/>
  <c r="J719" i="1" s="1"/>
  <c r="K719" i="1" a="1"/>
  <c r="K719" i="1" s="1"/>
  <c r="K720" i="1" a="1"/>
  <c r="K720" i="1" s="1"/>
  <c r="K718" i="1" a="1"/>
  <c r="K718" i="1" s="1"/>
  <c r="L718" i="1" a="1"/>
  <c r="L718" i="1" s="1"/>
  <c r="J718" i="1" a="1"/>
  <c r="J718" i="1" s="1"/>
  <c r="K716" i="1" a="1"/>
  <c r="K716" i="1" s="1"/>
  <c r="L716" i="1" a="1"/>
  <c r="L716" i="1" s="1"/>
  <c r="K711" i="1" a="1"/>
  <c r="K711" i="1" s="1"/>
  <c r="L711" i="1" a="1"/>
  <c r="L711" i="1" s="1"/>
  <c r="K709" i="1" a="1"/>
  <c r="K709" i="1" s="1"/>
  <c r="J711" i="1" a="1"/>
  <c r="J711" i="1" s="1"/>
  <c r="J716" i="1" a="1"/>
  <c r="J716" i="1" s="1"/>
  <c r="J709" i="1" a="1"/>
  <c r="J709" i="1" s="1"/>
  <c r="L709" i="1" a="1"/>
  <c r="L709" i="1" s="1"/>
  <c r="L696" i="1" a="1"/>
  <c r="L696" i="1" s="1"/>
  <c r="J696" i="1" a="1"/>
  <c r="J696" i="1" s="1"/>
  <c r="K697" i="1" a="1"/>
  <c r="K697" i="1" s="1"/>
  <c r="J697" i="1" a="1"/>
  <c r="J697" i="1" s="1"/>
  <c r="L697" i="1" a="1"/>
  <c r="L697" i="1" s="1"/>
  <c r="K696" i="1" a="1"/>
  <c r="K696" i="1" s="1"/>
  <c r="L683" i="1" a="1"/>
  <c r="L683" i="1" s="1"/>
  <c r="K682" i="1" a="1"/>
  <c r="K682" i="1" s="1"/>
  <c r="J681" i="1" a="1"/>
  <c r="J681" i="1" s="1"/>
  <c r="L685" i="1" a="1"/>
  <c r="L685" i="1" s="1"/>
  <c r="J682" i="1" a="1"/>
  <c r="J682" i="1" s="1"/>
  <c r="L681" i="1" a="1"/>
  <c r="L681" i="1" s="1"/>
  <c r="K685" i="1" a="1"/>
  <c r="K685" i="1" s="1"/>
  <c r="K683" i="1" a="1"/>
  <c r="K683" i="1" s="1"/>
  <c r="L682" i="1" a="1"/>
  <c r="L682" i="1" s="1"/>
  <c r="K681" i="1" a="1"/>
  <c r="K681" i="1" s="1"/>
  <c r="L688" i="1" a="1"/>
  <c r="L688" i="1" s="1"/>
  <c r="K688" i="1" a="1"/>
  <c r="K688" i="1" s="1"/>
  <c r="J688" i="1" a="1"/>
  <c r="J688" i="1" s="1"/>
  <c r="L687" i="1" a="1"/>
  <c r="L687" i="1" s="1"/>
  <c r="K687" i="1" a="1"/>
  <c r="K687" i="1" s="1"/>
  <c r="J687" i="1" a="1"/>
  <c r="J687" i="1" s="1"/>
  <c r="J685" i="1" a="1"/>
  <c r="J685" i="1" s="1"/>
  <c r="J683" i="1" a="1"/>
  <c r="J683" i="1" s="1"/>
  <c r="L665" i="1" a="1"/>
  <c r="L665" i="1" s="1"/>
  <c r="J665" i="1" a="1"/>
  <c r="J665" i="1" s="1"/>
  <c r="K666" i="1" a="1"/>
  <c r="K666" i="1" s="1"/>
  <c r="J666" i="1" a="1"/>
  <c r="J666" i="1" s="1"/>
  <c r="J664" i="1" a="1"/>
  <c r="J664" i="1" s="1"/>
  <c r="L666" i="1" a="1"/>
  <c r="L666" i="1" s="1"/>
  <c r="K665" i="1" a="1"/>
  <c r="K665" i="1" s="1"/>
  <c r="L664" i="1" a="1"/>
  <c r="L664" i="1" s="1"/>
  <c r="K664" i="1" a="1"/>
  <c r="K664" i="1" s="1"/>
  <c r="L652" i="1" a="1"/>
  <c r="L652" i="1" s="1"/>
  <c r="K653" i="1" a="1"/>
  <c r="K653" i="1" s="1"/>
  <c r="J645" i="1" a="1"/>
  <c r="J645" i="1" s="1"/>
  <c r="L647" i="1" a="1"/>
  <c r="L647" i="1" s="1"/>
  <c r="J648" i="1" a="1"/>
  <c r="J648" i="1" s="1"/>
  <c r="K645" i="1" a="1"/>
  <c r="K645" i="1" s="1"/>
  <c r="J652" i="1" a="1"/>
  <c r="J652" i="1" s="1"/>
  <c r="L650" i="1" a="1"/>
  <c r="L650" i="1" s="1"/>
  <c r="K648" i="1" a="1"/>
  <c r="K648" i="1" s="1"/>
  <c r="K647" i="1" a="1"/>
  <c r="K647" i="1" s="1"/>
  <c r="L653" i="1" a="1"/>
  <c r="L653" i="1" s="1"/>
  <c r="L649" i="1" a="1"/>
  <c r="L649" i="1" s="1"/>
  <c r="J653" i="1" a="1"/>
  <c r="J653" i="1" s="1"/>
  <c r="J647" i="1" a="1"/>
  <c r="J647" i="1" s="1"/>
  <c r="J650" i="1" a="1"/>
  <c r="J650" i="1" s="1"/>
  <c r="L648" i="1" a="1"/>
  <c r="L648" i="1" s="1"/>
  <c r="K652" i="1" a="1"/>
  <c r="K652" i="1" s="1"/>
  <c r="K649" i="1" a="1"/>
  <c r="K649" i="1" s="1"/>
  <c r="L645" i="1" a="1"/>
  <c r="L645" i="1" s="1"/>
  <c r="K650" i="1" a="1"/>
  <c r="K650" i="1" s="1"/>
  <c r="J649" i="1" a="1"/>
  <c r="J649" i="1" s="1"/>
  <c r="K2045" i="1" a="1"/>
  <c r="K2045" i="1" s="1"/>
  <c r="L2045" i="1" a="1"/>
  <c r="L2045" i="1" s="1"/>
  <c r="L2046" i="1" a="1"/>
  <c r="L2046" i="1" s="1"/>
  <c r="J2045" i="1" a="1"/>
  <c r="J2045" i="1" s="1"/>
  <c r="K2048" i="1" a="1"/>
  <c r="K2048" i="1" s="1"/>
  <c r="J2046" i="1" a="1"/>
  <c r="J2046" i="1" s="1"/>
  <c r="L2047" i="1" a="1"/>
  <c r="L2047" i="1" s="1"/>
  <c r="J2047" i="1" a="1"/>
  <c r="J2047" i="1" s="1"/>
  <c r="L2044" i="1" a="1"/>
  <c r="L2044" i="1" s="1"/>
  <c r="J2048" i="1" a="1"/>
  <c r="J2048" i="1" s="1"/>
  <c r="K2047" i="1" a="1"/>
  <c r="K2047" i="1" s="1"/>
  <c r="J2049" i="1" a="1"/>
  <c r="J2049" i="1" s="1"/>
  <c r="L2048" i="1" a="1"/>
  <c r="L2048" i="1" s="1"/>
  <c r="K2046" i="1" a="1"/>
  <c r="K2046" i="1" s="1"/>
  <c r="L2049" i="1" a="1"/>
  <c r="L2049" i="1" s="1"/>
  <c r="K2049" i="1" a="1"/>
  <c r="K2049" i="1" s="1"/>
  <c r="K2042" i="1" a="1"/>
  <c r="K2042" i="1" s="1"/>
  <c r="J2042" i="1" a="1"/>
  <c r="J2042" i="1" s="1"/>
  <c r="L2041" i="1" a="1"/>
  <c r="L2041" i="1" s="1"/>
  <c r="L2037" i="1" a="1"/>
  <c r="L2037" i="1" s="1"/>
  <c r="K2039" i="1" a="1"/>
  <c r="K2039" i="1" s="1"/>
  <c r="J2036" i="1" a="1"/>
  <c r="J2036" i="1" s="1"/>
  <c r="L2039" i="1" a="1"/>
  <c r="L2039" i="1" s="1"/>
  <c r="L2038" i="1" a="1"/>
  <c r="L2038" i="1" s="1"/>
  <c r="K2036" i="1" a="1"/>
  <c r="K2036" i="1" s="1"/>
  <c r="L2035" i="1" a="1"/>
  <c r="L2035" i="1" s="1"/>
  <c r="K2035" i="1" a="1"/>
  <c r="K2035" i="1" s="1"/>
  <c r="K2041" i="1" a="1"/>
  <c r="K2041" i="1" s="1"/>
  <c r="K2040" i="1" a="1"/>
  <c r="K2040" i="1" s="1"/>
  <c r="L2036" i="1" a="1"/>
  <c r="L2036" i="1" s="1"/>
  <c r="K2038" i="1" a="1"/>
  <c r="K2038" i="1" s="1"/>
  <c r="J2037" i="1" a="1"/>
  <c r="J2037" i="1" s="1"/>
  <c r="K2037" i="1" a="1"/>
  <c r="K2037" i="1" s="1"/>
  <c r="K2044" i="1" a="1"/>
  <c r="K2044" i="1" s="1"/>
  <c r="J2043" i="1" a="1"/>
  <c r="J2043" i="1" s="1"/>
  <c r="J2044" i="1" a="1"/>
  <c r="J2044" i="1" s="1"/>
  <c r="L2043" i="1" a="1"/>
  <c r="L2043" i="1" s="1"/>
  <c r="K2043" i="1" a="1"/>
  <c r="K2043" i="1" s="1"/>
  <c r="J2040" i="1" a="1"/>
  <c r="J2040" i="1" s="1"/>
  <c r="L2040" i="1" a="1"/>
  <c r="L2040" i="1" s="1"/>
  <c r="J2039" i="1" a="1"/>
  <c r="J2039" i="1" s="1"/>
  <c r="J2038" i="1" a="1"/>
  <c r="J2038" i="1" s="1"/>
  <c r="J2041" i="1" a="1"/>
  <c r="J2041" i="1" s="1"/>
  <c r="L2042" i="1" a="1"/>
  <c r="L2042" i="1" s="1"/>
  <c r="J2025" i="1" a="1"/>
  <c r="J2025" i="1" s="1"/>
  <c r="J2026" i="1" a="1"/>
  <c r="J2026" i="1" s="1"/>
  <c r="K2025" i="1" a="1"/>
  <c r="K2025" i="1" s="1"/>
  <c r="J2029" i="1" a="1"/>
  <c r="J2029" i="1" s="1"/>
  <c r="J2028" i="1" s="1" a="1"/>
  <c r="J2028" i="1" s="1"/>
  <c r="L2034" i="1" a="1"/>
  <c r="L2034" i="1" s="1"/>
  <c r="K2034" i="1" a="1"/>
  <c r="K2034" i="1" s="1"/>
  <c r="L2026" i="1" a="1"/>
  <c r="L2026" i="1" s="1"/>
  <c r="L2032" i="1" a="1"/>
  <c r="L2032" i="1" s="1"/>
  <c r="L2031" i="1" s="1" a="1"/>
  <c r="L2031" i="1" s="1"/>
  <c r="K2032" i="1" a="1"/>
  <c r="K2032" i="1" s="1"/>
  <c r="K2031" i="1" s="1" a="1"/>
  <c r="K2031" i="1" s="1"/>
  <c r="L2029" i="1" a="1"/>
  <c r="L2029" i="1" s="1"/>
  <c r="L2028" i="1" s="1" a="1"/>
  <c r="L2028" i="1" s="1"/>
  <c r="J2035" i="1" a="1"/>
  <c r="J2035" i="1" s="1"/>
  <c r="K2026" i="1" a="1"/>
  <c r="K2026" i="1" s="1"/>
  <c r="K2029" i="1" a="1"/>
  <c r="K2029" i="1" s="1"/>
  <c r="K2028" i="1" s="1" a="1"/>
  <c r="K2028" i="1" s="1"/>
  <c r="J2034" i="1" a="1"/>
  <c r="J2034" i="1" s="1"/>
  <c r="L2025" i="1" a="1"/>
  <c r="L2025" i="1" s="1"/>
  <c r="J2032" i="1" a="1"/>
  <c r="J2032" i="1" s="1"/>
  <c r="J2031" i="1" s="1" a="1"/>
  <c r="J2031" i="1" s="1"/>
  <c r="K2023" i="1" a="1"/>
  <c r="K2023" i="1" s="1"/>
  <c r="L2023" i="1" a="1"/>
  <c r="L2023" i="1" s="1"/>
  <c r="J2023" i="1" a="1"/>
  <c r="J2023" i="1" s="1"/>
  <c r="K642" i="1" a="1"/>
  <c r="K642" i="1" s="1"/>
  <c r="J642" i="1" a="1"/>
  <c r="J642" i="1" s="1"/>
  <c r="L638" i="1" a="1"/>
  <c r="L638" i="1" s="1"/>
  <c r="L640" i="1" a="1"/>
  <c r="L640" i="1" s="1"/>
  <c r="L637" i="1" a="1"/>
  <c r="L637" i="1" s="1"/>
  <c r="J640" i="1" a="1"/>
  <c r="J640" i="1" s="1"/>
  <c r="J637" i="1" a="1"/>
  <c r="J637" i="1" s="1"/>
  <c r="J635" i="1" a="1"/>
  <c r="J635" i="1" s="1"/>
  <c r="K635" i="1" a="1"/>
  <c r="K635" i="1" s="1"/>
  <c r="J638" i="1" a="1"/>
  <c r="J638" i="1" s="1"/>
  <c r="K639" i="1" a="1"/>
  <c r="K639" i="1" s="1"/>
  <c r="L643" i="1" a="1"/>
  <c r="L643" i="1" s="1"/>
  <c r="K643" i="1" a="1"/>
  <c r="K643" i="1" s="1"/>
  <c r="J643" i="1" a="1"/>
  <c r="J643" i="1" s="1"/>
  <c r="L639" i="1" a="1"/>
  <c r="L639" i="1" s="1"/>
  <c r="J639" i="1" a="1"/>
  <c r="J639" i="1" s="1"/>
  <c r="K640" i="1" a="1"/>
  <c r="K640" i="1" s="1"/>
  <c r="K638" i="1" a="1"/>
  <c r="K638" i="1" s="1"/>
  <c r="L635" i="1" a="1"/>
  <c r="L635" i="1" s="1"/>
  <c r="K637" i="1" a="1"/>
  <c r="K637" i="1" s="1"/>
  <c r="L642" i="1" a="1"/>
  <c r="L642" i="1" s="1"/>
  <c r="J633" i="1" a="1"/>
  <c r="J633" i="1" s="1"/>
  <c r="L629" i="1" a="1"/>
  <c r="L629" i="1" s="1"/>
  <c r="J630" i="1" a="1"/>
  <c r="J630" i="1" s="1"/>
  <c r="J627" i="1" a="1"/>
  <c r="J627" i="1" s="1"/>
  <c r="K623" i="1" a="1"/>
  <c r="K623" i="1" s="1"/>
  <c r="L628" i="1" a="1"/>
  <c r="L628" i="1" s="1"/>
  <c r="L625" i="1" a="1"/>
  <c r="L625" i="1" s="1"/>
  <c r="K630" i="1" a="1"/>
  <c r="K630" i="1" s="1"/>
  <c r="J625" i="1" a="1"/>
  <c r="J625" i="1" s="1"/>
  <c r="J628" i="1" a="1"/>
  <c r="J628" i="1" s="1"/>
  <c r="J623" i="1" a="1"/>
  <c r="J623" i="1" s="1"/>
  <c r="K629" i="1" a="1"/>
  <c r="K629" i="1" s="1"/>
  <c r="K632" i="1" a="1"/>
  <c r="K632" i="1" s="1"/>
  <c r="L632" i="1" a="1"/>
  <c r="L632" i="1" s="1"/>
  <c r="J632" i="1" a="1"/>
  <c r="J632" i="1" s="1"/>
  <c r="L630" i="1" a="1"/>
  <c r="L630" i="1" s="1"/>
  <c r="L623" i="1" a="1"/>
  <c r="L623" i="1" s="1"/>
  <c r="K628" i="1" a="1"/>
  <c r="K628" i="1" s="1"/>
  <c r="K627" i="1" a="1"/>
  <c r="K627" i="1" s="1"/>
  <c r="K625" i="1" a="1"/>
  <c r="K625" i="1" s="1"/>
  <c r="L633" i="1" a="1"/>
  <c r="L633" i="1" s="1"/>
  <c r="L627" i="1" a="1"/>
  <c r="L627" i="1" s="1"/>
  <c r="J629" i="1" a="1"/>
  <c r="J629" i="1" s="1"/>
  <c r="K633" i="1" a="1"/>
  <c r="K633" i="1" s="1"/>
  <c r="K609" i="1" a="1"/>
  <c r="K609" i="1" s="1"/>
  <c r="L610" i="1" a="1"/>
  <c r="L610" i="1" s="1"/>
  <c r="J619" i="1" a="1"/>
  <c r="J619" i="1" s="1"/>
  <c r="J610" i="1" a="1"/>
  <c r="J610" i="1" s="1"/>
  <c r="L622" i="1" a="1"/>
  <c r="L622" i="1" s="1"/>
  <c r="K622" i="1" a="1"/>
  <c r="K622" i="1" s="1"/>
  <c r="J622" i="1" a="1"/>
  <c r="J622" i="1" s="1"/>
  <c r="J620" i="1" a="1"/>
  <c r="J620" i="1" s="1"/>
  <c r="K619" i="1" a="1"/>
  <c r="K619" i="1" s="1"/>
  <c r="J609" i="1" a="1"/>
  <c r="J609" i="1" s="1"/>
  <c r="J617" i="1" a="1"/>
  <c r="J617" i="1" s="1"/>
  <c r="K617" i="1" a="1"/>
  <c r="K617" i="1" s="1"/>
  <c r="K618" i="1" a="1"/>
  <c r="K618" i="1" s="1"/>
  <c r="L609" i="1" a="1"/>
  <c r="L609" i="1" s="1"/>
  <c r="L619" i="1" a="1"/>
  <c r="L619" i="1" s="1"/>
  <c r="L620" i="1" a="1"/>
  <c r="L620" i="1" s="1"/>
  <c r="L617" i="1" a="1"/>
  <c r="L617" i="1" s="1"/>
  <c r="K620" i="1" a="1"/>
  <c r="K620" i="1" s="1"/>
  <c r="K610" i="1" a="1"/>
  <c r="K610" i="1" s="1"/>
  <c r="L618" i="1" a="1"/>
  <c r="L618" i="1" s="1"/>
  <c r="J618" i="1" a="1"/>
  <c r="J618" i="1" s="1"/>
  <c r="K602" i="1" a="1"/>
  <c r="K602" i="1" s="1"/>
  <c r="J606" i="1" a="1"/>
  <c r="J606" i="1" s="1"/>
  <c r="L603" i="1" a="1"/>
  <c r="L603" i="1" s="1"/>
  <c r="J602" i="1" a="1"/>
  <c r="J602" i="1" s="1"/>
  <c r="L602" i="1" a="1"/>
  <c r="L602" i="1" s="1"/>
  <c r="J603" i="1" a="1"/>
  <c r="J603" i="1" s="1"/>
  <c r="L607" i="1" a="1"/>
  <c r="L607" i="1" s="1"/>
  <c r="K607" i="1" a="1"/>
  <c r="K607" i="1" s="1"/>
  <c r="J607" i="1" a="1"/>
  <c r="J607" i="1" s="1"/>
  <c r="K606" i="1" a="1"/>
  <c r="K606" i="1" s="1"/>
  <c r="K596" i="1" a="1"/>
  <c r="K596" i="1" s="1"/>
  <c r="L595" i="1" a="1"/>
  <c r="L595" i="1" s="1"/>
  <c r="L606" i="1" a="1"/>
  <c r="L606" i="1" s="1"/>
  <c r="J596" i="1" a="1"/>
  <c r="J596" i="1" s="1"/>
  <c r="J595" i="1" a="1"/>
  <c r="J595" i="1" s="1"/>
  <c r="L596" i="1" a="1"/>
  <c r="L596" i="1" s="1"/>
  <c r="L593" i="1" a="1"/>
  <c r="L593" i="1" s="1"/>
  <c r="K603" i="1" a="1"/>
  <c r="K603" i="1" s="1"/>
  <c r="K595" i="1" a="1"/>
  <c r="K595" i="1" s="1"/>
  <c r="L584" i="1" a="1"/>
  <c r="L584" i="1" s="1"/>
  <c r="K589" i="1" a="1"/>
  <c r="K589" i="1" s="1"/>
  <c r="L588" i="1" a="1"/>
  <c r="L588" i="1" s="1"/>
  <c r="J589" i="1" a="1"/>
  <c r="J589" i="1" s="1"/>
  <c r="L585" i="1" a="1"/>
  <c r="L585" i="1" s="1"/>
  <c r="K585" i="1" a="1"/>
  <c r="K585" i="1" s="1"/>
  <c r="J585" i="1" a="1"/>
  <c r="J585" i="1" s="1"/>
  <c r="K584" i="1" a="1"/>
  <c r="K584" i="1" s="1"/>
  <c r="J584" i="1" a="1"/>
  <c r="J584" i="1" s="1"/>
  <c r="K593" i="1" a="1"/>
  <c r="K593" i="1" s="1"/>
  <c r="J593" i="1" a="1"/>
  <c r="J593" i="1" s="1"/>
  <c r="K592" i="1" a="1"/>
  <c r="K592" i="1" s="1"/>
  <c r="J588" i="1" a="1"/>
  <c r="J588" i="1" s="1"/>
  <c r="L592" i="1" a="1"/>
  <c r="L592" i="1" s="1"/>
  <c r="J592" i="1" a="1"/>
  <c r="J592" i="1" s="1"/>
  <c r="L589" i="1" a="1"/>
  <c r="L589" i="1" s="1"/>
  <c r="K588" i="1" a="1"/>
  <c r="K588" i="1" s="1"/>
  <c r="J31" i="1" a="1"/>
  <c r="J31" i="1" s="1"/>
  <c r="L31" i="1" a="1"/>
  <c r="L31" i="1" s="1"/>
  <c r="K31" i="1" a="1"/>
  <c r="K31" i="1" s="1"/>
  <c r="K2340" i="1" a="1"/>
  <c r="K2340" i="1" s="1"/>
  <c r="L2340" i="1" a="1"/>
  <c r="L2340" i="1" s="1"/>
  <c r="K2338" i="1" a="1"/>
  <c r="K2338" i="1" s="1"/>
  <c r="L2338" i="1" a="1"/>
  <c r="L2338" i="1" s="1"/>
  <c r="J2338" i="1" a="1"/>
  <c r="J2338" i="1" s="1"/>
  <c r="J2340" i="1" a="1"/>
  <c r="J2340" i="1" s="1"/>
  <c r="L2339" i="1" a="1"/>
  <c r="L2339" i="1" s="1"/>
  <c r="L2337" i="1" a="1"/>
  <c r="L2337" i="1" s="1"/>
  <c r="J2336" i="1" a="1"/>
  <c r="J2336" i="1" s="1"/>
  <c r="L2336" i="1" a="1"/>
  <c r="L2336" i="1" s="1"/>
  <c r="J2339" i="1" a="1"/>
  <c r="J2339" i="1" s="1"/>
  <c r="J2337" i="1" a="1"/>
  <c r="J2337" i="1" s="1"/>
  <c r="K2339" i="1" a="1"/>
  <c r="K2339" i="1" s="1"/>
  <c r="K2337" i="1" a="1"/>
  <c r="K2337" i="1" s="1"/>
  <c r="K2336" i="1" a="1"/>
  <c r="K2336" i="1" s="1"/>
  <c r="L2329" i="1" a="1"/>
  <c r="L2329" i="1" s="1"/>
  <c r="J2329" i="1" a="1"/>
  <c r="J2329" i="1" s="1"/>
  <c r="L2328" i="1" a="1"/>
  <c r="L2328" i="1" s="1"/>
  <c r="J2334" i="1" a="1"/>
  <c r="J2334" i="1" s="1"/>
  <c r="K2333" i="1" a="1"/>
  <c r="K2333" i="1" s="1"/>
  <c r="K2332" i="1" a="1"/>
  <c r="K2332" i="1" s="1"/>
  <c r="L2333" i="1" a="1"/>
  <c r="L2333" i="1" s="1"/>
  <c r="L2332" i="1" a="1"/>
  <c r="L2332" i="1" s="1"/>
  <c r="J2332" i="1" a="1"/>
  <c r="J2332" i="1" s="1"/>
  <c r="L2331" i="1" a="1"/>
  <c r="L2331" i="1" s="1"/>
  <c r="J2327" i="1" a="1"/>
  <c r="J2327" i="1" s="1"/>
  <c r="K2329" i="1" a="1"/>
  <c r="K2329" i="1" s="1"/>
  <c r="K2328" i="1" a="1"/>
  <c r="K2328" i="1" s="1"/>
  <c r="K2327" i="1" a="1"/>
  <c r="K2327" i="1" s="1"/>
  <c r="L2330" i="1" a="1"/>
  <c r="L2330" i="1" s="1"/>
  <c r="K2331" i="1" a="1"/>
  <c r="K2331" i="1" s="1"/>
  <c r="J2331" i="1" a="1"/>
  <c r="J2331" i="1" s="1"/>
  <c r="J2330" i="1" a="1"/>
  <c r="J2330" i="1" s="1"/>
  <c r="J2328" i="1" a="1"/>
  <c r="J2328" i="1" s="1"/>
  <c r="L2334" i="1" a="1"/>
  <c r="L2334" i="1" s="1"/>
  <c r="K2334" i="1" a="1"/>
  <c r="K2334" i="1" s="1"/>
  <c r="L2327" i="1" a="1"/>
  <c r="L2327" i="1" s="1"/>
  <c r="K2330" i="1" a="1"/>
  <c r="K2330" i="1" s="1"/>
  <c r="J2333" i="1" a="1"/>
  <c r="J2333" i="1" s="1"/>
  <c r="L2335" i="1" a="1"/>
  <c r="L2335" i="1" s="1"/>
  <c r="K2335" i="1" a="1"/>
  <c r="K2335" i="1" s="1"/>
  <c r="J2335" i="1" a="1"/>
  <c r="J2335" i="1" s="1"/>
  <c r="L2325" i="1" a="1"/>
  <c r="L2325" i="1" s="1"/>
  <c r="J2323" i="1" a="1"/>
  <c r="J2323" i="1" s="1"/>
  <c r="J2322" i="1" s="1" a="1"/>
  <c r="J2322" i="1" s="1"/>
  <c r="L2317" i="1" a="1"/>
  <c r="L2317" i="1" s="1"/>
  <c r="L2316" i="1" a="1"/>
  <c r="L2316" i="1" s="1"/>
  <c r="L2323" i="1" a="1"/>
  <c r="L2323" i="1" s="1"/>
  <c r="L2322" i="1" s="1" a="1"/>
  <c r="L2322" i="1" s="1"/>
  <c r="K2316" i="1" a="1"/>
  <c r="K2316" i="1" s="1"/>
  <c r="J2320" i="1" a="1"/>
  <c r="J2320" i="1" s="1"/>
  <c r="J2319" i="1" s="1" a="1"/>
  <c r="J2319" i="1" s="1"/>
  <c r="K2325" i="1" a="1"/>
  <c r="K2325" i="1" s="1"/>
  <c r="J2325" i="1" a="1"/>
  <c r="J2325" i="1" s="1"/>
  <c r="K2317" i="1" a="1"/>
  <c r="K2317" i="1" s="1"/>
  <c r="L2320" i="1" a="1"/>
  <c r="L2320" i="1" s="1"/>
  <c r="L2319" i="1" s="1" a="1"/>
  <c r="L2319" i="1" s="1"/>
  <c r="J2317" i="1" a="1"/>
  <c r="J2317" i="1" s="1"/>
  <c r="K2326" i="1" a="1"/>
  <c r="K2326" i="1" s="1"/>
  <c r="J2326" i="1" a="1"/>
  <c r="J2326" i="1" s="1"/>
  <c r="K2320" i="1" a="1"/>
  <c r="K2320" i="1" s="1"/>
  <c r="K2319" i="1" s="1" a="1"/>
  <c r="K2319" i="1" s="1"/>
  <c r="L2326" i="1" a="1"/>
  <c r="L2326" i="1" s="1"/>
  <c r="J2316" i="1" a="1"/>
  <c r="J2316" i="1" s="1"/>
  <c r="K2323" i="1" a="1"/>
  <c r="K2323" i="1" s="1"/>
  <c r="K2322" i="1" s="1" a="1"/>
  <c r="K2322" i="1" s="1"/>
  <c r="L2314" i="1" a="1"/>
  <c r="L2314" i="1" s="1"/>
  <c r="K2314" i="1" a="1"/>
  <c r="K2314" i="1" s="1"/>
  <c r="J2314" i="1" a="1"/>
  <c r="J2314" i="1" s="1"/>
  <c r="L19" i="1"/>
  <c r="L18" i="1" s="1"/>
  <c r="K19" i="1"/>
  <c r="K18" i="1" s="1"/>
  <c r="J19" i="1"/>
  <c r="J18" i="1" s="1"/>
  <c r="J284" i="1" a="1"/>
  <c r="J284" i="1" s="1"/>
  <c r="J283" i="1" s="1"/>
  <c r="K284" i="1" a="1"/>
  <c r="K284" i="1" s="1"/>
  <c r="J275" i="1" a="1"/>
  <c r="J275" i="1" s="1"/>
  <c r="J274" i="1" s="1"/>
  <c r="L284" i="1" a="1"/>
  <c r="L284" i="1" s="1"/>
  <c r="L275" i="1" a="1"/>
  <c r="L275" i="1" s="1"/>
  <c r="L274" i="1" s="1"/>
  <c r="K275" i="1" a="1"/>
  <c r="K275" i="1" s="1"/>
  <c r="J242" i="1" a="1"/>
  <c r="J242" i="1" s="1"/>
  <c r="K242" i="1" a="1"/>
  <c r="K242" i="1" s="1"/>
  <c r="L242" i="1" a="1"/>
  <c r="L242" i="1" s="1"/>
  <c r="L241" i="1" s="1"/>
  <c r="K199" i="1" a="1"/>
  <c r="K199" i="1" s="1"/>
  <c r="K198" i="1" s="1"/>
  <c r="L199" i="1" a="1"/>
  <c r="L199" i="1" s="1"/>
  <c r="L198" i="1" s="1"/>
  <c r="J199" i="1" a="1"/>
  <c r="J199" i="1" s="1"/>
  <c r="K61" i="1" a="1"/>
  <c r="K61" i="1" s="1"/>
  <c r="J60" i="1" a="1"/>
  <c r="J60" i="1" s="1"/>
  <c r="L61" i="1" a="1"/>
  <c r="L61" i="1" s="1"/>
  <c r="J61" i="1" a="1"/>
  <c r="J61" i="1" s="1"/>
  <c r="L62" i="1" a="1"/>
  <c r="L62" i="1" s="1"/>
  <c r="K62" i="1" a="1"/>
  <c r="K62" i="1" s="1"/>
  <c r="J62" i="1" a="1"/>
  <c r="J62" i="1" s="1"/>
  <c r="J53" i="1" a="1"/>
  <c r="J53" i="1" s="1"/>
  <c r="K55" i="1" a="1"/>
  <c r="K55" i="1" s="1"/>
  <c r="J54" i="1" a="1"/>
  <c r="J54" i="1" s="1"/>
  <c r="L54" i="1" a="1"/>
  <c r="L54" i="1" s="1"/>
  <c r="L53" i="1" a="1"/>
  <c r="L53" i="1" s="1"/>
  <c r="L55" i="1" a="1"/>
  <c r="L55" i="1" s="1"/>
  <c r="K59" i="1" a="1"/>
  <c r="K59" i="1" s="1"/>
  <c r="L52" i="1" a="1"/>
  <c r="L52" i="1" s="1"/>
  <c r="K53" i="1" a="1"/>
  <c r="K53" i="1" s="1"/>
  <c r="J59" i="1" a="1"/>
  <c r="J59" i="1" s="1"/>
  <c r="K54" i="1" a="1"/>
  <c r="K54" i="1" s="1"/>
  <c r="K52" i="1" a="1"/>
  <c r="K52" i="1" s="1"/>
  <c r="L59" i="1" a="1"/>
  <c r="L59" i="1" s="1"/>
  <c r="L14" i="1" a="1"/>
  <c r="L14" i="1" s="1"/>
  <c r="K15" i="1" a="1"/>
  <c r="K15" i="1" s="1"/>
  <c r="J14" i="1" a="1"/>
  <c r="J14" i="1" s="1"/>
  <c r="L15" i="1" a="1"/>
  <c r="L15" i="1" s="1"/>
  <c r="J15" i="1" a="1"/>
  <c r="J15" i="1" s="1"/>
  <c r="K14" i="1" a="1"/>
  <c r="K14" i="1" s="1"/>
  <c r="L13" i="1" a="1"/>
  <c r="L13" i="1" s="1"/>
  <c r="K13" i="1" a="1"/>
  <c r="K13" i="1" s="1"/>
  <c r="J13" i="1" a="1"/>
  <c r="J13" i="1" s="1"/>
  <c r="J55" i="1" a="1"/>
  <c r="J55" i="1" s="1"/>
  <c r="L60" i="1" a="1"/>
  <c r="L60" i="1" s="1"/>
  <c r="J52" i="1" a="1"/>
  <c r="J52" i="1" s="1"/>
  <c r="K60" i="1" a="1"/>
  <c r="K60" i="1" s="1"/>
  <c r="L56" i="1" a="1"/>
  <c r="L56" i="1" s="1"/>
  <c r="K50" i="1" a="1"/>
  <c r="K50" i="1" s="1"/>
  <c r="K56" i="1" a="1"/>
  <c r="K56" i="1" s="1"/>
  <c r="L50" i="1" a="1"/>
  <c r="L50" i="1" s="1"/>
  <c r="J56" i="1" a="1"/>
  <c r="J56" i="1" s="1"/>
  <c r="J50" i="1" a="1"/>
  <c r="J50" i="1" s="1"/>
  <c r="J43" i="1" a="1"/>
  <c r="J43" i="1" s="1"/>
  <c r="K44" i="1" a="1"/>
  <c r="K44" i="1" s="1"/>
  <c r="K43" i="1" a="1"/>
  <c r="K43" i="1" s="1"/>
  <c r="J45" i="1" a="1"/>
  <c r="J45" i="1" s="1"/>
  <c r="K45" i="1" a="1"/>
  <c r="K45" i="1" s="1"/>
  <c r="L45" i="1" a="1"/>
  <c r="L45" i="1" s="1"/>
  <c r="L44" i="1" a="1"/>
  <c r="L44" i="1" s="1"/>
  <c r="J44" i="1" a="1"/>
  <c r="J44" i="1" s="1"/>
  <c r="L43" i="1" a="1"/>
  <c r="L43" i="1" s="1"/>
  <c r="J28" i="1" a="1"/>
  <c r="J28" i="1" s="1"/>
  <c r="K28" i="1" a="1"/>
  <c r="K28" i="1" s="1"/>
  <c r="K26" i="1" a="1"/>
  <c r="K26" i="1" s="1"/>
  <c r="J25" i="1" a="1"/>
  <c r="J25" i="1" s="1"/>
  <c r="J26" i="1" a="1"/>
  <c r="J26" i="1" s="1"/>
  <c r="L26" i="1" a="1"/>
  <c r="L26" i="1" s="1"/>
  <c r="L28" i="1" a="1"/>
  <c r="L28" i="1" s="1"/>
  <c r="L25" i="1" a="1"/>
  <c r="L25" i="1" s="1"/>
  <c r="K25" i="1" a="1"/>
  <c r="K25" i="1" s="1"/>
  <c r="L27" i="1" a="1"/>
  <c r="L27" i="1" s="1"/>
  <c r="K27" i="1" a="1"/>
  <c r="K27" i="1" s="1"/>
  <c r="K21" i="1" a="1"/>
  <c r="K21" i="1" s="1"/>
  <c r="J21" i="1" a="1"/>
  <c r="J21" i="1" s="1"/>
  <c r="K17" i="1" a="1"/>
  <c r="K17" i="1" s="1"/>
  <c r="K16" i="1" a="1"/>
  <c r="K16" i="1" s="1"/>
  <c r="J17" i="1" a="1"/>
  <c r="J17" i="1" s="1"/>
  <c r="K24" i="1" a="1"/>
  <c r="K24" i="1" s="1"/>
  <c r="J16" i="1" a="1"/>
  <c r="J16" i="1" s="1"/>
  <c r="L24" i="1" a="1"/>
  <c r="L24" i="1" s="1"/>
  <c r="L17" i="1" a="1"/>
  <c r="L17" i="1" s="1"/>
  <c r="L21" i="1" a="1"/>
  <c r="L21" i="1" s="1"/>
  <c r="L16" i="1" a="1"/>
  <c r="L16" i="1" s="1"/>
  <c r="K11" i="1" a="1"/>
  <c r="K11" i="1" s="1"/>
  <c r="J11" i="1" a="1"/>
  <c r="J11" i="1" s="1"/>
  <c r="L9" i="1" a="1"/>
  <c r="L9" i="1" s="1"/>
  <c r="L10" i="1" a="1"/>
  <c r="L10" i="1" s="1"/>
  <c r="J10" i="1" a="1"/>
  <c r="J10" i="1" s="1"/>
  <c r="K10" i="1" a="1"/>
  <c r="K10" i="1" s="1"/>
  <c r="L11" i="1" a="1"/>
  <c r="L11" i="1" s="1"/>
  <c r="K9" i="1" a="1"/>
  <c r="K9" i="1" s="1"/>
  <c r="J9" i="1" a="1"/>
  <c r="J9" i="1" s="1"/>
  <c r="L7" i="1" a="1"/>
  <c r="L7" i="1" s="1"/>
  <c r="K7" i="1" a="1"/>
  <c r="K7" i="1" s="1"/>
  <c r="J7" i="1" a="1"/>
  <c r="J7" i="1" s="1"/>
  <c r="J6" i="1" a="1"/>
  <c r="J6" i="1" s="1"/>
  <c r="L6" i="1" a="1"/>
  <c r="L6" i="1" s="1"/>
  <c r="K6" i="1" a="1"/>
  <c r="K6" i="1" s="1"/>
  <c r="K5" i="1" a="1"/>
  <c r="K5" i="1" s="1"/>
  <c r="J5" i="1" a="1"/>
  <c r="J5" i="1" s="1"/>
  <c r="J24" i="1" a="1"/>
  <c r="J24" i="1" s="1"/>
  <c r="K4" i="1" a="1"/>
  <c r="K4" i="1" s="1"/>
  <c r="L5" i="1" a="1"/>
  <c r="L5" i="1" s="1"/>
  <c r="L4" i="1" a="1"/>
  <c r="L4" i="1" s="1"/>
  <c r="J27" i="1" a="1"/>
  <c r="J27" i="1" s="1"/>
  <c r="J4" i="1" a="1"/>
  <c r="J4" i="1" s="1"/>
  <c r="L400" i="1" l="1"/>
  <c r="L520" i="1" s="1"/>
  <c r="K384" i="1"/>
  <c r="K515" i="1" s="1"/>
  <c r="J386" i="1"/>
  <c r="J517" i="1" s="1"/>
  <c r="K398" i="1"/>
  <c r="K439" i="1" s="1"/>
  <c r="J320" i="1"/>
  <c r="J475" i="1" s="1"/>
  <c r="K399" i="1"/>
  <c r="K519" i="1" s="1"/>
  <c r="J318" i="1"/>
  <c r="J473" i="1" s="1"/>
  <c r="J324" i="1"/>
  <c r="J479" i="1" s="1"/>
  <c r="J380" i="1"/>
  <c r="J437" i="1" s="1"/>
  <c r="K380" i="1"/>
  <c r="K437" i="1" s="1"/>
  <c r="L398" i="1"/>
  <c r="L439" i="1" s="1"/>
  <c r="L399" i="1"/>
  <c r="L519" i="1" s="1"/>
  <c r="K322" i="1"/>
  <c r="K477" i="1" s="1"/>
  <c r="J300" i="1"/>
  <c r="J413" i="1" s="1"/>
  <c r="K300" i="1"/>
  <c r="K413" i="1" s="1"/>
  <c r="K400" i="1"/>
  <c r="K520" i="1" s="1"/>
  <c r="J400" i="1"/>
  <c r="J520" i="1" s="1"/>
  <c r="L318" i="1"/>
  <c r="L473" i="1" s="1"/>
  <c r="J323" i="1"/>
  <c r="J478" i="1" s="1"/>
  <c r="J385" i="1"/>
  <c r="J516" i="1" s="1"/>
  <c r="K323" i="1"/>
  <c r="K478" i="1" s="1"/>
  <c r="K318" i="1"/>
  <c r="K473" i="1" s="1"/>
  <c r="K386" i="1"/>
  <c r="K517" i="1" s="1"/>
  <c r="K742" i="1" a="1"/>
  <c r="K742" i="1" s="1"/>
  <c r="K744" i="1" s="1" a="1"/>
  <c r="K744" i="1" s="1"/>
  <c r="K726" i="1" a="1"/>
  <c r="K726" i="1" s="1"/>
  <c r="K728" i="1" s="1" a="1"/>
  <c r="K728" i="1" s="1"/>
  <c r="J726" i="1" a="1"/>
  <c r="J726" i="1" s="1"/>
  <c r="J728" i="1" s="1" a="1"/>
  <c r="J728" i="1" s="1"/>
  <c r="L300" i="1"/>
  <c r="L413" i="1" s="1"/>
  <c r="L385" i="1"/>
  <c r="L516" i="1" s="1"/>
  <c r="J384" i="1"/>
  <c r="J515" i="1" s="1"/>
  <c r="L322" i="1"/>
  <c r="L477" i="1" s="1"/>
  <c r="L324" i="1"/>
  <c r="L479" i="1" s="1"/>
  <c r="L361" i="1"/>
  <c r="L428" i="1" s="1"/>
  <c r="L742" i="1" a="1"/>
  <c r="L742" i="1" s="1"/>
  <c r="L744" i="1" s="1" a="1"/>
  <c r="L744" i="1" s="1"/>
  <c r="L384" i="1"/>
  <c r="L515" i="1" s="1"/>
  <c r="L301" i="1"/>
  <c r="L465" i="1" s="1"/>
  <c r="K314" i="1"/>
  <c r="K419" i="1" s="1"/>
  <c r="L314" i="1"/>
  <c r="L419" i="1" s="1"/>
  <c r="K385" i="1"/>
  <c r="K516" i="1" s="1"/>
  <c r="K320" i="1"/>
  <c r="K475" i="1" s="1"/>
  <c r="J398" i="1"/>
  <c r="J439" i="1" s="1"/>
  <c r="K122" i="1"/>
  <c r="K786" i="1"/>
  <c r="K787" i="1" s="1"/>
  <c r="L323" i="1"/>
  <c r="L478" i="1" s="1"/>
  <c r="L319" i="1"/>
  <c r="L474" i="1" s="1"/>
  <c r="K315" i="1"/>
  <c r="K420" i="1" s="1"/>
  <c r="K902" i="1"/>
  <c r="K899" i="1"/>
  <c r="J321" i="1"/>
  <c r="J476" i="1" s="1"/>
  <c r="L386" i="1"/>
  <c r="L517" i="1" s="1"/>
  <c r="L315" i="1"/>
  <c r="L420" i="1" s="1"/>
  <c r="J314" i="1"/>
  <c r="J419" i="1" s="1"/>
  <c r="K241" i="1"/>
  <c r="K316" i="1" s="1"/>
  <c r="K471" i="1" s="1"/>
  <c r="K317" i="1"/>
  <c r="K472" i="1" s="1"/>
  <c r="J241" i="1"/>
  <c r="J316" i="1" s="1"/>
  <c r="J471" i="1" s="1"/>
  <c r="J317" i="1"/>
  <c r="J472" i="1" s="1"/>
  <c r="K364" i="1"/>
  <c r="K274" i="1"/>
  <c r="K363" i="1" s="1"/>
  <c r="K504" i="1" s="1"/>
  <c r="J362" i="1"/>
  <c r="J429" i="1" s="1"/>
  <c r="J198" i="1"/>
  <c r="J361" i="1" s="1"/>
  <c r="J428" i="1" s="1"/>
  <c r="K283" i="1"/>
  <c r="K382" i="1" s="1"/>
  <c r="K513" i="1" s="1"/>
  <c r="K383" i="1"/>
  <c r="K514" i="1" s="1"/>
  <c r="L283" i="1"/>
  <c r="L382" i="1" s="1"/>
  <c r="L513" i="1" s="1"/>
  <c r="L383" i="1"/>
  <c r="L514" i="1" s="1"/>
  <c r="K361" i="1"/>
  <c r="K428" i="1" s="1"/>
  <c r="L364" i="1"/>
  <c r="K362" i="1"/>
  <c r="K429" i="1" s="1"/>
  <c r="L726" i="1" a="1"/>
  <c r="L726" i="1" s="1"/>
  <c r="L728" i="1" s="1" a="1"/>
  <c r="L728" i="1" s="1"/>
  <c r="J120" i="1"/>
  <c r="L363" i="1"/>
  <c r="L504" i="1" s="1"/>
  <c r="L316" i="1"/>
  <c r="L471" i="1" s="1"/>
  <c r="K319" i="1"/>
  <c r="K474" i="1" s="1"/>
  <c r="K123" i="1"/>
  <c r="J126" i="1"/>
  <c r="J322" i="1"/>
  <c r="J477" i="1" s="1"/>
  <c r="J742" i="1" a="1"/>
  <c r="J742" i="1" s="1"/>
  <c r="J744" i="1" s="1" a="1"/>
  <c r="J744" i="1" s="1"/>
  <c r="J783" i="1"/>
  <c r="J315" i="1"/>
  <c r="J420" i="1" s="1"/>
  <c r="L362" i="1"/>
  <c r="L429" i="1" s="1"/>
  <c r="J383" i="1"/>
  <c r="J514" i="1" s="1"/>
  <c r="K126" i="1"/>
  <c r="L380" i="1"/>
  <c r="L437" i="1" s="1"/>
  <c r="K321" i="1"/>
  <c r="K476" i="1" s="1"/>
  <c r="K128" i="1"/>
  <c r="K324" i="1"/>
  <c r="K479" i="1" s="1"/>
  <c r="L321" i="1"/>
  <c r="L476" i="1" s="1"/>
  <c r="J325" i="1"/>
  <c r="J480" i="1" s="1"/>
  <c r="J363" i="1"/>
  <c r="J504" i="1" s="1"/>
  <c r="L325" i="1"/>
  <c r="L480" i="1" s="1"/>
  <c r="K120" i="1"/>
  <c r="J124" i="1"/>
  <c r="L786" i="1"/>
  <c r="L787" i="1" s="1"/>
  <c r="K325" i="1"/>
  <c r="K480" i="1" s="1"/>
  <c r="K129" i="1"/>
  <c r="J364" i="1"/>
  <c r="J319" i="1"/>
  <c r="J474" i="1" s="1"/>
  <c r="J382" i="1"/>
  <c r="J513" i="1" s="1"/>
  <c r="L317" i="1"/>
  <c r="L472" i="1" s="1"/>
  <c r="L118" i="1"/>
  <c r="L320" i="1"/>
  <c r="L475" i="1" s="1"/>
  <c r="L902" i="1"/>
  <c r="L899" i="1"/>
  <c r="K903" i="1"/>
  <c r="K925" i="1"/>
  <c r="K924" i="1" s="1"/>
  <c r="J903" i="1"/>
  <c r="L903" i="1"/>
  <c r="J902" i="1"/>
  <c r="J899" i="1"/>
  <c r="L2101" i="1"/>
  <c r="L2051" i="1"/>
  <c r="L1886" i="1"/>
  <c r="L1866" i="1"/>
  <c r="L1811" i="1"/>
  <c r="L1760" i="1"/>
  <c r="L1599" i="1"/>
  <c r="L1400" i="1"/>
  <c r="L945" i="1"/>
  <c r="L891" i="1"/>
  <c r="L889" i="1"/>
  <c r="L852" i="1"/>
  <c r="L850" i="1"/>
  <c r="L848" i="1"/>
  <c r="L823" i="1"/>
  <c r="L814" i="1"/>
  <c r="L812" i="1"/>
  <c r="L796" i="1"/>
  <c r="L775" i="1"/>
  <c r="L773" i="1"/>
  <c r="L577" i="1"/>
  <c r="L529" i="1"/>
  <c r="L506" i="1"/>
  <c r="L578" i="1"/>
  <c r="L453" i="1"/>
  <c r="L452" i="1"/>
  <c r="L445" i="1"/>
  <c r="L443" i="1"/>
  <c r="L292" i="1"/>
  <c r="L276" i="1"/>
  <c r="L227" i="1"/>
  <c r="L225" i="1"/>
  <c r="L223" i="1"/>
  <c r="L222" i="1"/>
  <c r="L219" i="1"/>
  <c r="L217" i="1"/>
  <c r="L197" i="1"/>
  <c r="L159" i="1"/>
  <c r="L150" i="1"/>
  <c r="L99" i="1"/>
  <c r="L78" i="1"/>
  <c r="L75" i="1"/>
  <c r="L74" i="1" s="1"/>
  <c r="L66" i="1"/>
  <c r="F910" i="1"/>
  <c r="H910" i="1"/>
  <c r="K910" i="1"/>
  <c r="J910" i="1"/>
  <c r="I910" i="1"/>
  <c r="G910" i="1"/>
  <c r="F909" i="1"/>
  <c r="K909" i="1"/>
  <c r="J909" i="1"/>
  <c r="I909" i="1"/>
  <c r="H909" i="1"/>
  <c r="G909" i="1"/>
  <c r="G908" i="1"/>
  <c r="K908" i="1"/>
  <c r="J908" i="1"/>
  <c r="I908" i="1"/>
  <c r="F908" i="1"/>
  <c r="H908" i="1"/>
  <c r="L1296" i="1" l="1"/>
  <c r="L1645" i="1"/>
  <c r="L2287" i="1"/>
  <c r="L955" i="1"/>
  <c r="L974" i="1"/>
  <c r="L1280" i="1"/>
  <c r="L1639" i="1"/>
  <c r="L864" i="1"/>
  <c r="L1110" i="1"/>
  <c r="L1298" i="1"/>
  <c r="L1631" i="1"/>
  <c r="L1299" i="1"/>
  <c r="L1268" i="1"/>
  <c r="L1406" i="1"/>
  <c r="L2259" i="1"/>
  <c r="L715" i="1"/>
  <c r="L1875" i="1"/>
  <c r="L717" i="1"/>
  <c r="L731" i="1"/>
  <c r="L1877" i="1"/>
  <c r="L732" i="1"/>
  <c r="L1678" i="1"/>
  <c r="L1739" i="1"/>
  <c r="L1881" i="1"/>
  <c r="L1883" i="1"/>
  <c r="L1978" i="1"/>
  <c r="L51" i="1"/>
  <c r="L805" i="1"/>
  <c r="L878" i="1"/>
  <c r="L1594" i="1"/>
  <c r="L1754" i="1"/>
  <c r="L1394" i="1"/>
  <c r="L1508" i="1"/>
  <c r="L1755" i="1"/>
  <c r="L1860" i="1"/>
  <c r="L35" i="1"/>
  <c r="L39" i="1" s="1"/>
  <c r="L1741" i="1"/>
  <c r="L1863" i="1"/>
  <c r="L2276" i="1"/>
  <c r="L1757" i="1"/>
  <c r="L1679" i="1"/>
  <c r="L913" i="1"/>
  <c r="L2243" i="1"/>
  <c r="L1745" i="1"/>
  <c r="L1717" i="1"/>
  <c r="L58" i="1"/>
  <c r="L544" i="1"/>
  <c r="L800" i="1"/>
  <c r="L608" i="1"/>
  <c r="L631" i="1"/>
  <c r="L661" i="1"/>
  <c r="L686" i="1"/>
  <c r="L860" i="1"/>
  <c r="L1103" i="1"/>
  <c r="L1276" i="1"/>
  <c r="L1290" i="1"/>
  <c r="L1305" i="1"/>
  <c r="L1687" i="1"/>
  <c r="L1835" i="1"/>
  <c r="L2291" i="1"/>
  <c r="L1746" i="1"/>
  <c r="L1718" i="1"/>
  <c r="L1046" i="1"/>
  <c r="L1057" i="1"/>
  <c r="L1105" i="1"/>
  <c r="L1302" i="1"/>
  <c r="L1396" i="1"/>
  <c r="L1692" i="1"/>
  <c r="L1837" i="1"/>
  <c r="L2084" i="1"/>
  <c r="L2262" i="1"/>
  <c r="L2293" i="1"/>
  <c r="L1719" i="1"/>
  <c r="L201" i="1"/>
  <c r="L583" i="1"/>
  <c r="L790" i="1"/>
  <c r="L881" i="1"/>
  <c r="L947" i="1"/>
  <c r="L994" i="1"/>
  <c r="L1005" i="1" s="1"/>
  <c r="L1002" i="1" s="1"/>
  <c r="L1292" i="1"/>
  <c r="L1277" i="1"/>
  <c r="L1388" i="1"/>
  <c r="L1466" i="1"/>
  <c r="L1567" i="1"/>
  <c r="L1634" i="1"/>
  <c r="L1839" i="1"/>
  <c r="L2264" i="1"/>
  <c r="L2296" i="1"/>
  <c r="L206" i="1"/>
  <c r="L387" i="1"/>
  <c r="L739" i="1"/>
  <c r="L826" i="1"/>
  <c r="L949" i="1"/>
  <c r="L1389" i="1"/>
  <c r="L1475" i="1"/>
  <c r="L1841" i="1"/>
  <c r="L2235" i="1"/>
  <c r="L2266" i="1"/>
  <c r="L1749" i="1"/>
  <c r="L1722" i="1"/>
  <c r="L208" i="1"/>
  <c r="L1044" i="1"/>
  <c r="L389" i="1"/>
  <c r="L447" i="1"/>
  <c r="L636" i="1"/>
  <c r="L700" i="1"/>
  <c r="L708" i="1"/>
  <c r="L915" i="1"/>
  <c r="L1425" i="1"/>
  <c r="L1484" i="1"/>
  <c r="L1869" i="1"/>
  <c r="L2268" i="1"/>
  <c r="L2299" i="1"/>
  <c r="L1750" i="1"/>
  <c r="L36" i="1"/>
  <c r="L40" i="1" s="1"/>
  <c r="L64" i="1"/>
  <c r="L168" i="1"/>
  <c r="L911" i="1"/>
  <c r="L943" i="1" s="1"/>
  <c r="L449" i="1"/>
  <c r="L876" i="1"/>
  <c r="L951" i="1"/>
  <c r="L1295" i="1"/>
  <c r="L1391" i="1"/>
  <c r="L1503" i="1"/>
  <c r="L1815" i="1"/>
  <c r="L1889" i="1"/>
  <c r="L2238" i="1"/>
  <c r="L2270" i="1"/>
  <c r="L2301" i="1"/>
  <c r="L169" i="1"/>
  <c r="L451" i="1"/>
  <c r="L587" i="1"/>
  <c r="L803" i="1"/>
  <c r="L830" i="1"/>
  <c r="L956" i="1"/>
  <c r="L1266" i="1"/>
  <c r="L1308" i="1"/>
  <c r="L1680" i="1"/>
  <c r="L1847" i="1"/>
  <c r="L1891" i="1"/>
  <c r="L2240" i="1"/>
  <c r="L2273" i="1"/>
  <c r="L1753" i="1"/>
  <c r="L1732" i="1"/>
  <c r="L658" i="1"/>
  <c r="L832" i="1"/>
  <c r="L1065" i="1"/>
  <c r="L1267" i="1"/>
  <c r="L1309" i="1"/>
  <c r="L1480" i="1"/>
  <c r="L1472" i="1"/>
  <c r="L1606" i="1"/>
  <c r="L1849" i="1"/>
  <c r="L2061" i="1"/>
  <c r="L1733" i="1"/>
  <c r="L523" i="1"/>
  <c r="L294" i="1"/>
  <c r="L455" i="1"/>
  <c r="L712" i="1"/>
  <c r="L1016" i="1"/>
  <c r="L1281" i="1"/>
  <c r="L1310" i="1"/>
  <c r="L1387" i="1"/>
  <c r="L1379" i="1"/>
  <c r="L1543" i="1"/>
  <c r="L2092" i="1"/>
  <c r="L2305" i="1"/>
  <c r="L567" i="1"/>
  <c r="L457" i="1"/>
  <c r="L591" i="1"/>
  <c r="L844" i="1"/>
  <c r="L1072" i="1"/>
  <c r="L1098" i="1" s="1"/>
  <c r="L1270" i="1"/>
  <c r="L1311" i="1"/>
  <c r="L1491" i="1"/>
  <c r="L1544" i="1"/>
  <c r="L1588" i="1"/>
  <c r="L1710" i="1"/>
  <c r="L1852" i="1"/>
  <c r="L1873" i="1"/>
  <c r="L2094" i="1"/>
  <c r="L2307" i="1"/>
  <c r="L269" i="1"/>
  <c r="L568" i="1"/>
  <c r="L221" i="1"/>
  <c r="L459" i="1"/>
  <c r="L641" i="1"/>
  <c r="L672" i="1"/>
  <c r="L808" i="1"/>
  <c r="L888" i="1"/>
  <c r="L1026" i="1"/>
  <c r="L1381" i="1"/>
  <c r="L1474" i="1"/>
  <c r="L1545" i="1"/>
  <c r="L1589" i="1"/>
  <c r="L1682" i="1"/>
  <c r="L1702" i="1"/>
  <c r="L1854" i="1"/>
  <c r="L1895" i="1"/>
  <c r="L2309" i="1"/>
  <c r="L526" i="1"/>
  <c r="L525" i="1"/>
  <c r="L461" i="1"/>
  <c r="L594" i="1"/>
  <c r="L846" i="1"/>
  <c r="L892" i="1"/>
  <c r="L927" i="1"/>
  <c r="L1028" i="1"/>
  <c r="L1313" i="1"/>
  <c r="L1469" i="1"/>
  <c r="L1493" i="1"/>
  <c r="L1539" i="1"/>
  <c r="L1856" i="1"/>
  <c r="L2245" i="1"/>
  <c r="L2311" i="1"/>
  <c r="L1756" i="1"/>
  <c r="L173" i="1"/>
  <c r="L303" i="1"/>
  <c r="L511" i="1"/>
  <c r="L705" i="1"/>
  <c r="L957" i="1"/>
  <c r="L1120" i="1"/>
  <c r="L1285" i="1"/>
  <c r="L1476" i="1"/>
  <c r="L1542" i="1"/>
  <c r="L1801" i="1"/>
  <c r="L1858" i="1"/>
  <c r="L1897" i="1"/>
  <c r="L2247" i="1"/>
  <c r="L2279" i="1"/>
  <c r="L771" i="1"/>
  <c r="L931" i="1"/>
  <c r="L1031" i="1"/>
  <c r="L1077" i="1"/>
  <c r="L1496" i="1"/>
  <c r="L1547" i="1"/>
  <c r="L1591" i="1"/>
  <c r="L1707" i="1"/>
  <c r="L1825" i="1"/>
  <c r="L1899" i="1"/>
  <c r="L2249" i="1"/>
  <c r="L1758" i="1"/>
  <c r="L522" i="1"/>
  <c r="L680" i="1"/>
  <c r="L770" i="1"/>
  <c r="L1272" i="1"/>
  <c r="L1383" i="1"/>
  <c r="L1462" i="1"/>
  <c r="L1477" i="1"/>
  <c r="L1533" i="1"/>
  <c r="L1649" i="1"/>
  <c r="L1685" i="1"/>
  <c r="L1803" i="1"/>
  <c r="L1828" i="1"/>
  <c r="L1879" i="1"/>
  <c r="L1901" i="1"/>
  <c r="L2251" i="1"/>
  <c r="L579" i="1"/>
  <c r="L524" i="1"/>
  <c r="L613" i="1"/>
  <c r="L777" i="1"/>
  <c r="L880" i="1"/>
  <c r="L933" i="1"/>
  <c r="L1038" i="1"/>
  <c r="L1273" i="1"/>
  <c r="L1377" i="1"/>
  <c r="L1585" i="1"/>
  <c r="L1686" i="1"/>
  <c r="L2053" i="1"/>
  <c r="L2283" i="1"/>
  <c r="L187" i="1"/>
  <c r="L186" i="1" s="1"/>
  <c r="L100" i="1"/>
  <c r="L229" i="1"/>
  <c r="L401" i="1"/>
  <c r="L626" i="1"/>
  <c r="L624" i="1" s="1"/>
  <c r="L1040" i="1"/>
  <c r="L1037" i="1" s="1"/>
  <c r="L1274" i="1"/>
  <c r="L1203" i="1"/>
  <c r="L1301" i="1"/>
  <c r="L1316" i="1"/>
  <c r="L1397" i="1"/>
  <c r="L1464" i="1"/>
  <c r="L1550" i="1"/>
  <c r="L2077" i="1"/>
  <c r="L2102" i="1"/>
  <c r="L2285" i="1"/>
  <c r="L231" i="1"/>
  <c r="L569" i="1"/>
  <c r="L605" i="1"/>
  <c r="L961" i="1"/>
  <c r="L1465" i="1"/>
  <c r="L1479" i="1"/>
  <c r="L1535" i="1"/>
  <c r="L1681" i="1"/>
  <c r="L2257" i="1"/>
  <c r="L1743" i="1"/>
  <c r="L1716" i="1"/>
  <c r="L102" i="1"/>
  <c r="L572" i="1"/>
  <c r="L730" i="1"/>
  <c r="L854" i="1"/>
  <c r="L912" i="1"/>
  <c r="L937" i="1"/>
  <c r="L992" i="1"/>
  <c r="L1275" i="1"/>
  <c r="L1288" i="1"/>
  <c r="L1303" i="1"/>
  <c r="L1380" i="1"/>
  <c r="L1385" i="1"/>
  <c r="L1637" i="1"/>
  <c r="L1762" i="1"/>
  <c r="L1833" i="1"/>
  <c r="L2057" i="1"/>
  <c r="L1744" i="1"/>
  <c r="L195" i="1"/>
  <c r="L234" i="1"/>
  <c r="L442" i="1"/>
  <c r="L575" i="1" s="1"/>
  <c r="L573" i="1"/>
  <c r="L1537" i="1"/>
  <c r="L1597" i="1"/>
  <c r="L1810" i="1"/>
  <c r="L2106" i="1"/>
  <c r="L2289" i="1"/>
  <c r="L1740" i="1"/>
  <c r="L57" i="1"/>
  <c r="L1721" i="1"/>
  <c r="L29" i="1"/>
  <c r="L34" i="1"/>
  <c r="L211" i="1"/>
  <c r="L214" i="1"/>
  <c r="L1752" i="1"/>
  <c r="L12" i="1"/>
  <c r="L145" i="1"/>
  <c r="L366" i="1"/>
  <c r="L713" i="1"/>
  <c r="L710" i="1"/>
  <c r="L659" i="1"/>
  <c r="L1734" i="1"/>
  <c r="L47" i="1"/>
  <c r="L656" i="1"/>
  <c r="L646" i="1"/>
  <c r="L877" i="1"/>
  <c r="L657" i="1"/>
  <c r="L676" i="1"/>
  <c r="L1122" i="1"/>
  <c r="L304" i="1"/>
  <c r="L298" i="1"/>
  <c r="L549" i="1"/>
  <c r="L305" i="1"/>
  <c r="L183" i="1"/>
  <c r="L704" i="1"/>
  <c r="L695" i="1"/>
  <c r="L327" i="1"/>
  <c r="L149" i="1"/>
  <c r="L1712" i="1"/>
  <c r="L42" i="1"/>
  <c r="L161" i="1"/>
  <c r="L215" i="1"/>
  <c r="L967" i="1"/>
  <c r="L188" i="1"/>
  <c r="L795" i="1"/>
  <c r="L570" i="1"/>
  <c r="L1715" i="1"/>
  <c r="L23" i="1"/>
  <c r="L651" i="1"/>
  <c r="L660" i="1"/>
  <c r="L987" i="1"/>
  <c r="L1289" i="1"/>
  <c r="L990" i="1"/>
  <c r="L82" i="1"/>
  <c r="L970" i="1"/>
  <c r="L917" i="1"/>
  <c r="L1291" i="1"/>
  <c r="L101" i="1"/>
  <c r="L1045" i="1"/>
  <c r="L576" i="1"/>
  <c r="L281" i="1"/>
  <c r="L798" i="1"/>
  <c r="L601" i="1"/>
  <c r="L612" i="1"/>
  <c r="L1306" i="1"/>
  <c r="L971" i="1"/>
  <c r="L921" i="1"/>
  <c r="L1137" i="1"/>
  <c r="L1293" i="1"/>
  <c r="L531" i="1"/>
  <c r="L580" i="1"/>
  <c r="L958" i="1"/>
  <c r="L997" i="1"/>
  <c r="L1086" i="1"/>
  <c r="L1125" i="1"/>
  <c r="L1152" i="1"/>
  <c r="L1294" i="1"/>
  <c r="L701" i="1"/>
  <c r="L684" i="1"/>
  <c r="L960" i="1"/>
  <c r="L1113" i="1"/>
  <c r="L1088" i="1"/>
  <c r="L1279" i="1"/>
  <c r="L1351" i="1"/>
  <c r="L1376" i="1"/>
  <c r="L908" i="1"/>
  <c r="L271" i="1"/>
  <c r="L260" i="1" s="1"/>
  <c r="L581" i="1"/>
  <c r="L106" i="1"/>
  <c r="L151" i="1"/>
  <c r="L909" i="1"/>
  <c r="L894" i="1"/>
  <c r="L1127" i="1"/>
  <c r="L1327" i="1"/>
  <c r="L598" i="1"/>
  <c r="L699" i="1"/>
  <c r="L859" i="1"/>
  <c r="L819" i="1"/>
  <c r="L1014" i="1"/>
  <c r="L1011" i="1" s="1"/>
  <c r="L1748" i="1"/>
  <c r="L8" i="1"/>
  <c r="L551" i="1"/>
  <c r="L202" i="1"/>
  <c r="L113" i="1"/>
  <c r="L910" i="1"/>
  <c r="L545" i="1"/>
  <c r="L1023" i="1"/>
  <c r="L1157" i="1"/>
  <c r="L1282" i="1"/>
  <c r="L3" i="1"/>
  <c r="L70" i="1"/>
  <c r="L130" i="1"/>
  <c r="L801" i="1"/>
  <c r="L288" i="1"/>
  <c r="L655" i="1"/>
  <c r="L797" i="1"/>
  <c r="L1269" i="1"/>
  <c r="L1283" i="1"/>
  <c r="L1312" i="1"/>
  <c r="L127" i="1"/>
  <c r="L571" i="1"/>
  <c r="L765" i="1"/>
  <c r="L858" i="1" s="1"/>
  <c r="L799" i="1"/>
  <c r="L671" i="1"/>
  <c r="L702" i="1"/>
  <c r="L556" i="1"/>
  <c r="L793" i="1"/>
  <c r="L239" i="1"/>
  <c r="L703" i="1"/>
  <c r="L694" i="1"/>
  <c r="L691" i="1" s="1"/>
  <c r="L723" i="1"/>
  <c r="L977" i="1"/>
  <c r="L1123" i="1"/>
  <c r="L1271" i="1"/>
  <c r="L1180" i="1"/>
  <c r="L1286" i="1"/>
  <c r="L1322" i="1"/>
  <c r="L1411" i="1"/>
  <c r="L1471" i="1"/>
  <c r="L1518" i="1"/>
  <c r="L1636" i="1"/>
  <c r="L1683" i="1"/>
  <c r="L1830" i="1"/>
  <c r="L2254" i="1"/>
  <c r="L781" i="1"/>
  <c r="L959" i="1"/>
  <c r="L1075" i="1"/>
  <c r="L1378" i="1"/>
  <c r="L1390" i="1"/>
  <c r="L1534" i="1"/>
  <c r="L1684" i="1"/>
  <c r="L2189" i="1"/>
  <c r="L1473" i="1"/>
  <c r="L1586" i="1"/>
  <c r="L1284" i="1"/>
  <c r="L1307" i="1"/>
  <c r="L1478" i="1"/>
  <c r="L1536" i="1"/>
  <c r="L1587" i="1"/>
  <c r="L1638" i="1"/>
  <c r="L1786" i="1"/>
  <c r="L1903" i="1"/>
  <c r="L1135" i="1"/>
  <c r="L530" i="1"/>
  <c r="L863" i="1"/>
  <c r="L1079" i="1"/>
  <c r="L1341" i="1"/>
  <c r="L1392" i="1"/>
  <c r="L1538" i="1"/>
  <c r="L1766" i="1"/>
  <c r="L1297" i="1"/>
  <c r="L1435" i="1"/>
  <c r="L1060" i="1"/>
  <c r="L1393" i="1"/>
  <c r="L1461" i="1"/>
  <c r="L1552" i="1"/>
  <c r="L1590" i="1"/>
  <c r="L2165" i="1"/>
  <c r="L1382" i="1"/>
  <c r="L1540" i="1"/>
  <c r="L1770" i="1"/>
  <c r="L1062" i="1"/>
  <c r="L1287" i="1"/>
  <c r="L1463" i="1"/>
  <c r="L1489" i="1"/>
  <c r="L1486" i="1"/>
  <c r="L1592" i="1"/>
  <c r="L1614" i="1"/>
  <c r="L1793" i="1"/>
  <c r="L1844" i="1"/>
  <c r="L1954" i="1"/>
  <c r="L866" i="1"/>
  <c r="L968" i="1"/>
  <c r="L969" i="1"/>
  <c r="L1109" i="1"/>
  <c r="L1541" i="1"/>
  <c r="L1641" i="1"/>
  <c r="L614" i="1"/>
  <c r="L1213" i="1"/>
  <c r="L1395" i="1"/>
  <c r="L1559" i="1"/>
  <c r="L2114" i="1"/>
  <c r="L1111" i="1"/>
  <c r="L1300" i="1"/>
  <c r="L1384" i="1"/>
  <c r="L184" i="1"/>
  <c r="L599" i="1"/>
  <c r="L879" i="1"/>
  <c r="L1112" i="1"/>
  <c r="L1278" i="1"/>
  <c r="L1467" i="1"/>
  <c r="L1481" i="1"/>
  <c r="L1620" i="1"/>
  <c r="L1265" i="1"/>
  <c r="L1398" i="1"/>
  <c r="L1482" i="1"/>
  <c r="L1498" i="1"/>
  <c r="L1632" i="1"/>
  <c r="L1386" i="1"/>
  <c r="L1468" i="1"/>
  <c r="L1460" i="1"/>
  <c r="L1633" i="1"/>
  <c r="L1304" i="1"/>
  <c r="L1573" i="1"/>
  <c r="L2024" i="1"/>
  <c r="L2050" i="1"/>
  <c r="L2315" i="1"/>
  <c r="L1073" i="1"/>
  <c r="L1470" i="1"/>
  <c r="L1584" i="1"/>
  <c r="L1635" i="1"/>
  <c r="L1688" i="1"/>
  <c r="L1004" i="1" l="1"/>
  <c r="L1555" i="1"/>
  <c r="L1602" i="1"/>
  <c r="L1511" i="1"/>
  <c r="L1652" i="1"/>
  <c r="L1556" i="1"/>
  <c r="L1653" i="1"/>
  <c r="L1161" i="1"/>
  <c r="L1603" i="1"/>
  <c r="L1512" i="1"/>
  <c r="L1160" i="1"/>
  <c r="L1314" i="1"/>
  <c r="L258" i="1"/>
  <c r="L341" i="1"/>
  <c r="L1843" i="1"/>
  <c r="L920" i="1"/>
  <c r="L1083" i="1"/>
  <c r="L2321" i="1"/>
  <c r="L2318" i="1"/>
  <c r="L817" i="1"/>
  <c r="L1483" i="1"/>
  <c r="L634" i="1"/>
  <c r="L469" i="1"/>
  <c r="L467" i="1" s="1"/>
  <c r="L1490" i="1"/>
  <c r="L2030" i="1"/>
  <c r="L1315" i="1"/>
  <c r="L1747" i="1"/>
  <c r="L1885" i="1"/>
  <c r="L114" i="1"/>
  <c r="L98" i="1" s="1"/>
  <c r="L784" i="1"/>
  <c r="L192" i="1"/>
  <c r="L2027" i="1"/>
  <c r="L768" i="1"/>
  <c r="L1862" i="1"/>
  <c r="L1759" i="1"/>
  <c r="L265" i="1"/>
  <c r="L679" i="1"/>
  <c r="L769" i="1"/>
  <c r="L1007" i="1"/>
  <c r="L1052" i="1"/>
  <c r="L148" i="1"/>
  <c r="L2213" i="1"/>
  <c r="L1036" i="1"/>
  <c r="L966" i="1"/>
  <c r="L1751" i="1"/>
  <c r="L110" i="1"/>
  <c r="L338" i="1" s="1"/>
  <c r="L1725" i="1"/>
  <c r="L2223" i="1"/>
  <c r="L1824" i="1"/>
  <c r="L417" i="1"/>
  <c r="L415" i="1" s="1"/>
  <c r="L112" i="1"/>
  <c r="L107" i="1"/>
  <c r="L335" i="1" s="1"/>
  <c r="L266" i="1"/>
  <c r="L302" i="1"/>
  <c r="L213" i="1"/>
  <c r="L563" i="1"/>
  <c r="L2295" i="1"/>
  <c r="L2253" i="1"/>
  <c r="L986" i="1"/>
  <c r="L586" i="1"/>
  <c r="L368" i="1"/>
  <c r="L431" i="1" s="1"/>
  <c r="L1136" i="1"/>
  <c r="L328" i="1"/>
  <c r="L280" i="1"/>
  <c r="L273" i="1"/>
  <c r="L1033" i="1"/>
  <c r="L137" i="1"/>
  <c r="L210" i="1"/>
  <c r="L182" i="1" s="1"/>
  <c r="L371" i="1"/>
  <c r="L378" i="1"/>
  <c r="L2234" i="1"/>
  <c r="L1043" i="1"/>
  <c r="L1097" i="1" s="1"/>
  <c r="L109" i="1"/>
  <c r="L337" i="1" s="1"/>
  <c r="L353" i="1" s="1"/>
  <c r="L2012" i="1"/>
  <c r="L267" i="1"/>
  <c r="L941" i="1"/>
  <c r="L329" i="1"/>
  <c r="L63" i="1"/>
  <c r="L108" i="1"/>
  <c r="L2272" i="1"/>
  <c r="L1497" i="1"/>
  <c r="L270" i="1"/>
  <c r="L942" i="1"/>
  <c r="L940" i="1"/>
  <c r="L528" i="1"/>
  <c r="L282" i="1"/>
  <c r="L2002" i="1"/>
  <c r="L887" i="1"/>
  <c r="L279" i="1"/>
  <c r="L662" i="1"/>
  <c r="L1720" i="1"/>
  <c r="L330" i="1"/>
  <c r="L1664" i="1"/>
  <c r="L1025" i="1"/>
  <c r="L1022" i="1" s="1"/>
  <c r="L1640" i="1"/>
  <c r="L1399" i="1"/>
  <c r="L272" i="1"/>
  <c r="L105" i="1"/>
  <c r="L993" i="1"/>
  <c r="L441" i="1"/>
  <c r="L440" i="1" s="1"/>
  <c r="L590" i="1"/>
  <c r="L865" i="1"/>
  <c r="L900" i="1"/>
  <c r="L205" i="1"/>
  <c r="L268" i="1"/>
  <c r="L1124" i="1"/>
  <c r="L862" i="1"/>
  <c r="L810" i="1"/>
  <c r="L1017" i="1"/>
  <c r="L714" i="1"/>
  <c r="L147" i="1"/>
  <c r="L1546" i="1"/>
  <c r="L543" i="1"/>
  <c r="L527" i="1"/>
  <c r="L644" i="1"/>
  <c r="L104" i="1"/>
  <c r="L604" i="1"/>
  <c r="L343" i="1"/>
  <c r="L532" i="1"/>
  <c r="L334" i="1"/>
  <c r="L397" i="1"/>
  <c r="L369" i="1"/>
  <c r="L1133" i="1"/>
  <c r="L1101" i="1"/>
  <c r="L1742" i="1"/>
  <c r="L2" i="1"/>
  <c r="L412" i="1"/>
  <c r="L554" i="1"/>
  <c r="L1724" i="1"/>
  <c r="L33" i="1"/>
  <c r="L989" i="1"/>
  <c r="L41" i="1"/>
  <c r="L1731" i="1"/>
  <c r="L38" i="1"/>
  <c r="L1609" i="1" s="1"/>
  <c r="L146" i="1"/>
  <c r="L533" i="1"/>
  <c r="L1714" i="1"/>
  <c r="L22" i="1"/>
  <c r="L1736" i="1"/>
  <c r="L46" i="1"/>
  <c r="L1132" i="1"/>
  <c r="L1099" i="1"/>
  <c r="L238" i="1"/>
  <c r="L237" i="1"/>
  <c r="L111" i="1"/>
  <c r="L367" i="1"/>
  <c r="L1003" i="1"/>
  <c r="L1001" i="1"/>
  <c r="L103" i="1"/>
  <c r="L49" i="1"/>
  <c r="L377" i="1"/>
  <c r="L370" i="1"/>
  <c r="L794" i="1"/>
  <c r="L263" i="1"/>
  <c r="L240" i="1"/>
  <c r="L358" i="1"/>
  <c r="L264" i="1"/>
  <c r="L1665" i="1"/>
  <c r="L1729" i="1"/>
  <c r="L673" i="1"/>
  <c r="L693" i="1"/>
  <c r="L200" i="1"/>
  <c r="L907" i="1"/>
  <c r="L196" i="1"/>
  <c r="L379" i="1"/>
  <c r="L204" i="1"/>
  <c r="L1593" i="1"/>
  <c r="L373" i="1"/>
  <c r="L565" i="1"/>
  <c r="L464" i="1"/>
  <c r="L1601" i="1"/>
  <c r="L542" i="1"/>
  <c r="L1728" i="1"/>
  <c r="L310" i="1"/>
  <c r="L1183" i="1" l="1"/>
  <c r="L1658" i="1"/>
  <c r="L1659" i="1" s="1"/>
  <c r="L1414" i="1"/>
  <c r="L1562" i="1"/>
  <c r="L1571" i="1"/>
  <c r="L1429" i="1"/>
  <c r="L1618" i="1"/>
  <c r="L1207" i="1"/>
  <c r="L1345" i="1"/>
  <c r="L1428" i="1"/>
  <c r="L1570" i="1"/>
  <c r="L1344" i="1"/>
  <c r="L1617" i="1"/>
  <c r="L1415" i="1"/>
  <c r="L1331" i="1"/>
  <c r="L1184" i="1"/>
  <c r="L1610" i="1"/>
  <c r="L1563" i="1"/>
  <c r="L1330" i="1"/>
  <c r="L1206" i="1"/>
  <c r="L375" i="1"/>
  <c r="L365" i="1"/>
  <c r="L1070" i="1"/>
  <c r="L1047" i="1"/>
  <c r="L1095" i="1"/>
  <c r="L1069" i="1"/>
  <c r="L1096" i="1"/>
  <c r="L1071" i="1"/>
  <c r="L1600" i="1"/>
  <c r="L725" i="1"/>
  <c r="L733" i="1"/>
  <c r="L340" i="1"/>
  <c r="L2022" i="1"/>
  <c r="L546" i="1"/>
  <c r="L331" i="1"/>
  <c r="L540" i="1"/>
  <c r="L333" i="1"/>
  <c r="L882" i="1"/>
  <c r="L416" i="1"/>
  <c r="L1049" i="1"/>
  <c r="L354" i="1"/>
  <c r="L434" i="1"/>
  <c r="L1000" i="1"/>
  <c r="L1114" i="1"/>
  <c r="L345" i="1"/>
  <c r="L1823" i="1"/>
  <c r="L512" i="1"/>
  <c r="L500" i="1"/>
  <c r="L261" i="1"/>
  <c r="L1126" i="1"/>
  <c r="L1006" i="1"/>
  <c r="L1013" i="1"/>
  <c r="L1010" i="1" s="1"/>
  <c r="L2313" i="1"/>
  <c r="L144" i="1"/>
  <c r="L964" i="1"/>
  <c r="L670" i="1"/>
  <c r="L253" i="1"/>
  <c r="L339" i="1"/>
  <c r="L1730" i="1"/>
  <c r="L861" i="1"/>
  <c r="L553" i="1"/>
  <c r="L939" i="1"/>
  <c r="L466" i="1"/>
  <c r="L236" i="1"/>
  <c r="L988" i="1"/>
  <c r="L256" i="1"/>
  <c r="L1034" i="1"/>
  <c r="L1159" i="1"/>
  <c r="L252" i="1"/>
  <c r="L350" i="1"/>
  <c r="L257" i="1"/>
  <c r="L233" i="1"/>
  <c r="L181" i="1" s="1"/>
  <c r="L1723" i="1"/>
  <c r="L518" i="1"/>
  <c r="L254" i="1"/>
  <c r="L963" i="1"/>
  <c r="L1651" i="1"/>
  <c r="L792" i="1"/>
  <c r="L344" i="1"/>
  <c r="L1510" i="1"/>
  <c r="L203" i="1"/>
  <c r="L351" i="1"/>
  <c r="L965" i="1"/>
  <c r="L436" i="1"/>
  <c r="L785" i="1"/>
  <c r="L555" i="1"/>
  <c r="L346" i="1"/>
  <c r="L259" i="1"/>
  <c r="L255" i="1"/>
  <c r="L741" i="1"/>
  <c r="L1735" i="1"/>
  <c r="L2233" i="1"/>
  <c r="L566" i="1"/>
  <c r="L923" i="1"/>
  <c r="L357" i="1"/>
  <c r="L468" i="1"/>
  <c r="L539" i="1"/>
  <c r="L498" i="1"/>
  <c r="L414" i="1"/>
  <c r="L336" i="1"/>
  <c r="L1093" i="1"/>
  <c r="L763" i="1"/>
  <c r="L1713" i="1"/>
  <c r="L20" i="1"/>
  <c r="L552" i="1"/>
  <c r="L538" i="1"/>
  <c r="L376" i="1"/>
  <c r="L432" i="1"/>
  <c r="L435" i="1" s="1"/>
  <c r="L550" i="1"/>
  <c r="L1738" i="1"/>
  <c r="L48" i="1"/>
  <c r="L541" i="1"/>
  <c r="L438" i="1"/>
  <c r="L564" i="1"/>
  <c r="L418" i="1"/>
  <c r="L547" i="1"/>
  <c r="L534" i="1"/>
  <c r="L332" i="1"/>
  <c r="L194" i="1"/>
  <c r="L193" i="1"/>
  <c r="L374" i="1"/>
  <c r="L1727" i="1"/>
  <c r="L37" i="1"/>
  <c r="L1554" i="1"/>
  <c r="L1553" i="1" s="1"/>
  <c r="L427" i="1"/>
  <c r="L262" i="1"/>
  <c r="L291" i="1"/>
  <c r="L537" i="1"/>
  <c r="L692" i="1"/>
  <c r="L690" i="1"/>
  <c r="L503" i="1"/>
  <c r="L510" i="1"/>
  <c r="L548" i="1"/>
  <c r="L535" i="1"/>
  <c r="L536" i="1"/>
  <c r="L1561" i="1" l="1"/>
  <c r="L1560" i="1" s="1"/>
  <c r="L430" i="1"/>
  <c r="L1182" i="1"/>
  <c r="L425" i="1"/>
  <c r="L1650" i="1"/>
  <c r="L1158" i="1"/>
  <c r="L355" i="1"/>
  <c r="L349" i="1"/>
  <c r="L1711" i="1"/>
  <c r="L1616" i="1"/>
  <c r="L1737" i="1"/>
  <c r="L347" i="1"/>
  <c r="L342" i="1" s="1"/>
  <c r="L1343" i="1"/>
  <c r="L840" i="1"/>
  <c r="L191" i="1"/>
  <c r="L839" i="1"/>
  <c r="L502" i="1"/>
  <c r="L495" i="1"/>
  <c r="L487" i="1"/>
  <c r="L1569" i="1"/>
  <c r="L837" i="1"/>
  <c r="L1413" i="1"/>
  <c r="L838" i="1"/>
  <c r="L841" i="1"/>
  <c r="L836" i="1"/>
  <c r="L1329" i="1"/>
  <c r="L509" i="1"/>
  <c r="L348" i="1"/>
  <c r="L356" i="1"/>
  <c r="L1608" i="1"/>
  <c r="L1726" i="1"/>
  <c r="L834" i="1"/>
  <c r="L496" i="1"/>
  <c r="L1205" i="1"/>
  <c r="L1021" i="1"/>
  <c r="L1119" i="1"/>
  <c r="L1009" i="1"/>
  <c r="L722" i="1"/>
  <c r="L842" i="1"/>
  <c r="L984" i="1"/>
  <c r="L689" i="1"/>
  <c r="L372" i="1"/>
  <c r="L962" i="1"/>
  <c r="L1012" i="1"/>
  <c r="L499" i="1"/>
  <c r="L352" i="1"/>
  <c r="L835" i="1"/>
  <c r="L411" i="1"/>
  <c r="L433" i="1"/>
  <c r="L1427" i="1"/>
  <c r="L251" i="1"/>
  <c r="L735" i="1"/>
  <c r="L1509" i="1"/>
  <c r="L1050" i="1"/>
  <c r="L493" i="1"/>
  <c r="L470" i="1"/>
  <c r="L738" i="1" l="1"/>
  <c r="L736" i="1"/>
  <c r="L737" i="1" s="1"/>
  <c r="L326" i="1"/>
  <c r="L1020" i="1"/>
  <c r="L1204" i="1"/>
  <c r="L485" i="1"/>
  <c r="L1615" i="1"/>
  <c r="L1412" i="1"/>
  <c r="L871" i="1"/>
  <c r="L488" i="1"/>
  <c r="L494" i="1"/>
  <c r="L874" i="1"/>
  <c r="L734" i="1"/>
  <c r="L501" i="1"/>
  <c r="L872" i="1"/>
  <c r="L873" i="1"/>
  <c r="L426" i="1"/>
  <c r="L491" i="1"/>
  <c r="L497" i="1"/>
  <c r="L870" i="1"/>
  <c r="L1568" i="1"/>
  <c r="L484" i="1"/>
  <c r="L1426" i="1"/>
  <c r="L482" i="1"/>
  <c r="L721" i="1"/>
  <c r="L422" i="1"/>
  <c r="L867" i="1"/>
  <c r="L1607" i="1"/>
  <c r="L875" i="1"/>
  <c r="L410" i="1"/>
  <c r="L1328" i="1"/>
  <c r="L463" i="1"/>
  <c r="L1657" i="1"/>
  <c r="L868" i="1"/>
  <c r="L869" i="1"/>
  <c r="L1342" i="1"/>
  <c r="L1181" i="1"/>
  <c r="L754" i="1" l="1"/>
  <c r="L752" i="1"/>
  <c r="L755" i="1"/>
  <c r="L753" i="1"/>
  <c r="L751" i="1"/>
  <c r="L756" i="1"/>
  <c r="L483" i="1"/>
  <c r="L486" i="1"/>
  <c r="L424" i="1"/>
  <c r="L423" i="1"/>
  <c r="L1656" i="1"/>
  <c r="L759" i="1"/>
  <c r="L761" i="1"/>
  <c r="L757" i="1"/>
  <c r="L760" i="1"/>
  <c r="L758" i="1"/>
  <c r="L762" i="1"/>
  <c r="L409" i="1"/>
  <c r="L750" i="1"/>
  <c r="L748" i="1"/>
  <c r="L747" i="1"/>
  <c r="L745" i="1"/>
  <c r="L749" i="1"/>
  <c r="L746" i="1"/>
  <c r="L490" i="1"/>
  <c r="L492" i="1"/>
  <c r="L421" i="1" l="1"/>
  <c r="L481" i="1"/>
  <c r="G1665" i="1" l="1"/>
  <c r="H1665" i="1"/>
  <c r="I1665" i="1"/>
  <c r="F1665" i="1"/>
  <c r="I37" i="1"/>
  <c r="H37" i="1"/>
  <c r="G37" i="1"/>
  <c r="F37" i="1"/>
  <c r="I1664" i="1"/>
  <c r="H1664" i="1"/>
  <c r="G1664" i="1"/>
  <c r="F1664" i="1"/>
  <c r="K36" i="1" l="1"/>
  <c r="K40" i="1" s="1"/>
  <c r="K1665" i="1" s="1"/>
  <c r="J36" i="1"/>
  <c r="J40" i="1" s="1"/>
  <c r="J1665" i="1" s="1"/>
  <c r="K1664" i="1"/>
  <c r="J1664" i="1" l="1"/>
  <c r="K2321" i="1"/>
  <c r="J2321" i="1"/>
  <c r="I2321" i="1"/>
  <c r="H2321" i="1"/>
  <c r="G2321" i="1"/>
  <c r="F2321" i="1"/>
  <c r="K2318" i="1"/>
  <c r="J2318" i="1"/>
  <c r="I2318" i="1"/>
  <c r="H2318" i="1"/>
  <c r="G2318" i="1"/>
  <c r="F2318" i="1"/>
  <c r="K2311" i="1"/>
  <c r="J2311" i="1"/>
  <c r="I2311" i="1"/>
  <c r="H2311" i="1"/>
  <c r="G2311" i="1"/>
  <c r="F2311" i="1"/>
  <c r="K2309" i="1"/>
  <c r="J2309" i="1"/>
  <c r="I2309" i="1"/>
  <c r="H2309" i="1"/>
  <c r="G2309" i="1"/>
  <c r="F2309" i="1"/>
  <c r="K2307" i="1"/>
  <c r="J2307" i="1"/>
  <c r="I2307" i="1"/>
  <c r="H2307" i="1"/>
  <c r="G2307" i="1"/>
  <c r="F2307" i="1"/>
  <c r="K2305" i="1"/>
  <c r="J2305" i="1"/>
  <c r="I2305" i="1"/>
  <c r="H2305" i="1"/>
  <c r="G2305" i="1"/>
  <c r="F2305" i="1"/>
  <c r="K2299" i="1"/>
  <c r="J2299" i="1"/>
  <c r="I2299" i="1"/>
  <c r="H2299" i="1"/>
  <c r="G2299" i="1"/>
  <c r="F2299" i="1"/>
  <c r="K2293" i="1"/>
  <c r="J2293" i="1"/>
  <c r="I2293" i="1"/>
  <c r="H2293" i="1"/>
  <c r="G2293" i="1"/>
  <c r="F2293" i="1"/>
  <c r="K2291" i="1"/>
  <c r="J2291" i="1"/>
  <c r="I2291" i="1"/>
  <c r="H2291" i="1"/>
  <c r="G2291" i="1"/>
  <c r="F2291" i="1"/>
  <c r="K2289" i="1"/>
  <c r="J2289" i="1"/>
  <c r="I2289" i="1"/>
  <c r="H2289" i="1"/>
  <c r="G2289" i="1"/>
  <c r="F2289" i="1"/>
  <c r="K2287" i="1"/>
  <c r="J2287" i="1"/>
  <c r="I2287" i="1"/>
  <c r="H2287" i="1"/>
  <c r="G2287" i="1"/>
  <c r="F2287" i="1"/>
  <c r="K2285" i="1"/>
  <c r="J2285" i="1"/>
  <c r="I2285" i="1"/>
  <c r="H2285" i="1"/>
  <c r="G2285" i="1"/>
  <c r="F2285" i="1"/>
  <c r="K2283" i="1"/>
  <c r="J2283" i="1"/>
  <c r="I2283" i="1"/>
  <c r="H2283" i="1"/>
  <c r="G2283" i="1"/>
  <c r="F2283" i="1"/>
  <c r="I2276" i="1"/>
  <c r="K2270" i="1"/>
  <c r="J2270" i="1"/>
  <c r="I2270" i="1"/>
  <c r="H2270" i="1"/>
  <c r="G2270" i="1"/>
  <c r="F2270" i="1"/>
  <c r="K2268" i="1"/>
  <c r="J2268" i="1"/>
  <c r="I2268" i="1"/>
  <c r="H2268" i="1"/>
  <c r="G2268" i="1"/>
  <c r="F2268" i="1"/>
  <c r="K2266" i="1"/>
  <c r="J2266" i="1"/>
  <c r="I2266" i="1"/>
  <c r="H2266" i="1"/>
  <c r="G2266" i="1"/>
  <c r="F2266" i="1"/>
  <c r="K2264" i="1"/>
  <c r="J2264" i="1"/>
  <c r="I2264" i="1"/>
  <c r="H2264" i="1"/>
  <c r="G2264" i="1"/>
  <c r="F2264" i="1"/>
  <c r="K2262" i="1"/>
  <c r="J2262" i="1"/>
  <c r="I2262" i="1"/>
  <c r="H2262" i="1"/>
  <c r="G2262" i="1"/>
  <c r="F2262" i="1"/>
  <c r="K2257" i="1"/>
  <c r="J2257" i="1"/>
  <c r="I2257" i="1"/>
  <c r="H2257" i="1"/>
  <c r="G2257" i="1"/>
  <c r="F2257" i="1"/>
  <c r="K2251" i="1"/>
  <c r="J2251" i="1"/>
  <c r="I2251" i="1"/>
  <c r="H2251" i="1"/>
  <c r="G2251" i="1"/>
  <c r="F2251" i="1"/>
  <c r="K2249" i="1"/>
  <c r="J2249" i="1"/>
  <c r="I2249" i="1"/>
  <c r="H2249" i="1"/>
  <c r="G2249" i="1"/>
  <c r="F2249" i="1"/>
  <c r="K2247" i="1"/>
  <c r="J2247" i="1"/>
  <c r="I2247" i="1"/>
  <c r="H2247" i="1"/>
  <c r="G2247" i="1"/>
  <c r="F2247" i="1"/>
  <c r="K2245" i="1"/>
  <c r="J2245" i="1"/>
  <c r="I2245" i="1"/>
  <c r="H2245" i="1"/>
  <c r="G2245" i="1"/>
  <c r="F2245" i="1"/>
  <c r="K2243" i="1"/>
  <c r="J2243" i="1"/>
  <c r="I2243" i="1"/>
  <c r="H2243" i="1"/>
  <c r="G2243" i="1"/>
  <c r="F2243" i="1"/>
  <c r="K2238" i="1"/>
  <c r="J2238" i="1"/>
  <c r="I2238" i="1"/>
  <c r="H2238" i="1"/>
  <c r="G2238" i="1"/>
  <c r="F2238" i="1"/>
  <c r="E2234" i="1"/>
  <c r="E2235" i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115" i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K2101" i="1"/>
  <c r="J2101" i="1"/>
  <c r="I2101" i="1"/>
  <c r="H2101" i="1"/>
  <c r="G2101" i="1"/>
  <c r="F2101" i="1"/>
  <c r="K2092" i="1"/>
  <c r="J2092" i="1"/>
  <c r="I2092" i="1"/>
  <c r="H2092" i="1"/>
  <c r="G2092" i="1"/>
  <c r="F2092" i="1"/>
  <c r="K2051" i="1"/>
  <c r="J2051" i="1"/>
  <c r="I2051" i="1"/>
  <c r="H2051" i="1"/>
  <c r="G2051" i="1"/>
  <c r="F2051" i="1"/>
  <c r="E2051" i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K29" i="1"/>
  <c r="F29" i="1"/>
  <c r="J29" i="1"/>
  <c r="I29" i="1"/>
  <c r="H29" i="1"/>
  <c r="G29" i="1"/>
  <c r="G2315" i="1" l="1"/>
  <c r="K2235" i="1"/>
  <c r="K2254" i="1"/>
  <c r="J2315" i="1"/>
  <c r="K2296" i="1"/>
  <c r="K2315" i="1"/>
  <c r="H2053" i="1"/>
  <c r="J2057" i="1"/>
  <c r="F1518" i="1"/>
  <c r="G2301" i="1"/>
  <c r="G2240" i="1"/>
  <c r="G2259" i="1"/>
  <c r="G1518" i="1"/>
  <c r="H1518" i="1"/>
  <c r="I2053" i="1"/>
  <c r="K2057" i="1"/>
  <c r="J1518" i="1"/>
  <c r="K2053" i="1"/>
  <c r="I2315" i="1"/>
  <c r="K1518" i="1"/>
  <c r="I1518" i="1"/>
  <c r="I2235" i="1"/>
  <c r="I2102" i="1"/>
  <c r="J2053" i="1"/>
  <c r="H2240" i="1"/>
  <c r="H2315" i="1"/>
  <c r="I2084" i="1"/>
  <c r="G2106" i="1"/>
  <c r="H2077" i="1"/>
  <c r="H2102" i="1"/>
  <c r="J2106" i="1"/>
  <c r="I2077" i="1"/>
  <c r="K2106" i="1"/>
  <c r="J2077" i="1"/>
  <c r="J2102" i="1"/>
  <c r="H2279" i="1"/>
  <c r="K2077" i="1"/>
  <c r="K2102" i="1"/>
  <c r="F2057" i="1"/>
  <c r="G2057" i="1"/>
  <c r="F2053" i="1"/>
  <c r="H2057" i="1"/>
  <c r="F2301" i="1"/>
  <c r="G2053" i="1"/>
  <c r="I2057" i="1"/>
  <c r="F2084" i="1"/>
  <c r="F2240" i="1"/>
  <c r="F2296" i="1"/>
  <c r="H2301" i="1"/>
  <c r="F2315" i="1"/>
  <c r="G2084" i="1"/>
  <c r="G2296" i="1"/>
  <c r="G2295" i="1" s="1"/>
  <c r="I2301" i="1"/>
  <c r="H2084" i="1"/>
  <c r="F2106" i="1"/>
  <c r="H2296" i="1"/>
  <c r="G2235" i="1"/>
  <c r="G2234" i="1" s="1"/>
  <c r="I2259" i="1"/>
  <c r="I2296" i="1"/>
  <c r="F2077" i="1"/>
  <c r="J2084" i="1"/>
  <c r="F2102" i="1"/>
  <c r="H2106" i="1"/>
  <c r="H2235" i="1"/>
  <c r="H2254" i="1"/>
  <c r="J2296" i="1"/>
  <c r="G2077" i="1"/>
  <c r="K2084" i="1"/>
  <c r="G2102" i="1"/>
  <c r="I2106" i="1"/>
  <c r="F2235" i="1"/>
  <c r="J2235" i="1"/>
  <c r="H2313" i="1"/>
  <c r="K2313" i="1"/>
  <c r="J2313" i="1"/>
  <c r="I2313" i="1"/>
  <c r="G2313" i="1"/>
  <c r="F2313" i="1"/>
  <c r="I2273" i="1"/>
  <c r="F2279" i="1"/>
  <c r="K2276" i="1"/>
  <c r="K2279" i="1"/>
  <c r="I2279" i="1"/>
  <c r="G2273" i="1"/>
  <c r="H2276" i="1"/>
  <c r="G2279" i="1"/>
  <c r="J2273" i="1"/>
  <c r="G2276" i="1"/>
  <c r="J2279" i="1"/>
  <c r="K2301" i="1"/>
  <c r="K2295" i="1" s="1"/>
  <c r="J2240" i="1"/>
  <c r="F2254" i="1"/>
  <c r="I2254" i="1"/>
  <c r="H2259" i="1"/>
  <c r="K2259" i="1"/>
  <c r="K2253" i="1" s="1"/>
  <c r="F2273" i="1"/>
  <c r="K2273" i="1"/>
  <c r="J2276" i="1"/>
  <c r="J2301" i="1"/>
  <c r="I2240" i="1"/>
  <c r="K2240" i="1"/>
  <c r="K2234" i="1" s="1"/>
  <c r="G2254" i="1"/>
  <c r="J2254" i="1"/>
  <c r="F2259" i="1"/>
  <c r="J2259" i="1"/>
  <c r="H2273" i="1"/>
  <c r="F2276" i="1"/>
  <c r="K2094" i="1"/>
  <c r="J2094" i="1"/>
  <c r="I2094" i="1"/>
  <c r="H2094" i="1"/>
  <c r="G2094" i="1"/>
  <c r="F2094" i="1"/>
  <c r="H2061" i="1"/>
  <c r="G2061" i="1"/>
  <c r="F2061" i="1"/>
  <c r="K2061" i="1"/>
  <c r="J2061" i="1"/>
  <c r="I2061" i="1"/>
  <c r="F2223" i="1"/>
  <c r="G2223" i="1"/>
  <c r="H2223" i="1"/>
  <c r="I2223" i="1"/>
  <c r="J2223" i="1"/>
  <c r="K2223" i="1"/>
  <c r="F2213" i="1"/>
  <c r="G2213" i="1"/>
  <c r="H2213" i="1"/>
  <c r="I2213" i="1"/>
  <c r="J2213" i="1"/>
  <c r="K2213" i="1"/>
  <c r="K2189" i="1"/>
  <c r="H2189" i="1"/>
  <c r="G2165" i="1"/>
  <c r="H2165" i="1"/>
  <c r="F2189" i="1"/>
  <c r="J2165" i="1"/>
  <c r="G2189" i="1"/>
  <c r="J2189" i="1"/>
  <c r="K2165" i="1"/>
  <c r="I2189" i="1"/>
  <c r="F2165" i="1"/>
  <c r="I2165" i="1"/>
  <c r="J2114" i="1"/>
  <c r="I2114" i="1"/>
  <c r="F2114" i="1"/>
  <c r="G2114" i="1"/>
  <c r="H2114" i="1"/>
  <c r="K2114" i="1"/>
  <c r="J2030" i="1"/>
  <c r="I2030" i="1"/>
  <c r="H2030" i="1"/>
  <c r="G2030" i="1"/>
  <c r="F2030" i="1"/>
  <c r="J2027" i="1"/>
  <c r="I2027" i="1"/>
  <c r="H2027" i="1"/>
  <c r="G2027" i="1"/>
  <c r="F2027" i="1"/>
  <c r="E1904" i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K1901" i="1"/>
  <c r="J1901" i="1"/>
  <c r="I1901" i="1"/>
  <c r="H1901" i="1"/>
  <c r="G1901" i="1"/>
  <c r="K1899" i="1"/>
  <c r="J1899" i="1"/>
  <c r="I1899" i="1"/>
  <c r="H1899" i="1"/>
  <c r="G1899" i="1"/>
  <c r="K1897" i="1"/>
  <c r="J1897" i="1"/>
  <c r="I1897" i="1"/>
  <c r="H1897" i="1"/>
  <c r="G1897" i="1"/>
  <c r="K1895" i="1"/>
  <c r="J1895" i="1"/>
  <c r="I1895" i="1"/>
  <c r="H1895" i="1"/>
  <c r="G1895" i="1"/>
  <c r="K1889" i="1"/>
  <c r="J1889" i="1"/>
  <c r="I1889" i="1"/>
  <c r="H1889" i="1"/>
  <c r="G1889" i="1"/>
  <c r="J1886" i="1"/>
  <c r="F1901" i="1"/>
  <c r="F1899" i="1"/>
  <c r="F1897" i="1"/>
  <c r="F1895" i="1"/>
  <c r="F1889" i="1"/>
  <c r="K1883" i="1"/>
  <c r="J1883" i="1"/>
  <c r="I1883" i="1"/>
  <c r="H1883" i="1"/>
  <c r="G1883" i="1"/>
  <c r="K1881" i="1"/>
  <c r="J1881" i="1"/>
  <c r="I1881" i="1"/>
  <c r="H1881" i="1"/>
  <c r="G1881" i="1"/>
  <c r="K1879" i="1"/>
  <c r="J1879" i="1"/>
  <c r="I1879" i="1"/>
  <c r="H1879" i="1"/>
  <c r="G1879" i="1"/>
  <c r="K1877" i="1"/>
  <c r="J1877" i="1"/>
  <c r="I1877" i="1"/>
  <c r="H1877" i="1"/>
  <c r="G1877" i="1"/>
  <c r="K1875" i="1"/>
  <c r="J1875" i="1"/>
  <c r="I1875" i="1"/>
  <c r="H1875" i="1"/>
  <c r="G1875" i="1"/>
  <c r="K1873" i="1"/>
  <c r="J1873" i="1"/>
  <c r="I1873" i="1"/>
  <c r="H1873" i="1"/>
  <c r="G1873" i="1"/>
  <c r="K1869" i="1"/>
  <c r="F1883" i="1"/>
  <c r="F1881" i="1"/>
  <c r="F1879" i="1"/>
  <c r="F1877" i="1"/>
  <c r="F1875" i="1"/>
  <c r="F1873" i="1"/>
  <c r="F1866" i="1"/>
  <c r="K1860" i="1"/>
  <c r="J1860" i="1"/>
  <c r="I1860" i="1"/>
  <c r="H1860" i="1"/>
  <c r="G1860" i="1"/>
  <c r="F1860" i="1"/>
  <c r="K1858" i="1"/>
  <c r="J1858" i="1"/>
  <c r="I1858" i="1"/>
  <c r="H1858" i="1"/>
  <c r="G1858" i="1"/>
  <c r="F1858" i="1"/>
  <c r="K1856" i="1"/>
  <c r="J1856" i="1"/>
  <c r="I1856" i="1"/>
  <c r="H1856" i="1"/>
  <c r="G1856" i="1"/>
  <c r="F1856" i="1"/>
  <c r="K1854" i="1"/>
  <c r="J1854" i="1"/>
  <c r="I1854" i="1"/>
  <c r="H1854" i="1"/>
  <c r="G1854" i="1"/>
  <c r="F1854" i="1"/>
  <c r="K1852" i="1"/>
  <c r="J1852" i="1"/>
  <c r="I1852" i="1"/>
  <c r="H1852" i="1"/>
  <c r="G1852" i="1"/>
  <c r="F1852" i="1"/>
  <c r="K1847" i="1"/>
  <c r="J1847" i="1"/>
  <c r="I1847" i="1"/>
  <c r="H1847" i="1"/>
  <c r="G1847" i="1"/>
  <c r="F1847" i="1"/>
  <c r="E1824" i="1"/>
  <c r="K1841" i="1"/>
  <c r="J1841" i="1"/>
  <c r="I1841" i="1"/>
  <c r="H1841" i="1"/>
  <c r="G1841" i="1"/>
  <c r="K1839" i="1"/>
  <c r="J1839" i="1"/>
  <c r="I1839" i="1"/>
  <c r="H1839" i="1"/>
  <c r="G1839" i="1"/>
  <c r="K1837" i="1"/>
  <c r="J1837" i="1"/>
  <c r="I1837" i="1"/>
  <c r="H1837" i="1"/>
  <c r="G1837" i="1"/>
  <c r="K1835" i="1"/>
  <c r="J1835" i="1"/>
  <c r="I1835" i="1"/>
  <c r="H1835" i="1"/>
  <c r="G1835" i="1"/>
  <c r="K1833" i="1"/>
  <c r="J1833" i="1"/>
  <c r="I1833" i="1"/>
  <c r="H1833" i="1"/>
  <c r="G1833" i="1"/>
  <c r="K1828" i="1"/>
  <c r="J1828" i="1"/>
  <c r="I1828" i="1"/>
  <c r="H1828" i="1"/>
  <c r="G1828" i="1"/>
  <c r="F1841" i="1"/>
  <c r="F1839" i="1"/>
  <c r="F1837" i="1"/>
  <c r="F1835" i="1"/>
  <c r="F1833" i="1"/>
  <c r="F1828" i="1"/>
  <c r="E1825" i="1"/>
  <c r="E1826" i="1" s="1"/>
  <c r="E1827" i="1" s="1"/>
  <c r="E1828" i="1" s="1"/>
  <c r="E1829" i="1" s="1"/>
  <c r="E1830" i="1" s="1"/>
  <c r="E1831" i="1" s="1"/>
  <c r="E1832" i="1" s="1"/>
  <c r="E1833" i="1" s="1"/>
  <c r="E1834" i="1" s="1"/>
  <c r="E1760" i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I2253" i="1" l="1"/>
  <c r="G2253" i="1"/>
  <c r="I2234" i="1"/>
  <c r="F2295" i="1"/>
  <c r="J2050" i="1"/>
  <c r="G2050" i="1"/>
  <c r="H2253" i="1"/>
  <c r="H2295" i="1"/>
  <c r="J2295" i="1"/>
  <c r="H2234" i="1"/>
  <c r="K2050" i="1"/>
  <c r="H2272" i="1"/>
  <c r="F2234" i="1"/>
  <c r="I2295" i="1"/>
  <c r="K2233" i="1"/>
  <c r="I2050" i="1"/>
  <c r="F2050" i="1"/>
  <c r="H2050" i="1"/>
  <c r="J2234" i="1"/>
  <c r="H2233" i="1"/>
  <c r="J2272" i="1"/>
  <c r="F2253" i="1"/>
  <c r="F2272" i="1"/>
  <c r="K2272" i="1"/>
  <c r="G2233" i="1"/>
  <c r="J2253" i="1"/>
  <c r="I2272" i="1"/>
  <c r="G2272" i="1"/>
  <c r="I2233" i="1"/>
  <c r="I1863" i="1"/>
  <c r="F1863" i="1"/>
  <c r="F1891" i="1"/>
  <c r="G1978" i="1"/>
  <c r="H1886" i="1"/>
  <c r="I1886" i="1"/>
  <c r="I2022" i="1"/>
  <c r="J2024" i="1"/>
  <c r="J2022" i="1"/>
  <c r="F2022" i="1"/>
  <c r="F2024" i="1"/>
  <c r="G2022" i="1"/>
  <c r="G2024" i="1"/>
  <c r="H2022" i="1"/>
  <c r="H2024" i="1"/>
  <c r="I2024" i="1"/>
  <c r="K2030" i="1"/>
  <c r="K2027" i="1"/>
  <c r="K2024" i="1"/>
  <c r="F1886" i="1"/>
  <c r="K1891" i="1"/>
  <c r="K1886" i="1"/>
  <c r="H2012" i="1"/>
  <c r="J2012" i="1"/>
  <c r="I2012" i="1"/>
  <c r="K2012" i="1"/>
  <c r="G2012" i="1"/>
  <c r="F2012" i="1"/>
  <c r="K2002" i="1"/>
  <c r="J2002" i="1"/>
  <c r="I2002" i="1"/>
  <c r="H2002" i="1"/>
  <c r="G2002" i="1"/>
  <c r="F2002" i="1"/>
  <c r="F1978" i="1"/>
  <c r="I1978" i="1"/>
  <c r="H1978" i="1"/>
  <c r="J1978" i="1"/>
  <c r="K1978" i="1"/>
  <c r="K1954" i="1"/>
  <c r="G1954" i="1"/>
  <c r="H1954" i="1"/>
  <c r="I1954" i="1"/>
  <c r="J1954" i="1"/>
  <c r="F1954" i="1"/>
  <c r="G1903" i="1"/>
  <c r="H1903" i="1"/>
  <c r="I1903" i="1"/>
  <c r="J1903" i="1"/>
  <c r="K1903" i="1"/>
  <c r="F1903" i="1"/>
  <c r="G1891" i="1"/>
  <c r="H1891" i="1"/>
  <c r="I1891" i="1"/>
  <c r="J1891" i="1"/>
  <c r="J1885" i="1" s="1"/>
  <c r="G1886" i="1"/>
  <c r="K1866" i="1"/>
  <c r="K1844" i="1"/>
  <c r="F1869" i="1"/>
  <c r="I1866" i="1"/>
  <c r="G1863" i="1"/>
  <c r="H1863" i="1"/>
  <c r="J1863" i="1"/>
  <c r="K1863" i="1"/>
  <c r="G1869" i="1"/>
  <c r="H1869" i="1"/>
  <c r="I1869" i="1"/>
  <c r="J1869" i="1"/>
  <c r="G1866" i="1"/>
  <c r="H1866" i="1"/>
  <c r="J1866" i="1"/>
  <c r="F1830" i="1"/>
  <c r="I1844" i="1"/>
  <c r="K1849" i="1"/>
  <c r="J1844" i="1"/>
  <c r="F1849" i="1"/>
  <c r="G1849" i="1"/>
  <c r="F1844" i="1"/>
  <c r="F1843" i="1" s="1"/>
  <c r="H1849" i="1"/>
  <c r="G1844" i="1"/>
  <c r="I1849" i="1"/>
  <c r="H1844" i="1"/>
  <c r="J1849" i="1"/>
  <c r="I1830" i="1"/>
  <c r="F1825" i="1"/>
  <c r="K1830" i="1"/>
  <c r="E1835" i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J1830" i="1"/>
  <c r="G1825" i="1"/>
  <c r="H1825" i="1"/>
  <c r="G1830" i="1"/>
  <c r="H1830" i="1"/>
  <c r="J1825" i="1"/>
  <c r="I1825" i="1"/>
  <c r="K1825" i="1"/>
  <c r="F2233" i="1" l="1"/>
  <c r="K2022" i="1"/>
  <c r="J2233" i="1"/>
  <c r="K1885" i="1"/>
  <c r="F1885" i="1"/>
  <c r="H1885" i="1"/>
  <c r="F1862" i="1"/>
  <c r="I1862" i="1"/>
  <c r="H1843" i="1"/>
  <c r="K1843" i="1"/>
  <c r="K1862" i="1"/>
  <c r="G1843" i="1"/>
  <c r="I1885" i="1"/>
  <c r="I1843" i="1"/>
  <c r="G1885" i="1"/>
  <c r="G1862" i="1"/>
  <c r="J1862" i="1"/>
  <c r="H1862" i="1"/>
  <c r="F1824" i="1"/>
  <c r="F1823" i="1" s="1"/>
  <c r="J1843" i="1"/>
  <c r="K1824" i="1"/>
  <c r="I1824" i="1"/>
  <c r="J1824" i="1"/>
  <c r="H1824" i="1"/>
  <c r="G1824" i="1"/>
  <c r="K1823" i="1" l="1"/>
  <c r="J1823" i="1"/>
  <c r="H1823" i="1"/>
  <c r="G1823" i="1"/>
  <c r="I1823" i="1"/>
  <c r="G1811" i="1"/>
  <c r="K1811" i="1"/>
  <c r="J1811" i="1"/>
  <c r="I1811" i="1"/>
  <c r="K1810" i="1"/>
  <c r="J1810" i="1"/>
  <c r="I1810" i="1"/>
  <c r="H1810" i="1"/>
  <c r="G1810" i="1"/>
  <c r="F1810" i="1"/>
  <c r="K1801" i="1"/>
  <c r="J1801" i="1"/>
  <c r="I1801" i="1"/>
  <c r="F1801" i="1"/>
  <c r="H1801" i="1"/>
  <c r="G1801" i="1"/>
  <c r="I1786" i="1"/>
  <c r="K1766" i="1"/>
  <c r="F1762" i="1"/>
  <c r="K1762" i="1"/>
  <c r="J1762" i="1"/>
  <c r="I1762" i="1"/>
  <c r="K1760" i="1"/>
  <c r="I1760" i="1"/>
  <c r="H1760" i="1"/>
  <c r="G1760" i="1"/>
  <c r="J1760" i="1"/>
  <c r="F1760" i="1"/>
  <c r="G1815" i="1" l="1"/>
  <c r="H1811" i="1"/>
  <c r="K1803" i="1"/>
  <c r="I1793" i="1"/>
  <c r="J1815" i="1"/>
  <c r="H1762" i="1"/>
  <c r="K1786" i="1"/>
  <c r="J1793" i="1"/>
  <c r="G1793" i="1"/>
  <c r="I1803" i="1"/>
  <c r="H1793" i="1"/>
  <c r="K1815" i="1"/>
  <c r="J1766" i="1"/>
  <c r="J1786" i="1"/>
  <c r="K1793" i="1"/>
  <c r="H1815" i="1"/>
  <c r="F1766" i="1"/>
  <c r="J1803" i="1"/>
  <c r="I1766" i="1"/>
  <c r="H1766" i="1"/>
  <c r="G1803" i="1"/>
  <c r="F1815" i="1"/>
  <c r="G1762" i="1"/>
  <c r="F1793" i="1"/>
  <c r="F1803" i="1"/>
  <c r="F1811" i="1"/>
  <c r="F1770" i="1"/>
  <c r="H1786" i="1"/>
  <c r="H1803" i="1"/>
  <c r="I1815" i="1"/>
  <c r="H1770" i="1"/>
  <c r="I1770" i="1"/>
  <c r="J1770" i="1"/>
  <c r="G1770" i="1"/>
  <c r="K1770" i="1"/>
  <c r="G1766" i="1"/>
  <c r="F1786" i="1"/>
  <c r="G1786" i="1"/>
  <c r="K1758" i="1"/>
  <c r="J1758" i="1"/>
  <c r="I1758" i="1"/>
  <c r="H1758" i="1"/>
  <c r="G1758" i="1"/>
  <c r="K1757" i="1"/>
  <c r="J1757" i="1"/>
  <c r="I1757" i="1"/>
  <c r="H1757" i="1"/>
  <c r="G1757" i="1"/>
  <c r="K1756" i="1"/>
  <c r="J1756" i="1"/>
  <c r="I1756" i="1"/>
  <c r="H1756" i="1"/>
  <c r="G1756" i="1"/>
  <c r="K1755" i="1"/>
  <c r="J1755" i="1"/>
  <c r="I1755" i="1"/>
  <c r="H1755" i="1"/>
  <c r="G1755" i="1"/>
  <c r="K1754" i="1"/>
  <c r="J1754" i="1"/>
  <c r="I1754" i="1"/>
  <c r="H1754" i="1"/>
  <c r="G1754" i="1"/>
  <c r="K1753" i="1"/>
  <c r="J1753" i="1"/>
  <c r="I1753" i="1"/>
  <c r="H1753" i="1"/>
  <c r="G1753" i="1"/>
  <c r="K1752" i="1"/>
  <c r="J1752" i="1"/>
  <c r="I1752" i="1"/>
  <c r="H1752" i="1"/>
  <c r="G1752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6" i="1"/>
  <c r="J1746" i="1"/>
  <c r="I1746" i="1"/>
  <c r="H1746" i="1"/>
  <c r="G1746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1" i="1"/>
  <c r="J1741" i="1"/>
  <c r="I1741" i="1"/>
  <c r="H1741" i="1"/>
  <c r="G1741" i="1"/>
  <c r="K1739" i="1"/>
  <c r="J1739" i="1"/>
  <c r="I1739" i="1"/>
  <c r="H1739" i="1"/>
  <c r="G1739" i="1"/>
  <c r="I1738" i="1"/>
  <c r="H1738" i="1"/>
  <c r="G1738" i="1"/>
  <c r="K1734" i="1"/>
  <c r="J1734" i="1"/>
  <c r="I1734" i="1"/>
  <c r="H1734" i="1"/>
  <c r="G1734" i="1"/>
  <c r="K1733" i="1"/>
  <c r="J1733" i="1"/>
  <c r="I1733" i="1"/>
  <c r="H1733" i="1"/>
  <c r="G1733" i="1"/>
  <c r="K1732" i="1"/>
  <c r="J1732" i="1"/>
  <c r="I1732" i="1"/>
  <c r="H1732" i="1"/>
  <c r="G1732" i="1"/>
  <c r="K1729" i="1"/>
  <c r="J1729" i="1"/>
  <c r="I1729" i="1"/>
  <c r="H1729" i="1"/>
  <c r="G1729" i="1"/>
  <c r="I1728" i="1"/>
  <c r="H1728" i="1"/>
  <c r="G1728" i="1"/>
  <c r="I1727" i="1"/>
  <c r="H1727" i="1"/>
  <c r="G1727" i="1"/>
  <c r="K1722" i="1"/>
  <c r="J1722" i="1"/>
  <c r="I1722" i="1"/>
  <c r="H1722" i="1"/>
  <c r="G1722" i="1"/>
  <c r="K1721" i="1"/>
  <c r="J1721" i="1"/>
  <c r="I1721" i="1"/>
  <c r="H1721" i="1"/>
  <c r="G1721" i="1"/>
  <c r="K1719" i="1"/>
  <c r="J1719" i="1"/>
  <c r="I1719" i="1"/>
  <c r="H1719" i="1"/>
  <c r="G1719" i="1"/>
  <c r="K1718" i="1"/>
  <c r="J1718" i="1"/>
  <c r="I1718" i="1"/>
  <c r="H1718" i="1"/>
  <c r="G1718" i="1"/>
  <c r="K1717" i="1"/>
  <c r="J1717" i="1"/>
  <c r="I1717" i="1"/>
  <c r="H1717" i="1"/>
  <c r="G1717" i="1"/>
  <c r="K1716" i="1"/>
  <c r="J1716" i="1"/>
  <c r="I1716" i="1"/>
  <c r="H1716" i="1"/>
  <c r="G1716" i="1"/>
  <c r="K1715" i="1"/>
  <c r="J1715" i="1"/>
  <c r="I1715" i="1"/>
  <c r="H1715" i="1"/>
  <c r="G1715" i="1"/>
  <c r="K1712" i="1"/>
  <c r="J1712" i="1"/>
  <c r="I1712" i="1"/>
  <c r="H1712" i="1"/>
  <c r="G1712" i="1"/>
  <c r="F1741" i="1"/>
  <c r="E1743" i="1"/>
  <c r="F1743" i="1"/>
  <c r="E1744" i="1"/>
  <c r="F1744" i="1"/>
  <c r="E1745" i="1"/>
  <c r="F1745" i="1"/>
  <c r="E1746" i="1"/>
  <c r="F1746" i="1"/>
  <c r="E1747" i="1"/>
  <c r="E1748" i="1"/>
  <c r="F1748" i="1"/>
  <c r="E1749" i="1"/>
  <c r="F1749" i="1"/>
  <c r="E1750" i="1"/>
  <c r="F1750" i="1"/>
  <c r="E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42" i="1"/>
  <c r="F1715" i="1"/>
  <c r="F1716" i="1"/>
  <c r="F1717" i="1"/>
  <c r="F1718" i="1"/>
  <c r="F1719" i="1"/>
  <c r="F1721" i="1"/>
  <c r="F1722" i="1"/>
  <c r="F1727" i="1"/>
  <c r="F1728" i="1"/>
  <c r="F1729" i="1"/>
  <c r="F1732" i="1"/>
  <c r="F1733" i="1"/>
  <c r="F1734" i="1"/>
  <c r="F1738" i="1"/>
  <c r="F1739" i="1"/>
  <c r="F1712" i="1"/>
  <c r="E1712" i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J1707" i="1"/>
  <c r="G12" i="4" s="1"/>
  <c r="I1707" i="1"/>
  <c r="F12" i="4" s="1"/>
  <c r="H1707" i="1"/>
  <c r="E12" i="4" s="1"/>
  <c r="F1707" i="1"/>
  <c r="C12" i="4" s="1"/>
  <c r="H1759" i="1" l="1"/>
  <c r="J1759" i="1"/>
  <c r="I1759" i="1"/>
  <c r="G1759" i="1"/>
  <c r="K1759" i="1"/>
  <c r="F1759" i="1"/>
  <c r="G1707" i="1"/>
  <c r="D12" i="4" s="1"/>
  <c r="K1707" i="1"/>
  <c r="H12" i="4" s="1"/>
  <c r="K1710" i="1" l="1"/>
  <c r="J1710" i="1"/>
  <c r="I1710" i="1"/>
  <c r="H1710" i="1"/>
  <c r="G1710" i="1"/>
  <c r="F1710" i="1"/>
  <c r="K1649" i="1"/>
  <c r="H6" i="4"/>
  <c r="G6" i="4"/>
  <c r="F6" i="4"/>
  <c r="E6" i="4"/>
  <c r="D6" i="4"/>
  <c r="C6" i="4"/>
  <c r="K1702" i="1"/>
  <c r="J1702" i="1"/>
  <c r="I1702" i="1"/>
  <c r="H1702" i="1"/>
  <c r="G1702" i="1"/>
  <c r="F1702" i="1"/>
  <c r="E1703" i="1"/>
  <c r="E1704" i="1" s="1"/>
  <c r="E1705" i="1" s="1"/>
  <c r="K1692" i="1"/>
  <c r="J1692" i="1"/>
  <c r="I1692" i="1"/>
  <c r="H1692" i="1"/>
  <c r="G1692" i="1"/>
  <c r="F1692" i="1"/>
  <c r="H1688" i="1"/>
  <c r="J1688" i="1"/>
  <c r="I1688" i="1"/>
  <c r="G1688" i="1"/>
  <c r="K1688" i="1"/>
  <c r="F1688" i="1"/>
  <c r="E1689" i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631" i="1"/>
  <c r="E1632" i="1" s="1"/>
  <c r="E1633" i="1" s="1"/>
  <c r="E1634" i="1" s="1"/>
  <c r="E1635" i="1" s="1"/>
  <c r="E1636" i="1" s="1"/>
  <c r="E1637" i="1" s="1"/>
  <c r="E1638" i="1" s="1"/>
  <c r="E1639" i="1" s="1"/>
  <c r="E1671" i="1"/>
  <c r="G1687" i="1"/>
  <c r="K1685" i="1"/>
  <c r="I1684" i="1"/>
  <c r="G1683" i="1"/>
  <c r="K1681" i="1"/>
  <c r="I1680" i="1"/>
  <c r="G1679" i="1"/>
  <c r="E1675" i="1"/>
  <c r="E1668" i="1"/>
  <c r="J1649" i="1"/>
  <c r="I1649" i="1"/>
  <c r="H1649" i="1"/>
  <c r="G1649" i="1"/>
  <c r="F1649" i="1"/>
  <c r="E1646" i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J1641" i="1"/>
  <c r="I1653" i="1" l="1"/>
  <c r="G1653" i="1"/>
  <c r="F1653" i="1"/>
  <c r="H1653" i="1"/>
  <c r="E1658" i="1"/>
  <c r="E1663" i="1"/>
  <c r="E1659" i="1"/>
  <c r="E1664" i="1"/>
  <c r="E1660" i="1"/>
  <c r="E1661" i="1" s="1"/>
  <c r="E1662" i="1" s="1"/>
  <c r="E1665" i="1"/>
  <c r="G1645" i="1"/>
  <c r="F1679" i="1"/>
  <c r="H1680" i="1"/>
  <c r="J1681" i="1"/>
  <c r="F1683" i="1"/>
  <c r="H1684" i="1"/>
  <c r="J1685" i="1"/>
  <c r="F1687" i="1"/>
  <c r="F1678" i="1"/>
  <c r="H1679" i="1"/>
  <c r="J1680" i="1"/>
  <c r="F1682" i="1"/>
  <c r="H1683" i="1"/>
  <c r="J1684" i="1"/>
  <c r="F1686" i="1"/>
  <c r="H1687" i="1"/>
  <c r="G1678" i="1"/>
  <c r="I1679" i="1"/>
  <c r="K1680" i="1"/>
  <c r="G1682" i="1"/>
  <c r="I1683" i="1"/>
  <c r="K1684" i="1"/>
  <c r="G1686" i="1"/>
  <c r="I1687" i="1"/>
  <c r="H1678" i="1"/>
  <c r="J1679" i="1"/>
  <c r="F1681" i="1"/>
  <c r="H1682" i="1"/>
  <c r="J1683" i="1"/>
  <c r="F1685" i="1"/>
  <c r="H1686" i="1"/>
  <c r="J1687" i="1"/>
  <c r="K1645" i="1"/>
  <c r="I1678" i="1"/>
  <c r="K1679" i="1"/>
  <c r="G1681" i="1"/>
  <c r="I1682" i="1"/>
  <c r="K1683" i="1"/>
  <c r="G1685" i="1"/>
  <c r="I1686" i="1"/>
  <c r="K1687" i="1"/>
  <c r="J1678" i="1"/>
  <c r="F1680" i="1"/>
  <c r="H1681" i="1"/>
  <c r="J1682" i="1"/>
  <c r="F1684" i="1"/>
  <c r="H1685" i="1"/>
  <c r="J1686" i="1"/>
  <c r="K1678" i="1"/>
  <c r="G1680" i="1"/>
  <c r="I1681" i="1"/>
  <c r="K1682" i="1"/>
  <c r="G1684" i="1"/>
  <c r="I1685" i="1"/>
  <c r="K1686" i="1"/>
  <c r="F1645" i="1"/>
  <c r="F1641" i="1"/>
  <c r="G1641" i="1"/>
  <c r="H1641" i="1"/>
  <c r="J1645" i="1"/>
  <c r="H1645" i="1"/>
  <c r="I1641" i="1"/>
  <c r="K1641" i="1"/>
  <c r="I1645" i="1"/>
  <c r="J1640" i="1" l="1"/>
  <c r="I1640" i="1"/>
  <c r="F1640" i="1"/>
  <c r="K1640" i="1"/>
  <c r="H1640" i="1"/>
  <c r="G1640" i="1"/>
  <c r="E1642" i="1" l="1"/>
  <c r="E1643" i="1" s="1"/>
  <c r="E1644" i="1" s="1"/>
  <c r="K1614" i="1"/>
  <c r="J1614" i="1"/>
  <c r="I1614" i="1"/>
  <c r="H1614" i="1"/>
  <c r="G1614" i="1"/>
  <c r="F1614" i="1"/>
  <c r="K1597" i="1"/>
  <c r="J1597" i="1"/>
  <c r="I1597" i="1"/>
  <c r="H1597" i="1"/>
  <c r="G1597" i="1"/>
  <c r="F1597" i="1"/>
  <c r="E1594" i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547" i="1"/>
  <c r="E1548" i="1" s="1"/>
  <c r="E1549" i="1" s="1"/>
  <c r="E1550" i="1" s="1"/>
  <c r="K1567" i="1"/>
  <c r="J1567" i="1"/>
  <c r="I1567" i="1"/>
  <c r="H1567" i="1"/>
  <c r="G1567" i="1"/>
  <c r="F1567" i="1"/>
  <c r="K1550" i="1"/>
  <c r="J1550" i="1"/>
  <c r="I1550" i="1"/>
  <c r="F1550" i="1"/>
  <c r="I1571" i="1" l="1"/>
  <c r="G1571" i="1"/>
  <c r="H1571" i="1"/>
  <c r="G1618" i="1"/>
  <c r="F1618" i="1"/>
  <c r="H1618" i="1"/>
  <c r="I1618" i="1"/>
  <c r="F1571" i="1"/>
  <c r="K1599" i="1"/>
  <c r="K1590" i="1"/>
  <c r="I1573" i="1"/>
  <c r="K1592" i="1"/>
  <c r="J1584" i="1"/>
  <c r="F1586" i="1"/>
  <c r="H1587" i="1"/>
  <c r="J1588" i="1"/>
  <c r="F1590" i="1"/>
  <c r="H1591" i="1"/>
  <c r="J1592" i="1"/>
  <c r="H1547" i="1"/>
  <c r="G1594" i="1"/>
  <c r="I1606" i="1"/>
  <c r="I1631" i="1"/>
  <c r="G1552" i="1"/>
  <c r="K1636" i="1"/>
  <c r="F1592" i="1"/>
  <c r="K1635" i="1"/>
  <c r="G1592" i="1"/>
  <c r="K1552" i="1"/>
  <c r="H1573" i="1"/>
  <c r="H1592" i="1"/>
  <c r="J1599" i="1"/>
  <c r="J1633" i="1"/>
  <c r="I1584" i="1"/>
  <c r="K1585" i="1"/>
  <c r="G1587" i="1"/>
  <c r="I1588" i="1"/>
  <c r="K1589" i="1"/>
  <c r="G1591" i="1"/>
  <c r="J1635" i="1"/>
  <c r="K1584" i="1"/>
  <c r="G1586" i="1"/>
  <c r="I1587" i="1"/>
  <c r="K1588" i="1"/>
  <c r="G1590" i="1"/>
  <c r="I1591" i="1"/>
  <c r="J1573" i="1"/>
  <c r="J1632" i="1"/>
  <c r="F1585" i="1"/>
  <c r="H1586" i="1"/>
  <c r="J1587" i="1"/>
  <c r="F1589" i="1"/>
  <c r="H1590" i="1"/>
  <c r="J1591" i="1"/>
  <c r="K1573" i="1"/>
  <c r="G1585" i="1"/>
  <c r="I1586" i="1"/>
  <c r="K1587" i="1"/>
  <c r="G1589" i="1"/>
  <c r="I1590" i="1"/>
  <c r="K1591" i="1"/>
  <c r="J1594" i="1"/>
  <c r="J1547" i="1"/>
  <c r="F1584" i="1"/>
  <c r="H1585" i="1"/>
  <c r="J1586" i="1"/>
  <c r="F1588" i="1"/>
  <c r="H1589" i="1"/>
  <c r="J1590" i="1"/>
  <c r="G1584" i="1"/>
  <c r="I1585" i="1"/>
  <c r="K1586" i="1"/>
  <c r="G1588" i="1"/>
  <c r="I1589" i="1"/>
  <c r="F1573" i="1"/>
  <c r="F1606" i="1"/>
  <c r="H1637" i="1"/>
  <c r="G1632" i="1"/>
  <c r="H1634" i="1"/>
  <c r="I1636" i="1"/>
  <c r="I1637" i="1"/>
  <c r="J1639" i="1"/>
  <c r="H1584" i="1"/>
  <c r="J1585" i="1"/>
  <c r="F1587" i="1"/>
  <c r="H1588" i="1"/>
  <c r="J1589" i="1"/>
  <c r="F1591" i="1"/>
  <c r="I1592" i="1"/>
  <c r="G1573" i="1"/>
  <c r="F1594" i="1"/>
  <c r="H1606" i="1"/>
  <c r="K1637" i="1"/>
  <c r="J1634" i="1"/>
  <c r="F1639" i="1"/>
  <c r="H1594" i="1"/>
  <c r="F1599" i="1"/>
  <c r="K1633" i="1"/>
  <c r="F1637" i="1"/>
  <c r="G1639" i="1"/>
  <c r="I1594" i="1"/>
  <c r="G1599" i="1"/>
  <c r="K1606" i="1"/>
  <c r="K1632" i="1"/>
  <c r="G1637" i="1"/>
  <c r="H1599" i="1"/>
  <c r="F1633" i="1"/>
  <c r="F1634" i="1"/>
  <c r="K1594" i="1"/>
  <c r="F1632" i="1"/>
  <c r="G1633" i="1"/>
  <c r="I1638" i="1"/>
  <c r="G1606" i="1"/>
  <c r="I1634" i="1"/>
  <c r="K1634" i="1"/>
  <c r="G1631" i="1"/>
  <c r="G1620" i="1"/>
  <c r="I1632" i="1"/>
  <c r="I1633" i="1"/>
  <c r="J1636" i="1"/>
  <c r="K1638" i="1"/>
  <c r="F1638" i="1"/>
  <c r="K1631" i="1"/>
  <c r="K1620" i="1"/>
  <c r="F1635" i="1"/>
  <c r="F1636" i="1"/>
  <c r="G1638" i="1"/>
  <c r="H1639" i="1"/>
  <c r="G1635" i="1"/>
  <c r="G1636" i="1"/>
  <c r="J1606" i="1"/>
  <c r="F1631" i="1"/>
  <c r="F1620" i="1"/>
  <c r="G1634" i="1"/>
  <c r="H1635" i="1"/>
  <c r="H1636" i="1"/>
  <c r="H1638" i="1"/>
  <c r="I1639" i="1"/>
  <c r="J1631" i="1"/>
  <c r="J1620" i="1"/>
  <c r="I1599" i="1"/>
  <c r="H1631" i="1"/>
  <c r="H1620" i="1"/>
  <c r="H1632" i="1"/>
  <c r="H1633" i="1"/>
  <c r="I1635" i="1"/>
  <c r="J1637" i="1"/>
  <c r="J1638" i="1"/>
  <c r="K1639" i="1"/>
  <c r="I1620" i="1"/>
  <c r="I1552" i="1"/>
  <c r="F1552" i="1"/>
  <c r="K1547" i="1"/>
  <c r="H1552" i="1"/>
  <c r="J1552" i="1"/>
  <c r="F1547" i="1"/>
  <c r="G1547" i="1"/>
  <c r="I1559" i="1"/>
  <c r="J1559" i="1"/>
  <c r="I1547" i="1"/>
  <c r="K1559" i="1"/>
  <c r="F1559" i="1"/>
  <c r="G1559" i="1"/>
  <c r="H1550" i="1"/>
  <c r="H1559" i="1"/>
  <c r="G1550" i="1"/>
  <c r="E1551" i="1"/>
  <c r="F1556" i="1" l="1"/>
  <c r="H1563" i="1"/>
  <c r="H1603" i="1"/>
  <c r="H1610" i="1"/>
  <c r="F1603" i="1"/>
  <c r="G1556" i="1"/>
  <c r="I1610" i="1"/>
  <c r="I1603" i="1"/>
  <c r="F1610" i="1"/>
  <c r="G1563" i="1"/>
  <c r="I1563" i="1"/>
  <c r="I1556" i="1"/>
  <c r="G1603" i="1"/>
  <c r="H1556" i="1"/>
  <c r="F1563" i="1"/>
  <c r="G1610" i="1"/>
  <c r="F1593" i="1"/>
  <c r="H1593" i="1"/>
  <c r="I1593" i="1"/>
  <c r="G1593" i="1"/>
  <c r="K1593" i="1"/>
  <c r="J1593" i="1"/>
  <c r="I1546" i="1"/>
  <c r="H1546" i="1"/>
  <c r="G1546" i="1"/>
  <c r="E1552" i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F1546" i="1"/>
  <c r="K1546" i="1"/>
  <c r="J1546" i="1"/>
  <c r="E1519" i="1" l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K1541" i="1" l="1"/>
  <c r="J1541" i="1"/>
  <c r="I1541" i="1"/>
  <c r="H1541" i="1"/>
  <c r="G1541" i="1"/>
  <c r="F1541" i="1"/>
  <c r="K1545" i="1"/>
  <c r="J1545" i="1"/>
  <c r="I1545" i="1"/>
  <c r="H1545" i="1"/>
  <c r="G1545" i="1"/>
  <c r="F1545" i="1"/>
  <c r="K1544" i="1"/>
  <c r="J1544" i="1"/>
  <c r="I1544" i="1"/>
  <c r="H1544" i="1"/>
  <c r="G1544" i="1"/>
  <c r="F1544" i="1"/>
  <c r="K1543" i="1"/>
  <c r="J1543" i="1"/>
  <c r="I1543" i="1"/>
  <c r="H1543" i="1"/>
  <c r="G1543" i="1"/>
  <c r="F1543" i="1"/>
  <c r="K1542" i="1"/>
  <c r="J1542" i="1"/>
  <c r="I1542" i="1"/>
  <c r="H1542" i="1"/>
  <c r="G1542" i="1"/>
  <c r="F1542" i="1"/>
  <c r="G1537" i="1"/>
  <c r="H1537" i="1"/>
  <c r="I1537" i="1"/>
  <c r="J1537" i="1"/>
  <c r="K1537" i="1"/>
  <c r="G1538" i="1"/>
  <c r="H1538" i="1"/>
  <c r="I1538" i="1"/>
  <c r="J1538" i="1"/>
  <c r="K1538" i="1"/>
  <c r="G1539" i="1"/>
  <c r="H1539" i="1"/>
  <c r="I1539" i="1"/>
  <c r="J1539" i="1"/>
  <c r="K1539" i="1"/>
  <c r="G1540" i="1"/>
  <c r="H1540" i="1"/>
  <c r="I1540" i="1"/>
  <c r="J1540" i="1"/>
  <c r="K1540" i="1"/>
  <c r="F1540" i="1"/>
  <c r="F1539" i="1"/>
  <c r="F1538" i="1"/>
  <c r="F1537" i="1"/>
  <c r="K1536" i="1"/>
  <c r="J1536" i="1"/>
  <c r="I1536" i="1"/>
  <c r="H1536" i="1"/>
  <c r="G1536" i="1"/>
  <c r="K1535" i="1"/>
  <c r="J1535" i="1"/>
  <c r="I1535" i="1"/>
  <c r="H1535" i="1"/>
  <c r="G1535" i="1"/>
  <c r="K1534" i="1"/>
  <c r="J1534" i="1"/>
  <c r="I1534" i="1"/>
  <c r="H1534" i="1"/>
  <c r="G1534" i="1"/>
  <c r="K1533" i="1"/>
  <c r="J1533" i="1"/>
  <c r="I1533" i="1"/>
  <c r="H1533" i="1"/>
  <c r="G1533" i="1"/>
  <c r="F1536" i="1"/>
  <c r="F1535" i="1"/>
  <c r="F1534" i="1"/>
  <c r="F1533" i="1"/>
  <c r="E1498" i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14" i="1" s="1"/>
  <c r="E1515" i="1" s="1"/>
  <c r="E1516" i="1" s="1"/>
  <c r="E1517" i="1" s="1"/>
  <c r="E1496" i="1"/>
  <c r="K1493" i="1"/>
  <c r="J1493" i="1"/>
  <c r="I1493" i="1"/>
  <c r="H1493" i="1"/>
  <c r="G1493" i="1"/>
  <c r="F1493" i="1"/>
  <c r="F1491" i="1"/>
  <c r="F1490" i="1" s="1"/>
  <c r="E1489" i="1"/>
  <c r="K1486" i="1"/>
  <c r="J1486" i="1"/>
  <c r="I1486" i="1"/>
  <c r="H1486" i="1"/>
  <c r="G1486" i="1"/>
  <c r="F1486" i="1"/>
  <c r="K1491" i="1"/>
  <c r="K1490" i="1" s="1"/>
  <c r="J1491" i="1"/>
  <c r="J1490" i="1" s="1"/>
  <c r="I1491" i="1"/>
  <c r="I1490" i="1" s="1"/>
  <c r="H1491" i="1"/>
  <c r="H1490" i="1" s="1"/>
  <c r="G1491" i="1"/>
  <c r="G1490" i="1" s="1"/>
  <c r="K1484" i="1"/>
  <c r="K1483" i="1" s="1"/>
  <c r="J1484" i="1"/>
  <c r="J1483" i="1" s="1"/>
  <c r="I1484" i="1"/>
  <c r="I1483" i="1" s="1"/>
  <c r="H1484" i="1"/>
  <c r="H1483" i="1" s="1"/>
  <c r="G1484" i="1"/>
  <c r="G1483" i="1" s="1"/>
  <c r="F1484" i="1"/>
  <c r="F1483" i="1" s="1"/>
  <c r="E1436" i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K1498" i="1" l="1"/>
  <c r="I1498" i="1"/>
  <c r="K1503" i="1"/>
  <c r="G1498" i="1"/>
  <c r="F1503" i="1"/>
  <c r="J1503" i="1"/>
  <c r="I1503" i="1"/>
  <c r="H1503" i="1"/>
  <c r="J1498" i="1"/>
  <c r="G1503" i="1"/>
  <c r="F1508" i="1"/>
  <c r="G1508" i="1"/>
  <c r="H1508" i="1"/>
  <c r="I1508" i="1"/>
  <c r="J1508" i="1"/>
  <c r="K1508" i="1"/>
  <c r="E1509" i="1"/>
  <c r="E1510" i="1" s="1"/>
  <c r="E1511" i="1" s="1"/>
  <c r="E1512" i="1" s="1"/>
  <c r="F1498" i="1"/>
  <c r="H1498" i="1"/>
  <c r="I1489" i="1"/>
  <c r="H1496" i="1"/>
  <c r="E1513" i="1"/>
  <c r="J1489" i="1"/>
  <c r="I1496" i="1"/>
  <c r="K1489" i="1"/>
  <c r="J1496" i="1"/>
  <c r="K1496" i="1"/>
  <c r="F1489" i="1"/>
  <c r="G1489" i="1"/>
  <c r="F1496" i="1"/>
  <c r="H1489" i="1"/>
  <c r="G1496" i="1"/>
  <c r="F1471" i="1"/>
  <c r="K1477" i="1"/>
  <c r="G1481" i="1"/>
  <c r="H1481" i="1"/>
  <c r="I1471" i="1"/>
  <c r="H1462" i="1"/>
  <c r="J1475" i="1"/>
  <c r="G1469" i="1"/>
  <c r="F1463" i="1"/>
  <c r="H1466" i="1"/>
  <c r="K1469" i="1"/>
  <c r="G1480" i="1"/>
  <c r="G1477" i="1"/>
  <c r="F1464" i="1"/>
  <c r="G1464" i="1"/>
  <c r="J1471" i="1"/>
  <c r="K1461" i="1"/>
  <c r="I1468" i="1"/>
  <c r="H1425" i="1"/>
  <c r="I1475" i="1"/>
  <c r="F1475" i="1"/>
  <c r="H1474" i="1"/>
  <c r="H1479" i="1"/>
  <c r="H1470" i="1"/>
  <c r="I1466" i="1"/>
  <c r="J1468" i="1"/>
  <c r="H1480" i="1"/>
  <c r="F1462" i="1"/>
  <c r="J1466" i="1"/>
  <c r="K1468" i="1"/>
  <c r="G1471" i="1"/>
  <c r="F1478" i="1"/>
  <c r="I1480" i="1"/>
  <c r="I1425" i="1"/>
  <c r="G1462" i="1"/>
  <c r="F1469" i="1"/>
  <c r="G1478" i="1"/>
  <c r="G1400" i="1"/>
  <c r="H1464" i="1"/>
  <c r="H1471" i="1"/>
  <c r="J1473" i="1"/>
  <c r="K1475" i="1"/>
  <c r="H1478" i="1"/>
  <c r="K1480" i="1"/>
  <c r="I1464" i="1"/>
  <c r="I1478" i="1"/>
  <c r="K1425" i="1"/>
  <c r="I1462" i="1"/>
  <c r="J1464" i="1"/>
  <c r="J1478" i="1"/>
  <c r="J1462" i="1"/>
  <c r="H1469" i="1"/>
  <c r="K1462" i="1"/>
  <c r="F1465" i="1"/>
  <c r="I1469" i="1"/>
  <c r="G1474" i="1"/>
  <c r="J1469" i="1"/>
  <c r="I1476" i="1"/>
  <c r="I1481" i="1"/>
  <c r="G1473" i="1"/>
  <c r="G1463" i="1"/>
  <c r="F1470" i="1"/>
  <c r="G1472" i="1"/>
  <c r="J1481" i="1"/>
  <c r="F1477" i="1"/>
  <c r="K1481" i="1"/>
  <c r="G1482" i="1"/>
  <c r="H1475" i="1"/>
  <c r="K1472" i="1"/>
  <c r="K1479" i="1"/>
  <c r="J1482" i="1"/>
  <c r="F1480" i="1"/>
  <c r="K1482" i="1"/>
  <c r="G1460" i="1"/>
  <c r="K1473" i="1"/>
  <c r="F1481" i="1"/>
  <c r="F1467" i="1"/>
  <c r="K1464" i="1"/>
  <c r="G1467" i="1"/>
  <c r="F1474" i="1"/>
  <c r="G1476" i="1"/>
  <c r="K1478" i="1"/>
  <c r="I1473" i="1"/>
  <c r="F1460" i="1"/>
  <c r="F1435" i="1"/>
  <c r="H1435" i="1"/>
  <c r="F1406" i="1"/>
  <c r="I1435" i="1"/>
  <c r="I1460" i="1"/>
  <c r="H1467" i="1"/>
  <c r="K1471" i="1"/>
  <c r="H1476" i="1"/>
  <c r="F1479" i="1"/>
  <c r="J1480" i="1"/>
  <c r="G1406" i="1"/>
  <c r="J1435" i="1"/>
  <c r="J1460" i="1"/>
  <c r="G1465" i="1"/>
  <c r="F1472" i="1"/>
  <c r="G1479" i="1"/>
  <c r="H1400" i="1"/>
  <c r="H1460" i="1"/>
  <c r="K1476" i="1"/>
  <c r="J1400" i="1"/>
  <c r="K1466" i="1"/>
  <c r="I1467" i="1"/>
  <c r="I1465" i="1"/>
  <c r="J1474" i="1"/>
  <c r="K1406" i="1"/>
  <c r="G1411" i="1"/>
  <c r="H1463" i="1"/>
  <c r="J1465" i="1"/>
  <c r="K1467" i="1"/>
  <c r="H1472" i="1"/>
  <c r="F1482" i="1"/>
  <c r="F1476" i="1"/>
  <c r="H1406" i="1"/>
  <c r="H1465" i="1"/>
  <c r="K1435" i="1"/>
  <c r="K1460" i="1"/>
  <c r="I1474" i="1"/>
  <c r="I1406" i="1"/>
  <c r="J1425" i="1"/>
  <c r="J1406" i="1"/>
  <c r="J1467" i="1"/>
  <c r="G1461" i="1"/>
  <c r="F1468" i="1"/>
  <c r="I1472" i="1"/>
  <c r="I1479" i="1"/>
  <c r="H1473" i="1"/>
  <c r="K1400" i="1"/>
  <c r="F1461" i="1"/>
  <c r="G1470" i="1"/>
  <c r="K1474" i="1"/>
  <c r="H1411" i="1"/>
  <c r="I1411" i="1"/>
  <c r="I1463" i="1"/>
  <c r="K1465" i="1"/>
  <c r="I1470" i="1"/>
  <c r="J1472" i="1"/>
  <c r="H1482" i="1"/>
  <c r="J1411" i="1"/>
  <c r="H1461" i="1"/>
  <c r="F1466" i="1"/>
  <c r="G1468" i="1"/>
  <c r="J1470" i="1"/>
  <c r="G1475" i="1"/>
  <c r="H1477" i="1"/>
  <c r="J1479" i="1"/>
  <c r="I1482" i="1"/>
  <c r="I1400" i="1"/>
  <c r="K1411" i="1"/>
  <c r="F1425" i="1"/>
  <c r="I1461" i="1"/>
  <c r="J1463" i="1"/>
  <c r="G1466" i="1"/>
  <c r="K1470" i="1"/>
  <c r="F1473" i="1"/>
  <c r="I1477" i="1"/>
  <c r="J1476" i="1"/>
  <c r="F1411" i="1"/>
  <c r="F1400" i="1"/>
  <c r="G1425" i="1"/>
  <c r="J1461" i="1"/>
  <c r="K1463" i="1"/>
  <c r="H1468" i="1"/>
  <c r="J1477" i="1"/>
  <c r="G1435" i="1"/>
  <c r="I1512" i="1" l="1"/>
  <c r="F1415" i="1"/>
  <c r="F1512" i="1"/>
  <c r="H1429" i="1"/>
  <c r="H1512" i="1"/>
  <c r="G1512" i="1"/>
  <c r="I1429" i="1"/>
  <c r="H1415" i="1"/>
  <c r="I1415" i="1"/>
  <c r="F1429" i="1"/>
  <c r="G1415" i="1"/>
  <c r="G1429" i="1"/>
  <c r="K1497" i="1"/>
  <c r="I1497" i="1"/>
  <c r="J1497" i="1"/>
  <c r="H1497" i="1"/>
  <c r="F1497" i="1"/>
  <c r="G1497" i="1"/>
  <c r="G1399" i="1"/>
  <c r="H1399" i="1"/>
  <c r="F1399" i="1"/>
  <c r="J1399" i="1"/>
  <c r="I1399" i="1"/>
  <c r="K1399" i="1"/>
  <c r="E1352" i="1" l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K1322" i="1" l="1"/>
  <c r="J1388" i="1"/>
  <c r="H1395" i="1"/>
  <c r="J1398" i="1"/>
  <c r="G1382" i="1"/>
  <c r="I1385" i="1"/>
  <c r="K1388" i="1"/>
  <c r="I1395" i="1"/>
  <c r="K1398" i="1"/>
  <c r="H1382" i="1"/>
  <c r="J1385" i="1"/>
  <c r="J1395" i="1"/>
  <c r="I1382" i="1"/>
  <c r="K1385" i="1"/>
  <c r="I1392" i="1"/>
  <c r="K1395" i="1"/>
  <c r="J1382" i="1"/>
  <c r="H1389" i="1"/>
  <c r="J1392" i="1"/>
  <c r="F1396" i="1"/>
  <c r="K1382" i="1"/>
  <c r="I1389" i="1"/>
  <c r="K1392" i="1"/>
  <c r="G1396" i="1"/>
  <c r="F1383" i="1"/>
  <c r="J1389" i="1"/>
  <c r="F1393" i="1"/>
  <c r="H1396" i="1"/>
  <c r="G1383" i="1"/>
  <c r="I1386" i="1"/>
  <c r="K1389" i="1"/>
  <c r="I1396" i="1"/>
  <c r="J1351" i="1"/>
  <c r="H1383" i="1"/>
  <c r="J1386" i="1"/>
  <c r="J1396" i="1"/>
  <c r="I1383" i="1"/>
  <c r="K1386" i="1"/>
  <c r="I1393" i="1"/>
  <c r="K1396" i="1"/>
  <c r="J1383" i="1"/>
  <c r="F1387" i="1"/>
  <c r="J1393" i="1"/>
  <c r="F1397" i="1"/>
  <c r="K1383" i="1"/>
  <c r="I1390" i="1"/>
  <c r="K1393" i="1"/>
  <c r="G1397" i="1"/>
  <c r="J1390" i="1"/>
  <c r="H1397" i="1"/>
  <c r="I1387" i="1"/>
  <c r="K1390" i="1"/>
  <c r="G1394" i="1"/>
  <c r="I1397" i="1"/>
  <c r="F1381" i="1"/>
  <c r="H1384" i="1"/>
  <c r="J1387" i="1"/>
  <c r="H1394" i="1"/>
  <c r="J1397" i="1"/>
  <c r="G1381" i="1"/>
  <c r="I1384" i="1"/>
  <c r="K1387" i="1"/>
  <c r="G1391" i="1"/>
  <c r="I1394" i="1"/>
  <c r="K1397" i="1"/>
  <c r="H1381" i="1"/>
  <c r="J1384" i="1"/>
  <c r="J1394" i="1"/>
  <c r="I1381" i="1"/>
  <c r="K1384" i="1"/>
  <c r="I1391" i="1"/>
  <c r="K1394" i="1"/>
  <c r="G1398" i="1"/>
  <c r="J1381" i="1"/>
  <c r="J1391" i="1"/>
  <c r="H1398" i="1"/>
  <c r="K1381" i="1"/>
  <c r="G1385" i="1"/>
  <c r="I1388" i="1"/>
  <c r="K1391" i="1"/>
  <c r="G1395" i="1"/>
  <c r="I1398" i="1"/>
  <c r="H1392" i="1"/>
  <c r="H1385" i="1"/>
  <c r="H1386" i="1"/>
  <c r="H1393" i="1"/>
  <c r="H1390" i="1"/>
  <c r="H1387" i="1"/>
  <c r="H1391" i="1"/>
  <c r="H1388" i="1"/>
  <c r="G1392" i="1"/>
  <c r="G1389" i="1"/>
  <c r="G1386" i="1"/>
  <c r="G1393" i="1"/>
  <c r="G1390" i="1"/>
  <c r="G1387" i="1"/>
  <c r="G1384" i="1"/>
  <c r="G1322" i="1"/>
  <c r="G1388" i="1"/>
  <c r="F1385" i="1"/>
  <c r="F1395" i="1"/>
  <c r="F1382" i="1"/>
  <c r="F1392" i="1"/>
  <c r="F1389" i="1"/>
  <c r="F1386" i="1"/>
  <c r="F1390" i="1"/>
  <c r="F1384" i="1"/>
  <c r="F1394" i="1"/>
  <c r="F1391" i="1"/>
  <c r="F1388" i="1"/>
  <c r="F1398" i="1"/>
  <c r="K1351" i="1"/>
  <c r="F1351" i="1"/>
  <c r="G1351" i="1"/>
  <c r="H1351" i="1"/>
  <c r="I1351" i="1"/>
  <c r="F1322" i="1"/>
  <c r="J1322" i="1"/>
  <c r="H1322" i="1"/>
  <c r="I1322" i="1"/>
  <c r="K1341" i="1"/>
  <c r="G1341" i="1"/>
  <c r="H1341" i="1"/>
  <c r="F1341" i="1"/>
  <c r="I1341" i="1"/>
  <c r="J1341" i="1"/>
  <c r="K1327" i="1"/>
  <c r="F1327" i="1"/>
  <c r="J1327" i="1"/>
  <c r="I1327" i="1"/>
  <c r="H1327" i="1"/>
  <c r="G1327" i="1"/>
  <c r="G1331" i="1" l="1"/>
  <c r="I1331" i="1"/>
  <c r="H1331" i="1"/>
  <c r="I1345" i="1"/>
  <c r="F1331" i="1"/>
  <c r="F1345" i="1"/>
  <c r="H1345" i="1"/>
  <c r="G1345" i="1"/>
  <c r="K1380" i="1"/>
  <c r="J1380" i="1"/>
  <c r="I1380" i="1"/>
  <c r="H1380" i="1"/>
  <c r="G1380" i="1"/>
  <c r="F1380" i="1"/>
  <c r="K1379" i="1"/>
  <c r="J1379" i="1"/>
  <c r="I1379" i="1"/>
  <c r="H1379" i="1"/>
  <c r="G1379" i="1"/>
  <c r="F1379" i="1"/>
  <c r="K1378" i="1"/>
  <c r="J1378" i="1"/>
  <c r="I1378" i="1"/>
  <c r="H1378" i="1"/>
  <c r="G1378" i="1"/>
  <c r="F1378" i="1"/>
  <c r="K1377" i="1"/>
  <c r="J1377" i="1"/>
  <c r="I1377" i="1"/>
  <c r="H1377" i="1"/>
  <c r="G1377" i="1"/>
  <c r="F1377" i="1"/>
  <c r="F1316" i="1" l="1"/>
  <c r="F1315" i="1" s="1"/>
  <c r="F1376" i="1"/>
  <c r="G1316" i="1"/>
  <c r="G1315" i="1" s="1"/>
  <c r="G1376" i="1"/>
  <c r="H1316" i="1"/>
  <c r="H1315" i="1" s="1"/>
  <c r="H1376" i="1"/>
  <c r="I1316" i="1"/>
  <c r="I1315" i="1" s="1"/>
  <c r="I1376" i="1"/>
  <c r="J1316" i="1"/>
  <c r="J1315" i="1" s="1"/>
  <c r="J1376" i="1"/>
  <c r="K1316" i="1"/>
  <c r="K1315" i="1" s="1"/>
  <c r="K1376" i="1"/>
  <c r="E1265" i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214" i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F1213" i="1" l="1"/>
  <c r="G1213" i="1"/>
  <c r="H1213" i="1"/>
  <c r="I1213" i="1"/>
  <c r="J1213" i="1"/>
  <c r="K1213" i="1"/>
  <c r="K1299" i="1" l="1"/>
  <c r="J1299" i="1"/>
  <c r="I1299" i="1"/>
  <c r="H1299" i="1"/>
  <c r="G1299" i="1"/>
  <c r="F1299" i="1"/>
  <c r="F1314" i="1"/>
  <c r="F1313" i="1"/>
  <c r="F1312" i="1"/>
  <c r="F1311" i="1"/>
  <c r="F1310" i="1"/>
  <c r="E1181" i="1"/>
  <c r="E1182" i="1" s="1"/>
  <c r="E1183" i="1" s="1"/>
  <c r="E1184" i="1" s="1"/>
  <c r="E1158" i="1"/>
  <c r="E1159" i="1" s="1"/>
  <c r="E1160" i="1" s="1"/>
  <c r="E1161" i="1" s="1"/>
  <c r="K1313" i="1"/>
  <c r="J1313" i="1"/>
  <c r="I1313" i="1"/>
  <c r="H1313" i="1"/>
  <c r="G1313" i="1"/>
  <c r="K1312" i="1"/>
  <c r="J1312" i="1"/>
  <c r="I1312" i="1"/>
  <c r="H1312" i="1"/>
  <c r="G1312" i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F1309" i="1"/>
  <c r="K1308" i="1"/>
  <c r="J1308" i="1"/>
  <c r="I1308" i="1"/>
  <c r="H1308" i="1"/>
  <c r="G1308" i="1"/>
  <c r="F1308" i="1"/>
  <c r="K1307" i="1"/>
  <c r="J1307" i="1"/>
  <c r="I1307" i="1"/>
  <c r="H1307" i="1"/>
  <c r="G1307" i="1"/>
  <c r="F1307" i="1"/>
  <c r="K1306" i="1"/>
  <c r="J1306" i="1"/>
  <c r="I1306" i="1"/>
  <c r="H1306" i="1"/>
  <c r="G1306" i="1"/>
  <c r="F1306" i="1"/>
  <c r="K1305" i="1"/>
  <c r="J1305" i="1"/>
  <c r="I1305" i="1"/>
  <c r="H1305" i="1"/>
  <c r="G1305" i="1"/>
  <c r="F1305" i="1"/>
  <c r="K1304" i="1"/>
  <c r="J1304" i="1"/>
  <c r="I1304" i="1"/>
  <c r="H1304" i="1"/>
  <c r="G1304" i="1"/>
  <c r="F1304" i="1"/>
  <c r="K1303" i="1"/>
  <c r="J1303" i="1"/>
  <c r="I1303" i="1"/>
  <c r="H1303" i="1"/>
  <c r="G1303" i="1"/>
  <c r="F1303" i="1"/>
  <c r="K1302" i="1"/>
  <c r="J1302" i="1"/>
  <c r="I1302" i="1"/>
  <c r="H1302" i="1"/>
  <c r="G1302" i="1"/>
  <c r="F1302" i="1"/>
  <c r="K1301" i="1"/>
  <c r="J1301" i="1"/>
  <c r="I1301" i="1"/>
  <c r="H1301" i="1"/>
  <c r="G1301" i="1"/>
  <c r="F1301" i="1"/>
  <c r="K1300" i="1"/>
  <c r="J1300" i="1"/>
  <c r="I1300" i="1"/>
  <c r="H1300" i="1"/>
  <c r="G1300" i="1"/>
  <c r="F1300" i="1"/>
  <c r="K1298" i="1"/>
  <c r="J1298" i="1"/>
  <c r="I1298" i="1"/>
  <c r="H1298" i="1"/>
  <c r="G1298" i="1"/>
  <c r="F1298" i="1"/>
  <c r="K1297" i="1"/>
  <c r="J1297" i="1"/>
  <c r="I1297" i="1"/>
  <c r="H1297" i="1"/>
  <c r="G1297" i="1"/>
  <c r="F1297" i="1"/>
  <c r="K1296" i="1"/>
  <c r="J1296" i="1"/>
  <c r="I1296" i="1"/>
  <c r="H1296" i="1"/>
  <c r="G1296" i="1"/>
  <c r="F1296" i="1"/>
  <c r="K1295" i="1"/>
  <c r="J1295" i="1"/>
  <c r="I1295" i="1"/>
  <c r="H1295" i="1"/>
  <c r="G1295" i="1"/>
  <c r="F1295" i="1"/>
  <c r="K1294" i="1"/>
  <c r="J1294" i="1"/>
  <c r="I1294" i="1"/>
  <c r="H1294" i="1"/>
  <c r="G1294" i="1"/>
  <c r="F1294" i="1"/>
  <c r="K1293" i="1"/>
  <c r="J1293" i="1"/>
  <c r="I1293" i="1"/>
  <c r="H1293" i="1"/>
  <c r="G1293" i="1"/>
  <c r="F1293" i="1"/>
  <c r="K1292" i="1"/>
  <c r="J1292" i="1"/>
  <c r="I1292" i="1"/>
  <c r="H1292" i="1"/>
  <c r="G1292" i="1"/>
  <c r="F1292" i="1"/>
  <c r="K1291" i="1"/>
  <c r="J1291" i="1"/>
  <c r="I1291" i="1"/>
  <c r="H1291" i="1"/>
  <c r="G1291" i="1"/>
  <c r="F1291" i="1"/>
  <c r="K1290" i="1"/>
  <c r="J1290" i="1"/>
  <c r="I1290" i="1"/>
  <c r="H1290" i="1"/>
  <c r="G1290" i="1"/>
  <c r="F1290" i="1"/>
  <c r="K1289" i="1"/>
  <c r="J1289" i="1"/>
  <c r="I1289" i="1"/>
  <c r="H1289" i="1"/>
  <c r="G1289" i="1"/>
  <c r="F1289" i="1"/>
  <c r="K1288" i="1"/>
  <c r="J1288" i="1"/>
  <c r="I1288" i="1"/>
  <c r="H1288" i="1"/>
  <c r="G1288" i="1"/>
  <c r="F1288" i="1"/>
  <c r="K1271" i="1" l="1"/>
  <c r="J1272" i="1"/>
  <c r="F1277" i="1"/>
  <c r="J1271" i="1"/>
  <c r="K1272" i="1"/>
  <c r="G1277" i="1"/>
  <c r="F1273" i="1"/>
  <c r="F1274" i="1"/>
  <c r="H1277" i="1"/>
  <c r="G1273" i="1"/>
  <c r="G1274" i="1"/>
  <c r="I1277" i="1"/>
  <c r="F1270" i="1"/>
  <c r="H1273" i="1"/>
  <c r="H1274" i="1"/>
  <c r="J1277" i="1"/>
  <c r="G1270" i="1"/>
  <c r="I1273" i="1"/>
  <c r="I1274" i="1"/>
  <c r="K1277" i="1"/>
  <c r="H1270" i="1"/>
  <c r="J1273" i="1"/>
  <c r="J1274" i="1"/>
  <c r="I1270" i="1"/>
  <c r="K1273" i="1"/>
  <c r="K1274" i="1"/>
  <c r="J1270" i="1"/>
  <c r="F1275" i="1"/>
  <c r="K1270" i="1"/>
  <c r="G1275" i="1"/>
  <c r="F1271" i="1"/>
  <c r="H1275" i="1"/>
  <c r="G1271" i="1"/>
  <c r="I1275" i="1"/>
  <c r="H1271" i="1"/>
  <c r="J1275" i="1"/>
  <c r="I1271" i="1"/>
  <c r="K1275" i="1"/>
  <c r="F1276" i="1"/>
  <c r="G1276" i="1"/>
  <c r="F1272" i="1"/>
  <c r="H1276" i="1"/>
  <c r="G1272" i="1"/>
  <c r="I1276" i="1"/>
  <c r="H1272" i="1"/>
  <c r="J1276" i="1"/>
  <c r="I1272" i="1"/>
  <c r="K1276" i="1"/>
  <c r="K1203" i="1"/>
  <c r="K1180" i="1"/>
  <c r="H1203" i="1"/>
  <c r="J1203" i="1"/>
  <c r="F1180" i="1"/>
  <c r="H1180" i="1"/>
  <c r="J1180" i="1"/>
  <c r="F1203" i="1"/>
  <c r="I1180" i="1"/>
  <c r="G1203" i="1"/>
  <c r="G1180" i="1"/>
  <c r="I1203" i="1"/>
  <c r="I1207" i="1" l="1"/>
  <c r="H1207" i="1"/>
  <c r="G1207" i="1"/>
  <c r="F1184" i="1"/>
  <c r="H1184" i="1"/>
  <c r="G1184" i="1"/>
  <c r="I1184" i="1"/>
  <c r="F1207" i="1"/>
  <c r="J1314" i="1"/>
  <c r="K1314" i="1"/>
  <c r="G1314" i="1"/>
  <c r="I1314" i="1"/>
  <c r="H1314" i="1"/>
  <c r="K1287" i="1" l="1"/>
  <c r="J1287" i="1"/>
  <c r="I1287" i="1"/>
  <c r="H1287" i="1"/>
  <c r="G1287" i="1"/>
  <c r="F1287" i="1"/>
  <c r="K1286" i="1"/>
  <c r="J1286" i="1"/>
  <c r="I1286" i="1"/>
  <c r="H1286" i="1"/>
  <c r="G1286" i="1"/>
  <c r="F1286" i="1"/>
  <c r="K1285" i="1"/>
  <c r="J1285" i="1"/>
  <c r="I1285" i="1"/>
  <c r="H1285" i="1"/>
  <c r="G1285" i="1"/>
  <c r="F1285" i="1"/>
  <c r="F1284" i="1"/>
  <c r="G1284" i="1"/>
  <c r="H1284" i="1"/>
  <c r="I1284" i="1"/>
  <c r="J1284" i="1"/>
  <c r="K1284" i="1"/>
  <c r="K1283" i="1"/>
  <c r="J1283" i="1"/>
  <c r="I1283" i="1"/>
  <c r="H1283" i="1"/>
  <c r="G1283" i="1"/>
  <c r="F1283" i="1"/>
  <c r="K1282" i="1"/>
  <c r="J1282" i="1"/>
  <c r="I1282" i="1"/>
  <c r="H1282" i="1"/>
  <c r="G1282" i="1"/>
  <c r="F1282" i="1"/>
  <c r="K1281" i="1"/>
  <c r="J1281" i="1"/>
  <c r="I1281" i="1"/>
  <c r="H1281" i="1"/>
  <c r="G1281" i="1"/>
  <c r="F1281" i="1"/>
  <c r="J1157" i="1" l="1"/>
  <c r="G1157" i="1"/>
  <c r="H1157" i="1"/>
  <c r="F1157" i="1"/>
  <c r="I1157" i="1"/>
  <c r="K1157" i="1"/>
  <c r="K1280" i="1"/>
  <c r="J1280" i="1"/>
  <c r="I1280" i="1"/>
  <c r="H1280" i="1"/>
  <c r="G1280" i="1"/>
  <c r="F1280" i="1"/>
  <c r="K1279" i="1"/>
  <c r="J1279" i="1"/>
  <c r="I1279" i="1"/>
  <c r="H1279" i="1"/>
  <c r="G1279" i="1"/>
  <c r="F1279" i="1"/>
  <c r="K1278" i="1"/>
  <c r="J1278" i="1"/>
  <c r="I1278" i="1"/>
  <c r="H1278" i="1"/>
  <c r="G1278" i="1"/>
  <c r="F1278" i="1"/>
  <c r="K1269" i="1"/>
  <c r="J1269" i="1"/>
  <c r="I1269" i="1"/>
  <c r="H1269" i="1"/>
  <c r="G1269" i="1"/>
  <c r="F1269" i="1"/>
  <c r="K1268" i="1"/>
  <c r="J1268" i="1"/>
  <c r="I1268" i="1"/>
  <c r="H1268" i="1"/>
  <c r="G1268" i="1"/>
  <c r="F1268" i="1"/>
  <c r="K1267" i="1"/>
  <c r="J1267" i="1"/>
  <c r="I1267" i="1"/>
  <c r="H1267" i="1"/>
  <c r="G1267" i="1"/>
  <c r="F1267" i="1"/>
  <c r="K1266" i="1"/>
  <c r="J1266" i="1"/>
  <c r="I1266" i="1"/>
  <c r="H1266" i="1"/>
  <c r="G1266" i="1"/>
  <c r="F1266" i="1"/>
  <c r="J1265" i="1"/>
  <c r="I1265" i="1"/>
  <c r="H1265" i="1"/>
  <c r="G1265" i="1"/>
  <c r="F1265" i="1"/>
  <c r="I1161" i="1" l="1"/>
  <c r="F1161" i="1"/>
  <c r="G1161" i="1"/>
  <c r="H1161" i="1"/>
  <c r="K1137" i="1"/>
  <c r="K1265" i="1"/>
  <c r="J1137" i="1"/>
  <c r="F1137" i="1"/>
  <c r="I1137" i="1"/>
  <c r="G1137" i="1"/>
  <c r="H1137" i="1"/>
  <c r="K1152" i="1"/>
  <c r="H1152" i="1"/>
  <c r="J1152" i="1"/>
  <c r="G1152" i="1"/>
  <c r="I1152" i="1"/>
  <c r="F1152" i="1"/>
  <c r="G1131" i="1"/>
  <c r="G1130" i="1"/>
  <c r="G1129" i="1"/>
  <c r="G1128" i="1"/>
  <c r="K1136" i="1" l="1"/>
  <c r="H7" i="4" s="1"/>
  <c r="F1136" i="1"/>
  <c r="C7" i="4" s="1"/>
  <c r="H1136" i="1"/>
  <c r="E7" i="4" s="1"/>
  <c r="G1136" i="1"/>
  <c r="D7" i="4" s="1"/>
  <c r="I1136" i="1"/>
  <c r="F7" i="4" s="1"/>
  <c r="J1136" i="1"/>
  <c r="G7" i="4" s="1"/>
  <c r="K1079" i="1"/>
  <c r="J1079" i="1"/>
  <c r="I1079" i="1"/>
  <c r="H1079" i="1"/>
  <c r="G1079" i="1"/>
  <c r="F1079" i="1"/>
  <c r="K1077" i="1"/>
  <c r="J1077" i="1"/>
  <c r="I1077" i="1"/>
  <c r="H1077" i="1"/>
  <c r="G1077" i="1"/>
  <c r="F1077" i="1"/>
  <c r="K1075" i="1"/>
  <c r="J1075" i="1"/>
  <c r="I1075" i="1"/>
  <c r="H1075" i="1"/>
  <c r="G1075" i="1"/>
  <c r="F1075" i="1"/>
  <c r="G1073" i="1"/>
  <c r="H1073" i="1"/>
  <c r="I1073" i="1"/>
  <c r="J1073" i="1"/>
  <c r="K1073" i="1"/>
  <c r="F1073" i="1"/>
  <c r="K1065" i="1"/>
  <c r="J1065" i="1"/>
  <c r="I1065" i="1"/>
  <c r="H1065" i="1"/>
  <c r="G1065" i="1"/>
  <c r="F1065" i="1"/>
  <c r="J1060" i="1"/>
  <c r="H1060" i="1"/>
  <c r="G1060" i="1"/>
  <c r="F1060" i="1"/>
  <c r="K453" i="1"/>
  <c r="J453" i="1"/>
  <c r="I453" i="1"/>
  <c r="H453" i="1"/>
  <c r="G453" i="1"/>
  <c r="F453" i="1"/>
  <c r="K223" i="1"/>
  <c r="J223" i="1"/>
  <c r="I223" i="1"/>
  <c r="H223" i="1"/>
  <c r="G223" i="1"/>
  <c r="F223" i="1"/>
  <c r="C215" i="1"/>
  <c r="B215" i="1"/>
  <c r="C213" i="1"/>
  <c r="B213" i="1"/>
  <c r="C191" i="1"/>
  <c r="B191" i="1"/>
  <c r="E1036" i="1"/>
  <c r="E1037" i="1" s="1"/>
  <c r="K1040" i="1"/>
  <c r="J1040" i="1"/>
  <c r="I1040" i="1"/>
  <c r="H1040" i="1"/>
  <c r="G1040" i="1"/>
  <c r="F1040" i="1"/>
  <c r="K1038" i="1"/>
  <c r="J1038" i="1"/>
  <c r="I1038" i="1"/>
  <c r="H1038" i="1"/>
  <c r="G1038" i="1"/>
  <c r="F1038" i="1"/>
  <c r="K1031" i="1"/>
  <c r="J1031" i="1"/>
  <c r="I1031" i="1"/>
  <c r="H1031" i="1"/>
  <c r="G1031" i="1"/>
  <c r="F1031" i="1"/>
  <c r="K1026" i="1"/>
  <c r="J1026" i="1"/>
  <c r="I1026" i="1"/>
  <c r="H1026" i="1"/>
  <c r="G1026" i="1"/>
  <c r="F1026" i="1"/>
  <c r="G1028" i="1"/>
  <c r="H1028" i="1"/>
  <c r="I1028" i="1"/>
  <c r="J1028" i="1"/>
  <c r="K1028" i="1"/>
  <c r="F1028" i="1"/>
  <c r="K1023" i="1"/>
  <c r="J1023" i="1"/>
  <c r="I1023" i="1"/>
  <c r="H1023" i="1"/>
  <c r="G1023" i="1"/>
  <c r="F1023" i="1"/>
  <c r="F1120" i="1" l="1"/>
  <c r="K1120" i="1"/>
  <c r="J1120" i="1"/>
  <c r="I1120" i="1"/>
  <c r="H1120" i="1"/>
  <c r="G1120" i="1"/>
  <c r="F1122" i="1"/>
  <c r="I1086" i="1"/>
  <c r="G1122" i="1"/>
  <c r="H1122" i="1"/>
  <c r="K1086" i="1"/>
  <c r="I1122" i="1"/>
  <c r="J1122" i="1"/>
  <c r="K1122" i="1"/>
  <c r="I1072" i="1"/>
  <c r="I1098" i="1" s="1"/>
  <c r="H1103" i="1"/>
  <c r="J1103" i="1"/>
  <c r="F1088" i="1"/>
  <c r="G1088" i="1"/>
  <c r="H1088" i="1"/>
  <c r="I1088" i="1"/>
  <c r="F1103" i="1"/>
  <c r="J1088" i="1"/>
  <c r="I1103" i="1"/>
  <c r="K1088" i="1"/>
  <c r="G1103" i="1"/>
  <c r="K1103" i="1"/>
  <c r="K1060" i="1"/>
  <c r="I1060" i="1"/>
  <c r="H1062" i="1"/>
  <c r="I1062" i="1"/>
  <c r="F1062" i="1"/>
  <c r="K1072" i="1"/>
  <c r="K1098" i="1" s="1"/>
  <c r="J1072" i="1"/>
  <c r="J1098" i="1" s="1"/>
  <c r="G1072" i="1"/>
  <c r="G1098" i="1" s="1"/>
  <c r="G1062" i="1"/>
  <c r="H1072" i="1"/>
  <c r="H1098" i="1" s="1"/>
  <c r="J1062" i="1"/>
  <c r="K1062" i="1"/>
  <c r="F1072" i="1"/>
  <c r="F1098" i="1" s="1"/>
  <c r="I1037" i="1"/>
  <c r="G1037" i="1"/>
  <c r="K1037" i="1"/>
  <c r="F1037" i="1"/>
  <c r="H1037" i="1"/>
  <c r="J1037" i="1"/>
  <c r="F1025" i="1"/>
  <c r="F1022" i="1" s="1"/>
  <c r="G1025" i="1"/>
  <c r="G1022" i="1" s="1"/>
  <c r="H1025" i="1"/>
  <c r="H1022" i="1" s="1"/>
  <c r="I1025" i="1"/>
  <c r="I1022" i="1" s="1"/>
  <c r="J1025" i="1"/>
  <c r="J1022" i="1" s="1"/>
  <c r="K1025" i="1"/>
  <c r="K1022" i="1" s="1"/>
  <c r="F1093" i="1" l="1"/>
  <c r="G1093" i="1"/>
  <c r="I1093" i="1"/>
  <c r="H1093" i="1"/>
  <c r="J1093" i="1"/>
  <c r="K1093" i="1"/>
  <c r="G1086" i="1"/>
  <c r="G1099" i="1"/>
  <c r="G1132" i="1"/>
  <c r="K1099" i="1"/>
  <c r="K1132" i="1"/>
  <c r="J1101" i="1"/>
  <c r="J1133" i="1"/>
  <c r="I1101" i="1"/>
  <c r="I1133" i="1"/>
  <c r="F1101" i="1"/>
  <c r="F1133" i="1"/>
  <c r="J1086" i="1"/>
  <c r="I1105" i="1"/>
  <c r="I1135" i="1"/>
  <c r="F1105" i="1"/>
  <c r="F1135" i="1"/>
  <c r="F1086" i="1"/>
  <c r="K1105" i="1"/>
  <c r="K1135" i="1"/>
  <c r="G1101" i="1"/>
  <c r="G1133" i="1"/>
  <c r="H1105" i="1"/>
  <c r="H1135" i="1"/>
  <c r="J1105" i="1"/>
  <c r="J1135" i="1"/>
  <c r="F1099" i="1"/>
  <c r="F1132" i="1"/>
  <c r="H1101" i="1"/>
  <c r="H1133" i="1"/>
  <c r="G1105" i="1"/>
  <c r="G1135" i="1"/>
  <c r="J1099" i="1"/>
  <c r="J1132" i="1"/>
  <c r="I1099" i="1"/>
  <c r="I1132" i="1"/>
  <c r="H1099" i="1"/>
  <c r="H1132" i="1"/>
  <c r="K1101" i="1"/>
  <c r="K1133" i="1"/>
  <c r="H1086" i="1"/>
  <c r="K1016" i="1" l="1"/>
  <c r="K1017" i="1" s="1"/>
  <c r="K1114" i="1" s="1"/>
  <c r="J1016" i="1"/>
  <c r="J1017" i="1" s="1"/>
  <c r="J1114" i="1" s="1"/>
  <c r="I1016" i="1"/>
  <c r="I1017" i="1" s="1"/>
  <c r="I1114" i="1" s="1"/>
  <c r="H1016" i="1"/>
  <c r="H1017" i="1" s="1"/>
  <c r="H1114" i="1" s="1"/>
  <c r="G1016" i="1"/>
  <c r="G1017" i="1" s="1"/>
  <c r="G1114" i="1" s="1"/>
  <c r="F1016" i="1"/>
  <c r="F1017" i="1" s="1"/>
  <c r="F1114" i="1" s="1"/>
  <c r="G1021" i="1" l="1"/>
  <c r="G1020" i="1" s="1"/>
  <c r="G1119" i="1"/>
  <c r="H1021" i="1"/>
  <c r="H1020" i="1" s="1"/>
  <c r="H1119" i="1"/>
  <c r="I1021" i="1"/>
  <c r="I1020" i="1" s="1"/>
  <c r="I1119" i="1"/>
  <c r="J1021" i="1"/>
  <c r="J1020" i="1" s="1"/>
  <c r="J1119" i="1"/>
  <c r="K1021" i="1"/>
  <c r="K1020" i="1" s="1"/>
  <c r="K1119" i="1"/>
  <c r="F1021" i="1"/>
  <c r="F1020" i="1" s="1"/>
  <c r="F1119" i="1"/>
  <c r="K1036" i="1" l="1"/>
  <c r="J1036" i="1"/>
  <c r="J1033" i="1"/>
  <c r="J1034" i="1" s="1"/>
  <c r="I1033" i="1"/>
  <c r="I1034" i="1" s="1"/>
  <c r="H1033" i="1"/>
  <c r="H1034" i="1" s="1"/>
  <c r="F1033" i="1"/>
  <c r="F1034" i="1" s="1"/>
  <c r="G1033" i="1" l="1"/>
  <c r="G1034" i="1" s="1"/>
  <c r="K1033" i="1"/>
  <c r="K1034" i="1" s="1"/>
  <c r="H1036" i="1" l="1"/>
  <c r="I1036" i="1"/>
  <c r="F1036" i="1"/>
  <c r="G1036" i="1"/>
  <c r="G1057" i="1" l="1"/>
  <c r="J1057" i="1"/>
  <c r="K1057" i="1"/>
  <c r="F1057" i="1"/>
  <c r="H1057" i="1"/>
  <c r="I1057" i="1"/>
  <c r="H1083" i="1" l="1"/>
  <c r="F1083" i="1"/>
  <c r="J1083" i="1"/>
  <c r="G1083" i="1"/>
  <c r="K1083" i="1"/>
  <c r="I1083" i="1"/>
  <c r="K1112" i="1" l="1"/>
  <c r="J1112" i="1"/>
  <c r="I1112" i="1"/>
  <c r="H1112" i="1"/>
  <c r="G1112" i="1"/>
  <c r="F1112" i="1"/>
  <c r="G1111" i="1"/>
  <c r="H1111" i="1"/>
  <c r="I1111" i="1"/>
  <c r="J1111" i="1"/>
  <c r="K1111" i="1"/>
  <c r="G1125" i="1"/>
  <c r="H1125" i="1"/>
  <c r="I1125" i="1"/>
  <c r="J1125" i="1"/>
  <c r="K1125" i="1"/>
  <c r="F1111" i="1"/>
  <c r="K1123" i="1"/>
  <c r="J1123" i="1"/>
  <c r="I1123" i="1"/>
  <c r="H1123" i="1"/>
  <c r="G1123" i="1"/>
  <c r="K1110" i="1"/>
  <c r="J1110" i="1"/>
  <c r="I1110" i="1"/>
  <c r="H1110" i="1"/>
  <c r="G1110" i="1"/>
  <c r="K1109" i="1"/>
  <c r="J1109" i="1"/>
  <c r="I1109" i="1"/>
  <c r="H1109" i="1"/>
  <c r="G1109" i="1"/>
  <c r="F1123" i="1"/>
  <c r="F1110" i="1"/>
  <c r="F1109" i="1"/>
  <c r="K994" i="1" l="1"/>
  <c r="J994" i="1"/>
  <c r="F1124" i="1"/>
  <c r="F1113" i="1"/>
  <c r="G1113" i="1"/>
  <c r="G1124" i="1"/>
  <c r="H1113" i="1"/>
  <c r="H1124" i="1"/>
  <c r="I1113" i="1"/>
  <c r="I1124" i="1"/>
  <c r="J1113" i="1"/>
  <c r="J1124" i="1"/>
  <c r="K1113" i="1"/>
  <c r="K1124" i="1"/>
  <c r="F1127" i="1"/>
  <c r="G1127" i="1"/>
  <c r="H1127" i="1"/>
  <c r="I1127" i="1"/>
  <c r="J1127" i="1"/>
  <c r="F990" i="1"/>
  <c r="F1125" i="1"/>
  <c r="K1127" i="1"/>
  <c r="G997" i="1"/>
  <c r="F997" i="1"/>
  <c r="H997" i="1"/>
  <c r="K997" i="1"/>
  <c r="G994" i="1"/>
  <c r="G1014" i="1" s="1"/>
  <c r="G1011" i="1" s="1"/>
  <c r="H994" i="1"/>
  <c r="H1007" i="1" s="1"/>
  <c r="H1126" i="1" s="1"/>
  <c r="I994" i="1"/>
  <c r="I1005" i="1" s="1"/>
  <c r="I1002" i="1" s="1"/>
  <c r="I997" i="1"/>
  <c r="J997" i="1"/>
  <c r="F994" i="1"/>
  <c r="F1007" i="1" s="1"/>
  <c r="F1126" i="1" s="1"/>
  <c r="I977" i="1"/>
  <c r="F992" i="1"/>
  <c r="F993" i="1" s="1"/>
  <c r="J992" i="1"/>
  <c r="J993" i="1" s="1"/>
  <c r="J990" i="1"/>
  <c r="K992" i="1"/>
  <c r="K993" i="1" s="1"/>
  <c r="K990" i="1"/>
  <c r="I992" i="1"/>
  <c r="I993" i="1" s="1"/>
  <c r="I990" i="1"/>
  <c r="H992" i="1"/>
  <c r="H993" i="1" s="1"/>
  <c r="H990" i="1"/>
  <c r="G992" i="1"/>
  <c r="G993" i="1" s="1"/>
  <c r="G990" i="1"/>
  <c r="K987" i="1"/>
  <c r="K986" i="1" s="1"/>
  <c r="J987" i="1"/>
  <c r="J986" i="1" s="1"/>
  <c r="I987" i="1"/>
  <c r="I986" i="1" s="1"/>
  <c r="H987" i="1"/>
  <c r="H986" i="1" s="1"/>
  <c r="G987" i="1"/>
  <c r="G986" i="1" s="1"/>
  <c r="F987" i="1"/>
  <c r="F989" i="1" s="1"/>
  <c r="F988" i="1" s="1"/>
  <c r="K974" i="1"/>
  <c r="H977" i="1"/>
  <c r="J977" i="1"/>
  <c r="K977" i="1"/>
  <c r="G977" i="1"/>
  <c r="H974" i="1"/>
  <c r="I974" i="1"/>
  <c r="G974" i="1"/>
  <c r="J974" i="1"/>
  <c r="F977" i="1"/>
  <c r="F974" i="1"/>
  <c r="K1005" i="1" l="1"/>
  <c r="K1002" i="1" s="1"/>
  <c r="K1007" i="1"/>
  <c r="J1014" i="1"/>
  <c r="J1011" i="1" s="1"/>
  <c r="J1007" i="1"/>
  <c r="J1004" i="1"/>
  <c r="J1001" i="1" s="1"/>
  <c r="K1014" i="1"/>
  <c r="K1011" i="1" s="1"/>
  <c r="J1005" i="1"/>
  <c r="J1002" i="1" s="1"/>
  <c r="G1007" i="1"/>
  <c r="G1126" i="1" s="1"/>
  <c r="K1004" i="1"/>
  <c r="I1004" i="1"/>
  <c r="I1001" i="1" s="1"/>
  <c r="I1000" i="1" s="1"/>
  <c r="J1052" i="1"/>
  <c r="J1049" i="1" s="1"/>
  <c r="J1050" i="1" s="1"/>
  <c r="G1052" i="1"/>
  <c r="G1049" i="1" s="1"/>
  <c r="G1050" i="1" s="1"/>
  <c r="H1052" i="1"/>
  <c r="H1049" i="1" s="1"/>
  <c r="H1050" i="1" s="1"/>
  <c r="I1052" i="1"/>
  <c r="I1049" i="1" s="1"/>
  <c r="I1050" i="1" s="1"/>
  <c r="I1007" i="1"/>
  <c r="I1126" i="1" s="1"/>
  <c r="K1052" i="1"/>
  <c r="K1049" i="1" s="1"/>
  <c r="K1050" i="1" s="1"/>
  <c r="F1052" i="1"/>
  <c r="F1049" i="1" s="1"/>
  <c r="F1050" i="1" s="1"/>
  <c r="G1004" i="1"/>
  <c r="G1001" i="1" s="1"/>
  <c r="H1004" i="1"/>
  <c r="H1001" i="1" s="1"/>
  <c r="H1005" i="1"/>
  <c r="H1002" i="1" s="1"/>
  <c r="G1005" i="1"/>
  <c r="G1002" i="1" s="1"/>
  <c r="F1005" i="1"/>
  <c r="F1002" i="1" s="1"/>
  <c r="I1014" i="1"/>
  <c r="I1011" i="1" s="1"/>
  <c r="H1013" i="1"/>
  <c r="H1010" i="1" s="1"/>
  <c r="F1004" i="1"/>
  <c r="F1001" i="1" s="1"/>
  <c r="F1014" i="1"/>
  <c r="F1011" i="1" s="1"/>
  <c r="H1014" i="1"/>
  <c r="H1006" i="1"/>
  <c r="F1013" i="1"/>
  <c r="F1010" i="1" s="1"/>
  <c r="F1006" i="1"/>
  <c r="G989" i="1"/>
  <c r="G988" i="1" s="1"/>
  <c r="G984" i="1" s="1"/>
  <c r="J989" i="1"/>
  <c r="J988" i="1" s="1"/>
  <c r="J984" i="1" s="1"/>
  <c r="H989" i="1"/>
  <c r="H988" i="1" s="1"/>
  <c r="H984" i="1" s="1"/>
  <c r="K989" i="1"/>
  <c r="K988" i="1" s="1"/>
  <c r="K984" i="1" s="1"/>
  <c r="I989" i="1"/>
  <c r="I988" i="1" s="1"/>
  <c r="I984" i="1" s="1"/>
  <c r="F986" i="1"/>
  <c r="F984" i="1" s="1"/>
  <c r="K1126" i="1" l="1"/>
  <c r="K1006" i="1"/>
  <c r="K1013" i="1"/>
  <c r="K1010" i="1" s="1"/>
  <c r="K1009" i="1" s="1"/>
  <c r="J1126" i="1"/>
  <c r="J1006" i="1"/>
  <c r="J1013" i="1"/>
  <c r="K1003" i="1"/>
  <c r="K1001" i="1"/>
  <c r="K1000" i="1" s="1"/>
  <c r="I1003" i="1"/>
  <c r="J1000" i="1"/>
  <c r="K1012" i="1"/>
  <c r="G1006" i="1"/>
  <c r="G1013" i="1"/>
  <c r="G1012" i="1" s="1"/>
  <c r="J1003" i="1"/>
  <c r="I1006" i="1"/>
  <c r="I1013" i="1"/>
  <c r="I1012" i="1" s="1"/>
  <c r="F1000" i="1"/>
  <c r="G1000" i="1"/>
  <c r="F1009" i="1"/>
  <c r="H1000" i="1"/>
  <c r="H1003" i="1"/>
  <c r="G1003" i="1"/>
  <c r="H1012" i="1"/>
  <c r="H1011" i="1"/>
  <c r="H1009" i="1" s="1"/>
  <c r="F1003" i="1"/>
  <c r="F1012" i="1"/>
  <c r="J1010" i="1" l="1"/>
  <c r="J1009" i="1" s="1"/>
  <c r="J1012" i="1"/>
  <c r="G1010" i="1"/>
  <c r="G1009" i="1" s="1"/>
  <c r="I1010" i="1"/>
  <c r="I1009" i="1" s="1"/>
  <c r="K947" i="1"/>
  <c r="J947" i="1"/>
  <c r="I947" i="1"/>
  <c r="H969" i="1"/>
  <c r="G947" i="1"/>
  <c r="F947" i="1"/>
  <c r="K945" i="1"/>
  <c r="J945" i="1"/>
  <c r="I945" i="1"/>
  <c r="H945" i="1"/>
  <c r="G945" i="1"/>
  <c r="F945" i="1"/>
  <c r="K931" i="1"/>
  <c r="J931" i="1"/>
  <c r="I931" i="1"/>
  <c r="H931" i="1"/>
  <c r="G931" i="1"/>
  <c r="F931" i="1"/>
  <c r="H927" i="1"/>
  <c r="G927" i="1"/>
  <c r="F927" i="1"/>
  <c r="G915" i="1"/>
  <c r="H915" i="1"/>
  <c r="I915" i="1"/>
  <c r="J915" i="1"/>
  <c r="K915" i="1"/>
  <c r="F915" i="1"/>
  <c r="G913" i="1"/>
  <c r="G968" i="1" s="1"/>
  <c r="H913" i="1"/>
  <c r="I913" i="1"/>
  <c r="I968" i="1" s="1"/>
  <c r="J913" i="1"/>
  <c r="J968" i="1" s="1"/>
  <c r="K913" i="1"/>
  <c r="K968" i="1" s="1"/>
  <c r="F913" i="1"/>
  <c r="F968" i="1" s="1"/>
  <c r="J956" i="1"/>
  <c r="H956" i="1"/>
  <c r="F956" i="1"/>
  <c r="K805" i="1"/>
  <c r="J805" i="1"/>
  <c r="I805" i="1"/>
  <c r="H805" i="1"/>
  <c r="G805" i="1"/>
  <c r="F805" i="1"/>
  <c r="F803" i="1"/>
  <c r="G803" i="1"/>
  <c r="H803" i="1"/>
  <c r="I803" i="1"/>
  <c r="J803" i="1"/>
  <c r="K803" i="1"/>
  <c r="C710" i="1"/>
  <c r="B710" i="1"/>
  <c r="E712" i="1"/>
  <c r="C712" i="1"/>
  <c r="B712" i="1"/>
  <c r="H968" i="1" l="1"/>
  <c r="K927" i="1"/>
  <c r="H947" i="1"/>
  <c r="F959" i="1"/>
  <c r="G956" i="1"/>
  <c r="F949" i="1"/>
  <c r="G949" i="1"/>
  <c r="I956" i="1"/>
  <c r="H949" i="1"/>
  <c r="I949" i="1"/>
  <c r="I955" i="1"/>
  <c r="K956" i="1"/>
  <c r="G960" i="1"/>
  <c r="J949" i="1"/>
  <c r="J955" i="1"/>
  <c r="H960" i="1"/>
  <c r="K949" i="1"/>
  <c r="F969" i="1"/>
  <c r="I960" i="1"/>
  <c r="F951" i="1"/>
  <c r="K969" i="1"/>
  <c r="G951" i="1"/>
  <c r="J969" i="1"/>
  <c r="K960" i="1"/>
  <c r="H951" i="1"/>
  <c r="I969" i="1"/>
  <c r="I951" i="1"/>
  <c r="J951" i="1"/>
  <c r="G969" i="1"/>
  <c r="K951" i="1"/>
  <c r="H955" i="1"/>
  <c r="G955" i="1"/>
  <c r="F960" i="1"/>
  <c r="J960" i="1"/>
  <c r="F955" i="1"/>
  <c r="K955" i="1"/>
  <c r="I927" i="1"/>
  <c r="J933" i="1"/>
  <c r="F937" i="1"/>
  <c r="F933" i="1"/>
  <c r="H937" i="1"/>
  <c r="G933" i="1"/>
  <c r="J937" i="1"/>
  <c r="J927" i="1"/>
  <c r="K937" i="1"/>
  <c r="G937" i="1"/>
  <c r="I933" i="1"/>
  <c r="I937" i="1"/>
  <c r="K933" i="1"/>
  <c r="H933" i="1"/>
  <c r="F900" i="1"/>
  <c r="K712" i="1"/>
  <c r="J712" i="1"/>
  <c r="I712" i="1"/>
  <c r="H712" i="1"/>
  <c r="G712" i="1"/>
  <c r="F712" i="1"/>
  <c r="G710" i="1"/>
  <c r="H710" i="1"/>
  <c r="I710" i="1"/>
  <c r="J710" i="1"/>
  <c r="K710" i="1"/>
  <c r="F710" i="1"/>
  <c r="H713" i="1" l="1"/>
  <c r="F713" i="1"/>
  <c r="I713" i="1"/>
  <c r="J713" i="1"/>
  <c r="K713" i="1"/>
  <c r="G713" i="1"/>
  <c r="K739" i="1"/>
  <c r="J739" i="1"/>
  <c r="I739" i="1"/>
  <c r="H739" i="1"/>
  <c r="G739" i="1"/>
  <c r="F739" i="1"/>
  <c r="K723" i="1"/>
  <c r="J723" i="1"/>
  <c r="I723" i="1"/>
  <c r="H723" i="1"/>
  <c r="G723" i="1"/>
  <c r="F723" i="1"/>
  <c r="C715" i="1"/>
  <c r="C717" i="1" s="1"/>
  <c r="B715" i="1"/>
  <c r="B717" i="1" s="1"/>
  <c r="C714" i="1"/>
  <c r="C716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9" i="1" s="1"/>
  <c r="C740" i="1" s="1"/>
  <c r="C741" i="1" s="1"/>
  <c r="C742" i="1" s="1"/>
  <c r="C743" i="1" s="1"/>
  <c r="C744" i="1" s="1"/>
  <c r="B714" i="1"/>
  <c r="B716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9" i="1" s="1"/>
  <c r="B740" i="1" s="1"/>
  <c r="B741" i="1" s="1"/>
  <c r="B742" i="1" s="1"/>
  <c r="B743" i="1" s="1"/>
  <c r="B744" i="1" s="1"/>
  <c r="K715" i="1"/>
  <c r="J715" i="1"/>
  <c r="C699" i="1"/>
  <c r="C700" i="1" s="1"/>
  <c r="C701" i="1" s="1"/>
  <c r="C702" i="1" s="1"/>
  <c r="C703" i="1" s="1"/>
  <c r="C704" i="1" s="1"/>
  <c r="B699" i="1"/>
  <c r="B700" i="1" s="1"/>
  <c r="B701" i="1" s="1"/>
  <c r="B702" i="1" s="1"/>
  <c r="B703" i="1" s="1"/>
  <c r="B704" i="1" s="1"/>
  <c r="K684" i="1"/>
  <c r="J684" i="1"/>
  <c r="I684" i="1"/>
  <c r="H684" i="1"/>
  <c r="G684" i="1"/>
  <c r="F684" i="1"/>
  <c r="C680" i="1"/>
  <c r="C681" i="1" s="1"/>
  <c r="C683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B680" i="1"/>
  <c r="B681" i="1" s="1"/>
  <c r="B683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C663" i="1"/>
  <c r="C664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B663" i="1"/>
  <c r="B664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F715" i="1" l="1"/>
  <c r="G715" i="1"/>
  <c r="H715" i="1"/>
  <c r="I715" i="1"/>
  <c r="I732" i="1"/>
  <c r="B745" i="1"/>
  <c r="B746" i="1" s="1"/>
  <c r="B747" i="1" s="1"/>
  <c r="C745" i="1"/>
  <c r="C746" i="1" s="1"/>
  <c r="C747" i="1" s="1"/>
  <c r="F733" i="1"/>
  <c r="J701" i="1"/>
  <c r="J732" i="1"/>
  <c r="H686" i="1"/>
  <c r="F732" i="1"/>
  <c r="K717" i="1"/>
  <c r="K714" i="1" s="1"/>
  <c r="J730" i="1"/>
  <c r="I717" i="1"/>
  <c r="G732" i="1"/>
  <c r="H717" i="1"/>
  <c r="K732" i="1"/>
  <c r="B736" i="1"/>
  <c r="B737" i="1" s="1"/>
  <c r="B738" i="1" s="1"/>
  <c r="C736" i="1"/>
  <c r="C737" i="1" s="1"/>
  <c r="C738" i="1" s="1"/>
  <c r="G733" i="1"/>
  <c r="H732" i="1"/>
  <c r="H733" i="1"/>
  <c r="I733" i="1"/>
  <c r="J733" i="1"/>
  <c r="F717" i="1"/>
  <c r="K733" i="1"/>
  <c r="G717" i="1"/>
  <c r="F730" i="1"/>
  <c r="G730" i="1"/>
  <c r="H730" i="1"/>
  <c r="J717" i="1"/>
  <c r="J714" i="1" s="1"/>
  <c r="I730" i="1"/>
  <c r="K730" i="1"/>
  <c r="K701" i="1"/>
  <c r="H701" i="1"/>
  <c r="I700" i="1"/>
  <c r="G701" i="1"/>
  <c r="I686" i="1"/>
  <c r="J699" i="1"/>
  <c r="I701" i="1"/>
  <c r="G699" i="1"/>
  <c r="I699" i="1"/>
  <c r="H700" i="1"/>
  <c r="J680" i="1"/>
  <c r="F700" i="1"/>
  <c r="G700" i="1"/>
  <c r="J700" i="1"/>
  <c r="G695" i="1"/>
  <c r="F699" i="1"/>
  <c r="F701" i="1"/>
  <c r="K699" i="1"/>
  <c r="K700" i="1"/>
  <c r="G686" i="1"/>
  <c r="H699" i="1"/>
  <c r="C705" i="1"/>
  <c r="B705" i="1"/>
  <c r="F680" i="1"/>
  <c r="J695" i="1"/>
  <c r="I695" i="1"/>
  <c r="K686" i="1"/>
  <c r="F695" i="1"/>
  <c r="B682" i="1"/>
  <c r="H695" i="1"/>
  <c r="G680" i="1"/>
  <c r="K695" i="1"/>
  <c r="F686" i="1"/>
  <c r="K680" i="1"/>
  <c r="H680" i="1"/>
  <c r="I680" i="1"/>
  <c r="J686" i="1"/>
  <c r="C682" i="1"/>
  <c r="B665" i="1"/>
  <c r="C665" i="1"/>
  <c r="C684" i="1"/>
  <c r="C685" i="1" s="1"/>
  <c r="B684" i="1"/>
  <c r="B685" i="1" s="1"/>
  <c r="F714" i="1" l="1"/>
  <c r="G714" i="1"/>
  <c r="H714" i="1"/>
  <c r="I714" i="1"/>
  <c r="H741" i="1"/>
  <c r="H735" i="1" s="1"/>
  <c r="H752" i="1" s="1"/>
  <c r="F741" i="1"/>
  <c r="F735" i="1" s="1"/>
  <c r="F734" i="1" s="1"/>
  <c r="I741" i="1"/>
  <c r="I735" i="1" s="1"/>
  <c r="I747" i="1" s="1"/>
  <c r="J741" i="1"/>
  <c r="J735" i="1" s="1"/>
  <c r="F731" i="1"/>
  <c r="C748" i="1"/>
  <c r="C749" i="1" s="1"/>
  <c r="C750" i="1" s="1"/>
  <c r="C751" i="1"/>
  <c r="C752" i="1" s="1"/>
  <c r="C753" i="1" s="1"/>
  <c r="F725" i="1"/>
  <c r="F722" i="1" s="1"/>
  <c r="F721" i="1" s="1"/>
  <c r="B748" i="1"/>
  <c r="B749" i="1" s="1"/>
  <c r="B750" i="1" s="1"/>
  <c r="B751" i="1"/>
  <c r="B752" i="1" s="1"/>
  <c r="B753" i="1" s="1"/>
  <c r="G741" i="1"/>
  <c r="G735" i="1" s="1"/>
  <c r="I731" i="1"/>
  <c r="J731" i="1"/>
  <c r="K741" i="1"/>
  <c r="K735" i="1" s="1"/>
  <c r="I725" i="1"/>
  <c r="I722" i="1" s="1"/>
  <c r="I721" i="1" s="1"/>
  <c r="H725" i="1"/>
  <c r="H722" i="1" s="1"/>
  <c r="H721" i="1" s="1"/>
  <c r="K731" i="1"/>
  <c r="G731" i="1"/>
  <c r="K725" i="1"/>
  <c r="K722" i="1" s="1"/>
  <c r="K721" i="1" s="1"/>
  <c r="J725" i="1"/>
  <c r="J722" i="1" s="1"/>
  <c r="J721" i="1" s="1"/>
  <c r="G725" i="1"/>
  <c r="G722" i="1" s="1"/>
  <c r="G721" i="1" s="1"/>
  <c r="H731" i="1"/>
  <c r="H679" i="1"/>
  <c r="E11" i="4" s="1"/>
  <c r="K679" i="1"/>
  <c r="H11" i="4" s="1"/>
  <c r="I679" i="1"/>
  <c r="F11" i="4" s="1"/>
  <c r="F679" i="1"/>
  <c r="C11" i="4" s="1"/>
  <c r="J679" i="1"/>
  <c r="G11" i="4" s="1"/>
  <c r="G679" i="1"/>
  <c r="D11" i="4" s="1"/>
  <c r="K738" i="1" l="1"/>
  <c r="K736" i="1"/>
  <c r="K737" i="1" s="1"/>
  <c r="J738" i="1"/>
  <c r="J758" i="1" s="1"/>
  <c r="J736" i="1"/>
  <c r="J737" i="1" s="1"/>
  <c r="J734" i="1"/>
  <c r="H748" i="1"/>
  <c r="H758" i="1"/>
  <c r="H734" i="1"/>
  <c r="H755" i="1"/>
  <c r="H751" i="1"/>
  <c r="H762" i="1"/>
  <c r="H754" i="1"/>
  <c r="H745" i="1"/>
  <c r="H761" i="1"/>
  <c r="F755" i="1"/>
  <c r="I759" i="1"/>
  <c r="I746" i="1"/>
  <c r="I750" i="1"/>
  <c r="H749" i="1"/>
  <c r="I757" i="1"/>
  <c r="I754" i="1"/>
  <c r="I745" i="1"/>
  <c r="I755" i="1"/>
  <c r="I751" i="1"/>
  <c r="I761" i="1"/>
  <c r="I748" i="1"/>
  <c r="H759" i="1"/>
  <c r="I758" i="1"/>
  <c r="H746" i="1"/>
  <c r="I734" i="1"/>
  <c r="H756" i="1"/>
  <c r="H753" i="1"/>
  <c r="H750" i="1"/>
  <c r="F746" i="1"/>
  <c r="F756" i="1"/>
  <c r="F760" i="1"/>
  <c r="F753" i="1"/>
  <c r="F750" i="1"/>
  <c r="F754" i="1"/>
  <c r="F747" i="1"/>
  <c r="F757" i="1"/>
  <c r="F749" i="1"/>
  <c r="F759" i="1"/>
  <c r="F751" i="1"/>
  <c r="F761" i="1"/>
  <c r="F758" i="1"/>
  <c r="F752" i="1"/>
  <c r="F762" i="1"/>
  <c r="F748" i="1"/>
  <c r="F745" i="1"/>
  <c r="H760" i="1"/>
  <c r="I749" i="1"/>
  <c r="H747" i="1"/>
  <c r="H757" i="1"/>
  <c r="I756" i="1"/>
  <c r="I753" i="1"/>
  <c r="I752" i="1"/>
  <c r="I762" i="1"/>
  <c r="I760" i="1"/>
  <c r="K734" i="1"/>
  <c r="C754" i="1"/>
  <c r="C755" i="1" s="1"/>
  <c r="C756" i="1" s="1"/>
  <c r="C757" i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B754" i="1"/>
  <c r="B755" i="1" s="1"/>
  <c r="B756" i="1" s="1"/>
  <c r="B757" i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G734" i="1"/>
  <c r="G755" i="1"/>
  <c r="G745" i="1"/>
  <c r="G758" i="1"/>
  <c r="G748" i="1"/>
  <c r="G762" i="1"/>
  <c r="G752" i="1"/>
  <c r="G761" i="1"/>
  <c r="G751" i="1"/>
  <c r="G754" i="1"/>
  <c r="G757" i="1"/>
  <c r="G747" i="1"/>
  <c r="G759" i="1"/>
  <c r="G749" i="1"/>
  <c r="G760" i="1"/>
  <c r="G750" i="1"/>
  <c r="G753" i="1"/>
  <c r="G756" i="1"/>
  <c r="G746" i="1"/>
  <c r="E601" i="1"/>
  <c r="E602" i="1" s="1"/>
  <c r="E603" i="1" s="1"/>
  <c r="J745" i="1" l="1"/>
  <c r="J759" i="1"/>
  <c r="J762" i="1"/>
  <c r="J747" i="1"/>
  <c r="J748" i="1"/>
  <c r="J761" i="1"/>
  <c r="J760" i="1"/>
  <c r="J757" i="1"/>
  <c r="J749" i="1"/>
  <c r="J746" i="1"/>
  <c r="J750" i="1"/>
  <c r="B781" i="1"/>
  <c r="B782" i="1" s="1"/>
  <c r="B783" i="1" s="1"/>
  <c r="B780" i="1"/>
  <c r="C781" i="1"/>
  <c r="C782" i="1" s="1"/>
  <c r="C783" i="1" s="1"/>
  <c r="C780" i="1"/>
  <c r="K761" i="1"/>
  <c r="K758" i="1"/>
  <c r="K757" i="1"/>
  <c r="K760" i="1"/>
  <c r="K759" i="1"/>
  <c r="K762" i="1"/>
  <c r="K748" i="1"/>
  <c r="K747" i="1"/>
  <c r="K750" i="1"/>
  <c r="K745" i="1"/>
  <c r="K746" i="1"/>
  <c r="K749" i="1"/>
  <c r="J658" i="1"/>
  <c r="J641" i="1"/>
  <c r="K658" i="1"/>
  <c r="F659" i="1"/>
  <c r="G659" i="1"/>
  <c r="F656" i="1"/>
  <c r="H659" i="1"/>
  <c r="G656" i="1"/>
  <c r="I659" i="1"/>
  <c r="H656" i="1"/>
  <c r="J659" i="1"/>
  <c r="I656" i="1"/>
  <c r="K659" i="1"/>
  <c r="J656" i="1"/>
  <c r="F651" i="1"/>
  <c r="F660" i="1"/>
  <c r="K656" i="1"/>
  <c r="G651" i="1"/>
  <c r="G660" i="1"/>
  <c r="F657" i="1"/>
  <c r="H651" i="1"/>
  <c r="H660" i="1"/>
  <c r="K641" i="1"/>
  <c r="G657" i="1"/>
  <c r="I651" i="1"/>
  <c r="I660" i="1"/>
  <c r="H657" i="1"/>
  <c r="J651" i="1"/>
  <c r="J660" i="1"/>
  <c r="I657" i="1"/>
  <c r="K651" i="1"/>
  <c r="K660" i="1"/>
  <c r="J657" i="1"/>
  <c r="F661" i="1"/>
  <c r="K657" i="1"/>
  <c r="G661" i="1"/>
  <c r="G591" i="1"/>
  <c r="F658" i="1"/>
  <c r="H661" i="1"/>
  <c r="G658" i="1"/>
  <c r="I661" i="1"/>
  <c r="H658" i="1"/>
  <c r="J661" i="1"/>
  <c r="I658" i="1"/>
  <c r="K661" i="1"/>
  <c r="F646" i="1"/>
  <c r="H646" i="1"/>
  <c r="G646" i="1"/>
  <c r="I646" i="1"/>
  <c r="K646" i="1"/>
  <c r="J646" i="1"/>
  <c r="F641" i="1"/>
  <c r="H631" i="1"/>
  <c r="G641" i="1"/>
  <c r="J631" i="1"/>
  <c r="I641" i="1"/>
  <c r="H641" i="1"/>
  <c r="H636" i="1"/>
  <c r="G636" i="1"/>
  <c r="K636" i="1"/>
  <c r="I636" i="1"/>
  <c r="F636" i="1"/>
  <c r="J636" i="1"/>
  <c r="G626" i="1"/>
  <c r="H626" i="1"/>
  <c r="I626" i="1"/>
  <c r="J626" i="1"/>
  <c r="F626" i="1"/>
  <c r="K626" i="1"/>
  <c r="F631" i="1"/>
  <c r="G631" i="1"/>
  <c r="I631" i="1"/>
  <c r="K631" i="1"/>
  <c r="F587" i="1"/>
  <c r="F586" i="1" s="1"/>
  <c r="G613" i="1"/>
  <c r="F601" i="1"/>
  <c r="G601" i="1"/>
  <c r="H591" i="1"/>
  <c r="F605" i="1"/>
  <c r="I591" i="1"/>
  <c r="F599" i="1"/>
  <c r="H599" i="1"/>
  <c r="G599" i="1"/>
  <c r="G598" i="1"/>
  <c r="I598" i="1"/>
  <c r="I608" i="1"/>
  <c r="J598" i="1"/>
  <c r="I613" i="1"/>
  <c r="H598" i="1"/>
  <c r="G587" i="1"/>
  <c r="G586" i="1" s="1"/>
  <c r="J591" i="1"/>
  <c r="K591" i="1"/>
  <c r="K598" i="1"/>
  <c r="G605" i="1"/>
  <c r="J599" i="1"/>
  <c r="K599" i="1"/>
  <c r="F608" i="1"/>
  <c r="I599" i="1"/>
  <c r="H605" i="1"/>
  <c r="I587" i="1"/>
  <c r="I586" i="1" s="1"/>
  <c r="J587" i="1"/>
  <c r="J586" i="1" s="1"/>
  <c r="K587" i="1"/>
  <c r="K586" i="1" s="1"/>
  <c r="F613" i="1"/>
  <c r="G594" i="1"/>
  <c r="F598" i="1"/>
  <c r="H587" i="1"/>
  <c r="H586" i="1" s="1"/>
  <c r="H594" i="1"/>
  <c r="H601" i="1"/>
  <c r="I594" i="1"/>
  <c r="I601" i="1"/>
  <c r="J601" i="1"/>
  <c r="K601" i="1"/>
  <c r="H613" i="1"/>
  <c r="K613" i="1"/>
  <c r="J613" i="1"/>
  <c r="I605" i="1"/>
  <c r="F612" i="1"/>
  <c r="J605" i="1"/>
  <c r="G612" i="1"/>
  <c r="K605" i="1"/>
  <c r="H612" i="1"/>
  <c r="I612" i="1"/>
  <c r="J612" i="1"/>
  <c r="K612" i="1"/>
  <c r="J594" i="1"/>
  <c r="K594" i="1"/>
  <c r="J608" i="1"/>
  <c r="K608" i="1"/>
  <c r="G608" i="1"/>
  <c r="H608" i="1"/>
  <c r="F594" i="1"/>
  <c r="F591" i="1"/>
  <c r="J634" i="1" l="1"/>
  <c r="J752" i="1"/>
  <c r="J751" i="1"/>
  <c r="J754" i="1"/>
  <c r="J755" i="1"/>
  <c r="J753" i="1"/>
  <c r="J756" i="1"/>
  <c r="K624" i="1"/>
  <c r="J624" i="1"/>
  <c r="C785" i="1"/>
  <c r="C786" i="1" s="1"/>
  <c r="C784" i="1"/>
  <c r="B785" i="1"/>
  <c r="B786" i="1" s="1"/>
  <c r="B784" i="1"/>
  <c r="K634" i="1"/>
  <c r="K751" i="1"/>
  <c r="K754" i="1"/>
  <c r="K753" i="1"/>
  <c r="K755" i="1"/>
  <c r="K756" i="1"/>
  <c r="K752" i="1"/>
  <c r="G644" i="1"/>
  <c r="H634" i="1"/>
  <c r="F624" i="1"/>
  <c r="I624" i="1"/>
  <c r="F644" i="1"/>
  <c r="G624" i="1"/>
  <c r="F634" i="1"/>
  <c r="G590" i="1"/>
  <c r="I634" i="1"/>
  <c r="G634" i="1"/>
  <c r="H644" i="1"/>
  <c r="H624" i="1"/>
  <c r="J644" i="1"/>
  <c r="I644" i="1"/>
  <c r="K644" i="1"/>
  <c r="H590" i="1"/>
  <c r="I590" i="1"/>
  <c r="J604" i="1"/>
  <c r="F604" i="1"/>
  <c r="K604" i="1"/>
  <c r="I604" i="1"/>
  <c r="H604" i="1"/>
  <c r="G604" i="1"/>
  <c r="J590" i="1"/>
  <c r="K590" i="1"/>
  <c r="F590" i="1"/>
  <c r="H10" i="4" l="1"/>
  <c r="C10" i="4"/>
  <c r="G10" i="4"/>
  <c r="F10" i="4"/>
  <c r="E10" i="4"/>
  <c r="D10" i="4"/>
  <c r="B788" i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787" i="1"/>
  <c r="C788" i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787" i="1"/>
  <c r="C882" i="1" l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17" i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B882" i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17" i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K506" i="1"/>
  <c r="J506" i="1"/>
  <c r="I506" i="1"/>
  <c r="H506" i="1"/>
  <c r="G506" i="1"/>
  <c r="F506" i="1"/>
  <c r="B897" i="1" l="1"/>
  <c r="B898" i="1" s="1"/>
  <c r="B899" i="1" s="1"/>
  <c r="B896" i="1"/>
  <c r="C897" i="1"/>
  <c r="C898" i="1" s="1"/>
  <c r="C899" i="1" s="1"/>
  <c r="C896" i="1"/>
  <c r="B855" i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926" i="1"/>
  <c r="B927" i="1" s="1"/>
  <c r="B928" i="1" s="1"/>
  <c r="B929" i="1" s="1"/>
  <c r="B930" i="1" s="1"/>
  <c r="B931" i="1" s="1"/>
  <c r="B932" i="1" s="1"/>
  <c r="B933" i="1" s="1"/>
  <c r="B934" i="1" s="1"/>
  <c r="C855" i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926" i="1"/>
  <c r="C927" i="1" s="1"/>
  <c r="C928" i="1" s="1"/>
  <c r="C929" i="1" s="1"/>
  <c r="C930" i="1" s="1"/>
  <c r="C931" i="1" s="1"/>
  <c r="C932" i="1" s="1"/>
  <c r="C933" i="1" s="1"/>
  <c r="C934" i="1" s="1"/>
  <c r="C936" i="1" l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35" i="1"/>
  <c r="B936" i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35" i="1"/>
  <c r="C901" i="1"/>
  <c r="C902" i="1" s="1"/>
  <c r="C900" i="1"/>
  <c r="B901" i="1"/>
  <c r="B902" i="1" s="1"/>
  <c r="B900" i="1"/>
  <c r="B955" i="1" l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C955" i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B904" i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03" i="1"/>
  <c r="C904" i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03" i="1"/>
  <c r="B922" i="1" l="1"/>
  <c r="B923" i="1" s="1"/>
  <c r="B924" i="1" s="1"/>
  <c r="B925" i="1" s="1"/>
  <c r="B920" i="1"/>
  <c r="B921" i="1" s="1"/>
  <c r="C922" i="1"/>
  <c r="C923" i="1" s="1"/>
  <c r="C924" i="1" s="1"/>
  <c r="C972" i="1" s="1"/>
  <c r="C973" i="1" s="1"/>
  <c r="C920" i="1"/>
  <c r="C921" i="1" s="1"/>
  <c r="C925" i="1" l="1"/>
  <c r="B972" i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C974" i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B1038" i="1" l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036" i="1"/>
  <c r="B1037" i="1" s="1"/>
  <c r="C1038" i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036" i="1"/>
  <c r="C1037" i="1" s="1"/>
  <c r="F961" i="1"/>
  <c r="G961" i="1"/>
  <c r="H961" i="1"/>
  <c r="I961" i="1"/>
  <c r="J961" i="1"/>
  <c r="K961" i="1"/>
  <c r="C1109" i="1" l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B1109" i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J921" i="1"/>
  <c r="J920" i="1" s="1"/>
  <c r="I921" i="1"/>
  <c r="I920" i="1" s="1"/>
  <c r="H921" i="1"/>
  <c r="H920" i="1" s="1"/>
  <c r="G921" i="1"/>
  <c r="G920" i="1" s="1"/>
  <c r="F921" i="1"/>
  <c r="F920" i="1" s="1"/>
  <c r="K921" i="1"/>
  <c r="K920" i="1" s="1"/>
  <c r="J814" i="1"/>
  <c r="I814" i="1"/>
  <c r="H814" i="1"/>
  <c r="G814" i="1"/>
  <c r="F814" i="1"/>
  <c r="K814" i="1"/>
  <c r="B1152" i="1" l="1"/>
  <c r="B1153" i="1" s="1"/>
  <c r="B1154" i="1" s="1"/>
  <c r="B1155" i="1" s="1"/>
  <c r="B1156" i="1" s="1"/>
  <c r="B1157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47" i="1"/>
  <c r="B1148" i="1" s="1"/>
  <c r="B1149" i="1" s="1"/>
  <c r="B1150" i="1" s="1"/>
  <c r="B1151" i="1" s="1"/>
  <c r="C1152" i="1"/>
  <c r="C1153" i="1" s="1"/>
  <c r="C1154" i="1" s="1"/>
  <c r="C1155" i="1" s="1"/>
  <c r="C1156" i="1" s="1"/>
  <c r="C1157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47" i="1"/>
  <c r="C1148" i="1" s="1"/>
  <c r="C1149" i="1" s="1"/>
  <c r="C1150" i="1" s="1"/>
  <c r="C1151" i="1" s="1"/>
  <c r="F971" i="1"/>
  <c r="J971" i="1"/>
  <c r="H971" i="1"/>
  <c r="K971" i="1"/>
  <c r="G971" i="1"/>
  <c r="I971" i="1"/>
  <c r="K959" i="1"/>
  <c r="F894" i="1"/>
  <c r="G959" i="1"/>
  <c r="H959" i="1"/>
  <c r="I959" i="1"/>
  <c r="J959" i="1"/>
  <c r="B1158" i="1" l="1"/>
  <c r="B1159" i="1" s="1"/>
  <c r="B1160" i="1" s="1"/>
  <c r="B1161" i="1" s="1"/>
  <c r="C1158" i="1"/>
  <c r="C1159" i="1" s="1"/>
  <c r="C1160" i="1" s="1"/>
  <c r="C1161" i="1" s="1"/>
  <c r="C1185" i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181" i="1"/>
  <c r="C1182" i="1" s="1"/>
  <c r="C1183" i="1" s="1"/>
  <c r="C1184" i="1" s="1"/>
  <c r="B1185" i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181" i="1"/>
  <c r="B1182" i="1" s="1"/>
  <c r="B1183" i="1" s="1"/>
  <c r="B1184" i="1" s="1"/>
  <c r="J894" i="1"/>
  <c r="J900" i="1"/>
  <c r="I894" i="1"/>
  <c r="I900" i="1"/>
  <c r="H894" i="1"/>
  <c r="H900" i="1"/>
  <c r="G894" i="1"/>
  <c r="G900" i="1"/>
  <c r="K894" i="1"/>
  <c r="K900" i="1"/>
  <c r="B1208" i="1" l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204" i="1"/>
  <c r="B1205" i="1" s="1"/>
  <c r="B1206" i="1" s="1"/>
  <c r="B1207" i="1" s="1"/>
  <c r="C1208" i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204" i="1"/>
  <c r="C1205" i="1" s="1"/>
  <c r="C1206" i="1" s="1"/>
  <c r="C1207" i="1" s="1"/>
  <c r="C1490" i="1" l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486" i="1"/>
  <c r="C1487" i="1" s="1"/>
  <c r="C1488" i="1" s="1"/>
  <c r="C1489" i="1" s="1"/>
  <c r="B1490" i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486" i="1"/>
  <c r="B1487" i="1" s="1"/>
  <c r="B1488" i="1" s="1"/>
  <c r="B1489" i="1" s="1"/>
  <c r="F614" i="1"/>
  <c r="F655" i="1"/>
  <c r="G614" i="1"/>
  <c r="G655" i="1"/>
  <c r="H655" i="1"/>
  <c r="H614" i="1"/>
  <c r="I655" i="1"/>
  <c r="I614" i="1"/>
  <c r="J655" i="1"/>
  <c r="J614" i="1"/>
  <c r="K614" i="1"/>
  <c r="K655" i="1"/>
  <c r="B1508" i="1" l="1"/>
  <c r="B1513" i="1"/>
  <c r="C1508" i="1"/>
  <c r="C1513" i="1"/>
  <c r="C1514" i="1" l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509" i="1"/>
  <c r="C1510" i="1" s="1"/>
  <c r="C1511" i="1" s="1"/>
  <c r="C1512" i="1" s="1"/>
  <c r="B1514" i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509" i="1"/>
  <c r="B1510" i="1" s="1"/>
  <c r="B1511" i="1" s="1"/>
  <c r="B1512" i="1" s="1"/>
  <c r="B1658" i="1" l="1"/>
  <c r="B1663" i="1"/>
  <c r="C1658" i="1"/>
  <c r="C1663" i="1"/>
  <c r="B1659" i="1"/>
  <c r="B1664" i="1"/>
  <c r="C1659" i="1"/>
  <c r="C1664" i="1"/>
  <c r="B1660" i="1"/>
  <c r="B1661" i="1" s="1"/>
  <c r="B1662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665" i="1"/>
  <c r="C1660" i="1"/>
  <c r="C1661" i="1" s="1"/>
  <c r="C1662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66" i="1" s="1"/>
  <c r="C1767" i="1" s="1"/>
  <c r="C1768" i="1" s="1"/>
  <c r="C1769" i="1" s="1"/>
  <c r="C1770" i="1" s="1"/>
  <c r="C1665" i="1"/>
  <c r="K583" i="1"/>
  <c r="J583" i="1"/>
  <c r="I583" i="1"/>
  <c r="H583" i="1"/>
  <c r="G583" i="1"/>
  <c r="F583" i="1"/>
  <c r="C1758" i="1" l="1"/>
  <c r="B1766" i="1"/>
  <c r="B1767" i="1" s="1"/>
  <c r="B1768" i="1" s="1"/>
  <c r="B1769" i="1" s="1"/>
  <c r="B1770" i="1" s="1"/>
  <c r="B1759" i="1"/>
  <c r="B1760" i="1" s="1"/>
  <c r="B1761" i="1" s="1"/>
  <c r="B1762" i="1" s="1"/>
  <c r="B1763" i="1" s="1"/>
  <c r="B1764" i="1" s="1"/>
  <c r="B1765" i="1" s="1"/>
  <c r="C1759" i="1"/>
  <c r="C1760" i="1" s="1"/>
  <c r="C1761" i="1" s="1"/>
  <c r="C1762" i="1" s="1"/>
  <c r="C1763" i="1" s="1"/>
  <c r="C1764" i="1" s="1"/>
  <c r="C1765" i="1" s="1"/>
  <c r="C1771" i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B1771" i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G443" i="1"/>
  <c r="F443" i="1"/>
  <c r="H443" i="1"/>
  <c r="I443" i="1"/>
  <c r="J443" i="1"/>
  <c r="K443" i="1"/>
  <c r="C1787" i="1" l="1"/>
  <c r="C1788" i="1" s="1"/>
  <c r="C1789" i="1" s="1"/>
  <c r="C1790" i="1" s="1"/>
  <c r="C1791" i="1" s="1"/>
  <c r="C1792" i="1" s="1"/>
  <c r="B1787" i="1"/>
  <c r="B1788" i="1" s="1"/>
  <c r="B1789" i="1" s="1"/>
  <c r="B1790" i="1" s="1"/>
  <c r="B1791" i="1" s="1"/>
  <c r="B1792" i="1" s="1"/>
  <c r="F892" i="1"/>
  <c r="G892" i="1"/>
  <c r="H892" i="1"/>
  <c r="I892" i="1"/>
  <c r="J892" i="1"/>
  <c r="K892" i="1"/>
  <c r="B1793" i="1" l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11" i="1" s="1"/>
  <c r="B1812" i="1" s="1"/>
  <c r="B1809" i="1" s="1"/>
  <c r="C1793" i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11" i="1" s="1"/>
  <c r="C1812" i="1" s="1"/>
  <c r="C1809" i="1" s="1"/>
  <c r="G891" i="1"/>
  <c r="G888" i="1" s="1"/>
  <c r="G889" i="1"/>
  <c r="H891" i="1"/>
  <c r="H888" i="1" s="1"/>
  <c r="H889" i="1"/>
  <c r="I889" i="1"/>
  <c r="I891" i="1"/>
  <c r="I888" i="1" s="1"/>
  <c r="K889" i="1"/>
  <c r="K891" i="1"/>
  <c r="K888" i="1" s="1"/>
  <c r="F891" i="1"/>
  <c r="F888" i="1" s="1"/>
  <c r="F889" i="1"/>
  <c r="J889" i="1"/>
  <c r="J891" i="1"/>
  <c r="J888" i="1" s="1"/>
  <c r="C1813" i="1" l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1810" i="1"/>
  <c r="B1810" i="1"/>
  <c r="B1813" i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I887" i="1"/>
  <c r="I958" i="1"/>
  <c r="F887" i="1"/>
  <c r="F958" i="1"/>
  <c r="J887" i="1"/>
  <c r="J958" i="1"/>
  <c r="K887" i="1"/>
  <c r="K958" i="1"/>
  <c r="H887" i="1"/>
  <c r="H958" i="1"/>
  <c r="G887" i="1"/>
  <c r="G958" i="1"/>
  <c r="K511" i="1"/>
  <c r="J511" i="1"/>
  <c r="I511" i="1"/>
  <c r="H511" i="1"/>
  <c r="G511" i="1"/>
  <c r="F511" i="1"/>
  <c r="B1814" i="1" l="1"/>
  <c r="B1815" i="1" s="1"/>
  <c r="B1816" i="1" s="1"/>
  <c r="B1817" i="1" s="1"/>
  <c r="B1818" i="1" s="1"/>
  <c r="B1819" i="1" s="1"/>
  <c r="B1820" i="1" s="1"/>
  <c r="B1821" i="1" s="1"/>
  <c r="B1822" i="1" s="1"/>
  <c r="B1885" i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C1814" i="1"/>
  <c r="C1815" i="1" s="1"/>
  <c r="C1816" i="1" s="1"/>
  <c r="C1817" i="1" s="1"/>
  <c r="C1818" i="1" s="1"/>
  <c r="C1819" i="1" s="1"/>
  <c r="C1820" i="1" s="1"/>
  <c r="C1821" i="1" s="1"/>
  <c r="C1822" i="1" s="1"/>
  <c r="C1885" i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K923" i="1"/>
  <c r="J923" i="1"/>
  <c r="I923" i="1"/>
  <c r="H923" i="1"/>
  <c r="G923" i="1"/>
  <c r="F923" i="1"/>
  <c r="K817" i="1"/>
  <c r="J817" i="1"/>
  <c r="I817" i="1"/>
  <c r="H817" i="1"/>
  <c r="G817" i="1"/>
  <c r="F817" i="1"/>
  <c r="K812" i="1"/>
  <c r="J812" i="1"/>
  <c r="I812" i="1"/>
  <c r="H812" i="1"/>
  <c r="G812" i="1"/>
  <c r="F812" i="1"/>
  <c r="K790" i="1"/>
  <c r="J790" i="1"/>
  <c r="I790" i="1"/>
  <c r="H790" i="1"/>
  <c r="G790" i="1"/>
  <c r="F790" i="1"/>
  <c r="B2233" i="1" l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34" i="1"/>
  <c r="C2233" i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34" i="1"/>
  <c r="B1903" i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2114" i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C1903" i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2114" i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B1823" i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24" i="1"/>
  <c r="C1823" i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24" i="1"/>
  <c r="K917" i="1"/>
  <c r="K882" i="1" s="1"/>
  <c r="H5" i="4" s="1"/>
  <c r="K970" i="1"/>
  <c r="J917" i="1"/>
  <c r="J882" i="1" s="1"/>
  <c r="G5" i="4" s="1"/>
  <c r="J970" i="1"/>
  <c r="G917" i="1"/>
  <c r="G970" i="1"/>
  <c r="F917" i="1"/>
  <c r="F970" i="1"/>
  <c r="H917" i="1"/>
  <c r="H882" i="1" s="1"/>
  <c r="E5" i="4" s="1"/>
  <c r="H970" i="1"/>
  <c r="I917" i="1"/>
  <c r="I970" i="1"/>
  <c r="F808" i="1"/>
  <c r="F810" i="1" s="1"/>
  <c r="G808" i="1"/>
  <c r="G810" i="1" s="1"/>
  <c r="I882" i="1"/>
  <c r="F5" i="4" s="1"/>
  <c r="I808" i="1"/>
  <c r="I810" i="1" s="1"/>
  <c r="K808" i="1"/>
  <c r="K810" i="1" s="1"/>
  <c r="H808" i="1"/>
  <c r="H810" i="1" s="1"/>
  <c r="J808" i="1"/>
  <c r="J810" i="1" s="1"/>
  <c r="B1954" i="1" l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165" i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C1954" i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165" i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G882" i="1"/>
  <c r="D5" i="4" s="1"/>
  <c r="F882" i="1"/>
  <c r="C5" i="4" s="1"/>
  <c r="B2022" i="1" l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313" i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C2022" i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313" i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I844" i="1"/>
  <c r="I877" i="1"/>
  <c r="G844" i="1"/>
  <c r="G877" i="1"/>
  <c r="F846" i="1"/>
  <c r="F878" i="1"/>
  <c r="H844" i="1"/>
  <c r="H877" i="1"/>
  <c r="K844" i="1"/>
  <c r="K877" i="1"/>
  <c r="G846" i="1"/>
  <c r="G878" i="1"/>
  <c r="I846" i="1"/>
  <c r="I878" i="1"/>
  <c r="J846" i="1"/>
  <c r="J878" i="1"/>
  <c r="F848" i="1"/>
  <c r="F879" i="1"/>
  <c r="J848" i="1"/>
  <c r="J879" i="1"/>
  <c r="F844" i="1"/>
  <c r="F877" i="1"/>
  <c r="J844" i="1"/>
  <c r="J877" i="1"/>
  <c r="H846" i="1"/>
  <c r="H878" i="1"/>
  <c r="K846" i="1"/>
  <c r="K878" i="1"/>
  <c r="G848" i="1"/>
  <c r="G879" i="1"/>
  <c r="H848" i="1"/>
  <c r="H879" i="1"/>
  <c r="I848" i="1"/>
  <c r="I879" i="1"/>
  <c r="K848" i="1"/>
  <c r="K879" i="1"/>
  <c r="F830" i="1"/>
  <c r="F866" i="1"/>
  <c r="G830" i="1"/>
  <c r="G866" i="1"/>
  <c r="H830" i="1"/>
  <c r="H866" i="1"/>
  <c r="J830" i="1"/>
  <c r="J866" i="1"/>
  <c r="K830" i="1"/>
  <c r="K866" i="1"/>
  <c r="I830" i="1"/>
  <c r="I866" i="1"/>
  <c r="F708" i="1" l="1"/>
  <c r="I703" i="1"/>
  <c r="J703" i="1"/>
  <c r="K703" i="1"/>
  <c r="G705" i="1"/>
  <c r="H705" i="1"/>
  <c r="I705" i="1"/>
  <c r="J705" i="1"/>
  <c r="K705" i="1"/>
  <c r="F703" i="1"/>
  <c r="F705" i="1"/>
  <c r="J708" i="1" l="1"/>
  <c r="I708" i="1"/>
  <c r="G708" i="1"/>
  <c r="K708" i="1"/>
  <c r="H708" i="1"/>
  <c r="H672" i="1"/>
  <c r="H703" i="1"/>
  <c r="G672" i="1"/>
  <c r="G703" i="1"/>
  <c r="H702" i="1"/>
  <c r="F702" i="1"/>
  <c r="K702" i="1"/>
  <c r="J702" i="1"/>
  <c r="F694" i="1"/>
  <c r="F691" i="1" s="1"/>
  <c r="I702" i="1"/>
  <c r="G694" i="1" l="1"/>
  <c r="G691" i="1" s="1"/>
  <c r="H694" i="1"/>
  <c r="H691" i="1" s="1"/>
  <c r="J676" i="1"/>
  <c r="J662" i="1" s="1"/>
  <c r="J704" i="1"/>
  <c r="I676" i="1"/>
  <c r="I662" i="1" s="1"/>
  <c r="I704" i="1"/>
  <c r="K676" i="1"/>
  <c r="K662" i="1" s="1"/>
  <c r="K704" i="1"/>
  <c r="F676" i="1"/>
  <c r="F662" i="1" s="1"/>
  <c r="F704" i="1"/>
  <c r="H676" i="1"/>
  <c r="H662" i="1" s="1"/>
  <c r="H704" i="1"/>
  <c r="G676" i="1"/>
  <c r="G662" i="1" s="1"/>
  <c r="G704" i="1"/>
  <c r="G693" i="1"/>
  <c r="G690" i="1" s="1"/>
  <c r="G702" i="1"/>
  <c r="F672" i="1"/>
  <c r="J672" i="1"/>
  <c r="J694" i="1"/>
  <c r="J691" i="1" s="1"/>
  <c r="I672" i="1"/>
  <c r="I694" i="1"/>
  <c r="I691" i="1" s="1"/>
  <c r="K672" i="1"/>
  <c r="K694" i="1"/>
  <c r="K691" i="1" s="1"/>
  <c r="J671" i="1"/>
  <c r="G692" i="1" l="1"/>
  <c r="G689" i="1" s="1"/>
  <c r="G673" i="1"/>
  <c r="G670" i="1" s="1"/>
  <c r="G671" i="1"/>
  <c r="J673" i="1"/>
  <c r="J670" i="1" s="1"/>
  <c r="J693" i="1"/>
  <c r="K673" i="1"/>
  <c r="K670" i="1" s="1"/>
  <c r="K693" i="1"/>
  <c r="F673" i="1"/>
  <c r="F670" i="1" s="1"/>
  <c r="F693" i="1"/>
  <c r="H673" i="1"/>
  <c r="H670" i="1" s="1"/>
  <c r="H693" i="1"/>
  <c r="I671" i="1"/>
  <c r="I693" i="1"/>
  <c r="I673" i="1"/>
  <c r="I670" i="1" s="1"/>
  <c r="F671" i="1"/>
  <c r="H671" i="1"/>
  <c r="K671" i="1"/>
  <c r="I692" i="1" l="1"/>
  <c r="I689" i="1" s="1"/>
  <c r="I690" i="1"/>
  <c r="H692" i="1"/>
  <c r="H689" i="1" s="1"/>
  <c r="H690" i="1"/>
  <c r="J692" i="1"/>
  <c r="J689" i="1" s="1"/>
  <c r="J690" i="1"/>
  <c r="F692" i="1"/>
  <c r="F689" i="1" s="1"/>
  <c r="F690" i="1"/>
  <c r="K692" i="1"/>
  <c r="K689" i="1" s="1"/>
  <c r="K690" i="1"/>
  <c r="K777" i="1" l="1"/>
  <c r="J777" i="1"/>
  <c r="I777" i="1"/>
  <c r="H777" i="1"/>
  <c r="G777" i="1" l="1"/>
  <c r="F777" i="1"/>
  <c r="K859" i="1" l="1"/>
  <c r="J859" i="1"/>
  <c r="I859" i="1"/>
  <c r="H859" i="1"/>
  <c r="G859" i="1"/>
  <c r="F859" i="1"/>
  <c r="G850" i="1" l="1"/>
  <c r="G880" i="1"/>
  <c r="F850" i="1"/>
  <c r="F880" i="1"/>
  <c r="I850" i="1"/>
  <c r="I880" i="1"/>
  <c r="K850" i="1"/>
  <c r="K880" i="1"/>
  <c r="H850" i="1"/>
  <c r="H880" i="1"/>
  <c r="J850" i="1"/>
  <c r="J880" i="1"/>
  <c r="J864" i="1"/>
  <c r="K864" i="1"/>
  <c r="H864" i="1"/>
  <c r="G864" i="1"/>
  <c r="F864" i="1"/>
  <c r="I864" i="1"/>
  <c r="K75" i="1" l="1"/>
  <c r="J75" i="1"/>
  <c r="I75" i="1"/>
  <c r="H75" i="1"/>
  <c r="G75" i="1"/>
  <c r="K957" i="1" l="1"/>
  <c r="J957" i="1"/>
  <c r="I957" i="1"/>
  <c r="H957" i="1"/>
  <c r="G957" i="1"/>
  <c r="F957" i="1"/>
  <c r="F876" i="1"/>
  <c r="H832" i="1"/>
  <c r="K765" i="1"/>
  <c r="K858" i="1" s="1"/>
  <c r="J765" i="1"/>
  <c r="J858" i="1" s="1"/>
  <c r="I765" i="1"/>
  <c r="I858" i="1" s="1"/>
  <c r="H765" i="1"/>
  <c r="H858" i="1" s="1"/>
  <c r="G765" i="1"/>
  <c r="G858" i="1" s="1"/>
  <c r="F765" i="1"/>
  <c r="F858" i="1" s="1"/>
  <c r="G832" i="1" l="1"/>
  <c r="F832" i="1"/>
  <c r="F852" i="1"/>
  <c r="F881" i="1"/>
  <c r="H852" i="1"/>
  <c r="H881" i="1"/>
  <c r="J852" i="1"/>
  <c r="J881" i="1"/>
  <c r="I832" i="1"/>
  <c r="K852" i="1"/>
  <c r="K881" i="1"/>
  <c r="G852" i="1"/>
  <c r="G881" i="1"/>
  <c r="I852" i="1"/>
  <c r="I881" i="1"/>
  <c r="K854" i="1"/>
  <c r="G823" i="1"/>
  <c r="I823" i="1"/>
  <c r="J823" i="1"/>
  <c r="F826" i="1"/>
  <c r="H823" i="1"/>
  <c r="K823" i="1"/>
  <c r="G826" i="1"/>
  <c r="H826" i="1"/>
  <c r="I826" i="1"/>
  <c r="J826" i="1"/>
  <c r="K826" i="1"/>
  <c r="J832" i="1"/>
  <c r="F854" i="1"/>
  <c r="K832" i="1"/>
  <c r="G854" i="1"/>
  <c r="H854" i="1"/>
  <c r="I854" i="1"/>
  <c r="F823" i="1"/>
  <c r="J854" i="1"/>
  <c r="F75" i="1"/>
  <c r="J860" i="1" l="1"/>
  <c r="J819" i="1"/>
  <c r="I860" i="1"/>
  <c r="I819" i="1"/>
  <c r="H860" i="1"/>
  <c r="H819" i="1"/>
  <c r="F860" i="1"/>
  <c r="F819" i="1"/>
  <c r="G860" i="1"/>
  <c r="G819" i="1"/>
  <c r="K860" i="1"/>
  <c r="K819" i="1"/>
  <c r="G775" i="1" l="1"/>
  <c r="G770" i="1" s="1"/>
  <c r="G862" i="1" s="1"/>
  <c r="G771" i="1" l="1"/>
  <c r="G768" i="1" s="1"/>
  <c r="G773" i="1"/>
  <c r="G769" i="1" s="1"/>
  <c r="G861" i="1" s="1"/>
  <c r="G784" i="1" l="1"/>
  <c r="G763" i="1"/>
  <c r="D4" i="4" s="1"/>
  <c r="D3" i="4" s="1"/>
  <c r="G785" i="1"/>
  <c r="G863" i="1"/>
  <c r="G781" i="1"/>
  <c r="G865" i="1" s="1"/>
  <c r="F863" i="1" l="1"/>
  <c r="I863" i="1"/>
  <c r="K863" i="1"/>
  <c r="F784" i="1"/>
  <c r="K775" i="1"/>
  <c r="K770" i="1" s="1"/>
  <c r="K862" i="1" s="1"/>
  <c r="J775" i="1"/>
  <c r="J770" i="1" s="1"/>
  <c r="J862" i="1" s="1"/>
  <c r="I775" i="1"/>
  <c r="I770" i="1" s="1"/>
  <c r="I862" i="1" s="1"/>
  <c r="H775" i="1"/>
  <c r="H770" i="1" s="1"/>
  <c r="H862" i="1" s="1"/>
  <c r="F775" i="1"/>
  <c r="F770" i="1" s="1"/>
  <c r="F862" i="1" s="1"/>
  <c r="I784" i="1" l="1"/>
  <c r="K784" i="1"/>
  <c r="H784" i="1"/>
  <c r="J784" i="1"/>
  <c r="J863" i="1"/>
  <c r="H785" i="1"/>
  <c r="H863" i="1"/>
  <c r="J781" i="1"/>
  <c r="J865" i="1" s="1"/>
  <c r="K781" i="1"/>
  <c r="K865" i="1" s="1"/>
  <c r="I785" i="1"/>
  <c r="I781" i="1"/>
  <c r="I865" i="1" s="1"/>
  <c r="F781" i="1"/>
  <c r="F865" i="1" s="1"/>
  <c r="J785" i="1"/>
  <c r="H781" i="1"/>
  <c r="H865" i="1" s="1"/>
  <c r="K785" i="1"/>
  <c r="H773" i="1"/>
  <c r="H769" i="1" s="1"/>
  <c r="H861" i="1" s="1"/>
  <c r="H771" i="1"/>
  <c r="H768" i="1" s="1"/>
  <c r="H763" i="1" s="1"/>
  <c r="E4" i="4" s="1"/>
  <c r="E3" i="4" s="1"/>
  <c r="I771" i="1"/>
  <c r="I768" i="1" s="1"/>
  <c r="I773" i="1"/>
  <c r="I769" i="1" s="1"/>
  <c r="I861" i="1" s="1"/>
  <c r="J773" i="1"/>
  <c r="J769" i="1" s="1"/>
  <c r="J861" i="1" s="1"/>
  <c r="J771" i="1"/>
  <c r="J768" i="1" s="1"/>
  <c r="F771" i="1"/>
  <c r="F768" i="1" s="1"/>
  <c r="F773" i="1"/>
  <c r="F769" i="1" s="1"/>
  <c r="F861" i="1" s="1"/>
  <c r="K773" i="1"/>
  <c r="K769" i="1" s="1"/>
  <c r="K861" i="1" s="1"/>
  <c r="K771" i="1"/>
  <c r="K768" i="1" s="1"/>
  <c r="F785" i="1"/>
  <c r="K763" i="1" l="1"/>
  <c r="H4" i="4" s="1"/>
  <c r="H3" i="4" s="1"/>
  <c r="F763" i="1"/>
  <c r="C4" i="4" s="1"/>
  <c r="C3" i="4" s="1"/>
  <c r="J763" i="1"/>
  <c r="G4" i="4" s="1"/>
  <c r="G3" i="4" s="1"/>
  <c r="I763" i="1"/>
  <c r="F4" i="4" s="1"/>
  <c r="F3" i="4" s="1"/>
  <c r="E519" i="1" l="1"/>
  <c r="E518" i="1"/>
  <c r="E514" i="1"/>
  <c r="E513" i="1"/>
  <c r="E512" i="1"/>
  <c r="E511" i="1"/>
  <c r="E510" i="1"/>
  <c r="E509" i="1"/>
  <c r="E498" i="1"/>
  <c r="E497" i="1"/>
  <c r="E496" i="1"/>
  <c r="E488" i="1"/>
  <c r="E487" i="1"/>
  <c r="E486" i="1"/>
  <c r="E485" i="1"/>
  <c r="E477" i="1"/>
  <c r="E476" i="1"/>
  <c r="E475" i="1"/>
  <c r="E491" i="1" s="1"/>
  <c r="E474" i="1"/>
  <c r="C409" i="1"/>
  <c r="B409" i="1"/>
  <c r="F389" i="1" l="1"/>
  <c r="G389" i="1"/>
  <c r="I389" i="1"/>
  <c r="H389" i="1"/>
  <c r="J389" i="1"/>
  <c r="K389" i="1"/>
  <c r="K461" i="1"/>
  <c r="J461" i="1"/>
  <c r="I461" i="1"/>
  <c r="H461" i="1"/>
  <c r="G461" i="1"/>
  <c r="F461" i="1"/>
  <c r="K459" i="1" l="1"/>
  <c r="J459" i="1"/>
  <c r="I459" i="1"/>
  <c r="H459" i="1"/>
  <c r="G459" i="1"/>
  <c r="F459" i="1"/>
  <c r="K457" i="1" l="1"/>
  <c r="J457" i="1"/>
  <c r="I457" i="1"/>
  <c r="H457" i="1"/>
  <c r="G457" i="1"/>
  <c r="F457" i="1"/>
  <c r="K455" i="1"/>
  <c r="J455" i="1"/>
  <c r="I455" i="1"/>
  <c r="H455" i="1"/>
  <c r="G455" i="1"/>
  <c r="F455" i="1"/>
  <c r="K447" i="1"/>
  <c r="J447" i="1"/>
  <c r="I447" i="1"/>
  <c r="H447" i="1"/>
  <c r="G447" i="1"/>
  <c r="F447" i="1"/>
  <c r="F445" i="1" l="1"/>
  <c r="F442" i="1" s="1"/>
  <c r="F441" i="1" s="1"/>
  <c r="G445" i="1"/>
  <c r="G442" i="1" s="1"/>
  <c r="G441" i="1" s="1"/>
  <c r="H445" i="1"/>
  <c r="H442" i="1" s="1"/>
  <c r="H441" i="1" s="1"/>
  <c r="I445" i="1"/>
  <c r="I442" i="1" s="1"/>
  <c r="I441" i="1" s="1"/>
  <c r="J445" i="1"/>
  <c r="J442" i="1" s="1"/>
  <c r="J441" i="1" s="1"/>
  <c r="K445" i="1"/>
  <c r="K442" i="1" s="1"/>
  <c r="K441" i="1" s="1"/>
  <c r="F452" i="1"/>
  <c r="F451" i="1" s="1"/>
  <c r="F449" i="1"/>
  <c r="G452" i="1"/>
  <c r="G451" i="1" s="1"/>
  <c r="G449" i="1"/>
  <c r="H452" i="1"/>
  <c r="H451" i="1" s="1"/>
  <c r="H449" i="1"/>
  <c r="I452" i="1"/>
  <c r="I451" i="1" s="1"/>
  <c r="I449" i="1"/>
  <c r="J449" i="1"/>
  <c r="J452" i="1"/>
  <c r="J451" i="1" s="1"/>
  <c r="K449" i="1"/>
  <c r="K452" i="1"/>
  <c r="K451" i="1" s="1"/>
  <c r="I440" i="1" l="1"/>
  <c r="G440" i="1"/>
  <c r="H440" i="1"/>
  <c r="F440" i="1"/>
  <c r="K440" i="1"/>
  <c r="J440" i="1"/>
  <c r="K387" i="1" l="1"/>
  <c r="I387" i="1" l="1"/>
  <c r="J387" i="1"/>
  <c r="F387" i="1"/>
  <c r="G387" i="1"/>
  <c r="H387" i="1"/>
  <c r="G401" i="1" l="1"/>
  <c r="H401" i="1"/>
  <c r="I401" i="1"/>
  <c r="J401" i="1"/>
  <c r="K401" i="1"/>
  <c r="F401" i="1" l="1"/>
  <c r="G526" i="1" l="1"/>
  <c r="H526" i="1"/>
  <c r="I526" i="1"/>
  <c r="J526" i="1"/>
  <c r="K526" i="1"/>
  <c r="F526" i="1"/>
  <c r="K292" i="1"/>
  <c r="J292" i="1"/>
  <c r="I292" i="1"/>
  <c r="H292" i="1"/>
  <c r="G292" i="1"/>
  <c r="F292" i="1"/>
  <c r="K911" i="1"/>
  <c r="K907" i="1" s="1"/>
  <c r="J911" i="1"/>
  <c r="J907" i="1" s="1"/>
  <c r="I911" i="1"/>
  <c r="I907" i="1" s="1"/>
  <c r="H911" i="1"/>
  <c r="H907" i="1" s="1"/>
  <c r="G911" i="1"/>
  <c r="G907" i="1" s="1"/>
  <c r="F911" i="1"/>
  <c r="F907" i="1" s="1"/>
  <c r="E288" i="1"/>
  <c r="K1046" i="1"/>
  <c r="J1046" i="1"/>
  <c r="I1046" i="1"/>
  <c r="E282" i="1"/>
  <c r="E279" i="1"/>
  <c r="K276" i="1"/>
  <c r="J276" i="1"/>
  <c r="I276" i="1"/>
  <c r="H276" i="1"/>
  <c r="G276" i="1"/>
  <c r="F276" i="1"/>
  <c r="G1044" i="1"/>
  <c r="I1045" i="1"/>
  <c r="J1045" i="1"/>
  <c r="F1045" i="1"/>
  <c r="E258" i="1"/>
  <c r="E257" i="1"/>
  <c r="E256" i="1"/>
  <c r="E255" i="1"/>
  <c r="E109" i="1"/>
  <c r="E110" i="1"/>
  <c r="E111" i="1"/>
  <c r="E112" i="1"/>
  <c r="E113" i="1"/>
  <c r="K78" i="1"/>
  <c r="J78" i="1"/>
  <c r="I78" i="1"/>
  <c r="H78" i="1"/>
  <c r="G78" i="1"/>
  <c r="F78" i="1"/>
  <c r="G184" i="1"/>
  <c r="H184" i="1"/>
  <c r="I184" i="1"/>
  <c r="J184" i="1"/>
  <c r="K184" i="1"/>
  <c r="K801" i="1"/>
  <c r="J801" i="1"/>
  <c r="I801" i="1"/>
  <c r="H801" i="1"/>
  <c r="G801" i="1"/>
  <c r="F801" i="1"/>
  <c r="G294" i="1" l="1"/>
  <c r="H294" i="1"/>
  <c r="H1045" i="1"/>
  <c r="F294" i="1"/>
  <c r="G1045" i="1"/>
  <c r="K294" i="1"/>
  <c r="K1044" i="1"/>
  <c r="J1044" i="1"/>
  <c r="J1043" i="1" s="1"/>
  <c r="I1044" i="1"/>
  <c r="I1043" i="1" s="1"/>
  <c r="H1044" i="1"/>
  <c r="F1046" i="1"/>
  <c r="F1044" i="1"/>
  <c r="G1046" i="1"/>
  <c r="K1045" i="1"/>
  <c r="H1046" i="1"/>
  <c r="F912" i="1"/>
  <c r="F967" i="1" s="1"/>
  <c r="K912" i="1"/>
  <c r="K967" i="1" s="1"/>
  <c r="I912" i="1"/>
  <c r="I967" i="1" s="1"/>
  <c r="H912" i="1"/>
  <c r="H967" i="1" s="1"/>
  <c r="J912" i="1"/>
  <c r="J967" i="1" s="1"/>
  <c r="G912" i="1"/>
  <c r="G967" i="1" s="1"/>
  <c r="F281" i="1"/>
  <c r="F798" i="1"/>
  <c r="J281" i="1"/>
  <c r="J798" i="1"/>
  <c r="K281" i="1"/>
  <c r="K798" i="1"/>
  <c r="I281" i="1"/>
  <c r="I798" i="1"/>
  <c r="G281" i="1"/>
  <c r="G798" i="1"/>
  <c r="F799" i="1"/>
  <c r="F800" i="1"/>
  <c r="H281" i="1"/>
  <c r="H798" i="1"/>
  <c r="J799" i="1"/>
  <c r="J800" i="1"/>
  <c r="I799" i="1"/>
  <c r="I800" i="1"/>
  <c r="H799" i="1"/>
  <c r="H800" i="1"/>
  <c r="G799" i="1"/>
  <c r="G800" i="1"/>
  <c r="K799" i="1"/>
  <c r="K800" i="1"/>
  <c r="F288" i="1"/>
  <c r="J294" i="1"/>
  <c r="G288" i="1"/>
  <c r="I294" i="1"/>
  <c r="H288" i="1"/>
  <c r="H304" i="1"/>
  <c r="J288" i="1"/>
  <c r="I304" i="1"/>
  <c r="K288" i="1"/>
  <c r="I288" i="1"/>
  <c r="G412" i="1"/>
  <c r="G303" i="1"/>
  <c r="I303" i="1"/>
  <c r="H303" i="1"/>
  <c r="F303" i="1"/>
  <c r="J303" i="1"/>
  <c r="K303" i="1"/>
  <c r="G70" i="1"/>
  <c r="I70" i="1"/>
  <c r="K70" i="1"/>
  <c r="H70" i="1"/>
  <c r="J70" i="1"/>
  <c r="F70" i="1"/>
  <c r="K795" i="1"/>
  <c r="J795" i="1"/>
  <c r="I795" i="1"/>
  <c r="H795" i="1"/>
  <c r="G795" i="1"/>
  <c r="F795" i="1"/>
  <c r="K1043" i="1" l="1"/>
  <c r="H1043" i="1"/>
  <c r="G1043" i="1"/>
  <c r="F1043" i="1"/>
  <c r="F1095" i="1" s="1"/>
  <c r="I1096" i="1"/>
  <c r="I1095" i="1"/>
  <c r="I1097" i="1"/>
  <c r="J1095" i="1"/>
  <c r="J1097" i="1"/>
  <c r="J1096" i="1"/>
  <c r="I1047" i="1"/>
  <c r="I1071" i="1"/>
  <c r="I1070" i="1"/>
  <c r="I1069" i="1"/>
  <c r="J1047" i="1"/>
  <c r="J1070" i="1"/>
  <c r="J1069" i="1"/>
  <c r="J1071" i="1"/>
  <c r="F940" i="1"/>
  <c r="F963" i="1" s="1"/>
  <c r="G943" i="1"/>
  <c r="G966" i="1" s="1"/>
  <c r="F943" i="1"/>
  <c r="F966" i="1" s="1"/>
  <c r="H939" i="1"/>
  <c r="H962" i="1" s="1"/>
  <c r="K942" i="1"/>
  <c r="K965" i="1" s="1"/>
  <c r="I939" i="1"/>
  <c r="I962" i="1" s="1"/>
  <c r="J939" i="1"/>
  <c r="J962" i="1" s="1"/>
  <c r="J942" i="1"/>
  <c r="J965" i="1" s="1"/>
  <c r="I942" i="1"/>
  <c r="I965" i="1" s="1"/>
  <c r="K939" i="1"/>
  <c r="K962" i="1" s="1"/>
  <c r="K943" i="1"/>
  <c r="K966" i="1" s="1"/>
  <c r="F939" i="1"/>
  <c r="F962" i="1" s="1"/>
  <c r="G939" i="1"/>
  <c r="G962" i="1" s="1"/>
  <c r="G942" i="1"/>
  <c r="G965" i="1" s="1"/>
  <c r="I940" i="1"/>
  <c r="I963" i="1" s="1"/>
  <c r="I941" i="1"/>
  <c r="I964" i="1" s="1"/>
  <c r="G941" i="1"/>
  <c r="G964" i="1" s="1"/>
  <c r="J940" i="1"/>
  <c r="J963" i="1" s="1"/>
  <c r="F941" i="1"/>
  <c r="F964" i="1" s="1"/>
  <c r="H940" i="1"/>
  <c r="H963" i="1" s="1"/>
  <c r="H942" i="1"/>
  <c r="H965" i="1" s="1"/>
  <c r="J943" i="1"/>
  <c r="J966" i="1" s="1"/>
  <c r="H941" i="1"/>
  <c r="H964" i="1" s="1"/>
  <c r="J941" i="1"/>
  <c r="J964" i="1" s="1"/>
  <c r="F942" i="1"/>
  <c r="F965" i="1" s="1"/>
  <c r="H943" i="1"/>
  <c r="H966" i="1" s="1"/>
  <c r="K941" i="1"/>
  <c r="K964" i="1" s="1"/>
  <c r="I943" i="1"/>
  <c r="I966" i="1" s="1"/>
  <c r="K940" i="1"/>
  <c r="K963" i="1" s="1"/>
  <c r="G940" i="1"/>
  <c r="G963" i="1" s="1"/>
  <c r="H412" i="1"/>
  <c r="G282" i="1"/>
  <c r="H282" i="1"/>
  <c r="I282" i="1"/>
  <c r="F282" i="1"/>
  <c r="J282" i="1"/>
  <c r="K282" i="1"/>
  <c r="I412" i="1"/>
  <c r="G527" i="1"/>
  <c r="G304" i="1"/>
  <c r="G417" i="1"/>
  <c r="K412" i="1"/>
  <c r="K304" i="1"/>
  <c r="J412" i="1"/>
  <c r="J304" i="1"/>
  <c r="E268" i="1"/>
  <c r="E267" i="1"/>
  <c r="E266" i="1"/>
  <c r="E247" i="1"/>
  <c r="E246" i="1"/>
  <c r="E245" i="1"/>
  <c r="E261" i="1" s="1"/>
  <c r="E244" i="1"/>
  <c r="E289" i="1"/>
  <c r="E291" i="1" s="1"/>
  <c r="E284" i="1"/>
  <c r="E283" i="1"/>
  <c r="E281" i="1"/>
  <c r="E280" i="1"/>
  <c r="K1095" i="1" l="1"/>
  <c r="K1096" i="1"/>
  <c r="K1097" i="1"/>
  <c r="H1097" i="1"/>
  <c r="H1096" i="1"/>
  <c r="H1095" i="1"/>
  <c r="H1047" i="1"/>
  <c r="H1069" i="1"/>
  <c r="G1070" i="1"/>
  <c r="G1097" i="1"/>
  <c r="G1096" i="1"/>
  <c r="G1095" i="1"/>
  <c r="G1047" i="1"/>
  <c r="G1071" i="1"/>
  <c r="K1047" i="1"/>
  <c r="K1070" i="1"/>
  <c r="K1071" i="1"/>
  <c r="K1069" i="1"/>
  <c r="H1070" i="1"/>
  <c r="H1071" i="1"/>
  <c r="G1069" i="1"/>
  <c r="F1097" i="1"/>
  <c r="F1047" i="1"/>
  <c r="F1096" i="1"/>
  <c r="F1071" i="1"/>
  <c r="F1070" i="1"/>
  <c r="F1069" i="1"/>
  <c r="G415" i="1"/>
  <c r="G414" i="1" s="1"/>
  <c r="G416" i="1"/>
  <c r="H417" i="1"/>
  <c r="H527" i="1"/>
  <c r="I527" i="1"/>
  <c r="I417" i="1"/>
  <c r="K527" i="1"/>
  <c r="J527" i="1"/>
  <c r="K417" i="1"/>
  <c r="J417" i="1"/>
  <c r="E65" i="1"/>
  <c r="E67" i="1" s="1"/>
  <c r="E68" i="1" s="1"/>
  <c r="E69" i="1" s="1"/>
  <c r="E75" i="1" s="1"/>
  <c r="I48" i="1"/>
  <c r="I1737" i="1" s="1"/>
  <c r="H48" i="1"/>
  <c r="H1737" i="1" s="1"/>
  <c r="G48" i="1"/>
  <c r="G1737" i="1" s="1"/>
  <c r="F48" i="1"/>
  <c r="F1737" i="1" s="1"/>
  <c r="I47" i="1"/>
  <c r="H47" i="1"/>
  <c r="G47" i="1"/>
  <c r="F47" i="1"/>
  <c r="F1570" i="1" l="1"/>
  <c r="F1617" i="1"/>
  <c r="F1428" i="1"/>
  <c r="F1427" i="1" s="1"/>
  <c r="F1426" i="1" s="1"/>
  <c r="F1344" i="1"/>
  <c r="F1343" i="1" s="1"/>
  <c r="F1342" i="1" s="1"/>
  <c r="F1206" i="1"/>
  <c r="F1205" i="1" s="1"/>
  <c r="F1204" i="1" s="1"/>
  <c r="G1570" i="1"/>
  <c r="G1569" i="1" s="1"/>
  <c r="G1568" i="1" s="1"/>
  <c r="G1617" i="1"/>
  <c r="G1616" i="1" s="1"/>
  <c r="G1615" i="1" s="1"/>
  <c r="G1428" i="1"/>
  <c r="G1427" i="1" s="1"/>
  <c r="G1426" i="1" s="1"/>
  <c r="G1344" i="1"/>
  <c r="G1343" i="1" s="1"/>
  <c r="G1342" i="1" s="1"/>
  <c r="G1206" i="1"/>
  <c r="G1205" i="1" s="1"/>
  <c r="G1204" i="1" s="1"/>
  <c r="H1570" i="1"/>
  <c r="H1569" i="1" s="1"/>
  <c r="H1568" i="1" s="1"/>
  <c r="H1617" i="1"/>
  <c r="H1616" i="1" s="1"/>
  <c r="H1615" i="1" s="1"/>
  <c r="H1428" i="1"/>
  <c r="H1427" i="1" s="1"/>
  <c r="H1426" i="1" s="1"/>
  <c r="H1344" i="1"/>
  <c r="H1343" i="1" s="1"/>
  <c r="H1342" i="1" s="1"/>
  <c r="H1206" i="1"/>
  <c r="H1205" i="1" s="1"/>
  <c r="H1204" i="1" s="1"/>
  <c r="I1570" i="1"/>
  <c r="I1569" i="1" s="1"/>
  <c r="I1568" i="1" s="1"/>
  <c r="I1617" i="1"/>
  <c r="I1616" i="1" s="1"/>
  <c r="I1615" i="1" s="1"/>
  <c r="I1428" i="1"/>
  <c r="I1427" i="1" s="1"/>
  <c r="I1426" i="1" s="1"/>
  <c r="I1344" i="1"/>
  <c r="I1343" i="1" s="1"/>
  <c r="I1342" i="1" s="1"/>
  <c r="I1206" i="1"/>
  <c r="I1205" i="1" s="1"/>
  <c r="I1204" i="1" s="1"/>
  <c r="F1569" i="1"/>
  <c r="F1568" i="1" s="1"/>
  <c r="F1616" i="1"/>
  <c r="F1615" i="1" s="1"/>
  <c r="F1736" i="1"/>
  <c r="G1736" i="1"/>
  <c r="H1736" i="1"/>
  <c r="I1736" i="1"/>
  <c r="F46" i="1"/>
  <c r="F1735" i="1" s="1"/>
  <c r="H46" i="1"/>
  <c r="H1735" i="1" s="1"/>
  <c r="G46" i="1"/>
  <c r="G1735" i="1" s="1"/>
  <c r="I46" i="1"/>
  <c r="I1735" i="1" s="1"/>
  <c r="J415" i="1"/>
  <c r="J414" i="1" s="1"/>
  <c r="J416" i="1"/>
  <c r="K415" i="1"/>
  <c r="K414" i="1" s="1"/>
  <c r="K416" i="1"/>
  <c r="I415" i="1"/>
  <c r="I414" i="1" s="1"/>
  <c r="I416" i="1"/>
  <c r="H415" i="1"/>
  <c r="H414" i="1" s="1"/>
  <c r="H416" i="1"/>
  <c r="E131" i="1"/>
  <c r="E132" i="1" s="1"/>
  <c r="E83" i="1" s="1"/>
  <c r="E84" i="1" s="1"/>
  <c r="E85" i="1" s="1"/>
  <c r="E86" i="1" s="1"/>
  <c r="E152" i="1" s="1"/>
  <c r="E133" i="1" s="1"/>
  <c r="E134" i="1" s="1"/>
  <c r="E76" i="1" s="1"/>
  <c r="E87" i="1" s="1"/>
  <c r="E170" i="1" s="1"/>
  <c r="E78" i="1"/>
  <c r="E74" i="1"/>
  <c r="E66" i="1"/>
  <c r="K47" i="1"/>
  <c r="J47" i="1"/>
  <c r="J1736" i="1" l="1"/>
  <c r="K1736" i="1"/>
  <c r="K46" i="1"/>
  <c r="K1735" i="1" s="1"/>
  <c r="J46" i="1"/>
  <c r="J1735" i="1" s="1"/>
  <c r="E153" i="1"/>
  <c r="E167" i="1" s="1"/>
  <c r="E183" i="1" s="1"/>
  <c r="E108" i="1" s="1"/>
  <c r="E211" i="1"/>
  <c r="E82" i="1"/>
  <c r="E182" i="1"/>
  <c r="E79" i="1"/>
  <c r="K49" i="1"/>
  <c r="J49" i="1"/>
  <c r="J1617" i="1" s="1"/>
  <c r="J1428" i="1" l="1"/>
  <c r="J1206" i="1"/>
  <c r="J1344" i="1"/>
  <c r="K1571" i="1"/>
  <c r="K1207" i="1"/>
  <c r="K1429" i="1"/>
  <c r="K1618" i="1"/>
  <c r="K1345" i="1"/>
  <c r="K1344" i="1"/>
  <c r="K1617" i="1"/>
  <c r="K1570" i="1"/>
  <c r="K1206" i="1"/>
  <c r="K1428" i="1"/>
  <c r="J1429" i="1"/>
  <c r="J1345" i="1"/>
  <c r="J1207" i="1"/>
  <c r="J1618" i="1"/>
  <c r="J1571" i="1"/>
  <c r="J1570" i="1"/>
  <c r="K1738" i="1"/>
  <c r="J1738" i="1"/>
  <c r="J48" i="1"/>
  <c r="J1737" i="1" s="1"/>
  <c r="K48" i="1"/>
  <c r="K1737" i="1" s="1"/>
  <c r="E210" i="1"/>
  <c r="E269" i="1" s="1"/>
  <c r="E160" i="1"/>
  <c r="E162" i="1" s="1"/>
  <c r="E278" i="1"/>
  <c r="E277" i="1"/>
  <c r="E107" i="1"/>
  <c r="J1569" i="1" l="1"/>
  <c r="J1568" i="1" s="1"/>
  <c r="K1569" i="1"/>
  <c r="K1568" i="1" s="1"/>
  <c r="K1616" i="1"/>
  <c r="K1615" i="1" s="1"/>
  <c r="J1616" i="1"/>
  <c r="J1615" i="1" s="1"/>
  <c r="K1427" i="1"/>
  <c r="K1426" i="1" s="1"/>
  <c r="J1427" i="1"/>
  <c r="J1426" i="1" s="1"/>
  <c r="J1205" i="1"/>
  <c r="J1204" i="1" s="1"/>
  <c r="J1343" i="1"/>
  <c r="J1342" i="1" s="1"/>
  <c r="K1343" i="1"/>
  <c r="K1342" i="1" s="1"/>
  <c r="K1205" i="1"/>
  <c r="K1204" i="1" s="1"/>
  <c r="E174" i="1"/>
  <c r="E163" i="1"/>
  <c r="E176" i="1"/>
  <c r="E251" i="1" l="1"/>
  <c r="E223" i="1"/>
  <c r="E99" i="1"/>
  <c r="E241" i="1"/>
  <c r="E287" i="1" s="1"/>
  <c r="E220" i="1"/>
  <c r="E222" i="1"/>
  <c r="E225" i="1"/>
  <c r="E252" i="1"/>
  <c r="E229" i="1"/>
  <c r="E231" i="1"/>
  <c r="E101" i="1"/>
  <c r="E254" i="1"/>
  <c r="E228" i="1"/>
  <c r="E248" i="1" s="1"/>
  <c r="E243" i="1"/>
  <c r="E164" i="1"/>
  <c r="E177" i="1"/>
  <c r="E259" i="1" l="1"/>
  <c r="E290" i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260" i="1"/>
  <c r="E263" i="1"/>
  <c r="E102" i="1"/>
  <c r="E232" i="1"/>
  <c r="E250" i="1" s="1"/>
  <c r="E230" i="1"/>
  <c r="E249" i="1" s="1"/>
  <c r="E165" i="1"/>
  <c r="E178" i="1"/>
  <c r="E396" i="1" l="1"/>
  <c r="E397" i="1" s="1"/>
  <c r="E440" i="1"/>
  <c r="E499" i="1" s="1"/>
  <c r="E411" i="1"/>
  <c r="E508" i="1" s="1"/>
  <c r="E264" i="1"/>
  <c r="E103" i="1"/>
  <c r="E166" i="1"/>
  <c r="E179" i="1"/>
  <c r="E273" i="1" s="1"/>
  <c r="E398" i="1" l="1"/>
  <c r="E443" i="1" s="1"/>
  <c r="E409" i="1"/>
  <c r="E265" i="1"/>
  <c r="E104" i="1"/>
  <c r="E88" i="1"/>
  <c r="E89" i="1" s="1"/>
  <c r="E77" i="1" s="1"/>
  <c r="E154" i="1" s="1"/>
  <c r="E180" i="1"/>
  <c r="E169" i="1"/>
  <c r="E181" i="1" s="1"/>
  <c r="E276" i="1" s="1"/>
  <c r="E506" i="1" l="1"/>
  <c r="E505" i="1"/>
  <c r="E399" i="1"/>
  <c r="E441" i="1"/>
  <c r="E410" i="1"/>
  <c r="E507" i="1" s="1"/>
  <c r="E155" i="1"/>
  <c r="E135" i="1" s="1"/>
  <c r="E136" i="1" s="1"/>
  <c r="E171" i="1" s="1"/>
  <c r="E168" i="1"/>
  <c r="E275" i="1"/>
  <c r="E106" i="1"/>
  <c r="E274" i="1"/>
  <c r="E105" i="1"/>
  <c r="E445" i="1" l="1"/>
  <c r="E466" i="1"/>
  <c r="E234" i="1"/>
  <c r="E236" i="1"/>
  <c r="E137" i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400" i="1"/>
  <c r="E468" i="1" s="1"/>
  <c r="E444" i="1"/>
  <c r="E442" i="1"/>
  <c r="E515" i="1" s="1"/>
  <c r="E464" i="1"/>
  <c r="E463" i="1"/>
  <c r="E500" i="1" s="1"/>
  <c r="E212" i="1"/>
  <c r="E285" i="1" s="1"/>
  <c r="E214" i="1"/>
  <c r="E90" i="1"/>
  <c r="E91" i="1" s="1"/>
  <c r="E92" i="1" s="1"/>
  <c r="E233" i="1"/>
  <c r="E270" i="1" s="1"/>
  <c r="E161" i="1"/>
  <c r="E175" i="1" s="1"/>
  <c r="E262" i="1" s="1"/>
  <c r="E80" i="1" l="1"/>
  <c r="E401" i="1"/>
  <c r="E451" i="1" s="1"/>
  <c r="E467" i="1"/>
  <c r="E465" i="1"/>
  <c r="E501" i="1" s="1"/>
  <c r="E446" i="1"/>
  <c r="E516" i="1" s="1"/>
  <c r="E447" i="1"/>
  <c r="E253" i="1"/>
  <c r="E227" i="1"/>
  <c r="E242" i="1"/>
  <c r="E100" i="1"/>
  <c r="E226" i="1"/>
  <c r="E224" i="1"/>
  <c r="E156" i="1"/>
  <c r="E93" i="1" s="1"/>
  <c r="E94" i="1" s="1"/>
  <c r="E157" i="1" s="1"/>
  <c r="E95" i="1" s="1"/>
  <c r="E96" i="1" s="1"/>
  <c r="E158" i="1" s="1"/>
  <c r="E172" i="1" s="1"/>
  <c r="E81" i="1"/>
  <c r="E73" i="1" s="1"/>
  <c r="E215" i="1" l="1"/>
  <c r="E238" i="1"/>
  <c r="E217" i="1"/>
  <c r="E213" i="1"/>
  <c r="E402" i="1"/>
  <c r="E453" i="1" s="1"/>
  <c r="E469" i="1"/>
  <c r="E502" i="1" s="1"/>
  <c r="E449" i="1"/>
  <c r="E470" i="1"/>
  <c r="E448" i="1"/>
  <c r="E235" i="1"/>
  <c r="E271" i="1" s="1"/>
  <c r="E237" i="1"/>
  <c r="E97" i="1"/>
  <c r="E159" i="1" s="1"/>
  <c r="E173" i="1" s="1"/>
  <c r="E216" i="1"/>
  <c r="E286" i="1" s="1"/>
  <c r="E240" i="1" l="1"/>
  <c r="E221" i="1"/>
  <c r="E403" i="1"/>
  <c r="E450" i="1"/>
  <c r="E482" i="1"/>
  <c r="E481" i="1"/>
  <c r="E455" i="1"/>
  <c r="E452" i="1"/>
  <c r="E471" i="1"/>
  <c r="E98" i="1"/>
  <c r="E219" i="1"/>
  <c r="E114" i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218" i="1"/>
  <c r="E239" i="1"/>
  <c r="E272" i="1" s="1"/>
  <c r="E489" i="1" l="1"/>
  <c r="E517" i="1"/>
  <c r="E404" i="1"/>
  <c r="E492" i="1"/>
  <c r="E483" i="1"/>
  <c r="E457" i="1"/>
  <c r="E456" i="1"/>
  <c r="E454" i="1"/>
  <c r="E472" i="1"/>
  <c r="E127" i="1"/>
  <c r="E128" i="1" s="1"/>
  <c r="E129" i="1" s="1"/>
  <c r="E130" i="1" s="1"/>
  <c r="E72" i="1"/>
  <c r="E58" i="1"/>
  <c r="E59" i="1" s="1"/>
  <c r="E60" i="1" s="1"/>
  <c r="E61" i="1" s="1"/>
  <c r="F35" i="1"/>
  <c r="I1726" i="1"/>
  <c r="H1726" i="1"/>
  <c r="G1726" i="1"/>
  <c r="F1726" i="1"/>
  <c r="I35" i="1"/>
  <c r="H35" i="1"/>
  <c r="G35" i="1"/>
  <c r="I34" i="1"/>
  <c r="H34" i="1"/>
  <c r="G34" i="1"/>
  <c r="F34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8" i="1"/>
  <c r="I1747" i="1" s="1"/>
  <c r="I1652" i="1" l="1"/>
  <c r="I1555" i="1"/>
  <c r="I1602" i="1"/>
  <c r="I1511" i="1"/>
  <c r="I1510" i="1" s="1"/>
  <c r="I1509" i="1" s="1"/>
  <c r="I1160" i="1"/>
  <c r="H1652" i="1"/>
  <c r="H1651" i="1" s="1"/>
  <c r="H1555" i="1"/>
  <c r="H1554" i="1" s="1"/>
  <c r="H1553" i="1" s="1"/>
  <c r="H1602" i="1"/>
  <c r="H1601" i="1" s="1"/>
  <c r="H1600" i="1" s="1"/>
  <c r="H1511" i="1"/>
  <c r="H1510" i="1" s="1"/>
  <c r="H1509" i="1" s="1"/>
  <c r="H1160" i="1"/>
  <c r="H1159" i="1" s="1"/>
  <c r="H1158" i="1" s="1"/>
  <c r="F1652" i="1"/>
  <c r="F1555" i="1"/>
  <c r="F1554" i="1" s="1"/>
  <c r="F1553" i="1" s="1"/>
  <c r="F1602" i="1"/>
  <c r="F1511" i="1"/>
  <c r="F1160" i="1"/>
  <c r="F1159" i="1" s="1"/>
  <c r="F1158" i="1" s="1"/>
  <c r="H1658" i="1"/>
  <c r="H1659" i="1" s="1"/>
  <c r="H1609" i="1"/>
  <c r="H1608" i="1" s="1"/>
  <c r="H1607" i="1" s="1"/>
  <c r="H1562" i="1"/>
  <c r="H1561" i="1" s="1"/>
  <c r="H1560" i="1" s="1"/>
  <c r="H1414" i="1"/>
  <c r="H1413" i="1" s="1"/>
  <c r="H1412" i="1" s="1"/>
  <c r="H1330" i="1"/>
  <c r="H1329" i="1" s="1"/>
  <c r="H1328" i="1" s="1"/>
  <c r="H1183" i="1"/>
  <c r="G1652" i="1"/>
  <c r="G1602" i="1"/>
  <c r="G1555" i="1"/>
  <c r="G1511" i="1"/>
  <c r="G1160" i="1"/>
  <c r="F1658" i="1"/>
  <c r="F1659" i="1" s="1"/>
  <c r="F1562" i="1"/>
  <c r="F1561" i="1" s="1"/>
  <c r="F1560" i="1" s="1"/>
  <c r="F1609" i="1"/>
  <c r="F1608" i="1" s="1"/>
  <c r="F1607" i="1" s="1"/>
  <c r="F1414" i="1"/>
  <c r="F1413" i="1" s="1"/>
  <c r="F1412" i="1" s="1"/>
  <c r="F1330" i="1"/>
  <c r="F1329" i="1" s="1"/>
  <c r="F1328" i="1" s="1"/>
  <c r="F1183" i="1"/>
  <c r="G1658" i="1"/>
  <c r="G1659" i="1" s="1"/>
  <c r="G1609" i="1"/>
  <c r="G1608" i="1" s="1"/>
  <c r="G1607" i="1" s="1"/>
  <c r="G1562" i="1"/>
  <c r="G1414" i="1"/>
  <c r="G1413" i="1" s="1"/>
  <c r="G1412" i="1" s="1"/>
  <c r="G1330" i="1"/>
  <c r="G1329" i="1" s="1"/>
  <c r="G1328" i="1" s="1"/>
  <c r="G1183" i="1"/>
  <c r="G1182" i="1" s="1"/>
  <c r="G1181" i="1" s="1"/>
  <c r="I1658" i="1"/>
  <c r="I1659" i="1" s="1"/>
  <c r="I1562" i="1"/>
  <c r="I1561" i="1" s="1"/>
  <c r="I1560" i="1" s="1"/>
  <c r="I1609" i="1"/>
  <c r="I1414" i="1"/>
  <c r="I1330" i="1"/>
  <c r="I1183" i="1"/>
  <c r="G1651" i="1"/>
  <c r="G1601" i="1"/>
  <c r="G1600" i="1" s="1"/>
  <c r="G1554" i="1"/>
  <c r="G1553" i="1" s="1"/>
  <c r="G1510" i="1"/>
  <c r="G1509" i="1" s="1"/>
  <c r="G1159" i="1"/>
  <c r="G1158" i="1" s="1"/>
  <c r="I1651" i="1"/>
  <c r="I1554" i="1"/>
  <c r="I1553" i="1" s="1"/>
  <c r="I1601" i="1"/>
  <c r="I1600" i="1" s="1"/>
  <c r="I1159" i="1"/>
  <c r="I1158" i="1" s="1"/>
  <c r="F1651" i="1"/>
  <c r="F1601" i="1"/>
  <c r="F1600" i="1" s="1"/>
  <c r="F1510" i="1"/>
  <c r="F1509" i="1" s="1"/>
  <c r="F1182" i="1"/>
  <c r="F1181" i="1" s="1"/>
  <c r="G1561" i="1"/>
  <c r="G1560" i="1" s="1"/>
  <c r="H1182" i="1"/>
  <c r="H1181" i="1" s="1"/>
  <c r="I1608" i="1"/>
  <c r="I1607" i="1" s="1"/>
  <c r="F33" i="1"/>
  <c r="F1723" i="1" s="1"/>
  <c r="H33" i="1"/>
  <c r="H1723" i="1" s="1"/>
  <c r="G33" i="1"/>
  <c r="G1723" i="1" s="1"/>
  <c r="I33" i="1"/>
  <c r="I1723" i="1" s="1"/>
  <c r="I1413" i="1"/>
  <c r="I1412" i="1" s="1"/>
  <c r="I1329" i="1"/>
  <c r="I1328" i="1" s="1"/>
  <c r="I1182" i="1"/>
  <c r="I1181" i="1" s="1"/>
  <c r="H1725" i="1"/>
  <c r="I1725" i="1"/>
  <c r="F1725" i="1"/>
  <c r="H1724" i="1"/>
  <c r="G1725" i="1"/>
  <c r="F1724" i="1"/>
  <c r="G1724" i="1"/>
  <c r="I1724" i="1"/>
  <c r="E405" i="1"/>
  <c r="E461" i="1"/>
  <c r="E484" i="1"/>
  <c r="E459" i="1"/>
  <c r="E458" i="1"/>
  <c r="E478" i="1" s="1"/>
  <c r="E473" i="1"/>
  <c r="E62" i="1"/>
  <c r="E64" i="1" s="1"/>
  <c r="E71" i="1"/>
  <c r="E70" i="1"/>
  <c r="K42" i="1"/>
  <c r="C24" i="1"/>
  <c r="C25" i="1" s="1"/>
  <c r="C26" i="1" s="1"/>
  <c r="C27" i="1" s="1"/>
  <c r="C43" i="1" s="1"/>
  <c r="C44" i="1" s="1"/>
  <c r="C50" i="1" s="1"/>
  <c r="C29" i="1" s="1"/>
  <c r="C23" i="1"/>
  <c r="A24" i="1"/>
  <c r="A25" i="1" s="1"/>
  <c r="A26" i="1" s="1"/>
  <c r="A27" i="1" s="1"/>
  <c r="A28" i="1" s="1"/>
  <c r="A41" i="1" s="1"/>
  <c r="A23" i="1"/>
  <c r="B24" i="1"/>
  <c r="B25" i="1" s="1"/>
  <c r="B26" i="1" s="1"/>
  <c r="B27" i="1" s="1"/>
  <c r="B43" i="1" s="1"/>
  <c r="B44" i="1" s="1"/>
  <c r="B50" i="1" s="1"/>
  <c r="B29" i="1" s="1"/>
  <c r="B23" i="1"/>
  <c r="G42" i="1"/>
  <c r="F42" i="1"/>
  <c r="K23" i="1"/>
  <c r="K1714" i="1" s="1"/>
  <c r="F23" i="1"/>
  <c r="F1714" i="1" s="1"/>
  <c r="G23" i="1"/>
  <c r="G1714" i="1" s="1"/>
  <c r="H42" i="1"/>
  <c r="J42" i="1"/>
  <c r="I42" i="1"/>
  <c r="H23" i="1"/>
  <c r="H1714" i="1" s="1"/>
  <c r="I23" i="1"/>
  <c r="I1714" i="1" s="1"/>
  <c r="J23" i="1"/>
  <c r="J1714" i="1" s="1"/>
  <c r="J8" i="1"/>
  <c r="J1747" i="1" s="1"/>
  <c r="H8" i="1"/>
  <c r="H1747" i="1" s="1"/>
  <c r="G8" i="1"/>
  <c r="G1747" i="1" s="1"/>
  <c r="G51" i="1"/>
  <c r="H51" i="1"/>
  <c r="J51" i="1"/>
  <c r="K51" i="1"/>
  <c r="K58" i="1"/>
  <c r="F58" i="1"/>
  <c r="J58" i="1"/>
  <c r="I58" i="1"/>
  <c r="H58" i="1"/>
  <c r="G58" i="1"/>
  <c r="F51" i="1"/>
  <c r="I51" i="1"/>
  <c r="J35" i="1"/>
  <c r="J34" i="1"/>
  <c r="K34" i="1"/>
  <c r="K35" i="1"/>
  <c r="I1720" i="1"/>
  <c r="K1720" i="1"/>
  <c r="H1720" i="1"/>
  <c r="G1720" i="1"/>
  <c r="J1720" i="1"/>
  <c r="F1720" i="1"/>
  <c r="F8" i="1"/>
  <c r="F1747" i="1" s="1"/>
  <c r="K8" i="1"/>
  <c r="K1747" i="1" s="1"/>
  <c r="H3" i="1"/>
  <c r="H1742" i="1" s="1"/>
  <c r="I3" i="1"/>
  <c r="I1742" i="1" s="1"/>
  <c r="J3" i="1"/>
  <c r="J1742" i="1" s="1"/>
  <c r="K3" i="1"/>
  <c r="K1742" i="1" s="1"/>
  <c r="F3" i="1"/>
  <c r="F1742" i="1" s="1"/>
  <c r="G3" i="1"/>
  <c r="G1742" i="1" s="1"/>
  <c r="G1657" i="1" l="1"/>
  <c r="I1657" i="1"/>
  <c r="H1657" i="1"/>
  <c r="K33" i="1"/>
  <c r="K1723" i="1" s="1"/>
  <c r="J33" i="1"/>
  <c r="J1723" i="1" s="1"/>
  <c r="J41" i="1"/>
  <c r="J1730" i="1" s="1"/>
  <c r="J1731" i="1"/>
  <c r="I57" i="1"/>
  <c r="F16" i="4" s="1"/>
  <c r="I1740" i="1"/>
  <c r="G57" i="1"/>
  <c r="D16" i="4" s="1"/>
  <c r="G1740" i="1"/>
  <c r="J57" i="1"/>
  <c r="G16" i="4" s="1"/>
  <c r="J1740" i="1"/>
  <c r="J1725" i="1"/>
  <c r="H41" i="1"/>
  <c r="H1730" i="1" s="1"/>
  <c r="H1731" i="1"/>
  <c r="F41" i="1"/>
  <c r="F1730" i="1" s="1"/>
  <c r="F1731" i="1"/>
  <c r="K57" i="1"/>
  <c r="H16" i="4" s="1"/>
  <c r="K1740" i="1"/>
  <c r="H57" i="1"/>
  <c r="E16" i="4" s="1"/>
  <c r="H1740" i="1"/>
  <c r="F57" i="1"/>
  <c r="C16" i="4" s="1"/>
  <c r="F1740" i="1"/>
  <c r="J1724" i="1"/>
  <c r="I41" i="1"/>
  <c r="I1730" i="1" s="1"/>
  <c r="I1731" i="1"/>
  <c r="G41" i="1"/>
  <c r="G1730" i="1" s="1"/>
  <c r="G1731" i="1"/>
  <c r="K1725" i="1"/>
  <c r="K41" i="1"/>
  <c r="K1730" i="1" s="1"/>
  <c r="K1731" i="1"/>
  <c r="K1724" i="1"/>
  <c r="H1650" i="1"/>
  <c r="I1650" i="1"/>
  <c r="G1650" i="1"/>
  <c r="F1650" i="1"/>
  <c r="J39" i="1"/>
  <c r="K39" i="1"/>
  <c r="K1652" i="1" s="1"/>
  <c r="E520" i="1"/>
  <c r="E490" i="1"/>
  <c r="E406" i="1"/>
  <c r="E493" i="1"/>
  <c r="E462" i="1"/>
  <c r="E480" i="1" s="1"/>
  <c r="E460" i="1"/>
  <c r="E479" i="1" s="1"/>
  <c r="A43" i="1"/>
  <c r="A44" i="1" s="1"/>
  <c r="A50" i="1" s="1"/>
  <c r="A29" i="1" s="1"/>
  <c r="A33" i="1" s="1"/>
  <c r="A37" i="1" s="1"/>
  <c r="A30" i="1" s="1"/>
  <c r="A31" i="1" s="1"/>
  <c r="A34" i="1" s="1"/>
  <c r="A35" i="1" s="1"/>
  <c r="A38" i="1" s="1"/>
  <c r="A39" i="1" s="1"/>
  <c r="A51" i="1" s="1"/>
  <c r="A52" i="1" s="1"/>
  <c r="A53" i="1" s="1"/>
  <c r="A54" i="1" s="1"/>
  <c r="A55" i="1" s="1"/>
  <c r="A57" i="1" s="1"/>
  <c r="A58" i="1" s="1"/>
  <c r="A59" i="1" s="1"/>
  <c r="A60" i="1" s="1"/>
  <c r="A61" i="1" s="1"/>
  <c r="C28" i="1"/>
  <c r="C41" i="1" s="1"/>
  <c r="B28" i="1"/>
  <c r="B41" i="1" s="1"/>
  <c r="G22" i="1"/>
  <c r="K22" i="1"/>
  <c r="F22" i="1"/>
  <c r="C33" i="1"/>
  <c r="C37" i="1" s="1"/>
  <c r="C30" i="1" s="1"/>
  <c r="C31" i="1" s="1"/>
  <c r="C42" i="1"/>
  <c r="B33" i="1"/>
  <c r="B37" i="1" s="1"/>
  <c r="B30" i="1" s="1"/>
  <c r="B31" i="1" s="1"/>
  <c r="B42" i="1"/>
  <c r="J22" i="1"/>
  <c r="I22" i="1"/>
  <c r="H22" i="1"/>
  <c r="J38" i="1"/>
  <c r="J1183" i="1" s="1"/>
  <c r="K38" i="1"/>
  <c r="K1609" i="1" s="1"/>
  <c r="J1414" i="1" l="1"/>
  <c r="J1609" i="1"/>
  <c r="J1658" i="1"/>
  <c r="J1659" i="1" s="1"/>
  <c r="K1414" i="1"/>
  <c r="K1160" i="1"/>
  <c r="K1330" i="1"/>
  <c r="K1511" i="1"/>
  <c r="J1562" i="1"/>
  <c r="K1562" i="1"/>
  <c r="K1602" i="1"/>
  <c r="K1658" i="1"/>
  <c r="K1659" i="1" s="1"/>
  <c r="K1555" i="1"/>
  <c r="K1183" i="1"/>
  <c r="J1603" i="1"/>
  <c r="J1161" i="1"/>
  <c r="J1512" i="1"/>
  <c r="J1653" i="1"/>
  <c r="J1556" i="1"/>
  <c r="J1160" i="1"/>
  <c r="J1511" i="1"/>
  <c r="J1555" i="1"/>
  <c r="K1415" i="1"/>
  <c r="K1331" i="1"/>
  <c r="K1184" i="1"/>
  <c r="K1610" i="1"/>
  <c r="K1563" i="1"/>
  <c r="J1602" i="1"/>
  <c r="J1184" i="1"/>
  <c r="J1610" i="1"/>
  <c r="J1563" i="1"/>
  <c r="J1331" i="1"/>
  <c r="J1415" i="1"/>
  <c r="K1512" i="1"/>
  <c r="K1653" i="1"/>
  <c r="K1161" i="1"/>
  <c r="K1603" i="1"/>
  <c r="K1556" i="1"/>
  <c r="J1330" i="1"/>
  <c r="J1652" i="1"/>
  <c r="J37" i="1"/>
  <c r="J1726" i="1" s="1"/>
  <c r="K37" i="1"/>
  <c r="K1726" i="1" s="1"/>
  <c r="B34" i="1"/>
  <c r="B35" i="1" s="1"/>
  <c r="B32" i="1"/>
  <c r="C34" i="1"/>
  <c r="C35" i="1" s="1"/>
  <c r="C32" i="1"/>
  <c r="K1728" i="1"/>
  <c r="H20" i="1"/>
  <c r="E15" i="4" s="1"/>
  <c r="H1713" i="1"/>
  <c r="I20" i="1"/>
  <c r="F15" i="4" s="1"/>
  <c r="I1713" i="1"/>
  <c r="J20" i="1"/>
  <c r="G15" i="4" s="1"/>
  <c r="J1713" i="1"/>
  <c r="F20" i="1"/>
  <c r="C15" i="4" s="1"/>
  <c r="F1713" i="1"/>
  <c r="K20" i="1"/>
  <c r="H15" i="4" s="1"/>
  <c r="K1713" i="1"/>
  <c r="J1728" i="1"/>
  <c r="G20" i="1"/>
  <c r="D15" i="4" s="1"/>
  <c r="G1713" i="1"/>
  <c r="J1727" i="1"/>
  <c r="K1727" i="1"/>
  <c r="I1656" i="1"/>
  <c r="G1656" i="1"/>
  <c r="H1656" i="1"/>
  <c r="E407" i="1"/>
  <c r="E494" i="1"/>
  <c r="A42" i="1"/>
  <c r="A62" i="1"/>
  <c r="A63" i="1" s="1"/>
  <c r="A64" i="1" s="1"/>
  <c r="A65" i="1" s="1"/>
  <c r="A66" i="1" s="1"/>
  <c r="A67" i="1" s="1"/>
  <c r="A68" i="1" s="1"/>
  <c r="A69" i="1" s="1"/>
  <c r="A74" i="1" s="1"/>
  <c r="A75" i="1" s="1"/>
  <c r="A76" i="1" s="1"/>
  <c r="A78" i="1" s="1"/>
  <c r="A70" i="1"/>
  <c r="A71" i="1" s="1"/>
  <c r="A72" i="1" s="1"/>
  <c r="A73" i="1" s="1"/>
  <c r="A56" i="1"/>
  <c r="A45" i="1"/>
  <c r="J1657" i="1" l="1"/>
  <c r="C38" i="1"/>
  <c r="C39" i="1" s="1"/>
  <c r="C36" i="1"/>
  <c r="B38" i="1"/>
  <c r="B39" i="1" s="1"/>
  <c r="B36" i="1"/>
  <c r="K1554" i="1"/>
  <c r="K1553" i="1" s="1"/>
  <c r="J1159" i="1"/>
  <c r="J1158" i="1" s="1"/>
  <c r="J1601" i="1"/>
  <c r="J1600" i="1" s="1"/>
  <c r="K1651" i="1"/>
  <c r="K1650" i="1" s="1"/>
  <c r="K1601" i="1"/>
  <c r="K1600" i="1" s="1"/>
  <c r="K1608" i="1"/>
  <c r="K1607" i="1" s="1"/>
  <c r="J1608" i="1"/>
  <c r="J1607" i="1" s="1"/>
  <c r="J1651" i="1"/>
  <c r="K1159" i="1"/>
  <c r="K1158" i="1" s="1"/>
  <c r="J1554" i="1"/>
  <c r="J1553" i="1" s="1"/>
  <c r="K1329" i="1"/>
  <c r="K1328" i="1" s="1"/>
  <c r="J1413" i="1"/>
  <c r="J1412" i="1" s="1"/>
  <c r="K1413" i="1"/>
  <c r="K1412" i="1" s="1"/>
  <c r="K1561" i="1"/>
  <c r="K1560" i="1" s="1"/>
  <c r="J1510" i="1"/>
  <c r="J1509" i="1" s="1"/>
  <c r="J1561" i="1"/>
  <c r="J1560" i="1" s="1"/>
  <c r="K1510" i="1"/>
  <c r="K1509" i="1" s="1"/>
  <c r="J1182" i="1"/>
  <c r="J1181" i="1" s="1"/>
  <c r="J1329" i="1"/>
  <c r="J1328" i="1" s="1"/>
  <c r="K1182" i="1"/>
  <c r="K1181" i="1" s="1"/>
  <c r="E408" i="1"/>
  <c r="E504" i="1" s="1"/>
  <c r="E503" i="1"/>
  <c r="E495" i="1"/>
  <c r="A77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46" i="1"/>
  <c r="A48" i="1" s="1"/>
  <c r="B45" i="1" l="1"/>
  <c r="B46" i="1" s="1"/>
  <c r="B47" i="1" s="1"/>
  <c r="B49" i="1" s="1"/>
  <c r="B51" i="1"/>
  <c r="B52" i="1" s="1"/>
  <c r="B53" i="1" s="1"/>
  <c r="B54" i="1" s="1"/>
  <c r="B55" i="1" s="1"/>
  <c r="B40" i="1"/>
  <c r="C40" i="1"/>
  <c r="C51" i="1"/>
  <c r="C52" i="1" s="1"/>
  <c r="C53" i="1" s="1"/>
  <c r="C54" i="1" s="1"/>
  <c r="C55" i="1" s="1"/>
  <c r="C45" i="1"/>
  <c r="C46" i="1" s="1"/>
  <c r="J1650" i="1"/>
  <c r="J1656" i="1"/>
  <c r="A114" i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9" i="1" s="1"/>
  <c r="A170" i="1" s="1"/>
  <c r="A167" i="1" s="1"/>
  <c r="A98" i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B48" i="1"/>
  <c r="A47" i="1"/>
  <c r="A49" i="1" s="1"/>
  <c r="B57" i="1" l="1"/>
  <c r="B58" i="1" s="1"/>
  <c r="B59" i="1" s="1"/>
  <c r="B60" i="1" s="1"/>
  <c r="B61" i="1" s="1"/>
  <c r="B56" i="1"/>
  <c r="C47" i="1"/>
  <c r="C49" i="1" s="1"/>
  <c r="C48" i="1"/>
  <c r="C57" i="1"/>
  <c r="C58" i="1" s="1"/>
  <c r="C59" i="1" s="1"/>
  <c r="C60" i="1" s="1"/>
  <c r="C61" i="1" s="1"/>
  <c r="C56" i="1"/>
  <c r="A171" i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68" i="1"/>
  <c r="C62" i="1" l="1"/>
  <c r="C63" i="1" s="1"/>
  <c r="C64" i="1" s="1"/>
  <c r="C65" i="1" s="1"/>
  <c r="C66" i="1" s="1"/>
  <c r="C67" i="1" s="1"/>
  <c r="C68" i="1" s="1"/>
  <c r="C69" i="1" s="1"/>
  <c r="C74" i="1" s="1"/>
  <c r="C75" i="1" s="1"/>
  <c r="C76" i="1" s="1"/>
  <c r="C70" i="1"/>
  <c r="C71" i="1" s="1"/>
  <c r="C72" i="1" s="1"/>
  <c r="C73" i="1" s="1"/>
  <c r="B62" i="1"/>
  <c r="B63" i="1" s="1"/>
  <c r="B64" i="1" s="1"/>
  <c r="B65" i="1" s="1"/>
  <c r="B66" i="1" s="1"/>
  <c r="B67" i="1" s="1"/>
  <c r="B68" i="1" s="1"/>
  <c r="B69" i="1" s="1"/>
  <c r="B74" i="1" s="1"/>
  <c r="B75" i="1" s="1"/>
  <c r="B76" i="1" s="1"/>
  <c r="B70" i="1"/>
  <c r="B71" i="1" s="1"/>
  <c r="B72" i="1" s="1"/>
  <c r="B73" i="1" s="1"/>
  <c r="G552" i="1"/>
  <c r="F553" i="1"/>
  <c r="H552" i="1"/>
  <c r="K552" i="1"/>
  <c r="J553" i="1"/>
  <c r="F552" i="1"/>
  <c r="I552" i="1"/>
  <c r="J552" i="1"/>
  <c r="G553" i="1"/>
  <c r="H553" i="1"/>
  <c r="I553" i="1"/>
  <c r="K553" i="1"/>
  <c r="K206" i="1"/>
  <c r="J206" i="1"/>
  <c r="I206" i="1"/>
  <c r="H206" i="1"/>
  <c r="G206" i="1"/>
  <c r="F206" i="1"/>
  <c r="B77" i="1" l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78" i="1"/>
  <c r="C78" i="1"/>
  <c r="C77" i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F231" i="1"/>
  <c r="F581" i="1"/>
  <c r="G231" i="1"/>
  <c r="G581" i="1"/>
  <c r="H231" i="1"/>
  <c r="H581" i="1"/>
  <c r="I231" i="1"/>
  <c r="I581" i="1"/>
  <c r="J231" i="1"/>
  <c r="J581" i="1"/>
  <c r="K231" i="1"/>
  <c r="K581" i="1"/>
  <c r="C114" i="1" l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9" i="1" s="1"/>
  <c r="C170" i="1" s="1"/>
  <c r="C167" i="1" s="1"/>
  <c r="C98" i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B98" i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9" i="1" s="1"/>
  <c r="B170" i="1" s="1"/>
  <c r="B167" i="1" s="1"/>
  <c r="I229" i="1"/>
  <c r="I580" i="1"/>
  <c r="F229" i="1"/>
  <c r="F580" i="1"/>
  <c r="J229" i="1"/>
  <c r="J580" i="1"/>
  <c r="G229" i="1"/>
  <c r="G580" i="1"/>
  <c r="H229" i="1"/>
  <c r="H580" i="1"/>
  <c r="K229" i="1"/>
  <c r="K580" i="1"/>
  <c r="B171" i="1" l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68" i="1"/>
  <c r="C171" i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68" i="1"/>
  <c r="K796" i="1"/>
  <c r="J796" i="1"/>
  <c r="I796" i="1"/>
  <c r="H796" i="1"/>
  <c r="G796" i="1"/>
  <c r="F796" i="1"/>
  <c r="K208" i="1" l="1"/>
  <c r="J208" i="1"/>
  <c r="I208" i="1"/>
  <c r="H208" i="1"/>
  <c r="G208" i="1"/>
  <c r="F208" i="1"/>
  <c r="H438" i="1" l="1"/>
  <c r="F438" i="1"/>
  <c r="G438" i="1"/>
  <c r="I438" i="1"/>
  <c r="J533" i="1"/>
  <c r="K533" i="1"/>
  <c r="J438" i="1"/>
  <c r="K438" i="1"/>
  <c r="G225" i="1" l="1"/>
  <c r="G578" i="1"/>
  <c r="H225" i="1"/>
  <c r="H578" i="1"/>
  <c r="K225" i="1"/>
  <c r="K578" i="1"/>
  <c r="F225" i="1"/>
  <c r="F578" i="1"/>
  <c r="J225" i="1"/>
  <c r="J578" i="1"/>
  <c r="I225" i="1"/>
  <c r="I578" i="1"/>
  <c r="F564" i="1"/>
  <c r="J564" i="1"/>
  <c r="K564" i="1"/>
  <c r="G564" i="1"/>
  <c r="H564" i="1"/>
  <c r="I564" i="1"/>
  <c r="G533" i="1"/>
  <c r="I533" i="1"/>
  <c r="F533" i="1"/>
  <c r="H533" i="1"/>
  <c r="K794" i="1"/>
  <c r="J794" i="1"/>
  <c r="I794" i="1"/>
  <c r="H794" i="1"/>
  <c r="G794" i="1"/>
  <c r="G240" i="1" l="1"/>
  <c r="H240" i="1"/>
  <c r="I240" i="1"/>
  <c r="J240" i="1"/>
  <c r="K240" i="1"/>
  <c r="G197" i="1" l="1"/>
  <c r="K197" i="1"/>
  <c r="H197" i="1"/>
  <c r="I197" i="1"/>
  <c r="J197" i="1"/>
  <c r="F197" i="1"/>
  <c r="F196" i="1"/>
  <c r="F193" i="1" s="1"/>
  <c r="F103" i="1"/>
  <c r="F331" i="1" s="1"/>
  <c r="F347" i="1" s="1"/>
  <c r="F426" i="1" s="1"/>
  <c r="F423" i="1" s="1"/>
  <c r="H196" i="1"/>
  <c r="H193" i="1" s="1"/>
  <c r="H103" i="1"/>
  <c r="H331" i="1" s="1"/>
  <c r="H347" i="1" s="1"/>
  <c r="H426" i="1" s="1"/>
  <c r="H423" i="1" s="1"/>
  <c r="G196" i="1"/>
  <c r="G193" i="1" s="1"/>
  <c r="G103" i="1"/>
  <c r="G331" i="1" s="1"/>
  <c r="G347" i="1" s="1"/>
  <c r="G426" i="1" s="1"/>
  <c r="G423" i="1" s="1"/>
  <c r="I196" i="1"/>
  <c r="I193" i="1" s="1"/>
  <c r="I103" i="1"/>
  <c r="I331" i="1" s="1"/>
  <c r="I347" i="1" s="1"/>
  <c r="I426" i="1" s="1"/>
  <c r="I423" i="1" s="1"/>
  <c r="K196" i="1"/>
  <c r="K193" i="1" s="1"/>
  <c r="K103" i="1"/>
  <c r="K331" i="1" s="1"/>
  <c r="K347" i="1" s="1"/>
  <c r="K426" i="1" s="1"/>
  <c r="K423" i="1" s="1"/>
  <c r="J196" i="1"/>
  <c r="J193" i="1" s="1"/>
  <c r="J103" i="1"/>
  <c r="J331" i="1" s="1"/>
  <c r="J347" i="1" s="1"/>
  <c r="J426" i="1" s="1"/>
  <c r="J423" i="1" s="1"/>
  <c r="J540" i="1" l="1"/>
  <c r="F540" i="1"/>
  <c r="H540" i="1"/>
  <c r="K540" i="1"/>
  <c r="G540" i="1"/>
  <c r="I540" i="1"/>
  <c r="F539" i="1"/>
  <c r="F538" i="1"/>
  <c r="J538" i="1"/>
  <c r="G538" i="1"/>
  <c r="H538" i="1"/>
  <c r="I538" i="1"/>
  <c r="K538" i="1"/>
  <c r="G269" i="1"/>
  <c r="G258" i="1" s="1"/>
  <c r="G110" i="1" l="1"/>
  <c r="G338" i="1" s="1"/>
  <c r="G354" i="1" s="1"/>
  <c r="G499" i="1" s="1"/>
  <c r="G488" i="1" s="1"/>
  <c r="G108" i="1"/>
  <c r="G336" i="1" s="1"/>
  <c r="G352" i="1" s="1"/>
  <c r="G497" i="1" s="1"/>
  <c r="G486" i="1" s="1"/>
  <c r="G267" i="1"/>
  <c r="G256" i="1" s="1"/>
  <c r="K108" i="1"/>
  <c r="K336" i="1" s="1"/>
  <c r="K352" i="1" s="1"/>
  <c r="K497" i="1" s="1"/>
  <c r="K486" i="1" s="1"/>
  <c r="K267" i="1"/>
  <c r="K256" i="1" s="1"/>
  <c r="F109" i="1"/>
  <c r="F337" i="1" s="1"/>
  <c r="F353" i="1" s="1"/>
  <c r="F498" i="1" s="1"/>
  <c r="F487" i="1" s="1"/>
  <c r="F268" i="1"/>
  <c r="F257" i="1" s="1"/>
  <c r="F108" i="1"/>
  <c r="F336" i="1" s="1"/>
  <c r="F352" i="1" s="1"/>
  <c r="F497" i="1" s="1"/>
  <c r="F486" i="1" s="1"/>
  <c r="F267" i="1"/>
  <c r="F256" i="1" s="1"/>
  <c r="J110" i="1"/>
  <c r="J338" i="1" s="1"/>
  <c r="J354" i="1" s="1"/>
  <c r="J499" i="1" s="1"/>
  <c r="J488" i="1" s="1"/>
  <c r="J269" i="1"/>
  <c r="J258" i="1" s="1"/>
  <c r="J108" i="1"/>
  <c r="J336" i="1" s="1"/>
  <c r="J352" i="1" s="1"/>
  <c r="J497" i="1" s="1"/>
  <c r="J486" i="1" s="1"/>
  <c r="J267" i="1"/>
  <c r="J256" i="1" s="1"/>
  <c r="F110" i="1"/>
  <c r="F338" i="1" s="1"/>
  <c r="F354" i="1" s="1"/>
  <c r="F499" i="1" s="1"/>
  <c r="F488" i="1" s="1"/>
  <c r="F269" i="1"/>
  <c r="F258" i="1" s="1"/>
  <c r="I108" i="1"/>
  <c r="I336" i="1" s="1"/>
  <c r="I352" i="1" s="1"/>
  <c r="I497" i="1" s="1"/>
  <c r="I486" i="1" s="1"/>
  <c r="I267" i="1"/>
  <c r="I256" i="1" s="1"/>
  <c r="H110" i="1"/>
  <c r="H338" i="1" s="1"/>
  <c r="H354" i="1" s="1"/>
  <c r="H499" i="1" s="1"/>
  <c r="H488" i="1" s="1"/>
  <c r="H269" i="1"/>
  <c r="H258" i="1" s="1"/>
  <c r="H108" i="1"/>
  <c r="H336" i="1" s="1"/>
  <c r="H352" i="1" s="1"/>
  <c r="H497" i="1" s="1"/>
  <c r="H486" i="1" s="1"/>
  <c r="H267" i="1"/>
  <c r="H256" i="1" s="1"/>
  <c r="K110" i="1"/>
  <c r="K338" i="1" s="1"/>
  <c r="K354" i="1" s="1"/>
  <c r="K499" i="1" s="1"/>
  <c r="K488" i="1" s="1"/>
  <c r="K269" i="1"/>
  <c r="K258" i="1" s="1"/>
  <c r="I110" i="1"/>
  <c r="I338" i="1" s="1"/>
  <c r="I354" i="1" s="1"/>
  <c r="I499" i="1" s="1"/>
  <c r="I488" i="1" s="1"/>
  <c r="I269" i="1"/>
  <c r="I258" i="1" s="1"/>
  <c r="K551" i="1" l="1"/>
  <c r="J551" i="1"/>
  <c r="I551" i="1"/>
  <c r="H551" i="1"/>
  <c r="G551" i="1"/>
  <c r="F551" i="1"/>
  <c r="F369" i="1" l="1"/>
  <c r="G369" i="1"/>
  <c r="H369" i="1"/>
  <c r="I369" i="1"/>
  <c r="J369" i="1"/>
  <c r="K369" i="1"/>
  <c r="K432" i="1" l="1"/>
  <c r="K435" i="1" s="1"/>
  <c r="J547" i="1"/>
  <c r="I432" i="1"/>
  <c r="I435" i="1" s="1"/>
  <c r="H547" i="1"/>
  <c r="G432" i="1"/>
  <c r="G435" i="1" s="1"/>
  <c r="F547" i="1"/>
  <c r="I202" i="1"/>
  <c r="I205" i="1" s="1"/>
  <c r="J148" i="1"/>
  <c r="J376" i="1" s="1"/>
  <c r="I148" i="1"/>
  <c r="I376" i="1" s="1"/>
  <c r="H202" i="1"/>
  <c r="H205" i="1" s="1"/>
  <c r="H148" i="1"/>
  <c r="H376" i="1" s="1"/>
  <c r="G202" i="1"/>
  <c r="G205" i="1" s="1"/>
  <c r="G148" i="1"/>
  <c r="G376" i="1" s="1"/>
  <c r="F202" i="1"/>
  <c r="F205" i="1" s="1"/>
  <c r="F148" i="1"/>
  <c r="F376" i="1" s="1"/>
  <c r="K202" i="1"/>
  <c r="K205" i="1" s="1"/>
  <c r="K148" i="1"/>
  <c r="K376" i="1" s="1"/>
  <c r="J202" i="1"/>
  <c r="J205" i="1" s="1"/>
  <c r="K547" i="1" l="1"/>
  <c r="H432" i="1"/>
  <c r="H435" i="1" s="1"/>
  <c r="F432" i="1"/>
  <c r="F435" i="1" s="1"/>
  <c r="J432" i="1"/>
  <c r="J435" i="1" s="1"/>
  <c r="I547" i="1"/>
  <c r="G547" i="1"/>
  <c r="J427" i="1"/>
  <c r="H427" i="1"/>
  <c r="G427" i="1"/>
  <c r="K427" i="1"/>
  <c r="F427" i="1"/>
  <c r="I427" i="1"/>
  <c r="F436" i="1"/>
  <c r="K436" i="1"/>
  <c r="G436" i="1"/>
  <c r="I436" i="1"/>
  <c r="H436" i="1"/>
  <c r="J436" i="1"/>
  <c r="J546" i="1" l="1"/>
  <c r="K546" i="1"/>
  <c r="H546" i="1"/>
  <c r="H550" i="1"/>
  <c r="F550" i="1"/>
  <c r="G550" i="1"/>
  <c r="I550" i="1"/>
  <c r="K550" i="1"/>
  <c r="J550" i="1"/>
  <c r="G546" i="1"/>
  <c r="I546" i="1"/>
  <c r="F546" i="1"/>
  <c r="K147" i="1"/>
  <c r="K368" i="1"/>
  <c r="K431" i="1" s="1"/>
  <c r="J147" i="1"/>
  <c r="J368" i="1"/>
  <c r="J431" i="1" s="1"/>
  <c r="I201" i="1"/>
  <c r="I204" i="1" s="1"/>
  <c r="I203" i="1" s="1"/>
  <c r="I368" i="1"/>
  <c r="I431" i="1" s="1"/>
  <c r="H147" i="1"/>
  <c r="H368" i="1"/>
  <c r="H431" i="1" s="1"/>
  <c r="F201" i="1"/>
  <c r="F204" i="1" s="1"/>
  <c r="F203" i="1" s="1"/>
  <c r="F368" i="1"/>
  <c r="F431" i="1" s="1"/>
  <c r="G201" i="1"/>
  <c r="G200" i="1" s="1"/>
  <c r="G368" i="1"/>
  <c r="G431" i="1" s="1"/>
  <c r="G147" i="1"/>
  <c r="F147" i="1"/>
  <c r="K201" i="1"/>
  <c r="K204" i="1" s="1"/>
  <c r="K203" i="1" s="1"/>
  <c r="J201" i="1"/>
  <c r="J204" i="1" s="1"/>
  <c r="J203" i="1" s="1"/>
  <c r="I147" i="1"/>
  <c r="H201" i="1"/>
  <c r="H204" i="1" s="1"/>
  <c r="H203" i="1" s="1"/>
  <c r="F200" i="1" l="1"/>
  <c r="F430" i="1"/>
  <c r="F434" i="1"/>
  <c r="F433" i="1" s="1"/>
  <c r="H430" i="1"/>
  <c r="H434" i="1"/>
  <c r="H433" i="1" s="1"/>
  <c r="I430" i="1"/>
  <c r="I434" i="1"/>
  <c r="I433" i="1" s="1"/>
  <c r="K430" i="1"/>
  <c r="K434" i="1"/>
  <c r="K433" i="1" s="1"/>
  <c r="G430" i="1"/>
  <c r="G434" i="1"/>
  <c r="G433" i="1" s="1"/>
  <c r="J430" i="1"/>
  <c r="J434" i="1"/>
  <c r="J433" i="1" s="1"/>
  <c r="J375" i="1"/>
  <c r="H375" i="1"/>
  <c r="I200" i="1"/>
  <c r="F375" i="1"/>
  <c r="K200" i="1"/>
  <c r="G204" i="1"/>
  <c r="G203" i="1" s="1"/>
  <c r="G375" i="1"/>
  <c r="I375" i="1"/>
  <c r="J200" i="1"/>
  <c r="K375" i="1"/>
  <c r="H200" i="1"/>
  <c r="K566" i="1" l="1"/>
  <c r="F566" i="1"/>
  <c r="H566" i="1"/>
  <c r="J566" i="1"/>
  <c r="G566" i="1"/>
  <c r="I566" i="1"/>
  <c r="G543" i="1"/>
  <c r="J543" i="1"/>
  <c r="K543" i="1"/>
  <c r="F543" i="1"/>
  <c r="H543" i="1"/>
  <c r="I543" i="1"/>
  <c r="G536" i="1"/>
  <c r="K536" i="1"/>
  <c r="I536" i="1"/>
  <c r="H536" i="1"/>
  <c r="J536" i="1"/>
  <c r="F536" i="1"/>
  <c r="F265" i="1"/>
  <c r="F254" i="1" s="1"/>
  <c r="G265" i="1"/>
  <c r="G254" i="1" s="1"/>
  <c r="H265" i="1"/>
  <c r="H254" i="1" s="1"/>
  <c r="I265" i="1"/>
  <c r="I254" i="1" s="1"/>
  <c r="K265" i="1"/>
  <c r="K254" i="1" s="1"/>
  <c r="J265" i="1"/>
  <c r="J254" i="1" s="1"/>
  <c r="F518" i="1" l="1"/>
  <c r="K397" i="1"/>
  <c r="K518" i="1"/>
  <c r="G397" i="1"/>
  <c r="G518" i="1"/>
  <c r="J397" i="1"/>
  <c r="J518" i="1"/>
  <c r="H397" i="1"/>
  <c r="H518" i="1"/>
  <c r="I397" i="1"/>
  <c r="I518" i="1"/>
  <c r="G113" i="1"/>
  <c r="G341" i="1" s="1"/>
  <c r="G357" i="1" s="1"/>
  <c r="G502" i="1" s="1"/>
  <c r="G491" i="1" s="1"/>
  <c r="G272" i="1"/>
  <c r="G261" i="1" s="1"/>
  <c r="I113" i="1"/>
  <c r="I341" i="1" s="1"/>
  <c r="I357" i="1" s="1"/>
  <c r="I502" i="1" s="1"/>
  <c r="I491" i="1" s="1"/>
  <c r="I272" i="1"/>
  <c r="I261" i="1" s="1"/>
  <c r="F113" i="1"/>
  <c r="F341" i="1" s="1"/>
  <c r="F357" i="1" s="1"/>
  <c r="F502" i="1" s="1"/>
  <c r="F491" i="1" s="1"/>
  <c r="F272" i="1"/>
  <c r="F261" i="1" s="1"/>
  <c r="K113" i="1"/>
  <c r="K341" i="1" s="1"/>
  <c r="K357" i="1" s="1"/>
  <c r="K502" i="1" s="1"/>
  <c r="K491" i="1" s="1"/>
  <c r="K272" i="1"/>
  <c r="K261" i="1" s="1"/>
  <c r="J113" i="1"/>
  <c r="J341" i="1" s="1"/>
  <c r="J357" i="1" s="1"/>
  <c r="J502" i="1" s="1"/>
  <c r="J491" i="1" s="1"/>
  <c r="J272" i="1"/>
  <c r="J261" i="1" s="1"/>
  <c r="H113" i="1"/>
  <c r="H341" i="1" s="1"/>
  <c r="H357" i="1" s="1"/>
  <c r="H502" i="1" s="1"/>
  <c r="H491" i="1" s="1"/>
  <c r="H272" i="1"/>
  <c r="H261" i="1" s="1"/>
  <c r="I106" i="1"/>
  <c r="I334" i="1" s="1"/>
  <c r="I350" i="1" s="1"/>
  <c r="I495" i="1" s="1"/>
  <c r="I484" i="1" s="1"/>
  <c r="G106" i="1"/>
  <c r="G334" i="1" s="1"/>
  <c r="G350" i="1" s="1"/>
  <c r="G495" i="1" s="1"/>
  <c r="G484" i="1" s="1"/>
  <c r="H106" i="1"/>
  <c r="H334" i="1" s="1"/>
  <c r="H350" i="1" s="1"/>
  <c r="H495" i="1" s="1"/>
  <c r="H484" i="1" s="1"/>
  <c r="J106" i="1"/>
  <c r="J334" i="1" s="1"/>
  <c r="J350" i="1" s="1"/>
  <c r="J495" i="1" s="1"/>
  <c r="J484" i="1" s="1"/>
  <c r="K106" i="1"/>
  <c r="K334" i="1" s="1"/>
  <c r="K350" i="1" s="1"/>
  <c r="K495" i="1" s="1"/>
  <c r="K484" i="1" s="1"/>
  <c r="F106" i="1"/>
  <c r="F334" i="1" s="1"/>
  <c r="F350" i="1" s="1"/>
  <c r="F495" i="1" s="1"/>
  <c r="F484" i="1" s="1"/>
  <c r="F565" i="1" l="1"/>
  <c r="H565" i="1"/>
  <c r="K565" i="1"/>
  <c r="J565" i="1"/>
  <c r="G565" i="1"/>
  <c r="I565" i="1"/>
  <c r="I367" i="1" l="1"/>
  <c r="I545" i="1"/>
  <c r="F367" i="1"/>
  <c r="F545" i="1"/>
  <c r="H146" i="1"/>
  <c r="H545" i="1"/>
  <c r="J367" i="1"/>
  <c r="J545" i="1"/>
  <c r="G146" i="1"/>
  <c r="G545" i="1"/>
  <c r="K146" i="1"/>
  <c r="K545" i="1"/>
  <c r="F549" i="1"/>
  <c r="F149" i="1"/>
  <c r="K149" i="1"/>
  <c r="J149" i="1"/>
  <c r="I149" i="1"/>
  <c r="H149" i="1"/>
  <c r="G149" i="1"/>
  <c r="K544" i="1"/>
  <c r="J544" i="1"/>
  <c r="I544" i="1"/>
  <c r="H544" i="1"/>
  <c r="G544" i="1"/>
  <c r="F544" i="1"/>
  <c r="I146" i="1" l="1"/>
  <c r="I374" i="1" s="1"/>
  <c r="H367" i="1"/>
  <c r="H374" i="1" s="1"/>
  <c r="F146" i="1"/>
  <c r="F374" i="1" s="1"/>
  <c r="J146" i="1"/>
  <c r="J374" i="1" s="1"/>
  <c r="G367" i="1"/>
  <c r="G374" i="1" s="1"/>
  <c r="K367" i="1"/>
  <c r="K374" i="1" s="1"/>
  <c r="G150" i="1"/>
  <c r="G549" i="1"/>
  <c r="I150" i="1"/>
  <c r="I549" i="1"/>
  <c r="F150" i="1"/>
  <c r="K150" i="1"/>
  <c r="K549" i="1"/>
  <c r="H150" i="1"/>
  <c r="H549" i="1"/>
  <c r="J150" i="1"/>
  <c r="J549" i="1"/>
  <c r="F130" i="1"/>
  <c r="G130" i="1"/>
  <c r="H130" i="1"/>
  <c r="I130" i="1"/>
  <c r="J130" i="1"/>
  <c r="K130" i="1"/>
  <c r="J378" i="1" l="1"/>
  <c r="J371" i="1"/>
  <c r="H378" i="1"/>
  <c r="H371" i="1"/>
  <c r="K378" i="1"/>
  <c r="K371" i="1"/>
  <c r="F378" i="1"/>
  <c r="F371" i="1"/>
  <c r="I378" i="1"/>
  <c r="I371" i="1"/>
  <c r="G378" i="1"/>
  <c r="G371" i="1"/>
  <c r="K137" i="1"/>
  <c r="K366" i="1"/>
  <c r="J137" i="1"/>
  <c r="J366" i="1"/>
  <c r="I137" i="1"/>
  <c r="I366" i="1"/>
  <c r="H137" i="1"/>
  <c r="H366" i="1"/>
  <c r="G137" i="1"/>
  <c r="G366" i="1"/>
  <c r="F137" i="1"/>
  <c r="F366" i="1"/>
  <c r="K145" i="1"/>
  <c r="K144" i="1" s="1"/>
  <c r="J145" i="1"/>
  <c r="J144" i="1" s="1"/>
  <c r="I145" i="1"/>
  <c r="I144" i="1" s="1"/>
  <c r="H145" i="1"/>
  <c r="H144" i="1" s="1"/>
  <c r="G145" i="1"/>
  <c r="G144" i="1" s="1"/>
  <c r="F145" i="1"/>
  <c r="F144" i="1" s="1"/>
  <c r="G365" i="1" l="1"/>
  <c r="G373" i="1"/>
  <c r="I373" i="1"/>
  <c r="I365" i="1"/>
  <c r="K373" i="1"/>
  <c r="K365" i="1"/>
  <c r="F365" i="1"/>
  <c r="F373" i="1"/>
  <c r="H373" i="1"/>
  <c r="H365" i="1"/>
  <c r="J373" i="1"/>
  <c r="J365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159" i="1"/>
  <c r="J159" i="1"/>
  <c r="I159" i="1"/>
  <c r="H159" i="1"/>
  <c r="G159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4" i="1"/>
  <c r="J524" i="1"/>
  <c r="I524" i="1"/>
  <c r="H524" i="1"/>
  <c r="G524" i="1"/>
  <c r="K523" i="1"/>
  <c r="J523" i="1"/>
  <c r="I523" i="1"/>
  <c r="H523" i="1"/>
  <c r="G523" i="1"/>
  <c r="F159" i="1"/>
  <c r="F525" i="1"/>
  <c r="F524" i="1"/>
  <c r="F523" i="1"/>
  <c r="K556" i="1" l="1"/>
  <c r="I556" i="1"/>
  <c r="G556" i="1"/>
  <c r="H556" i="1"/>
  <c r="J556" i="1"/>
  <c r="I555" i="1"/>
  <c r="G555" i="1"/>
  <c r="J555" i="1"/>
  <c r="H555" i="1"/>
  <c r="K555" i="1"/>
  <c r="I542" i="1"/>
  <c r="G542" i="1"/>
  <c r="H542" i="1"/>
  <c r="K542" i="1"/>
  <c r="J542" i="1"/>
  <c r="K500" i="1"/>
  <c r="J500" i="1"/>
  <c r="I500" i="1"/>
  <c r="G500" i="1"/>
  <c r="H500" i="1"/>
  <c r="G539" i="1"/>
  <c r="I539" i="1"/>
  <c r="K539" i="1"/>
  <c r="H539" i="1"/>
  <c r="J539" i="1"/>
  <c r="J537" i="1"/>
  <c r="I537" i="1"/>
  <c r="K537" i="1"/>
  <c r="G537" i="1"/>
  <c r="H537" i="1"/>
  <c r="J64" i="1"/>
  <c r="J522" i="1"/>
  <c r="G64" i="1"/>
  <c r="G522" i="1"/>
  <c r="I64" i="1"/>
  <c r="I522" i="1"/>
  <c r="H64" i="1"/>
  <c r="H522" i="1"/>
  <c r="I379" i="1"/>
  <c r="H379" i="1"/>
  <c r="J379" i="1"/>
  <c r="G379" i="1"/>
  <c r="K379" i="1"/>
  <c r="G169" i="1"/>
  <c r="G168" i="1"/>
  <c r="G563" i="1" s="1"/>
  <c r="I169" i="1"/>
  <c r="I168" i="1"/>
  <c r="I563" i="1" s="1"/>
  <c r="H169" i="1"/>
  <c r="H168" i="1"/>
  <c r="H563" i="1" s="1"/>
  <c r="J169" i="1"/>
  <c r="J168" i="1"/>
  <c r="J563" i="1" s="1"/>
  <c r="K169" i="1"/>
  <c r="K168" i="1"/>
  <c r="K563" i="1" s="1"/>
  <c r="H100" i="1"/>
  <c r="H328" i="1" s="1"/>
  <c r="H344" i="1" s="1"/>
  <c r="J100" i="1"/>
  <c r="J328" i="1" s="1"/>
  <c r="J344" i="1" s="1"/>
  <c r="G100" i="1"/>
  <c r="G328" i="1" s="1"/>
  <c r="G344" i="1" s="1"/>
  <c r="H101" i="1"/>
  <c r="H329" i="1" s="1"/>
  <c r="H345" i="1" s="1"/>
  <c r="G127" i="1"/>
  <c r="G270" i="1" s="1"/>
  <c r="G259" i="1" s="1"/>
  <c r="I100" i="1"/>
  <c r="I328" i="1" s="1"/>
  <c r="I344" i="1" s="1"/>
  <c r="K100" i="1"/>
  <c r="K328" i="1" s="1"/>
  <c r="K344" i="1" s="1"/>
  <c r="G101" i="1"/>
  <c r="G329" i="1" s="1"/>
  <c r="G345" i="1" s="1"/>
  <c r="H127" i="1"/>
  <c r="I101" i="1"/>
  <c r="I329" i="1" s="1"/>
  <c r="I345" i="1" s="1"/>
  <c r="I102" i="1"/>
  <c r="I127" i="1"/>
  <c r="J101" i="1"/>
  <c r="J329" i="1" s="1"/>
  <c r="J345" i="1" s="1"/>
  <c r="J102" i="1"/>
  <c r="J127" i="1"/>
  <c r="G102" i="1"/>
  <c r="H102" i="1"/>
  <c r="K102" i="1"/>
  <c r="K127" i="1"/>
  <c r="H74" i="1"/>
  <c r="I74" i="1"/>
  <c r="G74" i="1"/>
  <c r="K74" i="1"/>
  <c r="G151" i="1"/>
  <c r="I173" i="1"/>
  <c r="F66" i="1"/>
  <c r="H99" i="1"/>
  <c r="H327" i="1" s="1"/>
  <c r="H343" i="1" s="1"/>
  <c r="H151" i="1"/>
  <c r="G99" i="1"/>
  <c r="G327" i="1" s="1"/>
  <c r="G343" i="1" s="1"/>
  <c r="I99" i="1"/>
  <c r="I327" i="1" s="1"/>
  <c r="I343" i="1" s="1"/>
  <c r="I151" i="1"/>
  <c r="J74" i="1"/>
  <c r="J99" i="1"/>
  <c r="J327" i="1" s="1"/>
  <c r="J343" i="1" s="1"/>
  <c r="J151" i="1"/>
  <c r="K99" i="1"/>
  <c r="K327" i="1" s="1"/>
  <c r="K343" i="1" s="1"/>
  <c r="K151" i="1"/>
  <c r="G161" i="1"/>
  <c r="G173" i="1"/>
  <c r="F161" i="1"/>
  <c r="H161" i="1"/>
  <c r="H173" i="1"/>
  <c r="I161" i="1"/>
  <c r="J161" i="1"/>
  <c r="J173" i="1"/>
  <c r="K161" i="1"/>
  <c r="K173" i="1"/>
  <c r="K531" i="1"/>
  <c r="F12" i="1"/>
  <c r="F1751" i="1" s="1"/>
  <c r="F1711" i="1" s="1"/>
  <c r="K577" i="1"/>
  <c r="J577" i="1"/>
  <c r="I577" i="1"/>
  <c r="H577" i="1"/>
  <c r="G577" i="1"/>
  <c r="F577" i="1"/>
  <c r="K215" i="1"/>
  <c r="J215" i="1"/>
  <c r="I215" i="1"/>
  <c r="G215" i="1"/>
  <c r="F215" i="1"/>
  <c r="K188" i="1"/>
  <c r="J188" i="1"/>
  <c r="I188" i="1"/>
  <c r="H188" i="1"/>
  <c r="G188" i="1"/>
  <c r="F188" i="1"/>
  <c r="F573" i="1"/>
  <c r="F572" i="1"/>
  <c r="F571" i="1"/>
  <c r="F570" i="1"/>
  <c r="F569" i="1"/>
  <c r="F568" i="1"/>
  <c r="F567" i="1"/>
  <c r="F531" i="1"/>
  <c r="F530" i="1"/>
  <c r="F529" i="1"/>
  <c r="H575" i="1" l="1"/>
  <c r="H215" i="1"/>
  <c r="K797" i="1"/>
  <c r="F793" i="1"/>
  <c r="G793" i="1"/>
  <c r="J793" i="1"/>
  <c r="F377" i="1"/>
  <c r="F372" i="1" s="1"/>
  <c r="F797" i="1"/>
  <c r="H793" i="1"/>
  <c r="K793" i="1"/>
  <c r="G510" i="1"/>
  <c r="G509" i="1" s="1"/>
  <c r="G797" i="1"/>
  <c r="H503" i="1"/>
  <c r="H797" i="1"/>
  <c r="I793" i="1"/>
  <c r="I797" i="1"/>
  <c r="J510" i="1"/>
  <c r="J509" i="1" s="1"/>
  <c r="J797" i="1"/>
  <c r="G541" i="1"/>
  <c r="F217" i="1"/>
  <c r="F576" i="1"/>
  <c r="J512" i="1"/>
  <c r="I512" i="1"/>
  <c r="H512" i="1"/>
  <c r="F556" i="1"/>
  <c r="K512" i="1"/>
  <c r="G512" i="1"/>
  <c r="F555" i="1"/>
  <c r="I554" i="1"/>
  <c r="J554" i="1"/>
  <c r="K554" i="1"/>
  <c r="F512" i="1"/>
  <c r="H554" i="1"/>
  <c r="G554" i="1"/>
  <c r="K503" i="1"/>
  <c r="J541" i="1"/>
  <c r="K541" i="1"/>
  <c r="H541" i="1"/>
  <c r="I541" i="1"/>
  <c r="F542" i="1"/>
  <c r="F500" i="1"/>
  <c r="F537" i="1"/>
  <c r="K535" i="1"/>
  <c r="I535" i="1"/>
  <c r="K534" i="1"/>
  <c r="J535" i="1"/>
  <c r="H534" i="1"/>
  <c r="G535" i="1"/>
  <c r="H535" i="1"/>
  <c r="I66" i="1"/>
  <c r="I525" i="1"/>
  <c r="F64" i="1"/>
  <c r="F522" i="1"/>
  <c r="J66" i="1"/>
  <c r="J525" i="1"/>
  <c r="K64" i="1"/>
  <c r="K522" i="1"/>
  <c r="K66" i="1"/>
  <c r="K525" i="1"/>
  <c r="H66" i="1"/>
  <c r="H525" i="1"/>
  <c r="G66" i="1"/>
  <c r="G525" i="1"/>
  <c r="F379" i="1"/>
  <c r="J234" i="1"/>
  <c r="K234" i="1"/>
  <c r="G234" i="1"/>
  <c r="H234" i="1"/>
  <c r="F184" i="1"/>
  <c r="I234" i="1"/>
  <c r="F234" i="1"/>
  <c r="G111" i="1"/>
  <c r="K358" i="1"/>
  <c r="K370" i="1"/>
  <c r="K377" i="1"/>
  <c r="K372" i="1" s="1"/>
  <c r="F370" i="1"/>
  <c r="J358" i="1"/>
  <c r="J370" i="1"/>
  <c r="J377" i="1"/>
  <c r="J372" i="1" s="1"/>
  <c r="F280" i="1"/>
  <c r="F279" i="1" s="1"/>
  <c r="F273" i="1"/>
  <c r="H280" i="1"/>
  <c r="H279" i="1" s="1"/>
  <c r="H273" i="1"/>
  <c r="I280" i="1"/>
  <c r="I279" i="1" s="1"/>
  <c r="I273" i="1"/>
  <c r="J280" i="1"/>
  <c r="J279" i="1" s="1"/>
  <c r="J273" i="1"/>
  <c r="K280" i="1"/>
  <c r="K279" i="1" s="1"/>
  <c r="K273" i="1"/>
  <c r="G280" i="1"/>
  <c r="G279" i="1" s="1"/>
  <c r="G273" i="1"/>
  <c r="K112" i="1"/>
  <c r="K271" i="1"/>
  <c r="K260" i="1" s="1"/>
  <c r="I112" i="1"/>
  <c r="I271" i="1"/>
  <c r="I260" i="1" s="1"/>
  <c r="I111" i="1"/>
  <c r="I270" i="1"/>
  <c r="I259" i="1" s="1"/>
  <c r="H112" i="1"/>
  <c r="H271" i="1"/>
  <c r="H260" i="1" s="1"/>
  <c r="G112" i="1"/>
  <c r="G271" i="1"/>
  <c r="G260" i="1" s="1"/>
  <c r="H111" i="1"/>
  <c r="H270" i="1"/>
  <c r="H259" i="1" s="1"/>
  <c r="J112" i="1"/>
  <c r="J271" i="1"/>
  <c r="J260" i="1" s="1"/>
  <c r="K111" i="1"/>
  <c r="K270" i="1"/>
  <c r="K259" i="1" s="1"/>
  <c r="J111" i="1"/>
  <c r="J270" i="1"/>
  <c r="J259" i="1" s="1"/>
  <c r="K109" i="1"/>
  <c r="K337" i="1" s="1"/>
  <c r="K353" i="1" s="1"/>
  <c r="K498" i="1" s="1"/>
  <c r="K487" i="1" s="1"/>
  <c r="K268" i="1"/>
  <c r="K257" i="1" s="1"/>
  <c r="I109" i="1"/>
  <c r="I337" i="1" s="1"/>
  <c r="I353" i="1" s="1"/>
  <c r="I498" i="1" s="1"/>
  <c r="I487" i="1" s="1"/>
  <c r="I268" i="1"/>
  <c r="I257" i="1" s="1"/>
  <c r="I107" i="1"/>
  <c r="I335" i="1" s="1"/>
  <c r="I351" i="1" s="1"/>
  <c r="I496" i="1" s="1"/>
  <c r="I485" i="1" s="1"/>
  <c r="I266" i="1"/>
  <c r="I255" i="1" s="1"/>
  <c r="G109" i="1"/>
  <c r="G337" i="1" s="1"/>
  <c r="G353" i="1" s="1"/>
  <c r="G498" i="1" s="1"/>
  <c r="G487" i="1" s="1"/>
  <c r="G268" i="1"/>
  <c r="G257" i="1" s="1"/>
  <c r="J109" i="1"/>
  <c r="J337" i="1" s="1"/>
  <c r="J353" i="1" s="1"/>
  <c r="J498" i="1" s="1"/>
  <c r="J487" i="1" s="1"/>
  <c r="J268" i="1"/>
  <c r="J257" i="1" s="1"/>
  <c r="H109" i="1"/>
  <c r="H337" i="1" s="1"/>
  <c r="H353" i="1" s="1"/>
  <c r="H498" i="1" s="1"/>
  <c r="H487" i="1" s="1"/>
  <c r="H268" i="1"/>
  <c r="H257" i="1" s="1"/>
  <c r="H107" i="1"/>
  <c r="H335" i="1" s="1"/>
  <c r="H351" i="1" s="1"/>
  <c r="H496" i="1" s="1"/>
  <c r="H485" i="1" s="1"/>
  <c r="H266" i="1"/>
  <c r="H255" i="1" s="1"/>
  <c r="J107" i="1"/>
  <c r="J335" i="1" s="1"/>
  <c r="J351" i="1" s="1"/>
  <c r="J496" i="1" s="1"/>
  <c r="J485" i="1" s="1"/>
  <c r="J266" i="1"/>
  <c r="J255" i="1" s="1"/>
  <c r="K107" i="1"/>
  <c r="K335" i="1" s="1"/>
  <c r="K351" i="1" s="1"/>
  <c r="K496" i="1" s="1"/>
  <c r="K485" i="1" s="1"/>
  <c r="K266" i="1"/>
  <c r="K255" i="1" s="1"/>
  <c r="G107" i="1"/>
  <c r="G335" i="1" s="1"/>
  <c r="G351" i="1" s="1"/>
  <c r="G496" i="1" s="1"/>
  <c r="G485" i="1" s="1"/>
  <c r="G266" i="1"/>
  <c r="G255" i="1" s="1"/>
  <c r="H222" i="1"/>
  <c r="H221" i="1" s="1"/>
  <c r="H219" i="1"/>
  <c r="K222" i="1"/>
  <c r="K221" i="1" s="1"/>
  <c r="K219" i="1"/>
  <c r="I222" i="1"/>
  <c r="I221" i="1" s="1"/>
  <c r="I219" i="1"/>
  <c r="J222" i="1"/>
  <c r="J221" i="1" s="1"/>
  <c r="J219" i="1"/>
  <c r="G222" i="1"/>
  <c r="G221" i="1" s="1"/>
  <c r="G219" i="1"/>
  <c r="F222" i="1"/>
  <c r="F221" i="1" s="1"/>
  <c r="F219" i="1"/>
  <c r="H214" i="1"/>
  <c r="H213" i="1" s="1"/>
  <c r="H211" i="1"/>
  <c r="G239" i="1"/>
  <c r="H239" i="1"/>
  <c r="I239" i="1"/>
  <c r="J239" i="1"/>
  <c r="K239" i="1"/>
  <c r="I195" i="1"/>
  <c r="K195" i="1"/>
  <c r="G195" i="1"/>
  <c r="H195" i="1"/>
  <c r="F169" i="1"/>
  <c r="F168" i="1"/>
  <c r="F563" i="1" s="1"/>
  <c r="G263" i="1"/>
  <c r="K263" i="1"/>
  <c r="J264" i="1"/>
  <c r="J253" i="1" s="1"/>
  <c r="I264" i="1"/>
  <c r="I253" i="1" s="1"/>
  <c r="F100" i="1"/>
  <c r="F328" i="1" s="1"/>
  <c r="F344" i="1" s="1"/>
  <c r="I263" i="1"/>
  <c r="G264" i="1"/>
  <c r="G253" i="1" s="1"/>
  <c r="K264" i="1"/>
  <c r="K253" i="1" s="1"/>
  <c r="F101" i="1"/>
  <c r="F329" i="1" s="1"/>
  <c r="F345" i="1" s="1"/>
  <c r="J195" i="1"/>
  <c r="F74" i="1"/>
  <c r="F195" i="1"/>
  <c r="H264" i="1"/>
  <c r="H253" i="1" s="1"/>
  <c r="F127" i="1"/>
  <c r="J263" i="1"/>
  <c r="H263" i="1"/>
  <c r="K101" i="1"/>
  <c r="K329" i="1" s="1"/>
  <c r="K345" i="1" s="1"/>
  <c r="F575" i="1"/>
  <c r="J575" i="1"/>
  <c r="F183" i="1"/>
  <c r="F239" i="1"/>
  <c r="F238" i="1" s="1"/>
  <c r="G183" i="1"/>
  <c r="I183" i="1"/>
  <c r="K183" i="1"/>
  <c r="F187" i="1"/>
  <c r="F186" i="1" s="1"/>
  <c r="H183" i="1"/>
  <c r="I187" i="1"/>
  <c r="I186" i="1" s="1"/>
  <c r="J183" i="1"/>
  <c r="I82" i="1"/>
  <c r="F99" i="1"/>
  <c r="F327" i="1" s="1"/>
  <c r="F343" i="1" s="1"/>
  <c r="F173" i="1"/>
  <c r="H187" i="1"/>
  <c r="H186" i="1" s="1"/>
  <c r="G82" i="1"/>
  <c r="I575" i="1"/>
  <c r="F151" i="1"/>
  <c r="G575" i="1"/>
  <c r="K187" i="1"/>
  <c r="K186" i="1" s="1"/>
  <c r="G187" i="1"/>
  <c r="G186" i="1" s="1"/>
  <c r="H82" i="1"/>
  <c r="K82" i="1"/>
  <c r="K575" i="1"/>
  <c r="J187" i="1"/>
  <c r="J186" i="1" s="1"/>
  <c r="J82" i="1"/>
  <c r="I12" i="1"/>
  <c r="I1751" i="1" s="1"/>
  <c r="I1711" i="1" s="1"/>
  <c r="J12" i="1"/>
  <c r="J1751" i="1" s="1"/>
  <c r="J1711" i="1" s="1"/>
  <c r="K12" i="1"/>
  <c r="K1751" i="1" s="1"/>
  <c r="K1711" i="1" s="1"/>
  <c r="G12" i="1"/>
  <c r="G1751" i="1" s="1"/>
  <c r="G1711" i="1" s="1"/>
  <c r="H12" i="1"/>
  <c r="H1751" i="1" s="1"/>
  <c r="H1711" i="1" s="1"/>
  <c r="I370" i="1" l="1"/>
  <c r="J470" i="1"/>
  <c r="I377" i="1"/>
  <c r="I372" i="1" s="1"/>
  <c r="I358" i="1"/>
  <c r="I340" i="1"/>
  <c r="I356" i="1" s="1"/>
  <c r="I501" i="1" s="1"/>
  <c r="I490" i="1" s="1"/>
  <c r="H340" i="1"/>
  <c r="H356" i="1" s="1"/>
  <c r="H501" i="1" s="1"/>
  <c r="H490" i="1" s="1"/>
  <c r="K340" i="1"/>
  <c r="K356" i="1" s="1"/>
  <c r="K501" i="1" s="1"/>
  <c r="K490" i="1" s="1"/>
  <c r="J339" i="1"/>
  <c r="J355" i="1" s="1"/>
  <c r="K339" i="1"/>
  <c r="K355" i="1" s="1"/>
  <c r="J340" i="1"/>
  <c r="J356" i="1" s="1"/>
  <c r="J501" i="1" s="1"/>
  <c r="J490" i="1" s="1"/>
  <c r="G339" i="1"/>
  <c r="G355" i="1" s="1"/>
  <c r="I339" i="1"/>
  <c r="I355" i="1" s="1"/>
  <c r="H339" i="1"/>
  <c r="H355" i="1" s="1"/>
  <c r="G340" i="1"/>
  <c r="G356" i="1" s="1"/>
  <c r="G501" i="1" s="1"/>
  <c r="G490" i="1" s="1"/>
  <c r="F358" i="1"/>
  <c r="I548" i="1"/>
  <c r="I503" i="1"/>
  <c r="I237" i="1"/>
  <c r="I236" i="1" s="1"/>
  <c r="I238" i="1"/>
  <c r="J237" i="1"/>
  <c r="J236" i="1" s="1"/>
  <c r="J238" i="1"/>
  <c r="G237" i="1"/>
  <c r="G236" i="1" s="1"/>
  <c r="G238" i="1"/>
  <c r="H237" i="1"/>
  <c r="H236" i="1" s="1"/>
  <c r="H238" i="1"/>
  <c r="K237" i="1"/>
  <c r="K236" i="1" s="1"/>
  <c r="K238" i="1"/>
  <c r="K192" i="1"/>
  <c r="K191" i="1" s="1"/>
  <c r="K194" i="1"/>
  <c r="F192" i="1"/>
  <c r="F191" i="1" s="1"/>
  <c r="F194" i="1"/>
  <c r="I192" i="1"/>
  <c r="I191" i="1" s="1"/>
  <c r="I194" i="1"/>
  <c r="J192" i="1"/>
  <c r="J191" i="1" s="1"/>
  <c r="J194" i="1"/>
  <c r="G192" i="1"/>
  <c r="G191" i="1" s="1"/>
  <c r="G194" i="1"/>
  <c r="H192" i="1"/>
  <c r="H191" i="1" s="1"/>
  <c r="H194" i="1"/>
  <c r="K792" i="1"/>
  <c r="K834" i="1" s="1"/>
  <c r="K867" i="1" s="1"/>
  <c r="J792" i="1"/>
  <c r="J834" i="1" s="1"/>
  <c r="J867" i="1" s="1"/>
  <c r="I792" i="1"/>
  <c r="I834" i="1" s="1"/>
  <c r="I867" i="1" s="1"/>
  <c r="H370" i="1"/>
  <c r="H792" i="1"/>
  <c r="H377" i="1"/>
  <c r="H372" i="1" s="1"/>
  <c r="G377" i="1"/>
  <c r="G372" i="1" s="1"/>
  <c r="F510" i="1"/>
  <c r="F509" i="1" s="1"/>
  <c r="G370" i="1"/>
  <c r="G792" i="1"/>
  <c r="G834" i="1" s="1"/>
  <c r="G867" i="1" s="1"/>
  <c r="G358" i="1"/>
  <c r="H358" i="1"/>
  <c r="G217" i="1"/>
  <c r="G576" i="1"/>
  <c r="J227" i="1"/>
  <c r="J579" i="1"/>
  <c r="K227" i="1"/>
  <c r="K579" i="1"/>
  <c r="G227" i="1"/>
  <c r="G579" i="1"/>
  <c r="F554" i="1"/>
  <c r="J217" i="1"/>
  <c r="J576" i="1"/>
  <c r="H227" i="1"/>
  <c r="H579" i="1"/>
  <c r="K217" i="1"/>
  <c r="K576" i="1"/>
  <c r="F227" i="1"/>
  <c r="F579" i="1"/>
  <c r="I217" i="1"/>
  <c r="I576" i="1"/>
  <c r="I227" i="1"/>
  <c r="I579" i="1"/>
  <c r="H217" i="1"/>
  <c r="H576" i="1"/>
  <c r="H548" i="1"/>
  <c r="H510" i="1"/>
  <c r="H509" i="1" s="1"/>
  <c r="J548" i="1"/>
  <c r="F541" i="1"/>
  <c r="G503" i="1"/>
  <c r="G548" i="1"/>
  <c r="J503" i="1"/>
  <c r="I510" i="1"/>
  <c r="I509" i="1" s="1"/>
  <c r="G470" i="1"/>
  <c r="K510" i="1"/>
  <c r="K509" i="1" s="1"/>
  <c r="G233" i="1"/>
  <c r="K548" i="1"/>
  <c r="I534" i="1"/>
  <c r="J63" i="1"/>
  <c r="G63" i="1"/>
  <c r="K470" i="1"/>
  <c r="G534" i="1"/>
  <c r="H470" i="1"/>
  <c r="I63" i="1"/>
  <c r="J534" i="1"/>
  <c r="K63" i="1"/>
  <c r="F535" i="1"/>
  <c r="H532" i="1"/>
  <c r="F418" i="1"/>
  <c r="J418" i="1"/>
  <c r="J411" i="1" s="1"/>
  <c r="J410" i="1" s="1"/>
  <c r="I418" i="1"/>
  <c r="I411" i="1" s="1"/>
  <c r="I410" i="1" s="1"/>
  <c r="K233" i="1"/>
  <c r="H63" i="1"/>
  <c r="J233" i="1"/>
  <c r="F305" i="1"/>
  <c r="H305" i="1"/>
  <c r="H298" i="1"/>
  <c r="I305" i="1"/>
  <c r="I298" i="1"/>
  <c r="G305" i="1"/>
  <c r="G298" i="1"/>
  <c r="I233" i="1"/>
  <c r="K305" i="1"/>
  <c r="K298" i="1"/>
  <c r="F417" i="1"/>
  <c r="F304" i="1"/>
  <c r="F298" i="1"/>
  <c r="H233" i="1"/>
  <c r="J305" i="1"/>
  <c r="J298" i="1"/>
  <c r="K330" i="1"/>
  <c r="K346" i="1" s="1"/>
  <c r="K532" i="1"/>
  <c r="G330" i="1"/>
  <c r="G346" i="1" s="1"/>
  <c r="G532" i="1"/>
  <c r="H310" i="1"/>
  <c r="G310" i="1"/>
  <c r="J310" i="1"/>
  <c r="I330" i="1"/>
  <c r="I346" i="1" s="1"/>
  <c r="K310" i="1"/>
  <c r="H330" i="1"/>
  <c r="H346" i="1" s="1"/>
  <c r="J330" i="1"/>
  <c r="J346" i="1" s="1"/>
  <c r="J252" i="1"/>
  <c r="J251" i="1" s="1"/>
  <c r="J262" i="1"/>
  <c r="I252" i="1"/>
  <c r="I251" i="1" s="1"/>
  <c r="I262" i="1"/>
  <c r="K252" i="1"/>
  <c r="K251" i="1" s="1"/>
  <c r="K262" i="1"/>
  <c r="F112" i="1"/>
  <c r="F271" i="1"/>
  <c r="F260" i="1" s="1"/>
  <c r="G252" i="1"/>
  <c r="G251" i="1" s="1"/>
  <c r="G262" i="1"/>
  <c r="F111" i="1"/>
  <c r="F270" i="1"/>
  <c r="F259" i="1" s="1"/>
  <c r="H252" i="1"/>
  <c r="H251" i="1" s="1"/>
  <c r="H262" i="1"/>
  <c r="J104" i="1"/>
  <c r="J332" i="1" s="1"/>
  <c r="J348" i="1" s="1"/>
  <c r="J493" i="1" s="1"/>
  <c r="F107" i="1"/>
  <c r="F335" i="1" s="1"/>
  <c r="F351" i="1" s="1"/>
  <c r="F496" i="1" s="1"/>
  <c r="F485" i="1" s="1"/>
  <c r="F266" i="1"/>
  <c r="F255" i="1" s="1"/>
  <c r="J214" i="1"/>
  <c r="J213" i="1" s="1"/>
  <c r="J211" i="1"/>
  <c r="F214" i="1"/>
  <c r="F213" i="1" s="1"/>
  <c r="F211" i="1"/>
  <c r="I214" i="1"/>
  <c r="I213" i="1" s="1"/>
  <c r="I211" i="1"/>
  <c r="K214" i="1"/>
  <c r="K213" i="1" s="1"/>
  <c r="K211" i="1"/>
  <c r="G214" i="1"/>
  <c r="G213" i="1" s="1"/>
  <c r="G211" i="1"/>
  <c r="F102" i="1"/>
  <c r="F330" i="1" s="1"/>
  <c r="F346" i="1" s="1"/>
  <c r="G104" i="1"/>
  <c r="G332" i="1" s="1"/>
  <c r="G348" i="1" s="1"/>
  <c r="G493" i="1" s="1"/>
  <c r="H104" i="1"/>
  <c r="H332" i="1" s="1"/>
  <c r="H348" i="1" s="1"/>
  <c r="H493" i="1" s="1"/>
  <c r="H105" i="1"/>
  <c r="H333" i="1" s="1"/>
  <c r="H349" i="1" s="1"/>
  <c r="H494" i="1" s="1"/>
  <c r="H483" i="1" s="1"/>
  <c r="F237" i="1"/>
  <c r="F236" i="1" s="1"/>
  <c r="K104" i="1"/>
  <c r="K332" i="1" s="1"/>
  <c r="K348" i="1" s="1"/>
  <c r="K493" i="1" s="1"/>
  <c r="J105" i="1"/>
  <c r="J333" i="1" s="1"/>
  <c r="J349" i="1" s="1"/>
  <c r="J494" i="1" s="1"/>
  <c r="J483" i="1" s="1"/>
  <c r="G105" i="1"/>
  <c r="G333" i="1" s="1"/>
  <c r="G349" i="1" s="1"/>
  <c r="G494" i="1" s="1"/>
  <c r="G483" i="1" s="1"/>
  <c r="I114" i="1"/>
  <c r="I98" i="1" s="1"/>
  <c r="I104" i="1"/>
  <c r="I332" i="1" s="1"/>
  <c r="I348" i="1" s="1"/>
  <c r="I493" i="1" s="1"/>
  <c r="K114" i="1"/>
  <c r="K98" i="1" s="1"/>
  <c r="I105" i="1"/>
  <c r="I333" i="1" s="1"/>
  <c r="I349" i="1" s="1"/>
  <c r="I494" i="1" s="1"/>
  <c r="I483" i="1" s="1"/>
  <c r="G114" i="1"/>
  <c r="G98" i="1" s="1"/>
  <c r="F264" i="1"/>
  <c r="F253" i="1" s="1"/>
  <c r="J114" i="1"/>
  <c r="J98" i="1" s="1"/>
  <c r="H114" i="1"/>
  <c r="H98" i="1" s="1"/>
  <c r="K105" i="1"/>
  <c r="K333" i="1" s="1"/>
  <c r="K349" i="1" s="1"/>
  <c r="K494" i="1" s="1"/>
  <c r="K483" i="1" s="1"/>
  <c r="F82" i="1"/>
  <c r="F63" i="1" s="1"/>
  <c r="I342" i="1" l="1"/>
  <c r="I326" i="1" s="1"/>
  <c r="I492" i="1"/>
  <c r="F339" i="1"/>
  <c r="F355" i="1" s="1"/>
  <c r="F340" i="1"/>
  <c r="F356" i="1" s="1"/>
  <c r="F501" i="1" s="1"/>
  <c r="F490" i="1" s="1"/>
  <c r="K838" i="1"/>
  <c r="K871" i="1" s="1"/>
  <c r="F415" i="1"/>
  <c r="F414" i="1" s="1"/>
  <c r="F416" i="1"/>
  <c r="I838" i="1"/>
  <c r="I871" i="1" s="1"/>
  <c r="J838" i="1"/>
  <c r="J871" i="1" s="1"/>
  <c r="I876" i="1"/>
  <c r="I842" i="1"/>
  <c r="I875" i="1" s="1"/>
  <c r="I839" i="1"/>
  <c r="I872" i="1" s="1"/>
  <c r="I836" i="1"/>
  <c r="I869" i="1" s="1"/>
  <c r="I841" i="1"/>
  <c r="I874" i="1" s="1"/>
  <c r="I840" i="1"/>
  <c r="I873" i="1" s="1"/>
  <c r="I837" i="1"/>
  <c r="I870" i="1" s="1"/>
  <c r="I835" i="1"/>
  <c r="I868" i="1" s="1"/>
  <c r="H210" i="1"/>
  <c r="H182" i="1" s="1"/>
  <c r="H181" i="1" s="1"/>
  <c r="H876" i="1"/>
  <c r="H842" i="1"/>
  <c r="H875" i="1" s="1"/>
  <c r="H841" i="1"/>
  <c r="H874" i="1" s="1"/>
  <c r="H840" i="1"/>
  <c r="H873" i="1" s="1"/>
  <c r="H839" i="1"/>
  <c r="H872" i="1" s="1"/>
  <c r="H836" i="1"/>
  <c r="H869" i="1" s="1"/>
  <c r="H837" i="1"/>
  <c r="H870" i="1" s="1"/>
  <c r="H835" i="1"/>
  <c r="H868" i="1" s="1"/>
  <c r="J876" i="1"/>
  <c r="J842" i="1"/>
  <c r="J875" i="1" s="1"/>
  <c r="J839" i="1"/>
  <c r="J872" i="1" s="1"/>
  <c r="J841" i="1"/>
  <c r="J874" i="1" s="1"/>
  <c r="J840" i="1"/>
  <c r="J873" i="1" s="1"/>
  <c r="J836" i="1"/>
  <c r="J869" i="1" s="1"/>
  <c r="J837" i="1"/>
  <c r="J870" i="1" s="1"/>
  <c r="J835" i="1"/>
  <c r="J868" i="1" s="1"/>
  <c r="F548" i="1"/>
  <c r="H838" i="1"/>
  <c r="H871" i="1" s="1"/>
  <c r="H834" i="1"/>
  <c r="H867" i="1" s="1"/>
  <c r="F503" i="1"/>
  <c r="G876" i="1"/>
  <c r="G842" i="1"/>
  <c r="G875" i="1" s="1"/>
  <c r="G836" i="1"/>
  <c r="G869" i="1" s="1"/>
  <c r="G840" i="1"/>
  <c r="G873" i="1" s="1"/>
  <c r="G839" i="1"/>
  <c r="G872" i="1" s="1"/>
  <c r="G841" i="1"/>
  <c r="G874" i="1" s="1"/>
  <c r="G837" i="1"/>
  <c r="G870" i="1" s="1"/>
  <c r="G835" i="1"/>
  <c r="G868" i="1" s="1"/>
  <c r="K876" i="1"/>
  <c r="K842" i="1"/>
  <c r="K875" i="1" s="1"/>
  <c r="K836" i="1"/>
  <c r="K869" i="1" s="1"/>
  <c r="K841" i="1"/>
  <c r="K874" i="1" s="1"/>
  <c r="K840" i="1"/>
  <c r="K873" i="1" s="1"/>
  <c r="K839" i="1"/>
  <c r="K872" i="1" s="1"/>
  <c r="K837" i="1"/>
  <c r="K870" i="1" s="1"/>
  <c r="K835" i="1"/>
  <c r="K868" i="1" s="1"/>
  <c r="G838" i="1"/>
  <c r="G871" i="1" s="1"/>
  <c r="G210" i="1"/>
  <c r="G182" i="1" s="1"/>
  <c r="G181" i="1" s="1"/>
  <c r="K210" i="1"/>
  <c r="K182" i="1" s="1"/>
  <c r="K181" i="1" s="1"/>
  <c r="J210" i="1"/>
  <c r="J182" i="1" s="1"/>
  <c r="J181" i="1" s="1"/>
  <c r="F210" i="1"/>
  <c r="F182" i="1" s="1"/>
  <c r="I210" i="1"/>
  <c r="I182" i="1" s="1"/>
  <c r="I181" i="1" s="1"/>
  <c r="J532" i="1"/>
  <c r="I532" i="1"/>
  <c r="F425" i="1"/>
  <c r="I425" i="1"/>
  <c r="H418" i="1"/>
  <c r="H411" i="1" s="1"/>
  <c r="H410" i="1" s="1"/>
  <c r="F532" i="1"/>
  <c r="I464" i="1"/>
  <c r="I463" i="1" s="1"/>
  <c r="I409" i="1" s="1"/>
  <c r="I528" i="1"/>
  <c r="K464" i="1"/>
  <c r="K463" i="1" s="1"/>
  <c r="K528" i="1"/>
  <c r="G464" i="1"/>
  <c r="G463" i="1" s="1"/>
  <c r="G528" i="1"/>
  <c r="J464" i="1"/>
  <c r="J463" i="1" s="1"/>
  <c r="J409" i="1" s="1"/>
  <c r="J528" i="1"/>
  <c r="H464" i="1"/>
  <c r="H463" i="1" s="1"/>
  <c r="H528" i="1"/>
  <c r="F464" i="1"/>
  <c r="F528" i="1"/>
  <c r="F527" i="1"/>
  <c r="K302" i="1"/>
  <c r="K291" i="1" s="1"/>
  <c r="G302" i="1"/>
  <c r="G291" i="1" s="1"/>
  <c r="I302" i="1"/>
  <c r="I291" i="1" s="1"/>
  <c r="H302" i="1"/>
  <c r="H291" i="1" s="1"/>
  <c r="J302" i="1"/>
  <c r="J291" i="1" s="1"/>
  <c r="F302" i="1"/>
  <c r="K482" i="1"/>
  <c r="K481" i="1" s="1"/>
  <c r="K492" i="1"/>
  <c r="G482" i="1"/>
  <c r="G481" i="1" s="1"/>
  <c r="G492" i="1"/>
  <c r="H482" i="1"/>
  <c r="H481" i="1" s="1"/>
  <c r="H492" i="1"/>
  <c r="I482" i="1"/>
  <c r="I481" i="1" s="1"/>
  <c r="J482" i="1"/>
  <c r="J481" i="1" s="1"/>
  <c r="J492" i="1"/>
  <c r="G425" i="1"/>
  <c r="J469" i="1"/>
  <c r="G469" i="1"/>
  <c r="H469" i="1"/>
  <c r="K469" i="1"/>
  <c r="I469" i="1"/>
  <c r="F412" i="1"/>
  <c r="F411" i="1" s="1"/>
  <c r="F410" i="1" s="1"/>
  <c r="F469" i="1"/>
  <c r="K425" i="1"/>
  <c r="J342" i="1"/>
  <c r="J326" i="1" s="1"/>
  <c r="J425" i="1"/>
  <c r="K418" i="1"/>
  <c r="K411" i="1" s="1"/>
  <c r="K410" i="1" s="1"/>
  <c r="H342" i="1"/>
  <c r="H326" i="1" s="1"/>
  <c r="H425" i="1"/>
  <c r="G418" i="1"/>
  <c r="G411" i="1" s="1"/>
  <c r="G410" i="1" s="1"/>
  <c r="F397" i="1"/>
  <c r="K342" i="1"/>
  <c r="K326" i="1" s="1"/>
  <c r="G342" i="1"/>
  <c r="G326" i="1" s="1"/>
  <c r="F104" i="1"/>
  <c r="F114" i="1"/>
  <c r="F98" i="1" s="1"/>
  <c r="F105" i="1"/>
  <c r="F333" i="1" s="1"/>
  <c r="F349" i="1" s="1"/>
  <c r="F494" i="1" s="1"/>
  <c r="F483" i="1" s="1"/>
  <c r="F9" i="4" l="1"/>
  <c r="F8" i="4" s="1"/>
  <c r="G9" i="4"/>
  <c r="G8" i="4" s="1"/>
  <c r="I467" i="1"/>
  <c r="I466" i="1" s="1"/>
  <c r="I468" i="1"/>
  <c r="F467" i="1"/>
  <c r="F466" i="1" s="1"/>
  <c r="F468" i="1"/>
  <c r="K467" i="1"/>
  <c r="K466" i="1" s="1"/>
  <c r="K468" i="1"/>
  <c r="G467" i="1"/>
  <c r="G466" i="1" s="1"/>
  <c r="G468" i="1"/>
  <c r="H467" i="1"/>
  <c r="H466" i="1" s="1"/>
  <c r="H468" i="1"/>
  <c r="J467" i="1"/>
  <c r="J466" i="1" s="1"/>
  <c r="J468" i="1"/>
  <c r="J422" i="1"/>
  <c r="J421" i="1" s="1"/>
  <c r="J424" i="1"/>
  <c r="K422" i="1"/>
  <c r="K421" i="1" s="1"/>
  <c r="K424" i="1"/>
  <c r="H422" i="1"/>
  <c r="H421" i="1" s="1"/>
  <c r="H424" i="1"/>
  <c r="I422" i="1"/>
  <c r="I421" i="1" s="1"/>
  <c r="I424" i="1"/>
  <c r="F422" i="1"/>
  <c r="F421" i="1" s="1"/>
  <c r="F424" i="1"/>
  <c r="G422" i="1"/>
  <c r="G421" i="1" s="1"/>
  <c r="G424" i="1"/>
  <c r="H409" i="1"/>
  <c r="E9" i="4" s="1"/>
  <c r="E8" i="4" s="1"/>
  <c r="G409" i="1"/>
  <c r="D9" i="4" s="1"/>
  <c r="D8" i="4" s="1"/>
  <c r="K409" i="1"/>
  <c r="H9" i="4" s="1"/>
  <c r="H8" i="4" s="1"/>
  <c r="J2" i="1"/>
  <c r="G14" i="4" l="1"/>
  <c r="G13" i="4"/>
  <c r="H2" i="1"/>
  <c r="K2" i="1"/>
  <c r="I2" i="1"/>
  <c r="G2" i="1"/>
  <c r="F2" i="1"/>
  <c r="F14" i="4" l="1"/>
  <c r="F13" i="4"/>
  <c r="C14" i="4"/>
  <c r="C13" i="4"/>
  <c r="H14" i="4"/>
  <c r="H13" i="4"/>
  <c r="D13" i="4"/>
  <c r="D14" i="4"/>
  <c r="E14" i="4"/>
  <c r="E13" i="4"/>
  <c r="F240" i="1"/>
  <c r="F233" i="1" s="1"/>
  <c r="F181" i="1" s="1"/>
  <c r="F263" i="1"/>
  <c r="F262" i="1" s="1"/>
  <c r="F794" i="1"/>
  <c r="F792" i="1" s="1"/>
  <c r="F252" i="1" l="1"/>
  <c r="F251" i="1" s="1"/>
  <c r="F837" i="1"/>
  <c r="F870" i="1" s="1"/>
  <c r="F834" i="1"/>
  <c r="F867" i="1" s="1"/>
  <c r="F835" i="1"/>
  <c r="F868" i="1" s="1"/>
  <c r="F840" i="1"/>
  <c r="F873" i="1" s="1"/>
  <c r="F842" i="1"/>
  <c r="F875" i="1" s="1"/>
  <c r="F839" i="1"/>
  <c r="F872" i="1" s="1"/>
  <c r="F836" i="1"/>
  <c r="F869" i="1" s="1"/>
  <c r="F841" i="1"/>
  <c r="F874" i="1" s="1"/>
  <c r="F838" i="1"/>
  <c r="F871" i="1" s="1"/>
  <c r="F534" i="1"/>
  <c r="F310" i="1"/>
  <c r="F332" i="1"/>
  <c r="F348" i="1" s="1"/>
  <c r="F291" i="1" l="1"/>
  <c r="F342" i="1"/>
  <c r="F326" i="1" s="1"/>
  <c r="F493" i="1"/>
  <c r="F492" i="1" s="1"/>
  <c r="F470" i="1"/>
  <c r="F463" i="1" s="1"/>
  <c r="F409" i="1" s="1"/>
  <c r="F482" i="1" l="1"/>
  <c r="F481" i="1" s="1"/>
  <c r="C9" i="4"/>
  <c r="C8" i="4" s="1"/>
  <c r="F1657" i="1"/>
  <c r="F1656" i="1" s="1"/>
  <c r="K1657" i="1"/>
  <c r="K16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<sst xmlns="http://schemas.openxmlformats.org/spreadsheetml/2006/main" count="5204" uniqueCount="2482">
  <si>
    <t>Model</t>
  </si>
  <si>
    <t>Scenario</t>
  </si>
  <si>
    <t>Region</t>
  </si>
  <si>
    <t>Variable</t>
  </si>
  <si>
    <t>Unit</t>
  </si>
  <si>
    <t>STEM</t>
  </si>
  <si>
    <t>SPS1</t>
  </si>
  <si>
    <t>CH</t>
  </si>
  <si>
    <t>PJ/yr.</t>
  </si>
  <si>
    <t>Primary Production|Wood|Wood residues</t>
  </si>
  <si>
    <t>Primary Production|Wood|Waste wood</t>
  </si>
  <si>
    <t>Primary Production|Wood|Wood from landscape maintenance</t>
  </si>
  <si>
    <t>Primary Production|Wood|Wood from Forest (hard wood)</t>
  </si>
  <si>
    <t>Primary Production|Waste|Non renewable waste</t>
  </si>
  <si>
    <t>Primary Production|Waste|Renewable waste</t>
  </si>
  <si>
    <t>Primary Production</t>
  </si>
  <si>
    <t>Primary Production|Hydro|Large hydro</t>
  </si>
  <si>
    <t>Primary Production|Hydro|Run-of-river hydro</t>
  </si>
  <si>
    <t>Primary Production|Hydro|Pump storage</t>
  </si>
  <si>
    <t>Imports</t>
  </si>
  <si>
    <t>Imports|Electricity|Austria</t>
  </si>
  <si>
    <t>Imports|Electricity|France</t>
  </si>
  <si>
    <t>Imports|Electricity|Germany</t>
  </si>
  <si>
    <t>Imports|Electricity|Italy</t>
  </si>
  <si>
    <t>Exports</t>
  </si>
  <si>
    <t>Exports|Electricity|Austria</t>
  </si>
  <si>
    <t>Exports|Electricity|France</t>
  </si>
  <si>
    <t>Exports|Electricity|Germany</t>
  </si>
  <si>
    <t>Exports|Electricity|Italy</t>
  </si>
  <si>
    <t>Electricity generation</t>
  </si>
  <si>
    <t>Electricity generation|Nuclear Fuel|Nuclear power plants</t>
  </si>
  <si>
    <t>Electricity generation|Hydro|Hydro Large</t>
  </si>
  <si>
    <t>Electricity generation|Hydro|Hydro Run of River</t>
  </si>
  <si>
    <t>Electricity generation|Hydro|Pump storage</t>
  </si>
  <si>
    <t>Electricity generation|Oil|Peak devices</t>
  </si>
  <si>
    <t>Electricity generation|Gas|Gas turbines combined cycle</t>
  </si>
  <si>
    <t>Electricity generation|Gas|Gas turbines open cycle</t>
  </si>
  <si>
    <t>Electricity generation|Gas|Gas turbines combined cycle CCS</t>
  </si>
  <si>
    <t>Electricity generation|Gas|CHP Gas (for District Heating)</t>
  </si>
  <si>
    <t>Electricity generation|Gas|CHP Fuel Cell Gas (for District Heating)</t>
  </si>
  <si>
    <t>Electricity generation|Oil|Industrial CHPs oil</t>
  </si>
  <si>
    <t>Electricity generation|Gas|Industrial CHPs gas</t>
  </si>
  <si>
    <t>Electricity generation|Gas|Industrial CHPs gas (CCS)</t>
  </si>
  <si>
    <t>Electricity generation|Gas|Industrial CHPs fuel cells (gas reformer)</t>
  </si>
  <si>
    <t>Electricity generation|Gas|Residential single family CHPs gas</t>
  </si>
  <si>
    <t>Electricity generation|Gas|Residential single family CHPs fuel cells gas</t>
  </si>
  <si>
    <t>Electricity generation|Gas|Residential multi family CHPs gas</t>
  </si>
  <si>
    <t>Electricity generation|Gas|Residential multi family CHPs fuel cells gas</t>
  </si>
  <si>
    <t>Electricity generation|Wastes|Industrial CHPs wastes</t>
  </si>
  <si>
    <t>Electricity generation|Wastes|Industrial CHPs wastes CCS</t>
  </si>
  <si>
    <t>Electricity generation|Wastes|CHP Wastes (for District Heating) CCS</t>
  </si>
  <si>
    <t>Electricity generation|Wastes|CHP Wastes (for District Heating)</t>
  </si>
  <si>
    <t>Electricity generation|Wastes|Wastes Incineration (electric only) CCS</t>
  </si>
  <si>
    <t>Electricity generation|Wastes|Wastes Incineration (electric only)</t>
  </si>
  <si>
    <t>Electricity generation|Wastes|Non Renewable|Industrial CHPs wastes</t>
  </si>
  <si>
    <t>Electricity generation|Wastes|Non Renewable|Industrial CHPs wastes CCS</t>
  </si>
  <si>
    <t>Electricity generation|Wastes|Non Renewable|Wastes Incineration (electric only)</t>
  </si>
  <si>
    <t>Electricity generation|Wastes|Non Renewable|Wastes Incineration (electric only) CCS</t>
  </si>
  <si>
    <t>Electricity generation|Wastes|Non Renewable|CHP Wastes (for District Heating)</t>
  </si>
  <si>
    <t>Electricity generation|Wastes|Non Renewable|CHP Wastes (for District Heating) CCS</t>
  </si>
  <si>
    <t>Electricity generation|Wastes|Renewable|Wastes Incineration (electric only)</t>
  </si>
  <si>
    <t>Electricity generation|Wastes|Renewable|Wastes Incineration (electric only) CCS</t>
  </si>
  <si>
    <t>Electricity generation|Wastes|Renewable|CHP Wastes (for District Heating)</t>
  </si>
  <si>
    <t>Electricity generation|Wastes|Renewable|CHP Wastes (for District Heating) CCS</t>
  </si>
  <si>
    <t>Electricity generation|Wastes|Renewable|Industrial CHPs wastes</t>
  </si>
  <si>
    <t>Electricity generation|Wastes|Renewable|Industrial CHPs wastes CCS</t>
  </si>
  <si>
    <t>Electricity generation|Wood|CHP Wood (for District Heating)</t>
  </si>
  <si>
    <t>Electricity generation|Wood|Biomass with CCS (BECCS)</t>
  </si>
  <si>
    <t>Electricity generation|Wood|Industrial CHPs wood</t>
  </si>
  <si>
    <t>Electricity generation|Wood|Industrial CHPs wood (CCS)</t>
  </si>
  <si>
    <t>Electricity generation|Wood|Residential single family CHPs wood</t>
  </si>
  <si>
    <t>Electricity generation|Wood|Residential multi family CHPs wood</t>
  </si>
  <si>
    <t>Electricity generation|Wind|Wind turbines</t>
  </si>
  <si>
    <t>Electricity generation|Solar|Solar PV (large scale)</t>
  </si>
  <si>
    <t>Electricity generation|Solar|Solar PV (Industry)</t>
  </si>
  <si>
    <t>Electricity generation|Solar|Solar PV (Residential single family)</t>
  </si>
  <si>
    <t>Electricity generation|Solar|Solar PV (Residential multi family)</t>
  </si>
  <si>
    <t>Electricity generation|Hydrogen|CHP Fuel Cell Hydrogen (for District Heating)</t>
  </si>
  <si>
    <t>Electricity generation|Hydrogen|Industrial CHPs fuel cells (hydrogen)</t>
  </si>
  <si>
    <t>Electricity generation|Electricity storage (non hydro)|CAES</t>
  </si>
  <si>
    <t>Electricity generation|Electricity storage (non hydro)|Battery storage large size centralised</t>
  </si>
  <si>
    <t>Electricity generation|Electricity storage (non hydro)|Battery storage medium size centralised</t>
  </si>
  <si>
    <t>Electricity generation|Electricity storage (non hydro)|Batteries in industry</t>
  </si>
  <si>
    <t>Electricity generation|Electricity storage (non hydro)|Batteries in residential multi-family houses</t>
  </si>
  <si>
    <t>Electricity generation|Gas|Services sectors CHPs (bio)gas</t>
  </si>
  <si>
    <t>Electricity generation|Gas|Services sectors CHPs gas</t>
  </si>
  <si>
    <t>Electricity generation|Solar|Solar PV (Services)</t>
  </si>
  <si>
    <t>Electricity generation|Electricity storage (non hydro)|Batteries in Services sector</t>
  </si>
  <si>
    <t>Electricity generation|Gas|Services sectors CHPs fuel cells (gas reformer)</t>
  </si>
  <si>
    <t>Electricity generation|Wastes|Renewable|Total</t>
  </si>
  <si>
    <t>Electricity generation|Geothermal|Deep geothermal</t>
  </si>
  <si>
    <t>Fuel input for electricity generation</t>
  </si>
  <si>
    <t>Fuel input for electricity generation|Nuclear Fuel|Nuclear power plants</t>
  </si>
  <si>
    <t>Fuel input for electricity generation|Hydro|Hydro Large</t>
  </si>
  <si>
    <t>Fuel input for electricity generation|Hydro|Hydro Run of River</t>
  </si>
  <si>
    <t>Fuel input for electricity generation|Hydro|Pump storage</t>
  </si>
  <si>
    <t>Fuel input for electricity generation|Oil|Peak devices</t>
  </si>
  <si>
    <t>Fuel input for electricity generation|Oil|Industrial CHPs oil</t>
  </si>
  <si>
    <t>Fuel input for electricity generation|Gas|Gas turbines combined cycle</t>
  </si>
  <si>
    <t>Fuel input for electricity generation|Gas|Gas turbines open cycle</t>
  </si>
  <si>
    <t>Fuel input for electricity generation|Gas|Gas turbines combined cycle CCS</t>
  </si>
  <si>
    <t>Fuel input for electricity generation|Gas|CHP Gas (for District Heating)</t>
  </si>
  <si>
    <t>Fuel input for electricity generation|Gas|CHP Fuel Cell Gas (for District Heating)</t>
  </si>
  <si>
    <t>Fuel input for electricity generation|Gas|Industrial CHPs gas</t>
  </si>
  <si>
    <t>Fuel input for electricity generation|Gas|Industrial CHPs gas (CCS)</t>
  </si>
  <si>
    <t>Fuel input for electricity generation|Gas|Industrial CHPs fuel cells (gas reformer)</t>
  </si>
  <si>
    <t>Fuel input for electricity generation|Gas|Residential single family CHPs gas</t>
  </si>
  <si>
    <t>Fuel input for electricity generation|Gas|Residential single family CHPs fuel cells gas</t>
  </si>
  <si>
    <t>Fuel input for electricity generation|Gas|Residential multi family CHPs gas</t>
  </si>
  <si>
    <t>Fuel input for electricity generation|Gas|Residential multi family CHPs fuel cells gas</t>
  </si>
  <si>
    <t>Fuel input for electricity generation|Gas|Services sectors CHPs (bio)gas</t>
  </si>
  <si>
    <t>Fuel input for electricity generation|Gas|Services sectors CHPs gas</t>
  </si>
  <si>
    <t>Fuel input for electricity generation|Gas|Services sectors CHPs fuel cells (gas reformer)</t>
  </si>
  <si>
    <t>Fuel input for electricity generation|Wastes|Wastes Incineration (electric only)</t>
  </si>
  <si>
    <t>Fuel input for electricity generation|Wastes|Wastes Incineration (electric only) CCS</t>
  </si>
  <si>
    <t>Fuel input for electricity generation|Wastes|CHP Wastes (for District Heating)</t>
  </si>
  <si>
    <t>Fuel input for electricity generation|Wastes|CHP Wastes (for District Heating) CCS</t>
  </si>
  <si>
    <t>Fuel input for electricity generation|Wastes|Industrial CHPs wastes</t>
  </si>
  <si>
    <t>Fuel input for electricity generation|Wastes|Industrial CHPs wastes CCS</t>
  </si>
  <si>
    <t>Fuel input for electricity generation|Wastes|Renewable|Wastes Incineration (electric only)</t>
  </si>
  <si>
    <t>Fuel input for electricity generation|Wastes|Renewable|Wastes Incineration (electric only) CCS</t>
  </si>
  <si>
    <t>Fuel input for electricity generation|Wastes|Renewable|CHP Wastes (for District Heating)</t>
  </si>
  <si>
    <t>Fuel input for electricity generation|Wastes|Renewable|CHP Wastes (for District Heating) CCS</t>
  </si>
  <si>
    <t>Fuel input for electricity generation|Wastes|Renewable|Industrial CHPs wastes</t>
  </si>
  <si>
    <t>Fuel input for electricity generation|Wastes|Renewable|Industrial CHPs wastes CCS</t>
  </si>
  <si>
    <t>Fuel input for electricity generation|Wastes|Non Renewable|Wastes Incineration (electric only)</t>
  </si>
  <si>
    <t>Fuel input for electricity generation|Wastes|Non Renewable|Wastes Incineration (electric only) CCS</t>
  </si>
  <si>
    <t>Fuel input for electricity generation|Wastes|Non Renewable|CHP Wastes (for District Heating)</t>
  </si>
  <si>
    <t>Fuel input for electricity generation|Wastes|Non Renewable|CHP Wastes (for District Heating) CCS</t>
  </si>
  <si>
    <t>Fuel input for electricity generation|Wastes|Non Renewable|Industrial CHPs wastes</t>
  </si>
  <si>
    <t>Fuel input for electricity generation|Wastes|Non Renewable|Industrial CHPs wastes CCS</t>
  </si>
  <si>
    <t>Fuel input for electricity generation|Wood|CHP Wood (for District Heating)</t>
  </si>
  <si>
    <t>Fuel input for electricity generation|Wood|Biomass with CCS (BECCS)</t>
  </si>
  <si>
    <t>Fuel input for electricity generation|Wood|Industrial CHPs wood</t>
  </si>
  <si>
    <t>Fuel input for electricity generation|Wood|Industrial CHPs wood (CCS)</t>
  </si>
  <si>
    <t>Fuel input for electricity generation|Wood|Residential single family CHPs wood</t>
  </si>
  <si>
    <t>Fuel input for electricity generation|Wood|Residential multi family CHPs wood</t>
  </si>
  <si>
    <t>Fuel input for electricity generation|Wind|Wind turbines</t>
  </si>
  <si>
    <t>Fuel input for electricity generation|Solar|Solar PV (large scale)</t>
  </si>
  <si>
    <t>Fuel input for electricity generation|Solar|Solar PV (Industry)</t>
  </si>
  <si>
    <t>Fuel input for electricity generation|Solar|Solar PV (Residential single family)</t>
  </si>
  <si>
    <t>Fuel input for electricity generation|Solar|Solar PV (Residential multi family)</t>
  </si>
  <si>
    <t>Fuel input for electricity generation|Solar|Solar PV (Services)</t>
  </si>
  <si>
    <t>Fuel input for electricity generation|Geothermal|Deep geothermal</t>
  </si>
  <si>
    <t>Fuel input for electricity generation|Hydrogen|CHP Fuel Cell Hydrogen (for District Heating)</t>
  </si>
  <si>
    <t>Fuel input for electricity generation|Hydrogen|Industrial CHPs fuel cells (hydrogen)</t>
  </si>
  <si>
    <t>Fuel input for electricity generation|Electricity storage (non hydro)|CAES</t>
  </si>
  <si>
    <t>Fuel input for electricity generation|Electricity storage (non hydro)|Battery storage large size centralised</t>
  </si>
  <si>
    <t>Fuel input for electricity generation|Electricity storage (non hydro)|Battery storage medium size centralised</t>
  </si>
  <si>
    <t>Fuel input for electricity generation|Electricity storage (non hydro)|Batteries in industry</t>
  </si>
  <si>
    <t>Fuel input for electricity generation|Electricity storage (non hydro)|Batteries in residential multi-family houses</t>
  </si>
  <si>
    <t>Fuel input for electricity generation|Electricity storage (non hydro)|Batteries in Services sector</t>
  </si>
  <si>
    <t>Heat generation from CHPs and heat plants</t>
  </si>
  <si>
    <t>Heat generation from CHPs and heat plants|District heating|CHP|Gas|CHP Gas (for District Heating)</t>
  </si>
  <si>
    <t>Heat generation from CHPs and heat plants|District heating|CHP|Gas|CHP Fuel Cell Gas (for District Heating)</t>
  </si>
  <si>
    <t>Heat generation from CHPs and heat plants|District heating|CHP|Wastes|CHP Wastes (for District Heating)</t>
  </si>
  <si>
    <t>Heat generation from CHPs and heat plants|District heating|CHP|Wastes|CHP Wastes (for District Heating) CCS</t>
  </si>
  <si>
    <t>Heat generation from CHPs and heat plants|District heating|CHP|Wastes|Renewable|CHP Wastes (for District Heating)</t>
  </si>
  <si>
    <t>Heat generation from CHPs and heat plants|District heating|CHP|Wastes|Renewable|CHP Wastes (for District Heating) CCS</t>
  </si>
  <si>
    <t>Heat generation from CHPs and heat plants|District heating|CHP|Wastes|Non Renewable|CHP Wastes (for District Heating)</t>
  </si>
  <si>
    <t>Heat generation from CHPs and heat plants|District heating|CHP|Wastes|Non Renewable|CHP Wastes (for District Heating) CCS</t>
  </si>
  <si>
    <t>Heat generation from CHPs and heat plants|District heating|CHP|Wood|CHP Wood (for District Heating)</t>
  </si>
  <si>
    <t>Heat generation from CHPs and heat plants|District heating|CHP|Hydrogen|CHP Fuel Cell Hydrogen (for District Heating)</t>
  </si>
  <si>
    <t>Heat generation from CHPs and heat plants|District heating|Heat plants|Gas|Heat plant gas</t>
  </si>
  <si>
    <t>Heat generation from CHPs and heat plants|District heating|Heat plants|Nuclear fuel|Heat plant nuclear</t>
  </si>
  <si>
    <t>Heat generation from CHPs and heat plants|District heating|Heat plants|Oil|Heat plant oil</t>
  </si>
  <si>
    <t>Heat generation from CHPs and heat plants|District heating|Heat plants|Wood|Heat plant wood</t>
  </si>
  <si>
    <t>Heat generation from CHPs and heat plants|District heating|Heat plants|Solar|Heat plant solar</t>
  </si>
  <si>
    <t>Heat generation from CHPs and heat plants|On-site CHPs|Oil|Industrial CHPs oil</t>
  </si>
  <si>
    <t>Heat generation from CHPs and heat plants|On-site CHPs|Gas|Industrial CHPs gas</t>
  </si>
  <si>
    <t>Heat generation from CHPs and heat plants|On-site CHPs|Gas|Industrial CHPs gas (CCS)</t>
  </si>
  <si>
    <t>Heat generation from CHPs and heat plants|On-site CHPs|Gas|Industrial CHPs fuel cells (gas reformer)</t>
  </si>
  <si>
    <t>Heat generation from CHPs and heat plants|On-site CHPs|Gas|Residential single family CHPs gas</t>
  </si>
  <si>
    <t>Heat generation from CHPs and heat plants|On-site CHPs|Gas|Residential single family CHPs fuel cells gas</t>
  </si>
  <si>
    <t>Heat generation from CHPs and heat plants|On-site CHPs|Gas|Residential multi family CHPs gas</t>
  </si>
  <si>
    <t>Heat generation from CHPs and heat plants|On-site CHPs|Gas|Residential multi family CHPs fuel cells gas</t>
  </si>
  <si>
    <t>Heat generation from CHPs and heat plants|On-site CHPs|Gas|Services sectors CHPs (bio)gas</t>
  </si>
  <si>
    <t>Heat generation from CHPs and heat plants|On-site CHPs|Gas|Services sectors CHPs gas</t>
  </si>
  <si>
    <t>Heat generation from CHPs and heat plants|On-site CHPs|Gas|Services sectors CHPs fuel cells (gas reformer)</t>
  </si>
  <si>
    <t>Heat generation from CHPs and heat plants|On-site CHPs|Wastes|Industrial CHPs wastes</t>
  </si>
  <si>
    <t>Heat generation from CHPs and heat plants|On-site CHPs|Wastes|Industrial CHPs wastes CCS</t>
  </si>
  <si>
    <t>Heat generation from CHPs and heat plants|On-site CHPs|Wastes|Renewable|Industrial CHPs wastes</t>
  </si>
  <si>
    <t>Heat generation from CHPs and heat plants|On-site CHPs|Wastes|Renewable|Industrial CHPs wastes CCS</t>
  </si>
  <si>
    <t>Heat generation from CHPs and heat plants|On-site CHPs|Wastes|Non Renewable|Industrial CHPs wastes</t>
  </si>
  <si>
    <t>Heat generation from CHPs and heat plants|On-site CHPs|Wastes|Non Renewable|Industrial CHPs wastes CCS</t>
  </si>
  <si>
    <t>Heat generation from CHPs and heat plants|On-site CHPs|Wood|Industrial CHPs wood</t>
  </si>
  <si>
    <t>Heat generation from CHPs and heat plants|On-site CHPs|Wood|Industrial CHPs wood (CCS)</t>
  </si>
  <si>
    <t>Heat generation from CHPs and heat plants|On-site CHPs|Wood|Residential single family CHPs wood</t>
  </si>
  <si>
    <t>Heat generation from CHPs and heat plants|On-site CHPs|Wood|Residential multi family CHPs wood</t>
  </si>
  <si>
    <t>Heat generation from CHPs and heat plants|On-site CHPs|Hydrogen|Industrial CHPs fuel cells (hydrogen)</t>
  </si>
  <si>
    <t>Fuel input for heat generation from CHPs and heat plants</t>
  </si>
  <si>
    <t>Fuel input for heat generation from CHPs and heat plants|District heating|CHP|Gas|CHP Gas (for District Heating)</t>
  </si>
  <si>
    <t>Fuel input for heat generation from CHPs and heat plants|District heating|CHP|Gas|CHP Fuel Cell Gas (for District Heating)</t>
  </si>
  <si>
    <t>Fuel input for heat generation from CHPs and heat plants|District heating|CHP|Wastes|CHP Wastes (for District Heating)</t>
  </si>
  <si>
    <t>Fuel input for heat generation from CHPs and heat plants|District heating|CHP|Wastes|CHP Wastes (for District Heating) CCS</t>
  </si>
  <si>
    <t>Fuel input for heat generation from CHPs and heat plants|District heating|CHP|Wastes|Renewable|CHP Wastes (for District Heating)</t>
  </si>
  <si>
    <t>Fuel input for heat generation from CHPs and heat plants|District heating|CHP|Wastes|Renewable|CHP Wastes (for District Heating) CCS</t>
  </si>
  <si>
    <t>Fuel input for heat generation from CHPs and heat plants|District heating|CHP|Wastes|Non Renewable|CHP Wastes (for District Heating)</t>
  </si>
  <si>
    <t>Fuel input for heat generation from CHPs and heat plants|District heating|CHP|Wastes|Non Renewable|CHP Wastes (for District Heating) CCS</t>
  </si>
  <si>
    <t>Fuel input for heat generation from CHPs and heat plants|District heating|CHP|Wood|CHP Wood (for District Heating)</t>
  </si>
  <si>
    <t>Fuel input for heat generation from CHPs and heat plants|District heating|CHP|Hydrogen|CHP Fuel Cell Hydrogen (for District Heating)</t>
  </si>
  <si>
    <t>Fuel input for heat generation from CHPs and heat plants|District heating|Heat plants|Gas|Heat plant gas</t>
  </si>
  <si>
    <t>Fuel input for heat generation from CHPs and heat plants|District heating|Heat plants|Nuclear fuel|Heat plant nuclear</t>
  </si>
  <si>
    <t>Fuel input for heat generation from CHPs and heat plants|District heating|Heat plants|Oil|Heat plant oil</t>
  </si>
  <si>
    <t>Fuel input for heat generation from CHPs and heat plants|District heating|Heat plants|Wood|Heat plant wood</t>
  </si>
  <si>
    <t>Fuel input for heat generation from CHPs and heat plants|District heating|Heat plants|Solar|Heat plant solar</t>
  </si>
  <si>
    <t>Fuel input for heat generation from CHPs and heat plants|On-site CHPs|Oil|Industrial CHPs oil</t>
  </si>
  <si>
    <t>Fuel input for heat generation from CHPs and heat plants|On-site CHPs|Gas|Industrial CHPs gas</t>
  </si>
  <si>
    <t>Fuel input for heat generation from CHPs and heat plants|On-site CHPs|Gas|Industrial CHPs gas (CCS)</t>
  </si>
  <si>
    <t>Fuel input for heat generation from CHPs and heat plants|On-site CHPs|Gas|Industrial CHPs fuel cells (gas reformer)</t>
  </si>
  <si>
    <t>Fuel input for heat generation from CHPs and heat plants|On-site CHPs|Gas|Residential single family CHPs gas</t>
  </si>
  <si>
    <t>Fuel input for heat generation from CHPs and heat plants|On-site CHPs|Gas|Residential single family CHPs fuel cells gas</t>
  </si>
  <si>
    <t>Fuel input for heat generation from CHPs and heat plants|On-site CHPs|Gas|Residential multi family CHPs gas</t>
  </si>
  <si>
    <t>Fuel input for heat generation from CHPs and heat plants|On-site CHPs|Gas|Residential multi family CHPs fuel cells gas</t>
  </si>
  <si>
    <t>Fuel input for heat generation from CHPs and heat plants|On-site CHPs|Gas|Services sectors CHPs (bio)gas</t>
  </si>
  <si>
    <t>Fuel input for heat generation from CHPs and heat plants|On-site CHPs|Gas|Services sectors CHPs gas</t>
  </si>
  <si>
    <t>Fuel input for heat generation from CHPs and heat plants|On-site CHPs|Gas|Services sectors CHPs fuel cells (gas reformer)</t>
  </si>
  <si>
    <t>Fuel input for heat generation from CHPs and heat plants|On-site CHPs|Wastes|Industrial CHPs wastes</t>
  </si>
  <si>
    <t>Fuel input for heat generation from CHPs and heat plants|On-site CHPs|Wastes|Industrial CHPs wastes CCS</t>
  </si>
  <si>
    <t>Fuel input for heat generation from CHPs and heat plants|On-site CHPs|Wastes|Renewable|Industrial CHPs wastes</t>
  </si>
  <si>
    <t>Fuel input for heat generation from CHPs and heat plants|On-site CHPs|Wastes|Renewable|Industrial CHPs wastes CCS</t>
  </si>
  <si>
    <t>Fuel input for heat generation from CHPs and heat plants|On-site CHPs|Wastes|Non Renewable|Industrial CHPs wastes</t>
  </si>
  <si>
    <t>Fuel input for heat generation from CHPs and heat plants|On-site CHPs|Wastes|Non Renewable|Industrial CHPs wastes CCS</t>
  </si>
  <si>
    <t>Fuel input for heat generation from CHPs and heat plants|On-site CHPs|Wood|Industrial CHPs wood</t>
  </si>
  <si>
    <t>Fuel input for heat generation from CHPs and heat plants|On-site CHPs|Wood|Industrial CHPs wood (CCS)</t>
  </si>
  <si>
    <t>Fuel input for heat generation from CHPs and heat plants|On-site CHPs|Wood|Residential single family CHPs wood</t>
  </si>
  <si>
    <t>Fuel input for heat generation from CHPs and heat plants|On-site CHPs|Wood|Residential multi family CHPs wood</t>
  </si>
  <si>
    <t>Fuel input for heat generation from CHPs and heat plants|On-site CHPs|Hydrogen|Industrial CHPs fuel cells (hydrogen)</t>
  </si>
  <si>
    <t>Electricity generation|Oil|CHP Oil (for District Heating)</t>
  </si>
  <si>
    <t>Heat generation from CHPs and heat plants|District heating|CHP|Oil|CHP Oil (for District Heating)</t>
  </si>
  <si>
    <t>Fuel input for electricity generation|Oil|CHP Oil (for District Heating)</t>
  </si>
  <si>
    <t>Fuel input for heat generation from CHPs and heat plants|District heating|CHP|Oil|CHP Oil (for District Heating)</t>
  </si>
  <si>
    <t>Fuel input for heat generation from CHPs and heat plants|District heating|Heat plants|Geothermal|Heat plant deep geothermal</t>
  </si>
  <si>
    <t>Heat generation from CHPs and heat plants|District heating|Heat plants|Geothermal|Heat plant deep geothermal</t>
  </si>
  <si>
    <t>Electricity generation|Hydrogen|Services sectors CHPs fuel cells (hydrogen)</t>
  </si>
  <si>
    <t>Heat generation from CHPs and heat plants|On-site CHPs|Wood|Services sectors CHPs wood</t>
  </si>
  <si>
    <t>Heat generation from CHPs and heat plants|On-site CHPs|Hydrogen|Services sectors CHPs fuel cells (hydrogen)</t>
  </si>
  <si>
    <t>Fuel input for electricity generation|Hydrogen|Services sectors CHPs fuel cells (hydrogen)</t>
  </si>
  <si>
    <t>Fuel input for heat generation from CHPs and heat plants|On-site CHPs|Wood|Services sectors CHPs wood</t>
  </si>
  <si>
    <t>Fuel input for heat generation from CHPs and heat plants|On-site CHPs|Hydrogen|Services sectors CHPs fuel cells (hydrogen)</t>
  </si>
  <si>
    <t>%</t>
  </si>
  <si>
    <t>Efficiency of power plants (electric)</t>
  </si>
  <si>
    <t>Efficiency of power plants (electric)|Nuclear Fuel|Nuclear power plants</t>
  </si>
  <si>
    <t>Efficiency of power plants (electric)|Hydro|Hydro Large</t>
  </si>
  <si>
    <t>Efficiency of power plants (electric)|Hydro|Hydro Run of River</t>
  </si>
  <si>
    <t>Efficiency of power plants (electric)|Hydro|Pump storage</t>
  </si>
  <si>
    <t>Efficiency of power plants (electric)|Oil|Peak devices</t>
  </si>
  <si>
    <t>Efficiency of power plants (electric)|Oil|CHP Oil (for District Heating)</t>
  </si>
  <si>
    <t>Efficiency of power plants (electric)|Oil|Industrial CHPs oil</t>
  </si>
  <si>
    <t>Efficiency of power plants (electric)|Gas|Gas turbines combined cycle</t>
  </si>
  <si>
    <t>Efficiency of power plants (electric)|Gas|Gas turbines open cycle</t>
  </si>
  <si>
    <t>Efficiency of power plants (electric)|Gas|Gas turbines combined cycle CCS</t>
  </si>
  <si>
    <t>Efficiency of power plants (electric)|Gas|CHP Gas (for District Heating)</t>
  </si>
  <si>
    <t>Efficiency of power plants (electric)|Gas|CHP Fuel Cell Gas (for District Heating)</t>
  </si>
  <si>
    <t>Efficiency of power plants (electric)|Gas|Industrial CHPs gas</t>
  </si>
  <si>
    <t>Efficiency of power plants (electric)|Gas|Industrial CHPs gas (CCS)</t>
  </si>
  <si>
    <t>Efficiency of power plants (electric)|Gas|Industrial CHPs fuel cells (gas reformer)</t>
  </si>
  <si>
    <t>Efficiency of power plants (electric)|Gas|Residential single family CHPs gas</t>
  </si>
  <si>
    <t>Efficiency of power plants (electric)|Gas|Residential single family CHPs fuel cells gas</t>
  </si>
  <si>
    <t>Efficiency of power plants (electric)|Gas|Residential multi family CHPs gas</t>
  </si>
  <si>
    <t>Efficiency of power plants (electric)|Gas|Residential multi family CHPs fuel cells gas</t>
  </si>
  <si>
    <t>Efficiency of power plants (electric)|Gas|Services sectors CHPs (bio)gas</t>
  </si>
  <si>
    <t>Efficiency of power plants (electric)|Gas|Services sectors CHPs gas</t>
  </si>
  <si>
    <t>Efficiency of power plants (electric)|Gas|Services sectors CHPs fuel cells (gas reformer)</t>
  </si>
  <si>
    <t>Efficiency of power plants (electric)|Wastes|Wastes Incineration (electric only)</t>
  </si>
  <si>
    <t>Efficiency of power plants (electric)|Wastes|Wastes Incineration (electric only) CCS</t>
  </si>
  <si>
    <t>Efficiency of power plants (electric)|Wastes|CHP Wastes (for District Heating)</t>
  </si>
  <si>
    <t>Efficiency of power plants (electric)|Wastes|CHP Wastes (for District Heating) CCS</t>
  </si>
  <si>
    <t>Efficiency of power plants (electric)|Wastes|Industrial CHPs wastes</t>
  </si>
  <si>
    <t>Efficiency of power plants (electric)|Wastes|Industrial CHPs wastes CCS</t>
  </si>
  <si>
    <t>Efficiency of power plants (electric)|Wood|CHP Wood (for District Heating)</t>
  </si>
  <si>
    <t>Efficiency of power plants (electric)|Wood|Biomass with CCS (BECCS)</t>
  </si>
  <si>
    <t>Efficiency of power plants (electric)|Wood|Industrial CHPs wood</t>
  </si>
  <si>
    <t>Efficiency of power plants (electric)|Wood|Industrial CHPs wood (CCS)</t>
  </si>
  <si>
    <t>Efficiency of power plants (electric)|Wood|Residential single family CHPs wood</t>
  </si>
  <si>
    <t>Efficiency of power plants (electric)|Wood|Residential multi family CHPs wood</t>
  </si>
  <si>
    <t>Efficiency of power plants (electric)|Wind|Wind turbines</t>
  </si>
  <si>
    <t>Efficiency of power plants (electric)|Solar|Solar PV (large scale)</t>
  </si>
  <si>
    <t>Efficiency of power plants (electric)|Solar|Solar PV (Industry)</t>
  </si>
  <si>
    <t>Efficiency of power plants (electric)|Solar|Solar PV (Residential single family)</t>
  </si>
  <si>
    <t>Efficiency of power plants (electric)|Solar|Solar PV (Residential multi family)</t>
  </si>
  <si>
    <t>Efficiency of power plants (electric)|Solar|Solar PV (Services)</t>
  </si>
  <si>
    <t>Efficiency of power plants (electric)|Geothermal|Deep geothermal</t>
  </si>
  <si>
    <t>Efficiency of power plants (electric)|Hydrogen|CHP Fuel Cell Hydrogen (for District Heating)</t>
  </si>
  <si>
    <t>Efficiency of power plants (electric)|Hydrogen|Industrial CHPs fuel cells (hydrogen)</t>
  </si>
  <si>
    <t>Efficiency of power plants (electric)|Hydrogen|Services sectors CHPs fuel cells (hydrogen)</t>
  </si>
  <si>
    <t>Efficiency of power plants (electric)|Electricity storage (non hydro)|CAES</t>
  </si>
  <si>
    <t>Efficiency of power plants (electric)|Electricity storage (non hydro)|Battery storage large size centralised</t>
  </si>
  <si>
    <t>Efficiency of power plants (electric)|Electricity storage (non hydro)|Battery storage medium size centralised</t>
  </si>
  <si>
    <t>Efficiency of power plants (electric)|Electricity storage (non hydro)|Batteries in industry</t>
  </si>
  <si>
    <t>Efficiency of power plants (electric)|Electricity storage (non hydro)|Batteries in residential multi-family houses</t>
  </si>
  <si>
    <t>Efficiency of power plants (electric)|Electricity storage (non hydro)|Batteries in Services sector</t>
  </si>
  <si>
    <t>-</t>
  </si>
  <si>
    <t>Efficiency of power plants (electric)|Wood|Services sectors CHPs wood</t>
  </si>
  <si>
    <t>Fuel input for electricity generation|Wood|Services sectors CHPs wood</t>
  </si>
  <si>
    <t>Electricity generation|Wood|Services sectors CHPs wood</t>
  </si>
  <si>
    <t>Efficiency of heat plants (thermal)</t>
  </si>
  <si>
    <t>Efficiency of heat plants (thermal)|District heating|Heat plants|Gas|Heat plant gas</t>
  </si>
  <si>
    <t>Efficiency of heat plants (thermal)|District heating|Heat plants|Nuclear fuel|Heat plant nuclear</t>
  </si>
  <si>
    <t>Efficiency of heat plants (thermal)|District heating|Heat plants|Oil|Heat plant oil</t>
  </si>
  <si>
    <t>Efficiency of heat plants (thermal)|District heating|Heat plants|Wood|Heat plant wood</t>
  </si>
  <si>
    <t>Efficiency of heat plants (thermal)|District heating|Heat plants|Solar|Heat plant solar</t>
  </si>
  <si>
    <t>Efficiency of heat plants (thermal)|District heating|Heat plants|Geothermal|Heat plant deep geothermal</t>
  </si>
  <si>
    <t>Domestic biodiesel production</t>
  </si>
  <si>
    <t>Domestic biodiesel production|Wood|Fischer Tropsch</t>
  </si>
  <si>
    <t>Domestic biodiesel production|Wood|Fischer Tropsch CCS</t>
  </si>
  <si>
    <t>Efficiency for domestic biodiesel production</t>
  </si>
  <si>
    <t>Heat from domestic biodiesel production|Wood|Fischer Tropsch</t>
  </si>
  <si>
    <t>Heat from domestic biodiesel production|Wood|Fischer Tropsch CCS</t>
  </si>
  <si>
    <t>Efficiency for domestic biodiesel production|Wood|Fischer Tropsch</t>
  </si>
  <si>
    <t>Efficiency for domestic biodiesel production|Wood|Fischer Tropsch CCS</t>
  </si>
  <si>
    <t>Efficiency for domestic ethanol production</t>
  </si>
  <si>
    <t>Efficiency for domestic ethanol production|Wood|Ethanol reactor</t>
  </si>
  <si>
    <t>Efficiency for domestic ethanol production|Wood|Ethanol reactor CCS</t>
  </si>
  <si>
    <t>Domestic biogas production|Manure|Fermentation</t>
  </si>
  <si>
    <t>Domestic biogas production|Wastes|Renewable|Gasification</t>
  </si>
  <si>
    <t>Domestic biogas production|Wastes|Renewable|Gasification CCS</t>
  </si>
  <si>
    <t>Domestic biogas production|Wastes|Renewable|Hydrothermal gasification CCS</t>
  </si>
  <si>
    <t>Domestic biogas production|Wastes|Renewable|Hydrothermal gasification</t>
  </si>
  <si>
    <t>Domestic biogas production|Wood|Gasification</t>
  </si>
  <si>
    <t>Domestic biogas production|Wood|Gasification CCS</t>
  </si>
  <si>
    <t>Fuel input for domestic ethanol production|Wood|Ethanol reactor</t>
  </si>
  <si>
    <t>Fuel input for domestic ethanol production|Wood|Ethanol reactor CCS</t>
  </si>
  <si>
    <t>Fuel input for domestic ethanol production|Electricity|Ethanol reactor</t>
  </si>
  <si>
    <t>Fuel input for domestic ethanol production|Electricity|Ethanol reactor CCS</t>
  </si>
  <si>
    <t>Fuel input for domestic biodiesel production|Wood|Fischer Tropsch</t>
  </si>
  <si>
    <t>Fuel input for domestic biodiesel production|Wood|Fischer Tropsch CCS</t>
  </si>
  <si>
    <t>Fuel input for domestic biodiesel production|Electricity|Fischer Tropsch</t>
  </si>
  <si>
    <t>Fuel input for domestic biodiesel production|Electricity|Fischer Tropsch CCS</t>
  </si>
  <si>
    <t>Electricity from domestic biogas production|Manure|Fermentation</t>
  </si>
  <si>
    <t>Electricity from domestic biogas production|Wastes|Renewable|Total</t>
  </si>
  <si>
    <t>Electricity from domestic biogas production|Wastes|Renewable|Gasification</t>
  </si>
  <si>
    <t>Electricity from domestic biogas production|Wastes|Renewable|Gasification CCS</t>
  </si>
  <si>
    <t>Electricity from domestic biogas production|Wastes|Renewable|Hydrothermal gasification</t>
  </si>
  <si>
    <t>Electricity from domestic biogas production|Wastes|Renewable|Hydrothermal gasification CCS</t>
  </si>
  <si>
    <t>Electricity from domestic biogas production|Wood|Gasification</t>
  </si>
  <si>
    <t>Electricity from domestic biogas production|Wood|Gasification CCS</t>
  </si>
  <si>
    <t>Heat from domestic biogas production|Manure|Fermentation</t>
  </si>
  <si>
    <t>Heat from domestic biogas production|Wastes|Renewable|Gasification</t>
  </si>
  <si>
    <t>Heat from domestic biogas production|Wastes|Renewable|Gasification CCS</t>
  </si>
  <si>
    <t>Heat from domestic biogas production|Wastes|Renewable|Hydrothermal gasification</t>
  </si>
  <si>
    <t>Heat from domestic biogas production|Wastes|Renewable|Hydrothermal gasification CCS</t>
  </si>
  <si>
    <t>Heat from domestic biogas production|Wood|Gasification</t>
  </si>
  <si>
    <t>Heat from domestic biogas production|Wood|Gasification CCS</t>
  </si>
  <si>
    <t>Fuel input for domestic biogas production|Manure|Fermentation</t>
  </si>
  <si>
    <t>Fuel input for domestic biogas production|Wastes|Renewable|Gasification</t>
  </si>
  <si>
    <t>Fuel input for domestic biogas production|Wastes|Renewable|Gasification CCS</t>
  </si>
  <si>
    <t>Fuel input for domestic biogas production|Wastes|Renewable|Hydrothermal gasification</t>
  </si>
  <si>
    <t>Fuel input for domestic biogas production|Wastes|Renewable|Hydrothermal gasification CCS</t>
  </si>
  <si>
    <t>Fuel input for domestic biogas production|Wood|Gasification</t>
  </si>
  <si>
    <t>Fuel input for domestic biogas production|Wood|Gasification CCS</t>
  </si>
  <si>
    <t>Efficiency for domestic biogas production|Manure|Fermentation</t>
  </si>
  <si>
    <t>Efficiency for domestic biogas production|Wastes|Renewable|Gasification</t>
  </si>
  <si>
    <t>Efficiency for domestic biogas production|Wastes|Renewable|Gasification CCS</t>
  </si>
  <si>
    <t>Efficiency for domestic biogas production|Wastes|Renewable|Hydrothermal gasification</t>
  </si>
  <si>
    <t>Efficiency for domestic biogas production|Wastes|Renewable|Hydrothermal gasification CCS</t>
  </si>
  <si>
    <t>Efficiency for domestic biogas production|Wood|Gasification</t>
  </si>
  <si>
    <t>Efficiency for domestic biogas production|Wood|Gasification CCS</t>
  </si>
  <si>
    <t>Description</t>
  </si>
  <si>
    <t>Domestic primary production of resources</t>
  </si>
  <si>
    <t>Imports of energy carriers</t>
  </si>
  <si>
    <t>Exports of energy carriers</t>
  </si>
  <si>
    <t>Domestic electricity generation</t>
  </si>
  <si>
    <t xml:space="preserve">Domestic heat production from CHPs (District heating CHPs or onsite CHPs) and heat plants </t>
  </si>
  <si>
    <t>Fuel input allocated to domestic electricity generation only</t>
  </si>
  <si>
    <t>Fuel input allocated to domestic heat production from CHPs and heat plants only</t>
  </si>
  <si>
    <t>Average annual efficiency of power plants and CHPs for electricity production only</t>
  </si>
  <si>
    <t>Average annual efficiency of heat plants</t>
  </si>
  <si>
    <t>Comment</t>
  </si>
  <si>
    <t>The thermal efficiency of CHPs can be inferred from the Heat to Electricity production ratio, but it can also be provided; the average efficiency differs from the technical efficiency as it includes efficiency losses due to part load operation</t>
  </si>
  <si>
    <t>Heat from domestic biodiesel production</t>
  </si>
  <si>
    <t xml:space="preserve">Domestic production of biodiesel </t>
  </si>
  <si>
    <t>Heat produced as byproduct from biodiesel production and fed into the district heating network</t>
  </si>
  <si>
    <t>Fuel input for domestic biodiesel production</t>
  </si>
  <si>
    <t>Fuel input for the domestic production of biodiesel</t>
  </si>
  <si>
    <t>Average annual efficiency for biodiesel and heat production</t>
  </si>
  <si>
    <t>Domestic ethanol production</t>
  </si>
  <si>
    <t>Domestic production of ethanol</t>
  </si>
  <si>
    <t>Fuel input for domestic ethanol production</t>
  </si>
  <si>
    <t>Fuel input for the domestic production of ethanol</t>
  </si>
  <si>
    <t>Average annual efficiency for domestic production of ethanol</t>
  </si>
  <si>
    <t>Domestic biogas production</t>
  </si>
  <si>
    <t>Domestic production of biogas and biogenic syngas</t>
  </si>
  <si>
    <t>Electricity from domestic biogas production</t>
  </si>
  <si>
    <t>Electriicty produced as byproduct from biogas production and fed into the grid</t>
  </si>
  <si>
    <t>Heat from domestic biogas production</t>
  </si>
  <si>
    <t>Heat produced as byproduct from biogas production and fed into the district heating network</t>
  </si>
  <si>
    <t>Fuel input for domestic biogas production</t>
  </si>
  <si>
    <t>Efficiency for domestic biogas production</t>
  </si>
  <si>
    <t>Average annual efficiency for biogas production (accounting for byproduct production)</t>
  </si>
  <si>
    <t>Domestic hydrogen production</t>
  </si>
  <si>
    <t>Domestic hydrogen production|Electricity|SOEC electrolysis</t>
  </si>
  <si>
    <t>Domestic hydrogen production|Gas|SMR-ATR Reforming</t>
  </si>
  <si>
    <t>Domestic hydrogen production|Gas|SMR-ATR Reforming CCS</t>
  </si>
  <si>
    <t>Domestic hydrogen production|Wood|Gasification</t>
  </si>
  <si>
    <t>Domestic hydrogen production|Wood|Gasification CCS</t>
  </si>
  <si>
    <t>Fuel input for hydrogen production|Electricity|SOEC electrolysis</t>
  </si>
  <si>
    <t>Fuel input for hydrogen production|Gas|SMR-ATR Reforming</t>
  </si>
  <si>
    <t>Fuel input for hydrogen production|Gas|SMR-ATR Reforming CCS</t>
  </si>
  <si>
    <t>Fuel input for hydrogen production|Wood|Gasification</t>
  </si>
  <si>
    <t>Fuel input for hydrogen production|Wood|Gasification CCS</t>
  </si>
  <si>
    <t>Fuel input for hydrogen production|Heat|SOEC electrolysis</t>
  </si>
  <si>
    <t>Domestic hydrogen production|Electricity|PEM electrolysis large scale</t>
  </si>
  <si>
    <t>Domestic hydrogen production|Electricity|PEM electrolysis small-medium scale</t>
  </si>
  <si>
    <t>Fuel input for hydrogen production|Electricity|PEM electrolysis small-medium scale</t>
  </si>
  <si>
    <t>Fuel input for hydrogen production|Electricity|PEM electrolysis large scale</t>
  </si>
  <si>
    <t>Fuel input for hydrogen production</t>
  </si>
  <si>
    <t>Fuel input for deomstic hydrogen production</t>
  </si>
  <si>
    <t>Efficiency for hydrogen production</t>
  </si>
  <si>
    <t>Efficiency for hydrogen production|Electricity|PEM electrolysis small-medium scale</t>
  </si>
  <si>
    <t>Efficiency for hydrogen production|Electricity|PEM electrolysis large scale</t>
  </si>
  <si>
    <t>Efficiency for hydrogen production|Electricity|SOEC electrolysis</t>
  </si>
  <si>
    <t>Efficiency for hydrogen production|Gas|SMR-ATR Reforming</t>
  </si>
  <si>
    <t>Efficiency for hydrogen production|Gas|SMR-ATR Reforming CCS</t>
  </si>
  <si>
    <t>Efficiency for hydrogen production|Wood|Gasification</t>
  </si>
  <si>
    <t>Efficiency for hydrogen production|Wood|Gasification CCS</t>
  </si>
  <si>
    <t>Average annual efficiency for hydrogen production</t>
  </si>
  <si>
    <t>Including losses due to part load operation</t>
  </si>
  <si>
    <t>Production of domestic biomethane from biogas</t>
  </si>
  <si>
    <t>Use of biogas for upgrade to biomethane</t>
  </si>
  <si>
    <t>One technology only fuel input is biogas</t>
  </si>
  <si>
    <t>One technology only fuel output is biomethane</t>
  </si>
  <si>
    <t>Average annual efficiency of biogas to biomethane upgrade</t>
  </si>
  <si>
    <t>One technology only fuel input is biogas, fuel output is biomethane</t>
  </si>
  <si>
    <t>Biomethane production from biogas upgrade</t>
  </si>
  <si>
    <t>Fuel input for biogas upgrade to biomethane</t>
  </si>
  <si>
    <t>Efficiency for biomethane production from biogas upgrade</t>
  </si>
  <si>
    <t>Domestic PtG and PtL production|PtG|PtG gas</t>
  </si>
  <si>
    <t>Domestic PtG and PtL production|PtL|PtL Diesel</t>
  </si>
  <si>
    <t>Domestic PtG and PtL production|PtL|PtL Gasoline</t>
  </si>
  <si>
    <t>Domestic PtG and PtL production|PtL|PtL Kerosene</t>
  </si>
  <si>
    <t>Domestic PtG and PtL production</t>
  </si>
  <si>
    <t>Domestic production of power-to-gas and power-to-liquids</t>
  </si>
  <si>
    <t>Fuel input for domestic PtG and PtL production|Hydrogen|PtG|PtG gas</t>
  </si>
  <si>
    <t>Fuel input for domestic PtG and PtL production</t>
  </si>
  <si>
    <t>Fuel used for domestic PtG and PtL production (excl. CO2)</t>
  </si>
  <si>
    <t>Efficiency for domestic PtG and PtL production|Hydrogen|PtG|PtG gas</t>
  </si>
  <si>
    <t>Efficiency for domestic PtG and PtL production|Hydrogen|PtL Diesel</t>
  </si>
  <si>
    <t>Efficiency for domestic PtG and PtL production|Hydrogen|PtL Gasoline</t>
  </si>
  <si>
    <t>Efficiency for domestic PtG and PtL production|Hydrogen|PtL Kerosene</t>
  </si>
  <si>
    <t>Efficiency for domestic PtG and PtL production</t>
  </si>
  <si>
    <t>Average annual efficiency for PtG and PtL processes (excl. CO2 consumption)</t>
  </si>
  <si>
    <t>Mt/yr.</t>
  </si>
  <si>
    <t>CO2 input for domestic PtG and PtL production|CO2|Total</t>
  </si>
  <si>
    <t>CO2 input for domestic PtG and PtL production</t>
  </si>
  <si>
    <t>CO2 input for domestic PtG and PtL production|CO2|Biogenic source</t>
  </si>
  <si>
    <t>CO2 input for domestic PtG and PtL production|CO2|Fossil source</t>
  </si>
  <si>
    <t>The distinction of the source of CO2 (biogenic or fossil) is also provided and can be proportionally allocated to the technologies for PtG and PtL</t>
  </si>
  <si>
    <t>Fuel input for domestic PtG and PtL production|Hydrogen|PtL|PtL Diesel</t>
  </si>
  <si>
    <t>Fuel input for domestic PtG and PtL production|Hydrogen|PtL|PtL Gasoline</t>
  </si>
  <si>
    <t>Fuel input for domestic PtG and PtL production|Hydrogen|PtL|PtL Kerosene</t>
  </si>
  <si>
    <t>CO2 input for domestic PtG and PtL production|CO2|Total|PtG|PtG gas</t>
  </si>
  <si>
    <t>CO2 input for domestic PtG and PtL production|CO2|Total|PtL|PtL Diesel</t>
  </si>
  <si>
    <t>CO2 input for domestic PtG and PtL production|CO2|Total|PtL|PtL Gasoline</t>
  </si>
  <si>
    <t>CO2 input for domestic PtG and PtL production|CO2|Total|PtL|PtL Kerosene</t>
  </si>
  <si>
    <t>CO2 input for domestic PtG and PtL production|CO2|Direct air capture source</t>
  </si>
  <si>
    <t>CO2 input for domestic PtG and PtL production|CO2|Biogenic source|PtG|PtG gas</t>
  </si>
  <si>
    <t>CO2 input for domestic PtG and PtL production|CO2|Biogenic source|PtL|PtL Diesel</t>
  </si>
  <si>
    <t>CO2 input for domestic PtG and PtL production|CO2|Biogenic source|PtL|PtL Gasoline</t>
  </si>
  <si>
    <t>CO2 input for domestic PtG and PtL production|CO2|Biogenic source|PtL|PtL Kerosene</t>
  </si>
  <si>
    <t>CO2 input for domestic PtG and PtL production|CO2|Fossil source|PtG|PtG gas</t>
  </si>
  <si>
    <t>CO2 input for domestic PtG and PtL production|CO2|Fossil source|PtL|PtL Diesel</t>
  </si>
  <si>
    <t>CO2 input for domestic PtG and PtL production|CO2|Fossil source|PtL|PtL Gasoline</t>
  </si>
  <si>
    <t>CO2 input for domestic PtG and PtL production|CO2|Fossil source|PtL|PtL Kerosene</t>
  </si>
  <si>
    <t>CO2 input for domestic PtG and PtL production|CO2|Direct air capture source source|PtG|PtG gas</t>
  </si>
  <si>
    <t>CO2 input for domestic PtG and PtL production|CO2|Direct air capture source source|PtL|PtL Diesel</t>
  </si>
  <si>
    <t>CO2 input for domestic PtG and PtL production|CO2|Direct air capture source source|PtL|PtL Gasoline</t>
  </si>
  <si>
    <t>CO2 input for domestic PtG and PtL production|CO2|Direct air capture source source|PtL|PtL Kerosene</t>
  </si>
  <si>
    <t>Fuel consumption in industry sectors|Electricity|Other electric processes</t>
  </si>
  <si>
    <t>Fuel consumption in industry sectors|Oil|Total</t>
  </si>
  <si>
    <t>Fuel consumption in industry sectors|Oil|Total|Light fuel boiler</t>
  </si>
  <si>
    <t>Fuel consumption in industry sectors|Oil|Total|Heavy fuel boiler</t>
  </si>
  <si>
    <t>Fuel consumption in industry sectors|Gas|Total</t>
  </si>
  <si>
    <t>Fuel consumption in industry sectors|Gas|Total|Biogas boiler</t>
  </si>
  <si>
    <t>Domestic wood to pellet production</t>
  </si>
  <si>
    <t>Fuel input for wood to pellet production</t>
  </si>
  <si>
    <t>Efficiency for wood to pellet production</t>
  </si>
  <si>
    <t>Wood conversion to pellet domestic production output</t>
  </si>
  <si>
    <t>One technology only , input is wood output is pellet</t>
  </si>
  <si>
    <t>Wood conversion to pellet domestic production - input wood required</t>
  </si>
  <si>
    <t>Average annual efficiency of wood to pellet conversion</t>
  </si>
  <si>
    <t>Fuel consumption in industry sectors|Heat|On-site CHPs|Industrial CHPs oil</t>
  </si>
  <si>
    <t>Fuel consumption in industry sectors|Heat|On-site CHPs|Industrial CHPs gas</t>
  </si>
  <si>
    <t>Fuel consumption in industry sectors|Heat|On-site CHPs|Industrial CHPs gas (CCS)</t>
  </si>
  <si>
    <t>Fuel consumption in industry sectors|Heat|On-site CHPs|Industrial CHPs fuel cells (gas reformer)</t>
  </si>
  <si>
    <t>Fuel consumption in industry sectors|Heat|On-site CHPs|Industrial CHPs wastes</t>
  </si>
  <si>
    <t>Fuel consumption in industry sectors|Heat|On-site CHPs|Industrial CHPs wastes CCS</t>
  </si>
  <si>
    <t>Fuel consumption in industry sectors|Heat|On-site CHPs|Industrial CHPs wood</t>
  </si>
  <si>
    <t>Fuel consumption in industry sectors|Heat|On-site CHPs|Industrial CHPs wood (CCS)</t>
  </si>
  <si>
    <t>Fuel consumption in industry sectors|Heat|On-site CHPs|Industrial CHPs fuel cells (hydrogen)</t>
  </si>
  <si>
    <t>Fuel input for wood to pellet production|Wood</t>
  </si>
  <si>
    <t>Domestic wood to pellet production|Pellets</t>
  </si>
  <si>
    <t>Fuel consumption in industry sectors|Wastes|Total</t>
  </si>
  <si>
    <t>Fuel consumption in industry sectors|Wastes|Renewable|Wastes boiler</t>
  </si>
  <si>
    <t>Fuel consumption in industry sectors|Wastes|Non Renewable|Wastes boiler</t>
  </si>
  <si>
    <t>Fuel consumption in industry sectors|Wastes|Total|Wastes boiler</t>
  </si>
  <si>
    <t>Fuel consumption in industry sectors</t>
  </si>
  <si>
    <t>Fuel consumption in industry by fuel and technology</t>
  </si>
  <si>
    <t>This unfortunately it will change when the new industrial sectors will be integrated into STEM</t>
  </si>
  <si>
    <t>Fuel consumption in Services sectors|Oil|Total</t>
  </si>
  <si>
    <t>Fuel consumption in Services sectors|Oil|Total|Light fuel boiler</t>
  </si>
  <si>
    <t>Fuel consumption in Services sectors|Gas|Total</t>
  </si>
  <si>
    <t>Fuel consumption in Services sectors|Gas|Total|Biogas boiler</t>
  </si>
  <si>
    <t>Fuel consumption in Services sectors|Heat|On-site CHPs|Services sectors CHPs gas</t>
  </si>
  <si>
    <t>Fuel consumption in Services sectors|Heat|On-site CHPs|Services sectors CHPs fuel cells (gas reformer)</t>
  </si>
  <si>
    <t>Fuel consumption in Services sectors|Heat|On-site CHPs|Services sectors CHPs wood</t>
  </si>
  <si>
    <t>Fuel consumption in Services sectors|Heat|On-site CHPs|Services sectors CHPs fuel cells (hydrogen)</t>
  </si>
  <si>
    <t>Fuel consumption in Services sectors|Heat|On-site CHPs|Services sectors CHPs (bio)gas</t>
  </si>
  <si>
    <t>Fuel consumption in Services sectors|Electricity|Other electric appliances</t>
  </si>
  <si>
    <t>Imports|Oil|Fossil liquids|Light fuel oil</t>
  </si>
  <si>
    <t>Imports|Oil|Fossil liquids|Heavy fuel oil</t>
  </si>
  <si>
    <t>Imports|Oil|Fossil liquids|Motor Diesel</t>
  </si>
  <si>
    <t>Imports|Oil|Fossil liquids|Motor Gasoline</t>
  </si>
  <si>
    <t>Imports|Oil|Fossil liquids|Kerosene (excl. international aviation)</t>
  </si>
  <si>
    <t>Electricity generation|Oil|Fossil liquids|Peak devices</t>
  </si>
  <si>
    <t>Electricity generation|Oil|Fossil liquids|CHP Oil (for District Heating)</t>
  </si>
  <si>
    <t>Electricity generation|Oil|Fossil liquids|Industrial CHPs oil</t>
  </si>
  <si>
    <t>Heat generation from CHPs and heat plants|District heating|CHP|Oil|Fossil liquids|CHP Oil (for District Heating)</t>
  </si>
  <si>
    <t>Heat generation from CHPs and heat plants|District heating|Heat plants|Fossil liquids|Heat plant oil</t>
  </si>
  <si>
    <t>Heat generation from CHPs and heat plants|On-site CHPs|Oil|Fossil liquids|Industrial CHPs oil</t>
  </si>
  <si>
    <t>Fuel input for electricity generation|Oil|Fossil liquids|Peak devices</t>
  </si>
  <si>
    <t>Fuel input for electricity generation|Oil|Fossil liquids|CHP Oil (for District Heating)</t>
  </si>
  <si>
    <t>Fuel input for electricity generation|Oil|Fossil liquids|Industrial CHPs oil</t>
  </si>
  <si>
    <t>Fuel input for heat generation from CHPs and heat plants|District heating|CHP|Oil|Fossil liquids|CHP Oil (for District Heating)</t>
  </si>
  <si>
    <t>Fuel input for heat generation from CHPs and heat plants|On-site CHPs|Oil|Fossil liquids|Industrial CHPs oil</t>
  </si>
  <si>
    <t>Fuel consumption in industry sectors|Oil|Fossil liquids|Light fuel oil</t>
  </si>
  <si>
    <t>Fuel consumption in industry sectors|Oil|Fossil liquids|Light fuel oil|Light fuel oil boiler</t>
  </si>
  <si>
    <t>Fuel consumption in industry sectors|Oil|Fossil liquids|Heavy fuel oil</t>
  </si>
  <si>
    <t>Fuel consumption in Services sectors|Oil|Fossil liquids|Light fuel oil</t>
  </si>
  <si>
    <t>Fuel consumption in Services sectors|Oil|Fossil liquids|Light fuel oil|Light fuel oil boiler</t>
  </si>
  <si>
    <t>Imports|Oil|Synthetic liquids|Total|Motor diesel</t>
  </si>
  <si>
    <t>Imports|Oil|Synthetic liquids|Total|Motor Gasoline</t>
  </si>
  <si>
    <t>Imports|Oil|Synthetic liquids|Bioliquids|Total</t>
  </si>
  <si>
    <t>Imports|Oil|Synthetic liquids|Bioliquids|Biodiesel</t>
  </si>
  <si>
    <t>Imports|Oil|Synthetic liquids|Bioliquids|Ethanol</t>
  </si>
  <si>
    <t>Imports|Oil|Synthetic liquids|PtL|PtL Diesel</t>
  </si>
  <si>
    <t>Imports|Oil|Synthetic liquids|PtL|PtL Gasoline</t>
  </si>
  <si>
    <t>Imports|Oil|Synthetic liquids|PtL|PtL Kerosene</t>
  </si>
  <si>
    <t>Electricity generation|Oil|Synthetic liquids|Peak devices</t>
  </si>
  <si>
    <t>Electricity generation|Oil|Synthetic liquids|CHP Oil (for District Heating)</t>
  </si>
  <si>
    <t>Electricity generation|Oil|Synthetic liquids|Industrial CHPs oil</t>
  </si>
  <si>
    <t>Heat generation from CHPs and heat plants|District heating|CHP|Oil|Synthetic liquids|CHP Oil (for District Heating)</t>
  </si>
  <si>
    <t>Heat generation from CHPs and heat plants|District heating|Heat plants|Synthetic liquids|Heat plant oil</t>
  </si>
  <si>
    <t>Heat generation from CHPs and heat plants|On-site CHPs|Oil|Synthetic liquids|Industrial CHPs oil</t>
  </si>
  <si>
    <t>Fuel input for electricity generation|Oil|Synthetic liquids|Peak devices</t>
  </si>
  <si>
    <t>Fuel input for electricity generation|Oil|Synthetic liquids|CHP Oil (for District Heating)</t>
  </si>
  <si>
    <t>Fuel input for electricity generation|Oil|Synthetic liquids|Industrial CHPs oil</t>
  </si>
  <si>
    <t>Fuel input for heat generation from CHPs and heat plants|District heating|CHP|Oil|Synthetic liquids|CHP Oil (for District Heating)</t>
  </si>
  <si>
    <t>Fuel input for heat generation from CHPs and heat plants|On-site CHPs|Oil|Synthetic liquids|Industrial CHPs oil</t>
  </si>
  <si>
    <t>Imports|Gas|Fossil gases|Total</t>
  </si>
  <si>
    <t>Imports|Gas|Fossil gases|Natural gas</t>
  </si>
  <si>
    <t>Imports|Gas|Fossil gases|Liquified Natural Gas</t>
  </si>
  <si>
    <t>Electricity generation|Gas|Fossil gases|Gas turbines combined cycle</t>
  </si>
  <si>
    <t>Electricity generation|Gas|Fossil gases|Gas turbines open cycle</t>
  </si>
  <si>
    <t>Electricity generation|Gas|Fossil gases|Gas turbines combined cycle CCS</t>
  </si>
  <si>
    <t>Electricity generation|Gas|Fossil gases|CHP Gas (for District Heating)</t>
  </si>
  <si>
    <t>Electricity generation|Gas|Fossil gases|CHP Fuel Cell Gas (for District Heating)</t>
  </si>
  <si>
    <t>Electricity generation|Gas|Fossil gases|Industrial CHPs gas</t>
  </si>
  <si>
    <t>Electricity generation|Gas|Fossil gases|Industrial CHPs gas (CCS)</t>
  </si>
  <si>
    <t>Electricity generation|Gas|Fossil gases|Industrial CHPs fuel cells (gas reformer)</t>
  </si>
  <si>
    <t>Electricity generation|Gas|Fossil gases|Residential single family CHPs gas</t>
  </si>
  <si>
    <t>Electricity generation|Gas|Fossil gases|Residential single family CHPs fuel cells gas</t>
  </si>
  <si>
    <t>Electricity generation|Gas|Fossil gases|Residential multi family CHPs gas</t>
  </si>
  <si>
    <t>Electricity generation|Gas|Fossil gases|Residential multi family CHPs fuel cells gas</t>
  </si>
  <si>
    <t>Electricity generation|Gas|Fossil gases|Services sectors CHPs (bio)gas</t>
  </si>
  <si>
    <t>Electricity generation|Gas|Fossil gases|Services sectors CHPs gas</t>
  </si>
  <si>
    <t>Electricity generation|Gas|Fossil gases|Services sectors CHPs fuel cells (gas reformer)</t>
  </si>
  <si>
    <t>Heat generation from CHPs and heat plants|District heating|CHP|Gas|Fossil gases|CHP Gas (for District Heating)</t>
  </si>
  <si>
    <t>Heat generation from CHPs and heat plants|District heating|CHP|Gas|Fossil gases|CHP Fuel Cell Gas (for District Heating)</t>
  </si>
  <si>
    <t>Heat generation from CHPs and heat plants|On-site CHPs|Gas|Fossil gases|Industrial CHPs gas</t>
  </si>
  <si>
    <t>Heat generation from CHPs and heat plants|On-site CHPs|Gas|Fossil gases|Industrial CHPs gas (CCS)</t>
  </si>
  <si>
    <t>Heat generation from CHPs and heat plants|On-site CHPs|Gas|Fossil gases|Industrial CHPs fuel cells (gas reformer)</t>
  </si>
  <si>
    <t>Heat generation from CHPs and heat plants|On-site CHPs|Gas|Fossil gases|Residential single family CHPs gas</t>
  </si>
  <si>
    <t>Heat generation from CHPs and heat plants|On-site CHPs|Gas|Fossil gases|Residential single family CHPs fuel cells gas</t>
  </si>
  <si>
    <t>Heat generation from CHPs and heat plants|On-site CHPs|Gas|Fossil gases|Residential multi family CHPs gas</t>
  </si>
  <si>
    <t>Heat generation from CHPs and heat plants|On-site CHPs|Gas|Fossil gases|Residential multi family CHPs fuel cells gas</t>
  </si>
  <si>
    <t>Heat generation from CHPs and heat plants|On-site CHPs|Gas|Fossil gases|Services sectors CHPs (bio)gas</t>
  </si>
  <si>
    <t>Heat generation from CHPs and heat plants|On-site CHPs|Gas|Fossil gases|Services sectors CHPs gas</t>
  </si>
  <si>
    <t>Heat generation from CHPs and heat plants|On-site CHPs|Gas|Fossil gases|Services sectors CHPs fuel cells (gas reformer)</t>
  </si>
  <si>
    <t>Fuel input for electricity generation|Gas|Fossil gases|Gas turbines combined cycle</t>
  </si>
  <si>
    <t>Fuel input for electricity generation|Gas|Fossil gases|Gas turbines open cycle</t>
  </si>
  <si>
    <t>Fuel input for electricity generation|Gas|Fossil gases|Gas turbines combined cycle CCS</t>
  </si>
  <si>
    <t>Fuel input for electricity generation|Gas|Fossil gases|CHP Gas (for District Heating)</t>
  </si>
  <si>
    <t>Fuel input for electricity generation|Gas|Fossil gases|CHP Fuel Cell Gas (for District Heating)</t>
  </si>
  <si>
    <t>Fuel input for electricity generation|Gas|Fossil gases|Industrial CHPs gas</t>
  </si>
  <si>
    <t>Fuel input for electricity generation|Gas|Fossil gases|Industrial CHPs gas (CCS)</t>
  </si>
  <si>
    <t>Fuel input for electricity generation|Gas|Fossil gases|Industrial CHPs fuel cells (gas reformer)</t>
  </si>
  <si>
    <t>Fuel input for electricity generation|Gas|Fossil gases|Residential single family CHPs gas</t>
  </si>
  <si>
    <t>Fuel input for electricity generation|Gas|Fossil gases|Residential single family CHPs fuel cells gas</t>
  </si>
  <si>
    <t>Fuel input for electricity generation|Gas|Fossil gases|Residential multi family CHPs gas</t>
  </si>
  <si>
    <t>Fuel input for electricity generation|Gas|Fossil gases|Residential multi family CHPs fuel cells gas</t>
  </si>
  <si>
    <t>Fuel input for electricity generation|Gas|Fossil gases|Services sectors CHPs (bio)gas</t>
  </si>
  <si>
    <t>Fuel input for electricity generation|Gas|Fossil gases|Services sectors CHPs gas</t>
  </si>
  <si>
    <t>Fuel input for electricity generation|Gas|Fossil gases|Services sectors CHPs fuel cells (gas reformer)</t>
  </si>
  <si>
    <t>Fuel input for heat generation from CHPs and heat plants|District heating|CHP|Gas|Fossil gases|CHP Gas (for District Heating)</t>
  </si>
  <si>
    <t>Fuel input for heat generation from CHPs and heat plants|District heating|CHP|Gas|Fossil gases|CHP Fuel Cell Gas (for District Heating)</t>
  </si>
  <si>
    <t>Fuel input for heat generation from CHPs and heat plants|District heating|Heat plants|Fossil gases|Heat plant gas</t>
  </si>
  <si>
    <t>Fuel input for heat generation from CHPs and heat plants|On-site CHPs|Gas|Fossil gases|Industrial CHPs gas</t>
  </si>
  <si>
    <t>Fuel input for heat generation from CHPs and heat plants|On-site CHPs|Gas|Fossil gases|Industrial CHPs gas (CCS)</t>
  </si>
  <si>
    <t>Fuel input for heat generation from CHPs and heat plants|On-site CHPs|Gas|Fossil gases|Industrial CHPs fuel cells (gas reformer)</t>
  </si>
  <si>
    <t>Fuel input for heat generation from CHPs and heat plants|On-site CHPs|Gas|Fossil gases|Residential single family CHPs gas</t>
  </si>
  <si>
    <t>Fuel input for heat generation from CHPs and heat plants|On-site CHPs|Gas|Fossil gases|Residential single family CHPs fuel cells gas</t>
  </si>
  <si>
    <t>Fuel input for heat generation from CHPs and heat plants|On-site CHPs|Gas|Fossil gases|Residential multi family CHPs gas</t>
  </si>
  <si>
    <t>Fuel input for heat generation from CHPs and heat plants|On-site CHPs|Gas|Fossil gases|Residential multi family CHPs fuel cells gas</t>
  </si>
  <si>
    <t>Fuel input for heat generation from CHPs and heat plants|On-site CHPs|Gas|Fossil gases|Services sectors CHPs (bio)gas</t>
  </si>
  <si>
    <t>Fuel input for heat generation from CHPs and heat plants|On-site CHPs|Gas|Fossil gases|Services sectors CHPs gas</t>
  </si>
  <si>
    <t>Fuel input for heat generation from CHPs and heat plants|On-site CHPs|Gas|Fossil gases|Services sectors CHPs fuel cells (gas reformer)</t>
  </si>
  <si>
    <t>Domestic hydrogen production|Gas|Fossil gases|SMR-ATR Reforming</t>
  </si>
  <si>
    <t>Domestic hydrogen production|Gas|Fossil gases|SMR-ATR Reforming CCS</t>
  </si>
  <si>
    <t>Fuel input for hydrogen production|Gas|Fossil gases|SMR-ATR Reforming</t>
  </si>
  <si>
    <t>Fuel input for hydrogen production|Gas|Fossil gases|SMR-ATR Reforming CCS</t>
  </si>
  <si>
    <t>Imports|Gas|Synthetic gases|Biogases|Biogas</t>
  </si>
  <si>
    <t>Imports|Gas|Synthetic gases|PtG|PtG gas</t>
  </si>
  <si>
    <t>Electricity generation|Gas|Synthetic gases|Gas turbines combined cycle</t>
  </si>
  <si>
    <t>Electricity generation|Gas|Synthetic gases|Gas turbines open cycle</t>
  </si>
  <si>
    <t>Electricity generation|Gas|Synthetic gases|Gas turbines combined cycle CCS</t>
  </si>
  <si>
    <t>Electricity generation|Gas|Synthetic gases|CHP Gas (for District Heating)</t>
  </si>
  <si>
    <t>Electricity generation|Gas|Synthetic gases|CHP Fuel Cell Gas (for District Heating)</t>
  </si>
  <si>
    <t>Electricity generation|Gas|Synthetic gases|Industrial CHPs gas</t>
  </si>
  <si>
    <t>Electricity generation|Gas|Synthetic gases|Industrial CHPs gas (CCS)</t>
  </si>
  <si>
    <t>Electricity generation|Gas|Synthetic gases|Industrial CHPs fuel cells (gas reformer)</t>
  </si>
  <si>
    <t>Electricity generation|Gas|Synthetic gases|Residential single family CHPs gas</t>
  </si>
  <si>
    <t>Electricity generation|Gas|Synthetic gases|Residential single family CHPs fuel cells gas</t>
  </si>
  <si>
    <t>Electricity generation|Gas|Synthetic gases|Residential multi family CHPs gas</t>
  </si>
  <si>
    <t>Electricity generation|Gas|Synthetic gases|Residential multi family CHPs fuel cells gas</t>
  </si>
  <si>
    <t>Electricity generation|Gas|Synthetic gases|Services sectors CHPs (bio)gas</t>
  </si>
  <si>
    <t>Electricity generation|Gas|Synthetic gases|Services sectors CHPs gas</t>
  </si>
  <si>
    <t>Electricity generation|Gas|Synthetic gases|Services sectors CHPs fuel cells (gas reformer)</t>
  </si>
  <si>
    <t>Heat generation from CHPs and heat plants|District heating|CHP|Gas|Synthetic gases|CHP Gas (for District Heating)</t>
  </si>
  <si>
    <t>Heat generation from CHPs and heat plants|District heating|CHP|Gas|Synthetic gases|CHP Fuel Cell Gas (for District Heating)</t>
  </si>
  <si>
    <t>Heat generation from CHPs and heat plants|On-site CHPs|Gas|Synthetic gases|Industrial CHPs gas</t>
  </si>
  <si>
    <t>Heat generation from CHPs and heat plants|On-site CHPs|Gas|Synthetic gases|Industrial CHPs gas (CCS)</t>
  </si>
  <si>
    <t>Heat generation from CHPs and heat plants|On-site CHPs|Gas|Synthetic gases|Industrial CHPs fuel cells (gas reformer)</t>
  </si>
  <si>
    <t>Heat generation from CHPs and heat plants|On-site CHPs|Gas|Synthetic gases|Residential single family CHPs gas</t>
  </si>
  <si>
    <t>Heat generation from CHPs and heat plants|On-site CHPs|Gas|Synthetic gases|Residential single family CHPs fuel cells gas</t>
  </si>
  <si>
    <t>Heat generation from CHPs and heat plants|On-site CHPs|Gas|Synthetic gases|Residential multi family CHPs gas</t>
  </si>
  <si>
    <t>Heat generation from CHPs and heat plants|On-site CHPs|Gas|Synthetic gases|Residential multi family CHPs fuel cells gas</t>
  </si>
  <si>
    <t>Heat generation from CHPs and heat plants|On-site CHPs|Gas|Synthetic gases|Services sectors CHPs (bio)gas</t>
  </si>
  <si>
    <t>Heat generation from CHPs and heat plants|On-site CHPs|Gas|Synthetic gases|Services sectors CHPs gas</t>
  </si>
  <si>
    <t>Heat generation from CHPs and heat plants|On-site CHPs|Gas|Synthetic gases|Services sectors CHPs fuel cells (gas reformer)</t>
  </si>
  <si>
    <t>Fuel input for electricity generation|Gas|Synthetic gases|Gas turbines combined cycle</t>
  </si>
  <si>
    <t>Fuel input for electricity generation|Gas|Synthetic gases|Gas turbines open cycle</t>
  </si>
  <si>
    <t>Fuel input for electricity generation|Gas|Synthetic gases|Gas turbines combined cycle CCS</t>
  </si>
  <si>
    <t>Fuel input for electricity generation|Gas|Synthetic gases|CHP Gas (for District Heating)</t>
  </si>
  <si>
    <t>Fuel input for electricity generation|Gas|Synthetic gases|CHP Fuel Cell Gas (for District Heating)</t>
  </si>
  <si>
    <t>Fuel input for electricity generation|Gas|Synthetic gases|Industrial CHPs gas</t>
  </si>
  <si>
    <t>Fuel input for electricity generation|Gas|Synthetic gases|Industrial CHPs gas (CCS)</t>
  </si>
  <si>
    <t>Fuel input for electricity generation|Gas|Synthetic gases|Industrial CHPs fuel cells (gas reformer)</t>
  </si>
  <si>
    <t>Fuel input for electricity generation|Gas|Synthetic gases|Residential single family CHPs gas</t>
  </si>
  <si>
    <t>Fuel input for electricity generation|Gas|Synthetic gases|Residential single family CHPs fuel cells gas</t>
  </si>
  <si>
    <t>Fuel input for electricity generation|Gas|Synthetic gases|Residential multi family CHPs gas</t>
  </si>
  <si>
    <t>Fuel input for electricity generation|Gas|Synthetic gases|Residential multi family CHPs fuel cells gas</t>
  </si>
  <si>
    <t>Fuel input for electricity generation|Gas|Synthetic gases|Services sectors CHPs (bio)gas</t>
  </si>
  <si>
    <t>Fuel input for electricity generation|Gas|Synthetic gases|Services sectors CHPs gas</t>
  </si>
  <si>
    <t>Fuel input for electricity generation|Gas|Synthetic gases|Services sectors CHPs fuel cells (gas reformer)</t>
  </si>
  <si>
    <t>Fuel input for heat generation from CHPs and heat plants|District heating|CHP|Gas|Synthetic gases|CHP Gas (for District Heating)</t>
  </si>
  <si>
    <t>Fuel input for heat generation from CHPs and heat plants|District heating|CHP|Gas|Synthetic gases|CHP Fuel Cell Gas (for District Heating)</t>
  </si>
  <si>
    <t>Fuel input for heat generation from CHPs and heat plants|District heating|Heat plants|Synthetic gases|Heat plant gas</t>
  </si>
  <si>
    <t>Fuel input for heat generation from CHPs and heat plants|On-site CHPs|Gas|Synthetic gases|Industrial CHPs gas</t>
  </si>
  <si>
    <t>Fuel input for heat generation from CHPs and heat plants|On-site CHPs|Gas|Synthetic gases|Industrial CHPs gas (CCS)</t>
  </si>
  <si>
    <t>Fuel input for heat generation from CHPs and heat plants|On-site CHPs|Gas|Synthetic gases|Industrial CHPs fuel cells (gas reformer)</t>
  </si>
  <si>
    <t>Fuel input for heat generation from CHPs and heat plants|On-site CHPs|Gas|Synthetic gases|Residential single family CHPs gas</t>
  </si>
  <si>
    <t>Fuel input for heat generation from CHPs and heat plants|On-site CHPs|Gas|Synthetic gases|Residential single family CHPs fuel cells gas</t>
  </si>
  <si>
    <t>Fuel input for heat generation from CHPs and heat plants|On-site CHPs|Gas|Synthetic gases|Residential multi family CHPs gas</t>
  </si>
  <si>
    <t>Fuel input for heat generation from CHPs and heat plants|On-site CHPs|Gas|Synthetic gases|Residential multi family CHPs fuel cells gas</t>
  </si>
  <si>
    <t>Fuel input for heat generation from CHPs and heat plants|On-site CHPs|Gas|Synthetic gases|Services sectors CHPs (bio)gas</t>
  </si>
  <si>
    <t>Fuel input for heat generation from CHPs and heat plants|On-site CHPs|Gas|Synthetic gases|Services sectors CHPs gas</t>
  </si>
  <si>
    <t>Fuel input for heat generation from CHPs and heat plants|On-site CHPs|Gas|Synthetic gases|Services sectors CHPs fuel cells (gas reformer)</t>
  </si>
  <si>
    <t>Domestic hydrogen production|Gas|Synthetic gases|SMR-ATR Reforming</t>
  </si>
  <si>
    <t>Domestic hydrogen production|Gas|Synthetic gases|SMR-ATR Reforming CCS</t>
  </si>
  <si>
    <t>Fuel input for hydrogen production|Gas|Synthetic gases|SMR-ATR Reforming</t>
  </si>
  <si>
    <t>Fuel input for hydrogen production|Gas|Synthetic gases|SMR-ATR Reforming CCS</t>
  </si>
  <si>
    <t>Fuel consumption in industry sectors|Gas|Synthetic gases|Biogas boiler</t>
  </si>
  <si>
    <t>Fuel consumption in Services sectors|Gas|Synthetic gases|Biogas boiler</t>
  </si>
  <si>
    <t>Fuel consumption in Services sectors</t>
  </si>
  <si>
    <t>Fuel consumption in services sectors by fuel and technology</t>
  </si>
  <si>
    <t>Fuel consumption in Residential sector|Oil|Total</t>
  </si>
  <si>
    <t>Fuel consumption in Residential sector|Gas|Total</t>
  </si>
  <si>
    <t>Fuel consumption in industry sectors|Gas|Total|Gas boiler</t>
  </si>
  <si>
    <t>Fuel consumption in industry sectors|Gas|Fossil gases|Gas boiler</t>
  </si>
  <si>
    <t>Fuel consumption in industry sectors|Gas|Synthetic gases|Gas boiler</t>
  </si>
  <si>
    <t>Fuel consumption in Services sectors|Gas|Total|Gas boiler</t>
  </si>
  <si>
    <t>Fuel consumption in Services sectors|Gas|Fossil gases|Gas boiler</t>
  </si>
  <si>
    <t>Fuel consumption in Services sectors|Gas|Synthetic gases|Gas boiler</t>
  </si>
  <si>
    <t>Process and space heating production in industry sectors</t>
  </si>
  <si>
    <t>Energy service demand provided in the form of process and space heating in industry</t>
  </si>
  <si>
    <t>It is the annual marketed efficiency including part load efficiency losses and differs from the full load nominal technical efficiency; for heat pumps refers to COP</t>
  </si>
  <si>
    <t>Efficiency in industry sectors</t>
  </si>
  <si>
    <t>Boilers efficiency and COP of heat pumps in the industrial sectors</t>
  </si>
  <si>
    <t>Efficiency in Services sectors</t>
  </si>
  <si>
    <t>Boilers efficiency and COP of heat pumps in the Services sectors</t>
  </si>
  <si>
    <t>Space water and process heat production in Services sectors|Electricity|Other electric appliances</t>
  </si>
  <si>
    <t>Space water and process heat production in Services sectors|Heat|On-site CHPs|Services sectors CHPs (bio)gas</t>
  </si>
  <si>
    <t>Space water and process heat production in Services sectors|Heat|On-site CHPs|Services sectors CHPs gas</t>
  </si>
  <si>
    <t>Space water and process heat production in Services sectors|Heat|On-site CHPs|Services sectors CHPs fuel cells (gas reformer)</t>
  </si>
  <si>
    <t>Space water and process heat production in Services sectors|Heat|On-site CHPs|Services sectors CHPs wood</t>
  </si>
  <si>
    <t>Space water and process heat production in Services sectors|Heat|On-site CHPs|Services sectors CHPs fuel cells (hydrogen)</t>
  </si>
  <si>
    <t>Space water and process heat production in Services sectors</t>
  </si>
  <si>
    <t>Production of energy service demand for space, water and process heat in Services sectors</t>
  </si>
  <si>
    <t>Efficiency in Services sectors|Electricity|Other electric appliances</t>
  </si>
  <si>
    <t>Efficiency in Services sectors|Oil|Total|Light fuel boiler</t>
  </si>
  <si>
    <t>Efficiency in Services sectors|Gas|Total|Gas boiler</t>
  </si>
  <si>
    <t>Efficiency in Services sectors|Gas|Total|Biogas boiler</t>
  </si>
  <si>
    <t>Efficiency in Services sectors|Heat|On-site CHPs|Services sectors CHPs (bio)gas</t>
  </si>
  <si>
    <t>Efficiency in Services sectors|Heat|On-site CHPs|Services sectors CHPs gas</t>
  </si>
  <si>
    <t>Efficiency in Services sectors|Heat|On-site CHPs|Services sectors CHPs fuel cells (gas reformer)</t>
  </si>
  <si>
    <t>Efficiency in Services sectors|Heat|On-site CHPs|Services sectors CHPs wood</t>
  </si>
  <si>
    <t>Efficiency in Services sectors|Heat|On-site CHPs|Services sectors CHPs fuel cells (hydrogen)</t>
  </si>
  <si>
    <t>Fuel consumption in Residential sector|Oil|Total|Space heating|Light fuel boiler</t>
  </si>
  <si>
    <t>Fuel consumption in Residential sector|Oil|Fossil liquids|Space heating|Light fuel boiler</t>
  </si>
  <si>
    <t>Fuel consumption in Residential sector|Oil|Synthetic liquids|Space heating|Light fuel boiler</t>
  </si>
  <si>
    <t>Fuel consumption in Residential sector|Oil|Total|Water heating|Light fuel boiler</t>
  </si>
  <si>
    <t>Fuel consumption in Residential sector|Oil|Fossil liquids|Water heating|Light fuel boiler</t>
  </si>
  <si>
    <t>Fuel consumption in Residential sector|Oil|Synthetic liquids|Water heating|Light fuel boiler</t>
  </si>
  <si>
    <t>Fuel consumption in Residential sector|Gas|Total|Space heating|Gas boiler</t>
  </si>
  <si>
    <t>Fuel consumption in Residential sector|Gas|Total|Space heating|Heat pump gas</t>
  </si>
  <si>
    <t>Fuel consumption in Residential sector|Gas|Fossil gases|Space heating|Gas boiler</t>
  </si>
  <si>
    <t>Fuel consumption in Residential sector|Gas|Synthetic gases|Space heating|Gas boiler</t>
  </si>
  <si>
    <t>Fuel consumption in Residential sector|Gas|Fossil gases|Water heating|Gas boiler</t>
  </si>
  <si>
    <t>Fuel consumption in Residential sector|Gas|Total|Water heating|Gas boiler</t>
  </si>
  <si>
    <t>Efficiency of heat plants (thermal)|District heating|Heat plants|Electricity|Centralised Heat pump</t>
  </si>
  <si>
    <t>Fuel consumption in industry sectors|Electricity|Heat pump electric</t>
  </si>
  <si>
    <t>Fuel consumption in industry sectors|Gas|Total|Heat pump gas</t>
  </si>
  <si>
    <t>Fuel consumption in industry sectors|Gas|Fossil gases|Heat pump gas</t>
  </si>
  <si>
    <t>Fuel consumption in industry sectors|Gas|Synthetic gases|Heat pump gas</t>
  </si>
  <si>
    <t>Fuel consumption in Services sectors|Electricity|Heat pump electric</t>
  </si>
  <si>
    <t>Fuel consumption in Services sectors|Gas|Total|Heat pump gas</t>
  </si>
  <si>
    <t>Fuel consumption in Services sectors|Gas|Fossil gases|Heat pump gas</t>
  </si>
  <si>
    <t>Fuel consumption in Services sectors|Gas|Synthetic gases|Heat pump gas</t>
  </si>
  <si>
    <t>Space water and process heat production in Services sectors|Electricity|Heat pump electric</t>
  </si>
  <si>
    <t>Efficiency in Services sectors|Electricity|Heat pump electric</t>
  </si>
  <si>
    <t>Efficiency in Services sectors|Gas|Total|Heat pump gas</t>
  </si>
  <si>
    <t>Fuel consumption in Residential sector|Electricity|Space heating|Heat pump electric</t>
  </si>
  <si>
    <t>Fuel consumption in Residential sector|Electricity|Water heating|Heat pump electric</t>
  </si>
  <si>
    <t>Fuel consumption in Residential sector|Gas|Fossil gases|Space heating|Heat pump gas</t>
  </si>
  <si>
    <t>Fuel consumption in Residential sector|Gas|Synthetic gases|Space heating|Heat pump gas</t>
  </si>
  <si>
    <t>Fuel consumption in Residential sector|Gas|Total|Water heating|Heat pump gas</t>
  </si>
  <si>
    <t>Fuel consumption in Residential sector|Gas|Fossil gases|Water heating|Heat pump gas</t>
  </si>
  <si>
    <t>Fuel consumption in Residential sector|Gas|Synthetic gases|Water heating|Gas boiler</t>
  </si>
  <si>
    <t>Fuel consumption in Residential sector|Gas|Synthetic gases|Water heating|Heat pump gas</t>
  </si>
  <si>
    <t>Fuel consumption in Residential sector</t>
  </si>
  <si>
    <t>Fuel consumption for residential space and water heating (differentiated) by fuel and technology</t>
  </si>
  <si>
    <t>Fuel consumption in Residential sector|Solar|Space heating|Solar thermal</t>
  </si>
  <si>
    <t>Fuel consumption in Residential sector|Solar|Water heating|Solar thermal</t>
  </si>
  <si>
    <t>Fuel consumption in Residential sector|Hydrogen|From hydrogen grid</t>
  </si>
  <si>
    <t>Fuel consumption in Residential sector|Hydrogen|From gas grid (mixed with methane)</t>
  </si>
  <si>
    <t>Fuel consumption in Services sectors|Hydrogen|From gas grid (mixed with methane)</t>
  </si>
  <si>
    <t>Fuel consumption in Services sectors|Hydrogen|From hydrogen grid</t>
  </si>
  <si>
    <t>Fuel consumption in Residential sector|Hydrogen|From hydrogen grid|Water heating|Hydrogen boiler</t>
  </si>
  <si>
    <t>Fuel consumption in Residential sector|Heat|On-site CHPs|Residential sector CHPs gas</t>
  </si>
  <si>
    <t>Fuel consumption in Residential sector|Heat|On-site CHPs|Residential sector CHPs fuel cells (gas reformer)</t>
  </si>
  <si>
    <t>Fuel consumption in Residential sector|Heat|On-site CHPs|Residential sector CHPs wood</t>
  </si>
  <si>
    <t>Fuel consumption in Residential sector|Ambient heat|Space heating|Heat pump electric</t>
  </si>
  <si>
    <t>Fuel consumption in Residential sector|Ambient heat|Space heating|Heat pump gas</t>
  </si>
  <si>
    <t>Fuel consumption in Residential sector|Ambient heat|Water heating|Heat pump electric</t>
  </si>
  <si>
    <t>Fuel consumption in Residential sector|Ambient heat|Water heating|Heat pump gas</t>
  </si>
  <si>
    <t>Space and water heat production in Residential sector</t>
  </si>
  <si>
    <t>Space and water heat production by technology in residential sectors</t>
  </si>
  <si>
    <t>Fuel consumption in industry sectors|Electricity|Electric boiler</t>
  </si>
  <si>
    <t>Fuel consumption in Services sectors|Electricity|Electric boiler</t>
  </si>
  <si>
    <t>Space water and process heat production in Services sectors|Electricity|Electric boiler</t>
  </si>
  <si>
    <t>Efficiency in Services sectors|Electricity|Electric boiler</t>
  </si>
  <si>
    <t>Fuel consumption in Residential sector|Electricity|Space heating|Electric boiler</t>
  </si>
  <si>
    <t>Fuel consumption in Residential sector|Electricity|Water heating|Electric boiler</t>
  </si>
  <si>
    <t>Fuel consumption in Residential sector|Coal|Space heating|Coal boiler</t>
  </si>
  <si>
    <t>Fuel consumption in Residential sector|Coal|Water heating|Coal boiler</t>
  </si>
  <si>
    <t>Fuel consumption in Residential sector|Wood|Space heating|Wood boiler</t>
  </si>
  <si>
    <t>Fuel consumption in Residential sector|Wood|Water heating|Wood boiler</t>
  </si>
  <si>
    <t>Fuel consumption in Residential sector|Pellets|Space heating|Pellets boiler</t>
  </si>
  <si>
    <t>Fuel consumption in Residential sector|Pellets|Water heating|Pellets boiler</t>
  </si>
  <si>
    <t>Space and water heat production in Residential sector|Space heating</t>
  </si>
  <si>
    <t>Primary Production|Wood</t>
  </si>
  <si>
    <t>Primary Production|Waste</t>
  </si>
  <si>
    <t>Primary Production|Manure</t>
  </si>
  <si>
    <t>Primary Production|Hydro</t>
  </si>
  <si>
    <t>Primary Production|Solar</t>
  </si>
  <si>
    <t>Primary Production|Wind</t>
  </si>
  <si>
    <t>Primary Production|Ambient heat</t>
  </si>
  <si>
    <t>Primary Production|Geothermal</t>
  </si>
  <si>
    <t>Imports|Coal</t>
  </si>
  <si>
    <t>Imports|Oil</t>
  </si>
  <si>
    <t>Imports|Oil|Fossil liquids</t>
  </si>
  <si>
    <t>Imports|Oil|Synthetic liquids</t>
  </si>
  <si>
    <t>Imports|Gas</t>
  </si>
  <si>
    <t>Imports|Gas|Synthetic gases</t>
  </si>
  <si>
    <t>Imports|Gas|Synthetic gases|Biogases</t>
  </si>
  <si>
    <t>Imports|Gas|Synthetic gases|PtG</t>
  </si>
  <si>
    <t>Imports|Nuclear fuel</t>
  </si>
  <si>
    <t>Imports|Electricity</t>
  </si>
  <si>
    <t>Imports|Hydrogen</t>
  </si>
  <si>
    <t>Exports|Electricity</t>
  </si>
  <si>
    <t>Electricity generation|Nuclear Fuel</t>
  </si>
  <si>
    <t>Electricity generation|Hydro</t>
  </si>
  <si>
    <t>Electricity generation|Oil</t>
  </si>
  <si>
    <t>Electricity generation|Oil|Fossil liquids</t>
  </si>
  <si>
    <t>Electricity generation|Oil|Synthetic liquids</t>
  </si>
  <si>
    <t>Electricity generation|Gas</t>
  </si>
  <si>
    <t>Electricity generation|Gas|Fossil gases</t>
  </si>
  <si>
    <t>Electricity generation|Gas|Synthetic gases</t>
  </si>
  <si>
    <t>Electricity generation|Wastes</t>
  </si>
  <si>
    <t>Electricity generation|Wastes|Non Renewable</t>
  </si>
  <si>
    <t>Electricity generation|Wood</t>
  </si>
  <si>
    <t>Electricity generation|Wind</t>
  </si>
  <si>
    <t>Electricity generation|Solar</t>
  </si>
  <si>
    <t>Electricity generation|Geothermal</t>
  </si>
  <si>
    <t>Electricity generation|Hydrogen</t>
  </si>
  <si>
    <t>Electricity generation|Electricity storage (non hydro)</t>
  </si>
  <si>
    <t>Heat generation from CHPs and heat plants|District heating</t>
  </si>
  <si>
    <t>Heat generation from CHPs and heat plants|District heating|CHP|Oil</t>
  </si>
  <si>
    <t>Heat generation from CHPs and heat plants|District heating|CHP|Gas</t>
  </si>
  <si>
    <t>Heat generation from CHPs and heat plants|District heating|CHP|Gas|Fossil gases</t>
  </si>
  <si>
    <t>Heat generation from CHPs and heat plants|District heating|CHP|Gas|Synthetic gases</t>
  </si>
  <si>
    <t>Heat generation from CHPs and heat plants|District heating|CHP|Wastes</t>
  </si>
  <si>
    <t>Heat generation from CHPs and heat plants|District heating|CHP|Wastes|Renewable</t>
  </si>
  <si>
    <t>Heat generation from CHPs and heat plants|District heating|CHP|Wastes|Non Renewable</t>
  </si>
  <si>
    <t>Heat generation from CHPs and heat plants|District heating|CHP|Wood</t>
  </si>
  <si>
    <t>Heat generation from CHPs and heat plants|District heating|CHP|Hydrogen</t>
  </si>
  <si>
    <t>Heat generation from CHPs and heat plants|District heating|Heat plants</t>
  </si>
  <si>
    <t>Heat generation from CHPs and heat plants|District heating|Heat plants|Gas</t>
  </si>
  <si>
    <t>Heat generation from CHPs and heat plants|District heating|Heat plants|Gas|Fossil gases|Heat plant gas</t>
  </si>
  <si>
    <t>Heat generation from CHPs and heat plants|District heating|Heat plants|Gas|Synthetic gases|Heat plant gas</t>
  </si>
  <si>
    <t>Heat generation from CHPs and heat plants|District heating|Heat plants|Gas|Fossil gases</t>
  </si>
  <si>
    <t>Heat generation from CHPs and heat plants|District heating|CHP</t>
  </si>
  <si>
    <t>Heat generation from CHPs and heat plants|District heating|Heat plants|Gas|Synthetic gases</t>
  </si>
  <si>
    <t>Heat generation from CHPs and heat plants|District heating|Heat plants|Nuclear fuel</t>
  </si>
  <si>
    <t>Heat generation from CHPs and heat plants|District heating|Heat plants|Oil</t>
  </si>
  <si>
    <t>Heat generation from CHPs and heat plants|District heating|Heat plants|Fossil liquids</t>
  </si>
  <si>
    <t>Heat generation from CHPs and heat plants|District heating|Heat plants|Synthetic liquids</t>
  </si>
  <si>
    <t>Heat generation from CHPs and heat plants|District heating|Heat plants|Wood</t>
  </si>
  <si>
    <t>Heat generation from CHPs and heat plants|District heating|Heat plants|Solar</t>
  </si>
  <si>
    <t>Heat generation from CHPs and heat plants|District heating|Heat plants|Geothermal</t>
  </si>
  <si>
    <t>Heat generation from CHPs and heat plants|District heating|Heat plants|Electricity</t>
  </si>
  <si>
    <t>Heat generation from CHPs and heat plants|District heating|Heat plants|Electricity|Heat pump electric</t>
  </si>
  <si>
    <t>Heat generation from CHPs and heat plants|On-site CHPs</t>
  </si>
  <si>
    <t>Heat generation from CHPs and heat plants|On-site CHPs|Oil</t>
  </si>
  <si>
    <t>Heat generation from CHPs and heat plants|On-site CHPs|Oil|Fossil liquids</t>
  </si>
  <si>
    <t>Heat generation from CHPs and heat plants|On-site CHPs|Oil|Synthetic liquids</t>
  </si>
  <si>
    <t>Heat generation from CHPs and heat plants|On-site CHPs|Gas</t>
  </si>
  <si>
    <t>Heat generation from CHPs and heat plants|On-site CHPs|Gas|Fossil gases</t>
  </si>
  <si>
    <t>Heat generation from CHPs and heat plants|On-site CHPs|Gas|Synthetic gases</t>
  </si>
  <si>
    <t>Heat generation from CHPs and heat plants|On-site CHPs|Wastes</t>
  </si>
  <si>
    <t>Heat generation from CHPs and heat plants|On-site CHPs|Wastes|Renewable</t>
  </si>
  <si>
    <t>Heat generation from CHPs and heat plants|On-site CHPs|Wastes|Non Renewable</t>
  </si>
  <si>
    <t>Heat generation from CHPs and heat plants|On-site CHPs|Wood</t>
  </si>
  <si>
    <t>Heat generation from CHPs and heat plants|On-site CHPs|Hydrogen</t>
  </si>
  <si>
    <t>Fuel input for electricity generation|Nuclear Fuel</t>
  </si>
  <si>
    <t>Fuel input for electricity generation|Hydro</t>
  </si>
  <si>
    <t>Fuel input for electricity generation|Oil</t>
  </si>
  <si>
    <t>Fuel input for electricity generation|Oil|Fossil liquids</t>
  </si>
  <si>
    <t>Fuel input for electricity generation|Oil|Synthetic liquids</t>
  </si>
  <si>
    <t>Fuel input for electricity generation|Gas</t>
  </si>
  <si>
    <t>Fuel input for electricity generation|Gas|Fossil gases</t>
  </si>
  <si>
    <t>Fuel input for electricity generation|Gas|Synthetic gases</t>
  </si>
  <si>
    <t>Fuel input for electricity generation|Wastes</t>
  </si>
  <si>
    <t>Fuel input for electricity generation|Wastes|Renewable</t>
  </si>
  <si>
    <t>Fuel input for electricity generation|Wastes|Non Renewable</t>
  </si>
  <si>
    <t>Fuel input for electricity generation|Wood</t>
  </si>
  <si>
    <t>Fuel input for electricity generation|Wind</t>
  </si>
  <si>
    <t>Fuel input for electricity generation|Solar</t>
  </si>
  <si>
    <t>Fuel input for electricity generation|Geothermal</t>
  </si>
  <si>
    <t>Fuel input for electricity generation|Hydrogen</t>
  </si>
  <si>
    <t>Fuel input for electricity generation|Electricity storage (non hydro)</t>
  </si>
  <si>
    <t>Fuel input for heat generation from CHPs and heat plants|District heating</t>
  </si>
  <si>
    <t>Fuel input for heat generation from CHPs and heat plants|District heating|CHP</t>
  </si>
  <si>
    <t>Fuel input for heat generation from CHPs and heat plants|District heating|CHP|Oil</t>
  </si>
  <si>
    <t>Fuel input for heat generation from CHPs and heat plants|District heating|CHP|Oil|Fossil liquids</t>
  </si>
  <si>
    <t>Fuel input for heat generation from CHPs and heat plants|District heating|CHP|Oil|Synthetic liquids</t>
  </si>
  <si>
    <t>Fuel input for heat generation from CHPs and heat plants|District heating|CHP|Gas</t>
  </si>
  <si>
    <t>Fuel input for heat generation from CHPs and heat plants|District heating|CHP|Gas|Fossil gases</t>
  </si>
  <si>
    <t>Fuel input for heat generation from CHPs and heat plants|District heating|CHP|Gas|Synthetic gases</t>
  </si>
  <si>
    <t>Fuel input for heat generation from CHPs and heat plants|District heating|CHP|Wastes</t>
  </si>
  <si>
    <t>Fuel input for heat generation from CHPs and heat plants|District heating|CHP|Wastes|Renewable</t>
  </si>
  <si>
    <t>Fuel input for heat generation from CHPs and heat plants|District heating|CHP|Wastes|Non Renewable</t>
  </si>
  <si>
    <t>Fuel input for heat generation from CHPs and heat plants|District heating|CHP|Wood</t>
  </si>
  <si>
    <t>Fuel input for heat generation from CHPs and heat plants|District heating|CHP|Hydrogen</t>
  </si>
  <si>
    <t>Fuel input for heat generation from CHPs and heat plants|District heating|Heat plants</t>
  </si>
  <si>
    <t>Fuel input for heat generation from CHPs and heat plants|District heating|Heat plants|Gas</t>
  </si>
  <si>
    <t>Fuel input for heat generation from CHPs and heat plants|District heating|Heat plants|Fossil gases</t>
  </si>
  <si>
    <t>Fuel input for heat generation from CHPs and heat plants|District heating|Heat plants|Synthetic gases</t>
  </si>
  <si>
    <t>Fuel input for heat generation from CHPs and heat plants|District heating|Heat plants|Nuclear fuel</t>
  </si>
  <si>
    <t>Fuel input for heat generation from CHPs and heat plants|District heating|Heat plants|Oil</t>
  </si>
  <si>
    <t>Fuel input for heat generation from CHPs and heat plants|District heating|Heat plants|Oil|Fossil liquids|Heat plant oil</t>
  </si>
  <si>
    <t>Fuel input for heat generation from CHPs and heat plants|District heating|Heat plants|Oil|Fossil liquids</t>
  </si>
  <si>
    <t>Fuel input for heat generation from CHPs and heat plants|District heating|Heat plants|Oil|Synthetic liquids|Heat plant oil</t>
  </si>
  <si>
    <t>Fuel input for heat generation from CHPs and heat plants|District heating|Heat plants|Oil|Synthetic liquids</t>
  </si>
  <si>
    <t>Fuel input for heat generation from CHPs and heat plants|District heating|Heat plants|Wood</t>
  </si>
  <si>
    <t>Fuel input for heat generation from CHPs and heat plants|District heating|Heat plants|Solar</t>
  </si>
  <si>
    <t>Fuel input for heat generation from CHPs and heat plants|District heating|Heat plants|Geothermal</t>
  </si>
  <si>
    <t>Fuel input for heat generation from CHPs and heat plants|District heating|Heat plants|Electricity</t>
  </si>
  <si>
    <t>Fuel input for heat generation from CHPs and heat plants|District heating|Heat plants|Electricity|Heat pump electric</t>
  </si>
  <si>
    <t>Fuel input for heat generation from CHPs and heat plants|On-site CHPs</t>
  </si>
  <si>
    <t>Fuel input for heat generation from CHPs and heat plants|On-site CHPs|Oil</t>
  </si>
  <si>
    <t>Fuel input for heat generation from CHPs and heat plants|On-site CHPs|Gas</t>
  </si>
  <si>
    <t>Fuel input for heat generation from CHPs and heat plants|On-site CHPs|Oil|Fossil liquids</t>
  </si>
  <si>
    <t>Fuel input for heat generation from CHPs and heat plants|On-site CHPs|Oil|Synthetic liquids</t>
  </si>
  <si>
    <t>Fuel input for heat generation from CHPs and heat plants|On-site CHPs|Gas|Fossil gases</t>
  </si>
  <si>
    <t>Fuel input for heat generation from CHPs and heat plants|On-site CHPs|Gas|Synthetic gases</t>
  </si>
  <si>
    <t>Fuel input for heat generation from CHPs and heat plants|On-site CHPs|Wastes</t>
  </si>
  <si>
    <t>Fuel input for heat generation from CHPs and heat plants|On-site CHPs|Wastes|Renewable</t>
  </si>
  <si>
    <t>Fuel input for heat generation from CHPs and heat plants|On-site CHPs|Wastes|Non Renewable</t>
  </si>
  <si>
    <t>Fuel input for heat generation from CHPs and heat plants|On-site CHPs|Wood</t>
  </si>
  <si>
    <t>Fuel input for heat generation from CHPs and heat plants|On-site CHPs|Hydrogen</t>
  </si>
  <si>
    <t>Domestic biodiesel production|Wood</t>
  </si>
  <si>
    <t>Heat from domestic biodiesel production|Wood</t>
  </si>
  <si>
    <t>Fuel input for domestic biodiesel production|Wood</t>
  </si>
  <si>
    <t>Fuel input for domestic biodiesel production|Electricity</t>
  </si>
  <si>
    <t>Fuel input for domestic ethanol production|Wood</t>
  </si>
  <si>
    <t>Fuel input for domestic ethanol production|Electricity</t>
  </si>
  <si>
    <t>Domestic biogas production|Wastes|Renewable</t>
  </si>
  <si>
    <t>Domestic biogas production|Wood</t>
  </si>
  <si>
    <t>Electricity from domestic biogas production|Wood</t>
  </si>
  <si>
    <t>Heat from domestic biogas production|Wood</t>
  </si>
  <si>
    <t>Heat from domestic biogas production|Wastes|Renewable</t>
  </si>
  <si>
    <t>Fuel input for domestic biogas production|Wastes|Renewable</t>
  </si>
  <si>
    <t>Fuel input for domestic biogas production|Wood</t>
  </si>
  <si>
    <t>Domestic hydrogen production|Electricity</t>
  </si>
  <si>
    <t>Domestic hydrogen production|Gas</t>
  </si>
  <si>
    <t>Domestic hydrogen production|Gas|Fossil gases</t>
  </si>
  <si>
    <t>Domestic hydrogen production|Gas|Synthetic gases</t>
  </si>
  <si>
    <t>Domestic hydrogen production|Wood</t>
  </si>
  <si>
    <t>Fuel input for hydrogen production|Electricity</t>
  </si>
  <si>
    <t>Fuel input for hydrogen production|Heat</t>
  </si>
  <si>
    <t>Fuel input for hydrogen production|Gas</t>
  </si>
  <si>
    <t>Fuel input for hydrogen production|Gas|Fossil gases</t>
  </si>
  <si>
    <t>Fuel input for hydrogen production|Gas|Synthetic gases</t>
  </si>
  <si>
    <t>Fuel input for hydrogen production|Wood</t>
  </si>
  <si>
    <t>Domestic PtG and PtL production|PtG</t>
  </si>
  <si>
    <t>Domestic PtG and PtL production|PtL</t>
  </si>
  <si>
    <t>Fuel input for domestic PtG and PtL production|Hydrogen</t>
  </si>
  <si>
    <t>Fuel input for domestic PtG and PtL production|Hydrogen|PtG</t>
  </si>
  <si>
    <t>Fuel input for domestic PtG and PtL production|Hydrogen|PtL</t>
  </si>
  <si>
    <t>CO2 input for domestic PtG and PtL production|CO2|Total|PtG</t>
  </si>
  <si>
    <t>CO2 input for domestic PtG and PtL production|CO2|Total|PtL</t>
  </si>
  <si>
    <t>CO2 input for domestic PtG and PtL production|CO2|Biogenic source|PtG</t>
  </si>
  <si>
    <t>CO2 input for domestic PtG and PtL production|CO2|Biogenic source|PtL</t>
  </si>
  <si>
    <t>CO2 input for domestic PtG and PtL production|CO2|Fossil source|PtG</t>
  </si>
  <si>
    <t>CO2 input for domestic PtG and PtL production|CO2|Fossil source|PtL</t>
  </si>
  <si>
    <t>CO2 input for domestic PtG and PtL production|CO2|Direct air capture source source|PtG</t>
  </si>
  <si>
    <t>CO2 input for domestic PtG and PtL production|CO2|Direct air capture source source|PtL</t>
  </si>
  <si>
    <t>Fuel consumption in industry sectors|Electricity</t>
  </si>
  <si>
    <t>Fuel consumption in industry sectors|Oil|Fossil liquids</t>
  </si>
  <si>
    <t>Fuel consumption in industry sectors|Oil|Synthetic liquids</t>
  </si>
  <si>
    <t>Fuel consumption in industry sectors|Oil|Synthetic liquids|Light fuel oil boiler</t>
  </si>
  <si>
    <t>Fuel consumption in industry sectors|Oil|Fossil liquids|Heavy fuel oil|Heavy fuel oil boiler</t>
  </si>
  <si>
    <t>Fuel consumption in industry sectors|Gas|Fossil gases</t>
  </si>
  <si>
    <t>Fuel consumption in industry sectors|Gas|Synthetic gases</t>
  </si>
  <si>
    <t>Fuel consumption in industry sectors|Coal</t>
  </si>
  <si>
    <t>Fuel consumption in industry sectors|Coal|Coal boiler</t>
  </si>
  <si>
    <t>Fuel consumption in industry sectors|Heat</t>
  </si>
  <si>
    <t>Fuel consumption in industry sectors|Heat|On-site CHPs</t>
  </si>
  <si>
    <t>Fuel consumption in industry sectors|Heat|District heating</t>
  </si>
  <si>
    <t>Fuel consumption in industry sectors|Wood</t>
  </si>
  <si>
    <t>Fuel consumption in industry sectors|Wood|Wood boiler</t>
  </si>
  <si>
    <t>Fuel consumption in industry sectors|Pellets</t>
  </si>
  <si>
    <t>Fuel consumption in industry sectors|Pellets|Pellet boiler</t>
  </si>
  <si>
    <t>Fuel consumption in industry sectors|Solar</t>
  </si>
  <si>
    <t>Fuel consumption in industry sectors|Solar|Solar thermal</t>
  </si>
  <si>
    <t>Fuel consumption in industry sectors|Hydrogen</t>
  </si>
  <si>
    <t>Fuel consumption in industry sectors|Hydrogen|Hydrogen boiler</t>
  </si>
  <si>
    <t>Fuel consumption in industry sectors|Ambient heat</t>
  </si>
  <si>
    <t>Fuel consumption in industry sectors|Ambient heat|Heat pump electric</t>
  </si>
  <si>
    <t>Fuel consumption in industry sectors|Ambient heat|Heat pump gas</t>
  </si>
  <si>
    <t>Fuel consumption in Services sectors|Electricity</t>
  </si>
  <si>
    <t>Fuel consumption in Services sectors|Oil|Fossil liquids</t>
  </si>
  <si>
    <t>Fuel consumption in Services sectors|Oil|Synthetic liquids</t>
  </si>
  <si>
    <t>Fuel consumption in Services sectors|Oil|Synthetic liquids|Light fuel oil boiler</t>
  </si>
  <si>
    <t>Fuel consumption in Services sectors|Gas|Fossil gases</t>
  </si>
  <si>
    <t>Fuel consumption in Services sectors|Gas|Synthetic gases</t>
  </si>
  <si>
    <t>Fuel consumption in Services sectors|Heat</t>
  </si>
  <si>
    <t>Fuel consumption in Services sectors|Heat|On-site CHPs</t>
  </si>
  <si>
    <t>Fuel consumption in Services sectors|Heat|District heating</t>
  </si>
  <si>
    <t>Fuel consumption in Services sectors|Wood</t>
  </si>
  <si>
    <t>Fuel consumption in Services sectors|Wood|Wood boiler</t>
  </si>
  <si>
    <t>Fuel consumption in Services sectors|Pellets</t>
  </si>
  <si>
    <t>Fuel consumption in Services sectors|Pellets|Pellet boiler</t>
  </si>
  <si>
    <t>Fuel consumption in Services sectors|Solar</t>
  </si>
  <si>
    <t>Fuel consumption in Services sectors|Solar|Solar thermal</t>
  </si>
  <si>
    <t>Fuel consumption in Services sectors|Hydrogen</t>
  </si>
  <si>
    <t>Fuel consumption in Services sectors|Hydrogen|From hydrogen grid|Hydrogen boiler</t>
  </si>
  <si>
    <t>Fuel consumption in Services sectors|Ambient heat</t>
  </si>
  <si>
    <t>Fuel consumption in Services sectors|Ambient heat|Heat pump electric</t>
  </si>
  <si>
    <t>Fuel consumption in Services sectors|Ambient heat|Heat pump gas</t>
  </si>
  <si>
    <t>Space water and process heat production in Services sectors|Electricity</t>
  </si>
  <si>
    <t>Space water and process heat production in Services sectors|Heat</t>
  </si>
  <si>
    <t>Space water and process heat production in Services sectors|Heat|On-site CHPs</t>
  </si>
  <si>
    <t>Space water and process heat production in Services sectors|Heat|District heating</t>
  </si>
  <si>
    <t>Space water and process heat production in Services sectors|Wood</t>
  </si>
  <si>
    <t>Space water and process heat production in Services sectors|Wood|Wood boiler</t>
  </si>
  <si>
    <t>Space water and process heat production in Services sectors|Pellets</t>
  </si>
  <si>
    <t>Space water and process heat production in Services sectors|Pellets|Pellet boiler</t>
  </si>
  <si>
    <t>Space water and process heat production in Services sectors|Solar</t>
  </si>
  <si>
    <t>Space water and process heat production in Services sectors|Solar|Solar thermal</t>
  </si>
  <si>
    <t>Space water and process heat production in Services sectors|Hydrogen</t>
  </si>
  <si>
    <t>Space water and process heat production in Services sectors|Hydrogen|Hydrogen boiler</t>
  </si>
  <si>
    <t>Space water and process heat production in Services sectors|Energy savings</t>
  </si>
  <si>
    <t>Efficiency in Services sectors|Heat|District heating</t>
  </si>
  <si>
    <t>Efficiency in Services sectors|Wood|Wood boiler</t>
  </si>
  <si>
    <t>Efficiency in Services sectors|Pellets|Pellet boiler</t>
  </si>
  <si>
    <t>Efficiency in Services sectors|Solar|Solar thermal</t>
  </si>
  <si>
    <t>Efficiency in Services sectors|Hydrogen|Hydrogen boiler</t>
  </si>
  <si>
    <t>Fuel consumption in Residential sector|Electricity</t>
  </si>
  <si>
    <t>Fuel consumption in Residential sector|Electricity|Space heating</t>
  </si>
  <si>
    <t>Fuel consumption in Residential sector|Electricity|Water heating</t>
  </si>
  <si>
    <t>Fuel consumption in Residential sector|Electricity|Other appliances</t>
  </si>
  <si>
    <t>Fuel consumption in Residential sector|Oil|Fossil liquids</t>
  </si>
  <si>
    <t>Fuel consumption in Residential sector|Oil|Synthetic liquids</t>
  </si>
  <si>
    <t>Fuel consumption in Residential sector|Oil|Total|Space heating</t>
  </si>
  <si>
    <t>Fuel consumption in Residential sector|Oil|Fossil liquids|Space heating</t>
  </si>
  <si>
    <t>Fuel consumption in Residential sector|Oil|Synthetic liquids|Space heating</t>
  </si>
  <si>
    <t>Fuel consumption in Residential sector|Oil|Total|Water heating</t>
  </si>
  <si>
    <t>Fuel consumption in Residential sector|Gas|Fossil gases</t>
  </si>
  <si>
    <t>Fuel consumption in Residential sector|Gas|Synthetic gases</t>
  </si>
  <si>
    <t>Fuel consumption in Residential sector|Gas|Total|Space heating</t>
  </si>
  <si>
    <t>Fuel consumption in Residential sector|Gas|Fossil gases|Space heating</t>
  </si>
  <si>
    <t>Fuel consumption in Residential sector|Gas|Synthetic gases|Space heating</t>
  </si>
  <si>
    <t>Fuel consumption in Residential sector|Gas|Total|Water heating</t>
  </si>
  <si>
    <t>Fuel consumption in Residential sector|Gas|Fossil gases|Water heating</t>
  </si>
  <si>
    <t>Fuel consumption in Residential sector|Gas|Synthetic gases|Water heating</t>
  </si>
  <si>
    <t>Fuel consumption in Residential sector|Coal</t>
  </si>
  <si>
    <t>Fuel consumption in Residential sector|Coal|Space heating</t>
  </si>
  <si>
    <t>Fuel consumption in Residential sector|Coal|Water heating</t>
  </si>
  <si>
    <t>Fuel consumption in Residential sector|Wood</t>
  </si>
  <si>
    <t>Fuel consumption in Residential sector|Wood|Space heating</t>
  </si>
  <si>
    <t>Fuel consumption in Residential sector|Wood|Water heating</t>
  </si>
  <si>
    <t>Fuel consumption in Residential sector|Pellets</t>
  </si>
  <si>
    <t>Fuel consumption in Residential sector|Pellets|Space heating</t>
  </si>
  <si>
    <t>Fuel consumption in Residential sector|Pellets|Water heating</t>
  </si>
  <si>
    <t>Fuel consumption in Residential sector|Solar</t>
  </si>
  <si>
    <t>Fuel consumption in Residential sector|Solar|Space heating</t>
  </si>
  <si>
    <t>Fuel consumption in Residential sector|Solar|Water heating</t>
  </si>
  <si>
    <t>Fuel consumption in Residential sector|Hydrogen</t>
  </si>
  <si>
    <t>Fuel consumption in Residential sector|Hydrogen|From hydrogen grid|Space heating|Hydrogen boiler</t>
  </si>
  <si>
    <t>Fuel consumption in Residential sector|Hydrogen|From hydrogen grid|Space heating</t>
  </si>
  <si>
    <t>Fuel consumption in Residential sector|Hydrogen|From hydrogen grid|Water heating</t>
  </si>
  <si>
    <t>Fuel consumption in Residential sector|Heat</t>
  </si>
  <si>
    <t>Fuel consumption in Residential sector|Heat|On-site CHPs</t>
  </si>
  <si>
    <t>Fuel consumption in Residential sector|Heat|District heating</t>
  </si>
  <si>
    <t>Fuel consumption in Residential sector|Ambient heat</t>
  </si>
  <si>
    <t>Fuel consumption in Residential sector|Ambient heat|Space heating</t>
  </si>
  <si>
    <t>Fuel consumption in Residential sector|Ambient heat|Water heating</t>
  </si>
  <si>
    <t>Space water and process heat production in Services sectors|Oil</t>
  </si>
  <si>
    <t>Space water and process heat production in Services sectors|Oil|Light fuel boiler</t>
  </si>
  <si>
    <t>Space water and process heat production in Services sectors|Gas</t>
  </si>
  <si>
    <t>Space water and process heat production in Services sectors|Gas|Gas boiler</t>
  </si>
  <si>
    <t>Space water and process heat production in Services sectors|Gas|Heat pump gas</t>
  </si>
  <si>
    <t>Space water and process heat production in Services sectors|Gas|Biogas boiler</t>
  </si>
  <si>
    <t>Space and water heat production in Residential sector|Space heating|Oil</t>
  </si>
  <si>
    <t>Space and water heat production in Residential sector|Space heating|Oil|Light fuel oil boiler</t>
  </si>
  <si>
    <t>Space and water heat production in Residential sector|Space heating|Gas</t>
  </si>
  <si>
    <t>Space and water heat production in Residential sector|Space heating|Gas|Gas boiler</t>
  </si>
  <si>
    <t>Space and water heat production in Residential sector|Space heating|Gas|Heat pump gas</t>
  </si>
  <si>
    <t>Space and water heat production in Residential sector|Space heating|Coal</t>
  </si>
  <si>
    <t>Space and water heat production in Residential sector|Space heating|Coal|Coal boiler</t>
  </si>
  <si>
    <t>Space and water heat production in Residential sector|Space heating|Heat</t>
  </si>
  <si>
    <t>Space and water heat production in Residential sector|Space heating|Heat|On-site CHPs</t>
  </si>
  <si>
    <t>Space and water heat production in Residential sector|Space heating|Heat|On-site CHPs|Residential sector CHPs gas</t>
  </si>
  <si>
    <t>Space and water heat production in Residential sector|Space heating|Heat|On-site CHPs|Residential sector CHPs fuel cells (gas reformer)</t>
  </si>
  <si>
    <t>Space and water heat production in Residential sector|Space heating|Heat|On-site CHPs|Residential sector CHPs wood</t>
  </si>
  <si>
    <t>Space and water heat production in Residential sector|Space heating|Heat|District heating</t>
  </si>
  <si>
    <t>Space and water heat production in Residential sector|Space heating|Wood</t>
  </si>
  <si>
    <t>Space and water heat production in Residential sector|Space heating|Wood|Wood boiler</t>
  </si>
  <si>
    <t>Space and water heat production in Residential sector|Space heating|Pellets</t>
  </si>
  <si>
    <t>Space and water heat production in Residential sector|Space heating|Pellets|Pellets boiler</t>
  </si>
  <si>
    <t>Space and water heat production in Residential sector|Space heating|Solar</t>
  </si>
  <si>
    <t>Space and water heat production in Residential sector|Space heating|Solar|Solar thermal</t>
  </si>
  <si>
    <t>Space and water heat production in Residential sector|Space heating|Hydrogen</t>
  </si>
  <si>
    <t>Space and water heat production in Residential sector|Space heating|Hydrogen|Hydrogen boiler</t>
  </si>
  <si>
    <t>Space and water heat production in Residential sector|Space heating|Energy savings</t>
  </si>
  <si>
    <t>Space and water heat production in Residential sector|Water heating</t>
  </si>
  <si>
    <t>Space and water heat production in Residential sector|Water heating|Oil</t>
  </si>
  <si>
    <t>Space and water heat production in Residential sector|Water heating|Oil|Light fuel oil boiler</t>
  </si>
  <si>
    <t>Space and water heat production in Residential sector|Water heating|Gas</t>
  </si>
  <si>
    <t>Space and water heat production in Residential sector|Water heating|Gas|Gas boiler</t>
  </si>
  <si>
    <t>Space and water heat production in Residential sector|Water heating|Gas|Heat pump gas</t>
  </si>
  <si>
    <t>Space and water heat production in Residential sector|Water heating|Coal</t>
  </si>
  <si>
    <t>Space and water heat production in Residential sector|Water heating|Coal|Coal boiler</t>
  </si>
  <si>
    <t>Space and water heat production in Residential sector|Water heating|Heat</t>
  </si>
  <si>
    <t>Space and water heat production in Residential sector|Water heating|Heat|On-site CHPs</t>
  </si>
  <si>
    <t>Space and water heat production in Residential sector|Water heating|Heat|On-site CHPs|Residential sector CHPs gas</t>
  </si>
  <si>
    <t>Space and water heat production in Residential sector|Water heating|Heat|On-site CHPs|Residential sector CHPs fuel cells (gas reformer)</t>
  </si>
  <si>
    <t>Space and water heat production in Residential sector|Water heating|Heat|On-site CHPs|Residential sector CHPs wood</t>
  </si>
  <si>
    <t>Space and water heat production in Residential sector|Water heating|Heat|District heating</t>
  </si>
  <si>
    <t>Space and water heat production in Residential sector|Water heating|Wood</t>
  </si>
  <si>
    <t>Space and water heat production in Residential sector|Water heating|Wood|Wood boiler</t>
  </si>
  <si>
    <t>Space and water heat production in Residential sector|Water heating|Pellets</t>
  </si>
  <si>
    <t>Space and water heat production in Residential sector|Water heating|Pellets|Pellets boiler</t>
  </si>
  <si>
    <t>Space and water heat production in Residential sector|Water heating|Solar</t>
  </si>
  <si>
    <t>Space and water heat production in Residential sector|Water heating|Solar|Solar thermal</t>
  </si>
  <si>
    <t>Space and water heat production in Residential sector|Water heating|Hydrogen</t>
  </si>
  <si>
    <t>Space and water heat production in Residential sector|Water heating|Hydrogen|Hydrogen boiler</t>
  </si>
  <si>
    <t>Space and water heat production in Residential sector|Water heating|Energy savings</t>
  </si>
  <si>
    <t>Efficiency in Residential sector</t>
  </si>
  <si>
    <t>Efficiency in Residential sector|Space heating|Oil|Light fuel oil boiler</t>
  </si>
  <si>
    <t>Efficiency in Residential sector|Space heating|Gas|Gas boiler</t>
  </si>
  <si>
    <t>Efficiency in Residential sector|Space heating|Gas|Heat pump gas</t>
  </si>
  <si>
    <t>Efficiency in Residential sector|Space heating|Coal|Coal boiler</t>
  </si>
  <si>
    <t>Efficiency in Residential sector|Space heating|Heat|On-site CHPs|Residential sector CHPs gas</t>
  </si>
  <si>
    <t>Efficiency in Residential sector|Space heating|Heat|On-site CHPs|Residential sector CHPs fuel cells (gas reformer)</t>
  </si>
  <si>
    <t>Efficiency in Residential sector|Space heating|Heat|On-site CHPs|Residential sector CHPs wood</t>
  </si>
  <si>
    <t>Efficiency in Residential sector|Space heating|Heat|District heating</t>
  </si>
  <si>
    <t>Efficiency in Residential sector|Space heating|Wood|Wood boiler</t>
  </si>
  <si>
    <t>Efficiency in Residential sector|Space heating|Pellets|Pellets boiler</t>
  </si>
  <si>
    <t>Efficiency in Residential sector|Space heating|Solar|Solar thermal</t>
  </si>
  <si>
    <t>Efficiency in Residential sector|Space heating|Hydrogen|Hydrogen boiler</t>
  </si>
  <si>
    <t>Efficiency in Residential sector|Water heating|Oil|Light fuel oil boiler</t>
  </si>
  <si>
    <t>Efficiency in Residential sector|Water heating|Gas|Gas boiler</t>
  </si>
  <si>
    <t>Efficiency in Residential sector|Water heating|Gas|Heat pump gas</t>
  </si>
  <si>
    <t>Efficiency in Residential sector|Water heating|Heat|On-site CHPs|Residential sector CHPs gas</t>
  </si>
  <si>
    <t>Efficiency in Residential sector|Water heating|Heat|On-site CHPs|Residential sector CHPs fuel cells (gas reformer)</t>
  </si>
  <si>
    <t>Efficiency in Residential sector|Water heating|Heat|On-site CHPs|Residential sector CHPs wood</t>
  </si>
  <si>
    <t>Efficiency in Residential sector|Water heating|Heat|District heating</t>
  </si>
  <si>
    <t>Efficiency in Residential sector|Water heating|Wood|Wood boiler</t>
  </si>
  <si>
    <t>Efficiency in Residential sector|Water heating|Pellets|Pellets boiler</t>
  </si>
  <si>
    <t>Efficiency in Residential sector|Water heating|Solar|Solar thermal</t>
  </si>
  <si>
    <t>Efficiency in Residential sector|Water heating|Hydrogen|Hydrogen boiler</t>
  </si>
  <si>
    <t>Space and water heat production in Residential sector|Space heating|Electricty</t>
  </si>
  <si>
    <t>Space and water heat production in Residential sector|Space heating|Electricty|Electric boiler</t>
  </si>
  <si>
    <t>Space and water heat production in Residential sector|Space heating|Electricty|Heat pump electric</t>
  </si>
  <si>
    <t>Space and water heat production in Residential sector|Water heating|Electricty</t>
  </si>
  <si>
    <t>Space and water heat production in Residential sector|Water heating|Electricty|Electric boiler</t>
  </si>
  <si>
    <t>Space and water heat production in Residential sector|Water heating|Electricty|Heat pump electric</t>
  </si>
  <si>
    <t>Efficiency in Residential sector|Space heating|Electricty|Electric boiler</t>
  </si>
  <si>
    <t>Efficiency in Residential sector|Space heating|Electricty|Heat pump electric</t>
  </si>
  <si>
    <t>Efficiency in Residential sector|Water heating|Electricty|Electric boiler</t>
  </si>
  <si>
    <t>Efficiency in Residential sector|Water heating|Electricty|Heat pump electric</t>
  </si>
  <si>
    <t>Average annual efficiency of residential boilers including part load lossess</t>
  </si>
  <si>
    <t xml:space="preserve">Fuel consumption in cars </t>
  </si>
  <si>
    <t>The alternative fuels consumption is provided for totals but it can be proportionally allocated to cars</t>
  </si>
  <si>
    <t xml:space="preserve">Cars mileage </t>
  </si>
  <si>
    <t>Annual km driven by cars per car type and fuel</t>
  </si>
  <si>
    <t>Cars efficiency</t>
  </si>
  <si>
    <t>billion km/yr.</t>
  </si>
  <si>
    <t>Cars mileage</t>
  </si>
  <si>
    <t>Cars mileage|Electricity|Existing battery electric cars</t>
  </si>
  <si>
    <t>Cars mileage|Electricity|New battery electric cars (&lt;60kW)</t>
  </si>
  <si>
    <t>Cars mileage|Electricity|New battery electric cars (60-100 kW)</t>
  </si>
  <si>
    <t>Cars mileage|Electricity|New battery electric cars (100-140 kW)</t>
  </si>
  <si>
    <t>Cars mileage|Electricity|New battery electric cars (&gt;140 kW)</t>
  </si>
  <si>
    <t>Cars mileage|Electricity|New plug-in hybrid gasoline (&lt;60 kW)</t>
  </si>
  <si>
    <t>Cars mileage|Electricity|New plug-in hybrid gasoline (60-100 kW)</t>
  </si>
  <si>
    <t>Cars mileage|Electricity|New plug-in hybrid gasoline (100-140 kW)</t>
  </si>
  <si>
    <t>Cars mileage|Electricity|New plug-in hybrid gasoline (&gt;140 kW)</t>
  </si>
  <si>
    <t>Cars mileage|Electricity|New plug-in hybrid diesel (&lt;60 kW)</t>
  </si>
  <si>
    <t>Cars mileage|Electricity|New plug-in hybrid diesel (60-100 kW)</t>
  </si>
  <si>
    <t>Cars mileage|Electricity|New plug-in hybrid diesel (100-140 kW)</t>
  </si>
  <si>
    <t>Cars mileage|Electricity|New plug-in hybrid diesel (&gt;140 kW)</t>
  </si>
  <si>
    <t>Cars mileage|Hydrogen|New fuel cell cars (&lt;60 kW)</t>
  </si>
  <si>
    <t>Cars mileage|Hydrogen|New fuel cell cars (60-100 kW)</t>
  </si>
  <si>
    <t>Cars mileage|Hydrogen|New fuel cell cars (100-140 kW)</t>
  </si>
  <si>
    <t>Cars mileage|Hydrogen|New fuel cell cars (&gt;140 kW)</t>
  </si>
  <si>
    <t>Cars mileage|Motor Gasoline|Total|New conventional gasoline hybrid (&lt;60 kW)</t>
  </si>
  <si>
    <t>Cars mileage|Motor Gasoline|Total|New conventional gasoline hybrid (60-100 kW)</t>
  </si>
  <si>
    <t>Cars mileage|Motor Gasoline|Total|New conventional gasoline hybrid (100-140 kW)</t>
  </si>
  <si>
    <t>Cars mileage|Motor Gasoline|Total|New conventional gasoline hybrid (&gt;140 kW)</t>
  </si>
  <si>
    <t>Cars mileage|Motor Gasoline|Total|Conventional gasoline ICE existing</t>
  </si>
  <si>
    <t>Cars mileage|Motor Gasoline|Total|New conventional gasoline ICE (&lt;60 kW)</t>
  </si>
  <si>
    <t>Cars mileage|Motor Gasoline|Total|New conventional gasoline ICE (60-100 kW)</t>
  </si>
  <si>
    <t>Cars mileage|Motor Gasoline|Total|New conventional gasoline ICE (100-140 kW)</t>
  </si>
  <si>
    <t>Cars mileage|Motor Gasoline|Total|New conventional gasoline ICE (&gt;140 kW)</t>
  </si>
  <si>
    <t>Cars mileage|Motor Gasoline|Total|New mild hybrid gasoline (&lt;60 kW)</t>
  </si>
  <si>
    <t>Cars mileage|Motor Gasoline|Total|New mild hybrid gasoline (60-100 kW)</t>
  </si>
  <si>
    <t>Cars mileage|Motor Gasoline|Total|New mild hybrid gasoline (100-140 kW)</t>
  </si>
  <si>
    <t>Cars mileage|Motor Gasoline|Total|New mild hybrid gasoline (&gt;140 kW)</t>
  </si>
  <si>
    <t>Cars mileage|Motor Diesel|Total|New conventional diesel hybrid (&lt;60 kW)</t>
  </si>
  <si>
    <t>Cars mileage|Motor Diesel|Total|New conventional diesel hybrid (60-100 kW)</t>
  </si>
  <si>
    <t>Cars mileage|Motor Diesel|Total|New conventional diesel hybrid (100-140 kW)</t>
  </si>
  <si>
    <t>Cars mileage|Motor Diesel|Total|New conventional diesel hybrid (&gt;140 kW)</t>
  </si>
  <si>
    <t>Cars mileage|Motor Diesel|Total|Conventional diesel ICE existing</t>
  </si>
  <si>
    <t>Cars mileage|Motor Diesel|Total|New conventional diesel ICE (&lt;60 kW)</t>
  </si>
  <si>
    <t>Cars mileage|Motor Diesel|Total|New conventional diesel ICE (60-100 kW)</t>
  </si>
  <si>
    <t>Cars mileage|Motor Diesel|Total|New conventional diesel ICE (100-140 kW)</t>
  </si>
  <si>
    <t>Cars mileage|Motor Diesel|Total|New conventional diesel ICE (&gt;140 kW)</t>
  </si>
  <si>
    <t>Cars mileage|Motor Diesel|Total|New mild hybrid diesel (&lt;60 kW)</t>
  </si>
  <si>
    <t>Cars mileage|Motor Diesel|Total|New mild hybrid diesel (60-100 kW)</t>
  </si>
  <si>
    <t>Cars mileage|Motor Diesel|Total|New mild hybrid diesel (100-140 kW)</t>
  </si>
  <si>
    <t>Cars mileage|Motor Diesel|Total|New mild hybrid diesel (&gt;140 kW)</t>
  </si>
  <si>
    <t>Cars mileage|Gas|Conventional gas ICE existing</t>
  </si>
  <si>
    <t>Cars mileage|Gas|New conventionalgas ICE (&lt;60 kW)</t>
  </si>
  <si>
    <t>Cars mileage|Gas|New conventional gas ICE (60-100 kW)</t>
  </si>
  <si>
    <t>Cars mileage|Gas|New conventional gas ICE (100-140 kW)</t>
  </si>
  <si>
    <t>Cars mileage|Gas|New conventional gas ICE (&gt;140 kW)</t>
  </si>
  <si>
    <t>Cars efficiency|Electricity|Existing battery electric cars</t>
  </si>
  <si>
    <t>Cars efficiency|Electricity|New battery electric cars (&lt;60kW)</t>
  </si>
  <si>
    <t>Cars efficiency|Electricity|New battery electric cars (60-100 kW)</t>
  </si>
  <si>
    <t>Cars efficiency|Electricity|New battery electric cars (100-140 kW)</t>
  </si>
  <si>
    <t>Cars efficiency|Electricity|New battery electric cars (&gt;140 kW)</t>
  </si>
  <si>
    <t>Cars efficiency|Electricity|New plug-in hybrid gasoline (&lt;60 kW)</t>
  </si>
  <si>
    <t>Cars efficiency|Electricity|New plug-in hybrid gasoline (60-100 kW)</t>
  </si>
  <si>
    <t>Cars efficiency|Electricity|New plug-in hybrid gasoline (100-140 kW)</t>
  </si>
  <si>
    <t>Cars efficiency|Electricity|New plug-in hybrid gasoline (&gt;140 kW)</t>
  </si>
  <si>
    <t>Cars efficiency|Electricity|New plug-in hybrid diesel (&lt;60 kW)</t>
  </si>
  <si>
    <t>Cars efficiency|Electricity|New plug-in hybrid diesel (60-100 kW)</t>
  </si>
  <si>
    <t>Cars efficiency|Electricity|New plug-in hybrid diesel (100-140 kW)</t>
  </si>
  <si>
    <t>Cars efficiency|Electricity|New plug-in hybrid diesel (&gt;140 kW)</t>
  </si>
  <si>
    <t>Cars efficiency|Hydrogen|New fuel cell cars (&lt;60 kW)</t>
  </si>
  <si>
    <t>Cars efficiency|Hydrogen|New fuel cell cars (60-100 kW)</t>
  </si>
  <si>
    <t>Cars efficiency|Hydrogen|New fuel cell cars (100-140 kW)</t>
  </si>
  <si>
    <t>Cars efficiency|Hydrogen|New fuel cell cars (&gt;140 kW)</t>
  </si>
  <si>
    <t>Cars efficiency|Motor Gasoline|Total|New conventional gasoline hybrid (&lt;60 kW)</t>
  </si>
  <si>
    <t>Cars efficiency|Motor Gasoline|Total|New conventional gasoline hybrid (60-100 kW)</t>
  </si>
  <si>
    <t>Cars efficiency|Motor Gasoline|Total|New conventional gasoline hybrid (100-140 kW)</t>
  </si>
  <si>
    <t>Cars efficiency|Motor Gasoline|Total|New conventional gasoline hybrid (&gt;140 kW)</t>
  </si>
  <si>
    <t>Cars efficiency|Motor Gasoline|Total|Conventional gasoline ICE existing</t>
  </si>
  <si>
    <t>Cars efficiency|Motor Gasoline|Total|New conventional gasoline ICE (&lt;60 kW)</t>
  </si>
  <si>
    <t>Cars efficiency|Motor Gasoline|Total|New conventional gasoline ICE (60-100 kW)</t>
  </si>
  <si>
    <t>Cars efficiency|Motor Gasoline|Total|New conventional gasoline ICE (100-140 kW)</t>
  </si>
  <si>
    <t>Cars efficiency|Motor Gasoline|Total|New conventional gasoline ICE (&gt;140 kW)</t>
  </si>
  <si>
    <t>Cars efficiency|Motor Gasoline|Total|New mild hybrid gasoline (&lt;60 kW)</t>
  </si>
  <si>
    <t>Cars efficiency|Motor Gasoline|Total|New mild hybrid gasoline (60-100 kW)</t>
  </si>
  <si>
    <t>Cars efficiency|Motor Gasoline|Total|New mild hybrid gasoline (100-140 kW)</t>
  </si>
  <si>
    <t>Cars efficiency|Motor Gasoline|Total|New mild hybrid gasoline (&gt;140 kW)</t>
  </si>
  <si>
    <t>Cars efficiency|Motor Diesel|Total|New conventional diesel hybrid (&lt;60 kW)</t>
  </si>
  <si>
    <t>Cars efficiency|Motor Diesel|Total|New conventional diesel hybrid (60-100 kW)</t>
  </si>
  <si>
    <t>Cars efficiency|Motor Diesel|Total|New conventional diesel hybrid (100-140 kW)</t>
  </si>
  <si>
    <t>Cars efficiency|Motor Diesel|Total|New conventional diesel hybrid (&gt;140 kW)</t>
  </si>
  <si>
    <t>Cars efficiency|Motor Diesel|Total|Conventional diesel ICE existing</t>
  </si>
  <si>
    <t>Cars efficiency|Motor Diesel|Total|New conventional diesel ICE (&lt;60 kW)</t>
  </si>
  <si>
    <t>Cars efficiency|Motor Diesel|Total|New conventional diesel ICE (60-100 kW)</t>
  </si>
  <si>
    <t>Cars efficiency|Motor Diesel|Total|New conventional diesel ICE (100-140 kW)</t>
  </si>
  <si>
    <t>Cars efficiency|Motor Diesel|Total|New conventional diesel ICE (&gt;140 kW)</t>
  </si>
  <si>
    <t>Cars efficiency|Motor Diesel|Total|New mild hybrid diesel (&lt;60 kW)</t>
  </si>
  <si>
    <t>Cars efficiency|Motor Diesel|Total|New mild hybrid diesel (60-100 kW)</t>
  </si>
  <si>
    <t>Cars efficiency|Motor Diesel|Total|New mild hybrid diesel (100-140 kW)</t>
  </si>
  <si>
    <t>Cars efficiency|Motor Diesel|Total|New mild hybrid diesel (&gt;140 kW)</t>
  </si>
  <si>
    <t>Cars efficiency|Gas|Conventional gas ICE existing</t>
  </si>
  <si>
    <t>Cars efficiency|Gas|New conventionalgas ICE (&lt;60 kW)</t>
  </si>
  <si>
    <t>Cars efficiency|Gas|New conventional gas ICE (60-100 kW)</t>
  </si>
  <si>
    <t>Cars efficiency|Gas|New conventional gas ICE (100-140 kW)</t>
  </si>
  <si>
    <t>Cars efficiency|Gas|New conventional gas ICE (&gt;140 kW)</t>
  </si>
  <si>
    <t>km/MJ</t>
  </si>
  <si>
    <t>Average annual efficiency across all the stock of the same car type</t>
  </si>
  <si>
    <t>Some extreme values are artefacts from the solution (very small numbers close to zero in consumption or mileage or both)</t>
  </si>
  <si>
    <t>Cars efficiency|Motor Gasoline|Total|Conventional gasoline hybrid existing</t>
  </si>
  <si>
    <t>Cars mileage|Motor Gasoline|Total|Conventional gasoline hybrid existing</t>
  </si>
  <si>
    <t>Cars efficiency|Motor Diesel|Total|Conventional diesel hybrid existing</t>
  </si>
  <si>
    <t>Cars mileage|Motor Diesel|Total|Conventional diesel hybrid existing</t>
  </si>
  <si>
    <t>Fuel consumption in cars</t>
  </si>
  <si>
    <t>Fuel consumption in cars|Electricity</t>
  </si>
  <si>
    <t>Fuel consumption in cars|Electricity|Existing battery electric cars</t>
  </si>
  <si>
    <t>Fuel consumption in cars|Electricity|New battery electric cars (&lt;60kW)</t>
  </si>
  <si>
    <t>Fuel consumption in cars|Electricity|New battery electric cars (60-100 kW)</t>
  </si>
  <si>
    <t>Fuel consumption in cars|Electricity|New battery electric cars (100-140 kW)</t>
  </si>
  <si>
    <t>Fuel consumption in cars|Electricity|New battery electric cars (&gt;140 kW)</t>
  </si>
  <si>
    <t>Fuel consumption in cars|Electricity|New plug-in hybrid gasoline - electricity part (&lt;60 kW)</t>
  </si>
  <si>
    <t>Fuel consumption in cars|Electricity|New plug-in hybrid gasoline - electricity part (60-100 kW)</t>
  </si>
  <si>
    <t>Fuel consumption in cars|Electricity|New plug-in hybrid gasoline - electricity part (100-140 kW)</t>
  </si>
  <si>
    <t>Fuel consumption in cars|Electricity|New plug-in hybrid gasoline - electricity part (&gt;140 kW)</t>
  </si>
  <si>
    <t>Fuel consumption in cars|Electricity|New plug-in hybrid diesel - electricity part (&lt;60 kW)</t>
  </si>
  <si>
    <t>Fuel consumption in cars|Electricity|New plug-in hybrid diesel - electricity part (60-100 kW)</t>
  </si>
  <si>
    <t>Fuel consumption in cars|Electricity|New plug-in hybrid diesel - electricity part (100-140 kW)</t>
  </si>
  <si>
    <t>Fuel consumption in cars|Electricity|New plug-in hybrid diesel - electricity part (&gt;140 kW)</t>
  </si>
  <si>
    <t>Fuel consumption in cars|Electricity|Vehicle-to-grid</t>
  </si>
  <si>
    <t>Fuel consumption in cars|Hydrogen</t>
  </si>
  <si>
    <t>Fuel consumption in cars|Hydrogen|New fuel cell cars (&lt;60 kW)</t>
  </si>
  <si>
    <t>Fuel consumption in cars|Hydrogen|New fuel cell cars (60-100 kW)</t>
  </si>
  <si>
    <t>Fuel consumption in cars|Hydrogen|New fuel cell cars (100-140 kW)</t>
  </si>
  <si>
    <t>Fuel consumption in cars|Hydrogen|New fuel cell cars (&gt;140 kW)</t>
  </si>
  <si>
    <t>Fuel consumption in cars|Motor Gasoline</t>
  </si>
  <si>
    <t>Fuel consumption in cars|Motor Gasoline|Fossil liquids</t>
  </si>
  <si>
    <t>Fuel consumption in cars|Motor Gasoline|Synthetic liquids</t>
  </si>
  <si>
    <t>Fuel consumption in cars|Motor Gasoline|Synthetic liquids|Bioliquids|Ethanol</t>
  </si>
  <si>
    <t>Fuel consumption in cars|Motor Gasoline|Synthetic liquids|PtL|PtL Gasoline</t>
  </si>
  <si>
    <t>Fuel consumption in cars|Motor Gasoline|Total|Conventional gasoline hybrid existing</t>
  </si>
  <si>
    <t>Fuel consumption in cars|Motor Gasoline|Total|New conventional gasoline hybrid (&lt;60 kW)</t>
  </si>
  <si>
    <t>Fuel consumption in cars|Motor Gasoline|Total|New conventional gasoline hybrid (60-100 kW)</t>
  </si>
  <si>
    <t>Fuel consumption in cars|Motor Gasoline|Total|New conventional gasoline hybrid (100-140 kW)</t>
  </si>
  <si>
    <t>Fuel consumption in cars|Motor Gasoline|Total|New conventional gasoline hybrid (&gt;140 kW)</t>
  </si>
  <si>
    <t>Fuel consumption in cars|Motor Gasoline|Total|Conventional gasoline ICE existing</t>
  </si>
  <si>
    <t>Fuel consumption in cars|Motor Gasoline|Total|New conventional gasoline ICE (&lt;60 kW)</t>
  </si>
  <si>
    <t>Fuel consumption in cars|Motor Gasoline|Total|New conventional gasoline ICE (60-100 kW)</t>
  </si>
  <si>
    <t>Fuel consumption in cars|Motor Gasoline|Total|New conventional gasoline ICE (100-140 kW)</t>
  </si>
  <si>
    <t>Fuel consumption in cars|Motor Gasoline|Total|New conventional gasoline ICE (&gt;140 kW)</t>
  </si>
  <si>
    <t>Fuel consumption in cars|Motor Gasoline|Total|New mild hybrid gasoline (&lt;60 kW)</t>
  </si>
  <si>
    <t>Fuel consumption in cars|Motor Gasoline|Total|New mild hybrid gasoline (60-100 kW)</t>
  </si>
  <si>
    <t>Fuel consumption in cars|Motor Gasoline|Total|New mild hybrid gasoline (100-140 kW)</t>
  </si>
  <si>
    <t>Fuel consumption in cars|Motor Gasoline|Total|New mild hybrid gasoline (&gt;140 kW)</t>
  </si>
  <si>
    <t>Fuel consumption in cars|Motor Gasoline|Total|New plug-in hybrid gasoline - gasoline part (&lt;60 kW)</t>
  </si>
  <si>
    <t>Fuel consumption in cars|Motor Gasoline|Total|New plug-in hybrid gasoline - gasoline part (60-100 kW)</t>
  </si>
  <si>
    <t>Fuel consumption in cars|Motor Gasoline|Total|New plug-in hybrid gasoline - gasoline part (100-140 kW)</t>
  </si>
  <si>
    <t>Fuel consumption in cars|Motor Gasoline|Total|New plug-in hybrid gasoline - gasoline part (&gt;140 kW)</t>
  </si>
  <si>
    <t>Fuel consumption in cars|Motor Diesel</t>
  </si>
  <si>
    <t>Fuel consumption in cars|Motor Diesel|Fossil liquids</t>
  </si>
  <si>
    <t>Fuel consumption in cars|Motor Diesel|Synthetic liquids</t>
  </si>
  <si>
    <t>Fuel consumption in cars|Motor Diesel|Synthetic liquids|Bioliquids|Biodiesel</t>
  </si>
  <si>
    <t>Fuel consumption in cars|Motor Diesel|Synthetic liquids|PtL|PtL Diesel</t>
  </si>
  <si>
    <t>Fuel consumption in cars|Motor Diesel|Total|Conventional hybrid existing</t>
  </si>
  <si>
    <t>Fuel consumption in cars|Motor Diesel|Total|New conventional diesel hybrid (&lt;60 kW)</t>
  </si>
  <si>
    <t>Fuel consumption in cars|Motor Diesel|Total|New conventional diesel hybrid (60-100 kW)</t>
  </si>
  <si>
    <t>Fuel consumption in cars|Motor Diesel|Total|New conventional diesel hybrid (100-140 kW)</t>
  </si>
  <si>
    <t>Fuel consumption in cars|Motor Diesel|Total|New conventional diesel hybrid (&gt;140 kW)</t>
  </si>
  <si>
    <t>Fuel consumption in cars|Motor Diesel|Total|Conventional diesel ICE existing</t>
  </si>
  <si>
    <t>Fuel consumption in cars|Motor Diesel|Total|New conventional diesel ICE (&lt;60 kW)</t>
  </si>
  <si>
    <t>Fuel consumption in cars|Motor Diesel|Total|New conventional diesel ICE (60-100 kW)</t>
  </si>
  <si>
    <t>Fuel consumption in cars|Motor Diesel|Total|New conventional diesel ICE (100-140 kW)</t>
  </si>
  <si>
    <t>Fuel consumption in cars|Motor Diesel|Total|New conventional diesel ICE (&gt;140 kW)</t>
  </si>
  <si>
    <t>Fuel consumption in cars|Motor Diesel|Total|New mild hybrid diesel (&lt;60 kW)</t>
  </si>
  <si>
    <t>Fuel consumption in cars|Motor Diesel|Total|New mild hybrid diesel (60-100 kW)</t>
  </si>
  <si>
    <t>Fuel consumption in cars|Motor Diesel|Total|New mild hybrid diesel (100-140 kW)</t>
  </si>
  <si>
    <t>Fuel consumption in cars|Motor Diesel|Total|New mild hybrid diesel (&gt;140 kW)</t>
  </si>
  <si>
    <t>Fuel consumption in cars|Motor Diesel|Total|New plug-in hybrid diesel - diesel part (&lt;60 kW)</t>
  </si>
  <si>
    <t>Fuel consumption in cars|Motor Diesel|Total|New plug-in hybrid diesel - diesel part (60-100 kW)</t>
  </si>
  <si>
    <t>Fuel consumption in cars|Motor Diesel|Total|New plug-in hybrid diesel - diesel part (100-140 kW)</t>
  </si>
  <si>
    <t>Fuel consumption in cars|Motor Diesel|Total|New plug-in hybrid diesel - diesel part (&gt;140 kW)</t>
  </si>
  <si>
    <t>Fuel consumption in cars|Gas</t>
  </si>
  <si>
    <t>Fuel consumption in urban buses</t>
  </si>
  <si>
    <t>Fuel consumption in urban buses (not trolleybuses)</t>
  </si>
  <si>
    <t>Fuel consumption in urban buses|Electricity</t>
  </si>
  <si>
    <t>Fuel consumption in urban buses|Electricity|Existing electric urban buses</t>
  </si>
  <si>
    <t>Fuel consumption in urban buses|Electricity|New electric urban buses (Mini)</t>
  </si>
  <si>
    <t>Fuel consumption in urban buses|Electricity|New electric urban buses (Midi)</t>
  </si>
  <si>
    <t>Fuel consumption in urban buses|Electricity|New electric urban buses (Maxi)</t>
  </si>
  <si>
    <t>Fuel consumption in urban buses|Electricity|New electric urban buses (Mega)</t>
  </si>
  <si>
    <t>Fuel consumption in urban buses|Hydrogen</t>
  </si>
  <si>
    <t>Fuel consumption in urban buses|Hydrogen|New fuel cell urban buses (Mini)</t>
  </si>
  <si>
    <t>Fuel consumption in urban buses|Hydrogen|New fuel cell urban buses (Midi)</t>
  </si>
  <si>
    <t>Fuel consumption in urban buses|Hydrogen|New fuel cell urban buses (Maxi)</t>
  </si>
  <si>
    <t>Fuel consumption in urban buses|Hydrogen|New fuel cell urban buses (Mega)</t>
  </si>
  <si>
    <t>Fuel consumption in urban buses|Motor Diesel</t>
  </si>
  <si>
    <t>Fuel consumption in urban buses|Motor Diesel|Fossil liquids</t>
  </si>
  <si>
    <t>Fuel consumption in urban buses|Motor Diesel|Synthetic liquids</t>
  </si>
  <si>
    <t>Fuel consumption in urban buses|Motor Diesel|Synthetic liquids|PtL|PtL Diesel</t>
  </si>
  <si>
    <t>Fuel consumption in urban buses|Motor Diesel|Synthetic liquids|Bioliquids|Biodiesel</t>
  </si>
  <si>
    <t>Fuel consumption in urban buses|Motor Diesel|Total|New conventional hybrid diesel urban buses (Mini)</t>
  </si>
  <si>
    <t>Fuel consumption in urban buses|Motor Diesel|Total|New conventional hybrid diesel urban buses (Midi)</t>
  </si>
  <si>
    <t>Fuel consumption in urban buses|Motor Diesel|Total|New conventional hybrid diesel urban buses (Maxi)</t>
  </si>
  <si>
    <t>Fuel consumption in urban buses|Motor Diesel|Total|New conventional hybrid diesel urban buses (Mega)</t>
  </si>
  <si>
    <t>Fuel consumption in urban buses|Motor Diesel|Total|New conventional ICE diesel urban buses (Mini)</t>
  </si>
  <si>
    <t>Fuel consumption in urban buses|Motor Diesel|Total|New conventional ICE diesel urban buses (Midi)</t>
  </si>
  <si>
    <t>Fuel consumption in urban buses|Motor Diesel|Total|New conventional ICE diesel urban buses (Maxi)</t>
  </si>
  <si>
    <t>Fuel consumption in urban buses|Motor Diesel|Total|New conventional ICE diesel urban buses (Mega)</t>
  </si>
  <si>
    <t>Fuel consumption in cars|Gas|Total|Conventional gas ICE existing</t>
  </si>
  <si>
    <t>Fuel consumption in cars|Gas|Total|New conventionalgas ICE (&lt;60 kW)</t>
  </si>
  <si>
    <t>Fuel consumption in cars|Gas|Total|New conventional gas ICE (60-100 kW)</t>
  </si>
  <si>
    <t>Fuel consumption in cars|Gas|Total|New conventional gas ICE (100-140 kW)</t>
  </si>
  <si>
    <t>Fuel consumption in cars|Gas|Total|New conventional gas ICE (&gt;140 kW)</t>
  </si>
  <si>
    <t>Fuel consumption in cars|Fossil gases</t>
  </si>
  <si>
    <t>Fuel consumption in cars|Synthetic gases</t>
  </si>
  <si>
    <t>Fuel consumption in cars|Synthetic gases|Biogases|Biogas</t>
  </si>
  <si>
    <t>Fuel consumption in cars|Synthetic gases|PtG|PtG gas</t>
  </si>
  <si>
    <t>Fuel consumption in urban buses|Motor Gas|Total|New conventional ICE gas urban buses (Mini)</t>
  </si>
  <si>
    <t>Fuel consumption in urban buses|Motor Gas|Total|New conventional ICE gas urban buses (Midi)</t>
  </si>
  <si>
    <t>Fuel consumption in urban buses|Motor Gas|Total|New conventional ICE gas urban buses (Maxi)</t>
  </si>
  <si>
    <t>Fuel consumption in urban buses|Motor Gas|Total|New conventional ICE gas urban buses (Mega)</t>
  </si>
  <si>
    <t>Fuel consumption in urban buses|Motor Gas</t>
  </si>
  <si>
    <t>Fuel consumption in urban buses|Motor Gas|Fossil gases</t>
  </si>
  <si>
    <t>Fuel consumption in urban buses|Motor Gas|Synthetic gases</t>
  </si>
  <si>
    <t>Fuel consumption in urban buses|Motor Gas|Synthetic gases|Biogases|Biogas</t>
  </si>
  <si>
    <t>Fuel consumption in urban buses|Motor Gas|Synthetic gases|PtG|PtG gas</t>
  </si>
  <si>
    <t>Urban buses mileage</t>
  </si>
  <si>
    <t>Urban buses mileage|Electricity|Existing electric urban buses</t>
  </si>
  <si>
    <t>Urban buses mileage|Electricity|New electric urban buses (Mini)</t>
  </si>
  <si>
    <t>Urban buses mileage|Electricity|New electric urban buses (Midi)</t>
  </si>
  <si>
    <t>Urban buses mileage|Electricity|New electric urban buses (Maxi)</t>
  </si>
  <si>
    <t>Urban buses mileage|Electricity|New electric urban buses (Mega)</t>
  </si>
  <si>
    <t>Urban buses mileage|Hydrogen|New fuel cell urban buses (Mini)</t>
  </si>
  <si>
    <t>Urban buses mileage|Hydrogen|New fuel cell urban buses (Midi)</t>
  </si>
  <si>
    <t>Urban buses mileage|Hydrogen|New fuel cell urban buses (Maxi)</t>
  </si>
  <si>
    <t>Urban buses mileage|Hydrogen|New fuel cell urban buses (Mega)</t>
  </si>
  <si>
    <t>Urban buses mileage|Motor Diesel|Total|New conventional hybrid diesel urban buses (Mini)</t>
  </si>
  <si>
    <t>Urban buses mileage|Motor Diesel|Total|New conventional hybrid diesel urban buses (Midi)</t>
  </si>
  <si>
    <t>Urban buses mileage|Motor Diesel|Total|New conventional hybrid diesel urban buses (Maxi)</t>
  </si>
  <si>
    <t>Urban buses mileage|Motor Diesel|Total|New conventional hybrid diesel urban buses (Mega)</t>
  </si>
  <si>
    <t>Urban buses mileage|Motor Diesel|Total|New conventional ICE diesel urban buses (Mini)</t>
  </si>
  <si>
    <t>Urban buses mileage|Motor Diesel|Total|New conventional ICE diesel urban buses (Midi)</t>
  </si>
  <si>
    <t>Urban buses mileage|Motor Diesel|Total|New conventional ICE diesel urban buses (Maxi)</t>
  </si>
  <si>
    <t>Urban buses mileage|Motor Diesel|Total|New conventional ICE diesel urban buses (Mega)</t>
  </si>
  <si>
    <t>Urban buses mileage|Motor Gas|Total|New conventional ICE gas urban buses (Mini)</t>
  </si>
  <si>
    <t>Urban buses mileage|Motor Gas|Total|New conventional ICE gas urban buses (Midi)</t>
  </si>
  <si>
    <t>Urban buses mileage|Motor Gas|Total|New conventional ICE gas urban buses (Maxi)</t>
  </si>
  <si>
    <t>Urban buses mileage|Motor Gas|Total|New conventional ICE gas urban buses (Mega)</t>
  </si>
  <si>
    <t>Urban buses efficiency</t>
  </si>
  <si>
    <t>Urban buses efficiency|Electricity|Existing electric urban buses</t>
  </si>
  <si>
    <t>Urban buses efficiency|Electricity|New electric urban buses (Mini)</t>
  </si>
  <si>
    <t>Urban buses efficiency|Electricity|New electric urban buses (Midi)</t>
  </si>
  <si>
    <t>Urban buses efficiency|Electricity|New electric urban buses (Maxi)</t>
  </si>
  <si>
    <t>Urban buses efficiency|Electricity|New electric urban buses (Mega)</t>
  </si>
  <si>
    <t>Urban buses efficiency|Hydrogen|New fuel cell urban buses (Mini)</t>
  </si>
  <si>
    <t>Urban buses efficiency|Hydrogen|New fuel cell urban buses (Midi)</t>
  </si>
  <si>
    <t>Urban buses efficiency|Hydrogen|New fuel cell urban buses (Maxi)</t>
  </si>
  <si>
    <t>Urban buses efficiency|Hydrogen|New fuel cell urban buses (Mega)</t>
  </si>
  <si>
    <t>Urban buses efficiency|Motor Diesel|Total|New conventional hybrid diesel urban buses (Mini)</t>
  </si>
  <si>
    <t>Urban buses efficiency|Motor Diesel|Total|New conventional hybrid diesel urban buses (Midi)</t>
  </si>
  <si>
    <t>Urban buses efficiency|Motor Diesel|Total|New conventional hybrid diesel urban buses (Maxi)</t>
  </si>
  <si>
    <t>Urban buses efficiency|Motor Diesel|Total|New conventional hybrid diesel urban buses (Mega)</t>
  </si>
  <si>
    <t>Urban buses efficiency|Motor Diesel|Total|New conventional ICE diesel urban buses (Mini)</t>
  </si>
  <si>
    <t>Urban buses efficiency|Motor Diesel|Total|New conventional ICE diesel urban buses (Midi)</t>
  </si>
  <si>
    <t>Urban buses efficiency|Motor Diesel|Total|New conventional ICE diesel urban buses (Maxi)</t>
  </si>
  <si>
    <t>Urban buses efficiency|Motor Diesel|Total|New conventional ICE diesel urban buses (Mega)</t>
  </si>
  <si>
    <t>Urban buses efficiency|Motor Gas|Total|New conventional ICE gas urban buses (Mini)</t>
  </si>
  <si>
    <t>Urban buses efficiency|Motor Gas|Total|New conventional ICE gas urban buses (Midi)</t>
  </si>
  <si>
    <t>Urban buses efficiency|Motor Gas|Total|New conventional ICE gas urban buses (Maxi)</t>
  </si>
  <si>
    <t>Urban buses efficiency|Motor Gas|Total|New conventional ICE gas urban buses (Mega)</t>
  </si>
  <si>
    <t>Coaches mileage</t>
  </si>
  <si>
    <t>Coaches efficiency</t>
  </si>
  <si>
    <t>Fuel consumption in coaches</t>
  </si>
  <si>
    <t>Fuel consumption in coaches|Electricity</t>
  </si>
  <si>
    <t>Fuel consumption in coaches|Electricity|Existing electric coaches</t>
  </si>
  <si>
    <t>Fuel consumption in coaches|Electricity|New electric coaches (Mini)</t>
  </si>
  <si>
    <t>Fuel consumption in coaches|Electricity|New electric coaches (Midi)</t>
  </si>
  <si>
    <t>Fuel consumption in coaches|Electricity|New electric coaches (Maxi)</t>
  </si>
  <si>
    <t>Fuel consumption in coaches|Electricity|New electric coaches (Mega)</t>
  </si>
  <si>
    <t>Fuel consumption in coaches|Hydrogen</t>
  </si>
  <si>
    <t>Fuel consumption in coaches|Hydrogen|New fuel cell coaches (Mini)</t>
  </si>
  <si>
    <t>Fuel consumption in coaches|Hydrogen|New fuel cell coaches (Midi)</t>
  </si>
  <si>
    <t>Fuel consumption in coaches|Hydrogen|New fuel cell coaches (Maxi)</t>
  </si>
  <si>
    <t>Fuel consumption in coaches|Hydrogen|New fuel cell coaches (Mega)</t>
  </si>
  <si>
    <t>Fuel consumption in coaches|Motor Diesel</t>
  </si>
  <si>
    <t>Fuel consumption in coaches|Motor Diesel|Fossil liquids</t>
  </si>
  <si>
    <t>Fuel consumption in coaches|Motor Diesel|Synthetic liquids</t>
  </si>
  <si>
    <t>Fuel consumption in coaches|Motor Diesel|Synthetic liquids|Bioliquids|Biodiesel</t>
  </si>
  <si>
    <t>Fuel consumption in coaches|Motor Diesel|Synthetic liquids|PtL|PtL Diesel</t>
  </si>
  <si>
    <t>Fuel consumption in coaches|Motor Diesel|Total|New conventional hybrid diesel coaches (Mini)</t>
  </si>
  <si>
    <t>Fuel consumption in coaches|Motor Diesel|Total|New conventional hybrid diesel coaches (Midi)</t>
  </si>
  <si>
    <t>Fuel consumption in coaches|Motor Diesel|Total|New conventional hybrid diesel coaches (Maxi)</t>
  </si>
  <si>
    <t>Fuel consumption in coaches|Motor Diesel|Total|New conventional hybrid diesel coaches (Mega)</t>
  </si>
  <si>
    <t>Fuel consumption in coaches|Motor Diesel|Total|New conventional ICE diesel coaches (Mini)</t>
  </si>
  <si>
    <t>Fuel consumption in coaches|Motor Diesel|Total|New conventional ICE diesel coaches (Midi)</t>
  </si>
  <si>
    <t>Fuel consumption in coaches|Motor Diesel|Total|New conventional ICE diesel coaches (Maxi)</t>
  </si>
  <si>
    <t>Fuel consumption in coaches|Motor Diesel|Total|New conventional ICE diesel coaches (Mega)</t>
  </si>
  <si>
    <t>Fuel consumption in coaches|Motor Gas</t>
  </si>
  <si>
    <t>Fuel consumption in coaches|Motor Gas|Fossil gases</t>
  </si>
  <si>
    <t>Fuel consumption in coaches|Motor Gas|Synthetic gases</t>
  </si>
  <si>
    <t>Fuel consumption in coaches|Motor Gas|Synthetic gases|Biogases|Biogas</t>
  </si>
  <si>
    <t>Fuel consumption in coaches|Motor Gas|Synthetic gases|PtG|PtG gas</t>
  </si>
  <si>
    <t>Fuel consumption in coaches|Motor Gas|Total|New conventional ICE gas coaches (Mini)</t>
  </si>
  <si>
    <t>Fuel consumption in coaches|Motor Gas|Total|New conventional ICE gas coaches (Midi)</t>
  </si>
  <si>
    <t>Fuel consumption in coaches|Motor Gas|Total|New conventional ICE gas coaches (Maxi)</t>
  </si>
  <si>
    <t>Fuel consumption in coaches|Motor Gas|Total|New conventional ICE gas coaches (Mega)</t>
  </si>
  <si>
    <t>Coaches mileage|Electricity|Existing electric coaches</t>
  </si>
  <si>
    <t>Coaches mileage|Electricity|New electric coaches (Mini)</t>
  </si>
  <si>
    <t>Coaches mileage|Electricity|New electric coaches (Midi)</t>
  </si>
  <si>
    <t>Coaches mileage|Electricity|New electric coaches (Maxi)</t>
  </si>
  <si>
    <t>Coaches mileage|Electricity|New electric coaches (Mega)</t>
  </si>
  <si>
    <t>Coaches mileage|Hydrogen|New fuel cell coaches (Mini)</t>
  </si>
  <si>
    <t>Coaches mileage|Hydrogen|New fuel cell coaches (Midi)</t>
  </si>
  <si>
    <t>Coaches mileage|Hydrogen|New fuel cell coaches (Maxi)</t>
  </si>
  <si>
    <t>Coaches mileage|Hydrogen|New fuel cell coaches (Mega)</t>
  </si>
  <si>
    <t>Coaches mileage|Motor Diesel|Total|New conventional hybrid diesel coaches (Mini)</t>
  </si>
  <si>
    <t>Coaches mileage|Motor Diesel|Total|New conventional hybrid diesel coaches (Midi)</t>
  </si>
  <si>
    <t>Coaches mileage|Motor Diesel|Total|New conventional hybrid diesel coaches (Maxi)</t>
  </si>
  <si>
    <t>Coaches mileage|Motor Diesel|Total|New conventional hybrid diesel coaches (Mega)</t>
  </si>
  <si>
    <t>Coaches mileage|Motor Diesel|Total|New conventional ICE diesel coaches (Mini)</t>
  </si>
  <si>
    <t>Coaches mileage|Motor Diesel|Total|New conventional ICE diesel coaches (Midi)</t>
  </si>
  <si>
    <t>Coaches mileage|Motor Diesel|Total|New conventional ICE diesel coaches (Maxi)</t>
  </si>
  <si>
    <t>Coaches mileage|Motor Diesel|Total|New conventional ICE diesel coaches (Mega)</t>
  </si>
  <si>
    <t>Coaches mileage|Motor Gas|Total|New conventional ICE gas coaches (Mini)</t>
  </si>
  <si>
    <t>Coaches mileage|Motor Gas|Total|New conventional ICE gas coaches (Midi)</t>
  </si>
  <si>
    <t>Coaches mileage|Motor Gas|Total|New conventional ICE gas coaches (Maxi)</t>
  </si>
  <si>
    <t>Coaches mileage|Motor Gas|Total|New conventional ICE gas coaches (Mega)</t>
  </si>
  <si>
    <t>Coaches efficiency|Electricity|Existing electric coaches</t>
  </si>
  <si>
    <t>Coaches efficiency|Electricity|New electric coaches (Mini)</t>
  </si>
  <si>
    <t>Coaches efficiency|Electricity|New electric coaches (Midi)</t>
  </si>
  <si>
    <t>Coaches efficiency|Electricity|New electric coaches (Maxi)</t>
  </si>
  <si>
    <t>Coaches efficiency|Electricity|New electric coaches (Mega)</t>
  </si>
  <si>
    <t>Coaches efficiency|Hydrogen|New fuel cell coaches (Mini)</t>
  </si>
  <si>
    <t>Coaches efficiency|Hydrogen|New fuel cell coaches (Midi)</t>
  </si>
  <si>
    <t>Coaches efficiency|Hydrogen|New fuel cell coaches (Maxi)</t>
  </si>
  <si>
    <t>Coaches efficiency|Hydrogen|New fuel cell coaches (Mega)</t>
  </si>
  <si>
    <t>Coaches efficiency|Motor Diesel|Total|New conventional hybrid diesel coaches (Mini)</t>
  </si>
  <si>
    <t>Coaches efficiency|Motor Diesel|Total|New conventional hybrid diesel coaches (Midi)</t>
  </si>
  <si>
    <t>Coaches efficiency|Motor Diesel|Total|New conventional hybrid diesel coaches (Maxi)</t>
  </si>
  <si>
    <t>Coaches efficiency|Motor Diesel|Total|New conventional hybrid diesel coaches (Mega)</t>
  </si>
  <si>
    <t>Coaches efficiency|Motor Diesel|Total|New conventional ICE diesel coaches (Mini)</t>
  </si>
  <si>
    <t>Coaches efficiency|Motor Diesel|Total|New conventional ICE diesel coaches (Midi)</t>
  </si>
  <si>
    <t>Coaches efficiency|Motor Diesel|Total|New conventional ICE diesel coaches (Maxi)</t>
  </si>
  <si>
    <t>Coaches efficiency|Motor Diesel|Total|New conventional ICE diesel coaches (Mega)</t>
  </si>
  <si>
    <t>Coaches efficiency|Motor Gas|Total|New conventional ICE gas coaches (Mini)</t>
  </si>
  <si>
    <t>Coaches efficiency|Motor Gas|Total|New conventional ICE gas coaches (Midi)</t>
  </si>
  <si>
    <t>Coaches efficiency|Motor Gas|Total|New conventional ICE gas coaches (Maxi)</t>
  </si>
  <si>
    <t>Coaches efficiency|Motor Gas|Total|New conventional ICE gas coaches (Mega)</t>
  </si>
  <si>
    <t>Average annual efficiency across all the stock of the same coach type</t>
  </si>
  <si>
    <t>Average annual efficiency across all the stock of the same urban bus type</t>
  </si>
  <si>
    <t>Fuel consumption in trams</t>
  </si>
  <si>
    <t>Fuel consumption in trolleybuses</t>
  </si>
  <si>
    <t>Fuel consumption in trolleybuses|Electricity</t>
  </si>
  <si>
    <t>Fuel consumption in trolleybuses|Electricity|Existing trolleybuses</t>
  </si>
  <si>
    <t>Fuel consumption in trams|Electricity</t>
  </si>
  <si>
    <t>Fuel consumption in trams|Electricity|Existing trams</t>
  </si>
  <si>
    <t>Trolleybuses mileage</t>
  </si>
  <si>
    <t>Trolleybuses mileage|Electricity|Existing trolleybuses</t>
  </si>
  <si>
    <t>Trolleybuses efficiency</t>
  </si>
  <si>
    <t>Trolleybuses efficiency|Electricity|Existing trolleybuses</t>
  </si>
  <si>
    <t>Trams mileage</t>
  </si>
  <si>
    <t>Trams mileage|Electricity|Existing trams</t>
  </si>
  <si>
    <t>Trams efficiency</t>
  </si>
  <si>
    <t>Trams efficiency|Electricity|Existing trams</t>
  </si>
  <si>
    <t>Average annual efficiency across all the stock of the same trolleybus type</t>
  </si>
  <si>
    <t>Fuel consumption in motorised two wheelers</t>
  </si>
  <si>
    <t>Fuel consumption in motorised two wheelers|Electricity</t>
  </si>
  <si>
    <t>Fuel consumption in motorised two wheelers|Electricity|New electric two wheelers (4kW)</t>
  </si>
  <si>
    <t>Fuel consumption in motorised two wheelers|Electricity|New electric two wheelers (11kW)</t>
  </si>
  <si>
    <t>Fuel consumption in motorised two wheelers|Electricity|New electric two wheelers (50kW)</t>
  </si>
  <si>
    <t>Fuel consumption in motorised two wheelers|Electricity|New electric two wheelers (25kW)</t>
  </si>
  <si>
    <t>Fuel consumption in motorised two wheelers|Hydrogen</t>
  </si>
  <si>
    <t>Fuel consumption in motorised two wheelers|Hydrogen|New fuel cell two wheelers (4kW)</t>
  </si>
  <si>
    <t>Fuel consumption in motorised two wheelers|Hydrogen|New fuel cell two wheelers (11kW)</t>
  </si>
  <si>
    <t>Fuel consumption in motorised two wheelers|Hydrogen|New fuel cell two wheelers (25kW)</t>
  </si>
  <si>
    <t>Fuel consumption in motorised two wheelers|Hydrogen|New fuel cell two wheelers (50kW)</t>
  </si>
  <si>
    <t>Fuel consumption in motorised two wheelers|Motor Gasoline</t>
  </si>
  <si>
    <t>Fuel consumption in motorised two wheelers|Motor Gasoline|Fossil liquids</t>
  </si>
  <si>
    <t>Fuel consumption in motorised two wheelers|Motor Gasoline|Synthetic liquids</t>
  </si>
  <si>
    <t>Fuel consumption in motorised two wheelers|Motor Gasoline|Synthetic liquids|Bioliquids|Ethanol</t>
  </si>
  <si>
    <t>Fuel consumption in motorised two wheelers|Motor Gasoline|Synthetic liquids|PtL|PtL Gasoline</t>
  </si>
  <si>
    <t>Motorised two wheelers mileage</t>
  </si>
  <si>
    <t>Motorised two wheelers mileage|Electricity|New electric two wheelers (4kW)</t>
  </si>
  <si>
    <t>Motorised two wheelers mileage|Electricity|New electric two wheelers (11kW)</t>
  </si>
  <si>
    <t>Motorised two wheelers mileage|Electricity|New electric two wheelers (25kW)</t>
  </si>
  <si>
    <t>Motorised two wheelers mileage|Electricity|New electric two wheelers (50kW)</t>
  </si>
  <si>
    <t>Motorised two wheelers mileage|Hydrogen|New fuel cell two wheelers (4kW)</t>
  </si>
  <si>
    <t>Motorised two wheelers mileage|Hydrogen|New fuel cell two wheelers (11kW)</t>
  </si>
  <si>
    <t>Motorised two wheelers mileage|Hydrogen|New fuel cell two wheelers (25kW)</t>
  </si>
  <si>
    <t>Motorised two wheelers mileage|Hydrogen|New fuel cell two wheelers (50kW)</t>
  </si>
  <si>
    <t>Motorised two wheelers mileage|Motor Gasoline|Existing gasoline two wheelers</t>
  </si>
  <si>
    <t>Motorised two wheelers mileage|Motor Gasoline|New gasoline two wheelers (4kW)</t>
  </si>
  <si>
    <t>Motorised two wheelers mileage|Motor Gasoline|New gasoline two wheelers (11kW)</t>
  </si>
  <si>
    <t>Motorised two wheelers mileage|Motor Gasoline|New gasoline two wheelers (25kW)</t>
  </si>
  <si>
    <t>Motorised two wheelers mileage|Motor Gasoline|New gasoline two wheelers (50kW)</t>
  </si>
  <si>
    <t>Billion km/yr.</t>
  </si>
  <si>
    <t>Motorised two wheelers efficiency</t>
  </si>
  <si>
    <t>Motorised two wheelers efficiency|Electricity|New electric two wheelers (4kW)</t>
  </si>
  <si>
    <t>Motorised two wheelers efficiency|Electricity|New electric two wheelers (11kW)</t>
  </si>
  <si>
    <t>Motorised two wheelers efficiency|Electricity|New electric two wheelers (25kW)</t>
  </si>
  <si>
    <t>Motorised two wheelers efficiency|Electricity|New electric two wheelers (50kW)</t>
  </si>
  <si>
    <t>Motorised two wheelers efficiency|Hydrogen|New fuel cell two wheelers (4kW)</t>
  </si>
  <si>
    <t>Motorised two wheelers efficiency|Hydrogen|New fuel cell two wheelers (11kW)</t>
  </si>
  <si>
    <t>Motorised two wheelers efficiency|Hydrogen|New fuel cell two wheelers (25kW)</t>
  </si>
  <si>
    <t>Motorised two wheelers efficiency|Hydrogen|New fuel cell two wheelers (50kW)</t>
  </si>
  <si>
    <t xml:space="preserve">- </t>
  </si>
  <si>
    <t>Fuel consumption in two wheelers by fuel and size</t>
  </si>
  <si>
    <t>Annual km driven by trams and fuel</t>
  </si>
  <si>
    <t>Annual km driven by trolleybus type and fuel</t>
  </si>
  <si>
    <t>Annual km driven per coach type and fuel</t>
  </si>
  <si>
    <t>Annual km driven per urban bus type and fuel</t>
  </si>
  <si>
    <t>Average annual efficiency across all the stock of the same two wheelers type</t>
  </si>
  <si>
    <t>Average annual efficiency across all the stock of the same tram type</t>
  </si>
  <si>
    <t>Fuel consumption in light duty vehicles</t>
  </si>
  <si>
    <t>Fuel consumption in light duty vehicles|Electricity</t>
  </si>
  <si>
    <t>Fuel consumption in light duty vehicles|Hydrogen</t>
  </si>
  <si>
    <t>Fuel consumption in light duty vehicles|Motor Gasoline</t>
  </si>
  <si>
    <t>Fuel consumption in light duty vehicles|Motor Gasoline|Fossil liquids</t>
  </si>
  <si>
    <t>Fuel consumption in light duty vehicles|Motor Gasoline|Synthetic liquids</t>
  </si>
  <si>
    <t>Fuel consumption in light duty vehicles|Motor Gasoline|Synthetic liquids|Bioliquids|Ethanol</t>
  </si>
  <si>
    <t>Fuel consumption in light duty vehicles|Motor Gasoline|Synthetic liquids|PtL|PtL Gasoline</t>
  </si>
  <si>
    <t>Fuel consumption in light duty vehicles|Electricity|Existing electric light duty vehicles</t>
  </si>
  <si>
    <t>Fuel consumption in light duty vehicles|Electricity|New electric light duty vehicles</t>
  </si>
  <si>
    <t>Fuel consumption in light duty vehicles|Hydrogen|New fuel cell electric light duty vehicles</t>
  </si>
  <si>
    <t>Fuel consumption in light duty vehicles|Motor Diesel</t>
  </si>
  <si>
    <t>Fuel consumption in light duty vehicles|Motor Diesel|Fossil liquids</t>
  </si>
  <si>
    <t>Fuel consumption in light duty vehicles|Motor Diesel|Synthetic liquids</t>
  </si>
  <si>
    <t>Fuel consumption in light duty vehicles|Motor Diesel|Synthetic liquids|Bioliquids|Biodiesel</t>
  </si>
  <si>
    <t>Fuel consumption in light duty vehicles|Motor Diesel|Synthetic liquids|PtL|PtL Diesel</t>
  </si>
  <si>
    <t>Fuel consumption in light duty vehicles|Motor Diesel|Total|Existing ICE diesel light duty vehicles</t>
  </si>
  <si>
    <t>Fuel consumption in light duty vehicles|Motor Diesel|Total|New ICE diesel light duty vehicles</t>
  </si>
  <si>
    <t>Fuel consumption in light duty vehicles|Motor Diesel|Total|New hybrid diesel light duty vehicles</t>
  </si>
  <si>
    <t>Fuel consumption in light duty vehicles|Motor Gas</t>
  </si>
  <si>
    <t>Fuel consumption in light duty vehicles|Motor Gas|Fossil gases</t>
  </si>
  <si>
    <t>Fuel consumption in light duty vehicles|Motor Gas|Synthetic gases</t>
  </si>
  <si>
    <t>Fuel consumption in light duty vehicles|Motor Gas|Synthetic gases|Biogases|Biogas</t>
  </si>
  <si>
    <t>Fuel consumption in light duty vehicles|Motor Gas|Synthetic gases|PtG|PtG gas</t>
  </si>
  <si>
    <t>Fuel consumption in light duty vehicles|Motor Gas|Total|New ICE Gas light duty vehicles</t>
  </si>
  <si>
    <t>Mileage in light duty vehicles</t>
  </si>
  <si>
    <t>Mileage in light duty vehicles|Electricity|Existing electric light duty vehicles</t>
  </si>
  <si>
    <t>Mileage in light duty vehicles|Electricity|New electric light duty vehicles</t>
  </si>
  <si>
    <t>Mileage in light duty vehicles|Hydrogen|New fuel cell electric light duty vehicles</t>
  </si>
  <si>
    <t>Mileage in light duty vehicles|Motor Diesel|Total|Existing ICE diesel light duty vehicles</t>
  </si>
  <si>
    <t>Mileage in light duty vehicles|Motor Diesel|Total|New ICE diesel light duty vehicles</t>
  </si>
  <si>
    <t>Mileage in light duty vehicles|Motor Diesel|Total|New hybrid diesel light duty vehicles</t>
  </si>
  <si>
    <t>Mileage in light duty vehicles|Motor Gas|Total|New ICE Gas light duty vehicles</t>
  </si>
  <si>
    <t>Efficiency in light duty vehicles</t>
  </si>
  <si>
    <t>Efficiency in light duty vehicles|Electricity|Existing electric light duty vehicles</t>
  </si>
  <si>
    <t>Efficiency in light duty vehicles|Electricity|New electric light duty vehicles</t>
  </si>
  <si>
    <t>Efficiency in light duty vehicles|Hydrogen|New fuel cell electric light duty vehicles</t>
  </si>
  <si>
    <t>Efficiency in light duty vehicles|Motor Diesel|Total|Existing ICE diesel light duty vehicles</t>
  </si>
  <si>
    <t>Efficiency in light duty vehicles|Motor Diesel|Total|New ICE diesel light duty vehicles</t>
  </si>
  <si>
    <t>Efficiency in light duty vehicles|Motor Diesel|Total|New hybrid diesel light duty vehicles</t>
  </si>
  <si>
    <t>Efficiency in light duty vehicles|Motor Gas|Total|New ICE Gas light duty vehicles</t>
  </si>
  <si>
    <t>km/PJ</t>
  </si>
  <si>
    <t>Fuel consumption in motorised two wheelers|Motor Gasoline|Total|Existing gasoline two wheelers</t>
  </si>
  <si>
    <t>Fuel consumption in motorised two wheelers|Motor Gasoline|Total|New gasoline two wheelers (4kW)</t>
  </si>
  <si>
    <t>Fuel consumption in motorised two wheelers|Motor Gasoline|Total|New gasoline two wheelers (11kW)</t>
  </si>
  <si>
    <t>Fuel consumption in motorised two wheelers|Motor Gasoline|Total|New gasoline two wheelers (25kW)</t>
  </si>
  <si>
    <t>Fuel consumption in motorised two wheelers|Motor Gasoline|Total|New gasoline two wheelers (50kW)</t>
  </si>
  <si>
    <t>Motorised two wheelers efficiency|Motor Gasoline|Total|Existing gasoline two wheelers</t>
  </si>
  <si>
    <t>Motorised two wheelers efficiency|Motor Gasoline|Total|New gasoline two wheelers (4kW)</t>
  </si>
  <si>
    <t>Motorised two wheelers efficiency|Motor Gasoline|Total|New gasoline two wheelers (11kW)</t>
  </si>
  <si>
    <t>Motorised two wheelers efficiency|Motor Gasoline|Total|New gasoline two wheelers (25kW)</t>
  </si>
  <si>
    <t>Motorised two wheelers efficiency|Motor Gasoline|Total|New gasoline two wheelers (50kW)</t>
  </si>
  <si>
    <t>Fuel consumption in light duty vehicles|Motor Gasoline|Total|New gasoline light duty vehicles</t>
  </si>
  <si>
    <t>Fuel consumption in light duty vehicles|Motor Gasoline|Total|Existing gasoline light duty vehicles</t>
  </si>
  <si>
    <t>Mileage in light duty vehicles|Motor Gasoline|Total|Existing gasoline light duty vehicles</t>
  </si>
  <si>
    <t>Mileage in light duty vehicles|Motor Gasoline|Total|New gasoline light duty vehicles</t>
  </si>
  <si>
    <t>Efficiency in light duty vehicles|Motor Gasoline|Total|Existing gasoline light duty vehicles</t>
  </si>
  <si>
    <t>Efficiency in light duty vehicles|Motor Gasoline|Total|New gasoline light duty vehicles</t>
  </si>
  <si>
    <t>Fuel consumption in light duty vehicles by fuel and size</t>
  </si>
  <si>
    <t>Average annual efficiency across all the stock of the same light duty vehicles type</t>
  </si>
  <si>
    <t>Annual km driven by type and fuel</t>
  </si>
  <si>
    <t>Fuel consumption in heavy duty vehicles</t>
  </si>
  <si>
    <t>Fuel consumption in heavy duty vehicles|Electricity</t>
  </si>
  <si>
    <t>Fuel consumption in heavy duty vehicles|Electricity|Existing electric heavy duty vehicles</t>
  </si>
  <si>
    <t>Fuel consumption in heavy duty vehicles|Electricity|New electric heavy duty vehicles</t>
  </si>
  <si>
    <t>Fuel consumption in heavy duty vehicles|Hydrogen</t>
  </si>
  <si>
    <t>Fuel consumption in heavy duty vehicles|Hydrogen|New fuel cell electric heavy duty vehicles</t>
  </si>
  <si>
    <t>Fuel consumption in heavy duty vehicles|Motor Gasoline</t>
  </si>
  <si>
    <t>Fuel consumption in heavy duty vehicles|Motor Gasoline|Fossil liquids</t>
  </si>
  <si>
    <t>Fuel consumption in heavy duty vehicles|Motor Gasoline|Synthetic liquids</t>
  </si>
  <si>
    <t>Fuel consumption in heavy duty vehicles|Motor Gasoline|Synthetic liquids|Bioliquids|Ethanol</t>
  </si>
  <si>
    <t>Fuel consumption in heavy duty vehicles|Motor Gasoline|Synthetic liquids|PtL|PtL Gasoline</t>
  </si>
  <si>
    <t>Fuel consumption in heavy duty vehicles|Motor Gasoline|Total|Existing gasoline heavy duty vehicles</t>
  </si>
  <si>
    <t>Fuel consumption in heavy duty vehicles|Motor Gasoline|Total|New gasoline heavy duty vehicles</t>
  </si>
  <si>
    <t>Fuel consumption in heavy duty vehicles|Motor Diesel</t>
  </si>
  <si>
    <t>Fuel consumption in heavy duty vehicles|Motor Diesel|Fossil liquids</t>
  </si>
  <si>
    <t>Fuel consumption in heavy duty vehicles|Motor Diesel|Synthetic liquids</t>
  </si>
  <si>
    <t>Fuel consumption in heavy duty vehicles|Motor Diesel|Synthetic liquids|Bioliquids|Biodiesel</t>
  </si>
  <si>
    <t>Fuel consumption in heavy duty vehicles|Motor Diesel|Synthetic liquids|PtL|PtL Diesel</t>
  </si>
  <si>
    <t>Fuel consumption in heavy duty vehicles|Motor Diesel|Total|Existing ICE diesel heavy duty vehicles</t>
  </si>
  <si>
    <t>Fuel consumption in heavy duty vehicles|Motor Diesel|Total|New ICE diesel heavy duty vehicles</t>
  </si>
  <si>
    <t>Fuel consumption in heavy duty vehicles|Motor Diesel|Total|New hybrid diesel heavy duty vehicles</t>
  </si>
  <si>
    <t>Fuel consumption in heavy duty vehicles|Motor Gas</t>
  </si>
  <si>
    <t>Fuel consumption in heavy duty vehicles|Motor Gas|Fossil gases</t>
  </si>
  <si>
    <t>Fuel consumption in heavy duty vehicles|Motor Gas|Synthetic gases</t>
  </si>
  <si>
    <t>Fuel consumption in heavy duty vehicles|Motor Gas|Synthetic gases|Biogases|Biogas</t>
  </si>
  <si>
    <t>Fuel consumption in heavy duty vehicles|Motor Gas|Synthetic gases|PtG|PtG gas</t>
  </si>
  <si>
    <t>Fuel consumption in heavy duty vehicles|Motor Gas|Total|New ICE Gas heavy duty vehicles</t>
  </si>
  <si>
    <t>Mileage in heavy duty vehicles</t>
  </si>
  <si>
    <t>Mileage in heavy duty vehicles|Electricity|Existing electric heavy duty vehicles</t>
  </si>
  <si>
    <t>Mileage in heavy duty vehicles|Electricity|New electric heavy duty vehicles</t>
  </si>
  <si>
    <t>Mileage in heavy duty vehicles|Hydrogen|New fuel cell electric heavy duty vehicles</t>
  </si>
  <si>
    <t>Mileage in heavy duty vehicles|Motor Gasoline|Total|Existing gasoline heavy duty vehicles</t>
  </si>
  <si>
    <t>Mileage in heavy duty vehicles|Motor Gasoline|Total|New gasoline heavy duty vehicles</t>
  </si>
  <si>
    <t>Mileage in heavy duty vehicles|Motor Diesel|Total|Existing ICE diesel heavy duty vehicles</t>
  </si>
  <si>
    <t>Mileage in heavy duty vehicles|Motor Diesel|Total|New ICE diesel heavy duty vehicles</t>
  </si>
  <si>
    <t>Mileage in heavy duty vehicles|Motor Diesel|Total|New hybrid diesel heavy duty vehicles</t>
  </si>
  <si>
    <t>Mileage in heavy duty vehicles|Motor Gas|Total|New ICE Gas heavy duty vehicles</t>
  </si>
  <si>
    <t>Efficiency in heavy duty vehicles</t>
  </si>
  <si>
    <t>Efficiency in heavy duty vehicles|Electricity|Existing electric heavy duty vehicles</t>
  </si>
  <si>
    <t>Efficiency in heavy duty vehicles|Electricity|New electric heavy duty vehicles</t>
  </si>
  <si>
    <t>Efficiency in heavy duty vehicles|Hydrogen|New fuel cell electric heavy duty vehicles</t>
  </si>
  <si>
    <t>Efficiency in heavy duty vehicles|Motor Gasoline|Total|Existing gasoline heavy duty vehicles</t>
  </si>
  <si>
    <t>Efficiency in heavy duty vehicles|Motor Gasoline|Total|New gasoline heavy duty vehicles</t>
  </si>
  <si>
    <t>Efficiency in heavy duty vehicles|Motor Diesel|Total|Existing ICE diesel heavy duty vehicles</t>
  </si>
  <si>
    <t>Efficiency in heavy duty vehicles|Motor Diesel|Total|New ICE diesel heavy duty vehicles</t>
  </si>
  <si>
    <t>Efficiency in heavy duty vehicles|Motor Diesel|Total|New hybrid diesel heavy duty vehicles</t>
  </si>
  <si>
    <t>Efficiency in heavy duty vehicles|Motor Gas|Total|New ICE Gas heavy duty vehicles</t>
  </si>
  <si>
    <t>Fuel consumption in  light duty vehicles</t>
  </si>
  <si>
    <t>Light duty vehicles mileage</t>
  </si>
  <si>
    <t>Light duty vehicles efficiency</t>
  </si>
  <si>
    <t>Fuel consumption in  heavy duty vehicles</t>
  </si>
  <si>
    <t>Fuel consumption in heavy duty vehicles by fuel and size</t>
  </si>
  <si>
    <t>Average annual efficiency across all the stock of the same heavy duty vehicles type</t>
  </si>
  <si>
    <t>Heavy duty vehicles mileage</t>
  </si>
  <si>
    <t>Heavy duty vehicles efficiency</t>
  </si>
  <si>
    <t>Fuel consumption in other transport</t>
  </si>
  <si>
    <t>Fuel consumption in other transport|Electricity</t>
  </si>
  <si>
    <t xml:space="preserve">Fuel consumption in other transport|Electricity|Passenger electric rail </t>
  </si>
  <si>
    <t xml:space="preserve">Fuel consumption in other transport|Electricity|Freight electric rail </t>
  </si>
  <si>
    <t>Fuel consumption in other transport|Electricity|Other electric transport</t>
  </si>
  <si>
    <t>Fuel consumption in other transport|Hydrogen</t>
  </si>
  <si>
    <t xml:space="preserve">Fuel consumption in other transport|Hydrogen|Passenger hydrogen rail </t>
  </si>
  <si>
    <t xml:space="preserve">Fuel consumption in other transport|Hydrogen|Freight hydrogen rail </t>
  </si>
  <si>
    <t>Fuel consumption in other transport|Hydrogen|Other hydrogen transport</t>
  </si>
  <si>
    <t>Fuel consumption in other transport|Motor Gasoline</t>
  </si>
  <si>
    <t>Fuel consumption in other transport|Motor Gasoline|Fossil liquids</t>
  </si>
  <si>
    <t>Fuel consumption in other transport|Motor Gasoline|Synthetic liquids</t>
  </si>
  <si>
    <t>Fuel consumption in other transport|Motor Gasoline|Synthetic liquids|Bioliquids|Ethanol</t>
  </si>
  <si>
    <t>Fuel consumption in other transport|Motor Gasoline|Synthetic liquids|PtL|PtL Gasoline</t>
  </si>
  <si>
    <t>Fuel consumption in other transport|Motor Gasoline|Total|Other gasoline transport</t>
  </si>
  <si>
    <t>Fuel consumption in other transport|Motor Diesel</t>
  </si>
  <si>
    <t>Fuel consumption in other transport|Motor Diesel|Fossil liquids</t>
  </si>
  <si>
    <t>Fuel consumption in other transport|Motor Diesel|Synthetic liquids</t>
  </si>
  <si>
    <t>Fuel consumption in other transport|Motor Diesel|Synthetic liquids|Bioliquids|Biodiesel</t>
  </si>
  <si>
    <t>Fuel consumption in other transport|Motor Diesel|Synthetic liquids|PtL|PtL Diesel</t>
  </si>
  <si>
    <t>Fuel consumption in other transport|Motor Diesel|Total|Passenger diesel rail</t>
  </si>
  <si>
    <t>Fuel consumption in other transport|Motor Diesel|Total|Freight diesel rail</t>
  </si>
  <si>
    <t>Fuel consumption in other transport|Motor Diesel|Total|Other diesel transport</t>
  </si>
  <si>
    <t>Other transport mileage</t>
  </si>
  <si>
    <t xml:space="preserve">Other transport mileage|Electricity|Passenger electric rail </t>
  </si>
  <si>
    <t xml:space="preserve">Other transport mileage|Electricity|Freight electric rail </t>
  </si>
  <si>
    <t>Other transport mileage|Electricity|Other electric transport</t>
  </si>
  <si>
    <t xml:space="preserve">Other transport mileage|Hydrogen|Passenger hydrogen rail </t>
  </si>
  <si>
    <t xml:space="preserve">Other transport mileage|Hydrogen|Freight hydrogen rail </t>
  </si>
  <si>
    <t>Other transport mileage|Hydrogen|Other hydrogen transport</t>
  </si>
  <si>
    <t>Other transport mileage|Motor Gasoline|Total|Other gasoline transport</t>
  </si>
  <si>
    <t>Other transport mileage|Motor Diesel|Total|Passenger diesel rail</t>
  </si>
  <si>
    <t>Other transport mileage|Motor Diesel|Total|Freight diesel rail</t>
  </si>
  <si>
    <t>Other transport mileage|Motor Diesel|Total|Other diesel transport</t>
  </si>
  <si>
    <t>Other transport efficiency</t>
  </si>
  <si>
    <t xml:space="preserve">Other transport efficiency|Electricity|Passenger electric rail </t>
  </si>
  <si>
    <t xml:space="preserve">Other transport efficiency|Electricity|Freight electric rail </t>
  </si>
  <si>
    <t>Other transport efficiency|Electricity|Other electric transport</t>
  </si>
  <si>
    <t xml:space="preserve">Other transport efficiency|Hydrogen|Passenger hydrogen rail </t>
  </si>
  <si>
    <t xml:space="preserve">Other transport efficiency|Hydrogen|Freight hydrogen rail </t>
  </si>
  <si>
    <t>Other transport efficiency|Hydrogen|Other hydrogen transport</t>
  </si>
  <si>
    <t>Other transport efficiency|Motor Gasoline|Total|Other gasoline transport</t>
  </si>
  <si>
    <t>Other transport efficiency|Motor Diesel|Total|Passenger diesel rail</t>
  </si>
  <si>
    <t>Other transport efficiency|Motor Diesel|Total|Freight diesel rail</t>
  </si>
  <si>
    <t>Other transport efficiency|Motor Diesel|Total|Other diesel transport</t>
  </si>
  <si>
    <t>Fuel consumption in  other transport</t>
  </si>
  <si>
    <t>Annual km driven in other transprot</t>
  </si>
  <si>
    <t>Average annual efficiency across all the stock of the same other transport type</t>
  </si>
  <si>
    <t>billion km/yr. or PJ/yr.</t>
  </si>
  <si>
    <t>km/MJ or %</t>
  </si>
  <si>
    <t>Direct CO2 emissions from fuel combustion and industrial processes</t>
  </si>
  <si>
    <t>Direct CO2 emissions from fuel combustion and industrial processes|CO2|Power generation</t>
  </si>
  <si>
    <t>Direct CO2 emissions from fuel combustion and industrial processes|CO2|Synthetic fuel production</t>
  </si>
  <si>
    <t>Direct CO2 emissions from fuel combustion and industrial processes|CO2|Industry</t>
  </si>
  <si>
    <t>Direct CO2 emissions from fuel combustion and industrial processes|CO2|Services</t>
  </si>
  <si>
    <t>Direct CO2 emissions from fuel combustion and industrial processes|CO2|Residential</t>
  </si>
  <si>
    <t>Direct CO2 emissions from fuel combustion and industrial processes|CO2|Transport</t>
  </si>
  <si>
    <t>Direct CO2 emissions from fuel combustion and industrial processes|CO2|CO2 captured in power generation</t>
  </si>
  <si>
    <t>Direct CO2 emissions from fuel combustion and industrial processes|CO2|CO2 captured in industry</t>
  </si>
  <si>
    <t>Direct CO2 emissions from fuel combustion and industrial processes|CO2|CO2 captured in hydrogen</t>
  </si>
  <si>
    <t>Direct CO2 emissions from fuel combustion and industrial processes|CO2|CO2 captured in biogases/bioliquids</t>
  </si>
  <si>
    <t>Direct CO2 emissions from fuel combustion and industrial processes|CO2|Direct air capture</t>
  </si>
  <si>
    <t>Direct CO2 emissions from fuel combustion and industrial processes|CO2|Industry|Industrial processes</t>
  </si>
  <si>
    <t>Direct CO2 emissions from fuel combustion and industrial processes|CO2|Industry|fuel combustion</t>
  </si>
  <si>
    <t>CO2 storage and utilisation</t>
  </si>
  <si>
    <t>CO2 storage and utilisation|CO2|Domestic sequestration</t>
  </si>
  <si>
    <t>CO2 storage and utilisation|CO2|Domestic utilisation</t>
  </si>
  <si>
    <t>CO2 storage and utilisation|CO2|Exported</t>
  </si>
  <si>
    <t>Final energy consumption</t>
  </si>
  <si>
    <t>Direct air capture</t>
  </si>
  <si>
    <t xml:space="preserve">Quantities of CO2 domestically stored or utilised, or exported </t>
  </si>
  <si>
    <t>Consumption for DAC (electricity, heat) and CO2 captured from DAC</t>
  </si>
  <si>
    <t>Direct air capture|Energy consumption</t>
  </si>
  <si>
    <t>Direct air capture|Energy consumption|Electricity</t>
  </si>
  <si>
    <t>Direct air capture|Energy consumption|Heat</t>
  </si>
  <si>
    <t>Direct air capture|CO2 captured</t>
  </si>
  <si>
    <t>Industry</t>
  </si>
  <si>
    <t>Services</t>
  </si>
  <si>
    <t>Residential</t>
  </si>
  <si>
    <t>Transport</t>
  </si>
  <si>
    <t>Hydrogen production</t>
  </si>
  <si>
    <t>Electricity and heat</t>
  </si>
  <si>
    <t>Biofuel production</t>
  </si>
  <si>
    <t>DAC</t>
  </si>
  <si>
    <t>Fuel input to energy conversion and DAC</t>
  </si>
  <si>
    <t>Total Primary energy consumption</t>
  </si>
  <si>
    <t>Domestic production</t>
  </si>
  <si>
    <t>Primary Energy Consumption|Coal</t>
  </si>
  <si>
    <t>Primary Energy Consumption|Oil</t>
  </si>
  <si>
    <t>Primary Energy Consumption|Oil|Fossil liquids</t>
  </si>
  <si>
    <t>Primary Energy Consumption|Oil|Fossil liquids|Light fuel oil</t>
  </si>
  <si>
    <t>Primary Energy Consumption|Oil|Fossil liquids|Heavy fuel oil</t>
  </si>
  <si>
    <t>Primary Energy Consumption|Oil|Fossil liquids|Motor Diesel</t>
  </si>
  <si>
    <t>Primary Energy Consumption|Oil|Fossil liquids|Motor Gasoline</t>
  </si>
  <si>
    <t>Primary Energy Consumption|Oil|Fossil liquids|Kerosene (excl. international aviation)</t>
  </si>
  <si>
    <t>Primary Energy Consumption|Oil|Synthetic liquids</t>
  </si>
  <si>
    <t>Primary Energy Consumption|Oil|Synthetic liquids|Total|Motor diesel</t>
  </si>
  <si>
    <t>Primary Energy Consumption|Oil|Synthetic liquids|Total|Motor Gasoline</t>
  </si>
  <si>
    <t>Primary Energy Consumption|Oil|Synthetic liquids|Bioliquids|Total</t>
  </si>
  <si>
    <t>Primary Energy Consumption|Oil|Synthetic liquids|Bioliquids|Biodiesel</t>
  </si>
  <si>
    <t>Primary Energy Consumption|Oil|Synthetic liquids|Bioliquids|Ethanol</t>
  </si>
  <si>
    <t>Primary Energy Consumption|Oil|Synthetic liquids|PtL</t>
  </si>
  <si>
    <t>Primary Energy Consumption|Oil|Synthetic liquids|PtL|PtL Diesel</t>
  </si>
  <si>
    <t>Primary Energy Consumption|Oil|Synthetic liquids|PtL|PtL Gasoline</t>
  </si>
  <si>
    <t>Primary Energy Consumption|Oil|Synthetic liquids|PtL|PtL Kerosene</t>
  </si>
  <si>
    <t>Primary Energy Consumption|Gas</t>
  </si>
  <si>
    <t>Primary Energy Consumption|Gas|Fossil gases|Total</t>
  </si>
  <si>
    <t>Primary Energy Consumption|Gas|Fossil gases|Natural gas</t>
  </si>
  <si>
    <t>Primary Energy Consumption|Gas|Fossil gases|Liquified Natural Gas</t>
  </si>
  <si>
    <t>Primary Energy Consumption|Gas|Synthetic gases</t>
  </si>
  <si>
    <t>Primary Energy Consumption|Gas|Synthetic gases|Biogases</t>
  </si>
  <si>
    <t>Primary Energy Consumption|Gas|Synthetic gases|Biogases|Biogas</t>
  </si>
  <si>
    <t>Primary Energy Consumption|Gas|Synthetic gases|PtG</t>
  </si>
  <si>
    <t>Primary Energy Consumption|Gas|Synthetic gases|PtG|PtG gas</t>
  </si>
  <si>
    <t>Primary Energy Consumption|Nuclear fuel</t>
  </si>
  <si>
    <t>Primary Energy Consumption|Electricity</t>
  </si>
  <si>
    <t>Primary Energy Consumption|Hydrogen</t>
  </si>
  <si>
    <t>Primary Energy Consumption</t>
  </si>
  <si>
    <t>Primary Energy Consumption|Wood</t>
  </si>
  <si>
    <t>Primary Energy Consumption|Wood|Waste wood</t>
  </si>
  <si>
    <t>Primary Energy Consumption|Wood|Wood residues</t>
  </si>
  <si>
    <t>Primary Energy Consumption|Wood|Wood from landscape maintenance</t>
  </si>
  <si>
    <t>Primary Energy Consumption|Wood|Wood from Forest (hard wood)</t>
  </si>
  <si>
    <t>Primary Energy Consumption|Waste</t>
  </si>
  <si>
    <t>Primary Energy Consumption|Waste|Non renewable waste</t>
  </si>
  <si>
    <t>Primary Energy Consumption|Waste|Renewable waste</t>
  </si>
  <si>
    <t>Primary Energy Consumption|Manure</t>
  </si>
  <si>
    <t>Primary Energy Consumption|Hydro</t>
  </si>
  <si>
    <t>Primary Energy Consumption|Hydro|Large hydro</t>
  </si>
  <si>
    <t>Primary Energy Consumption|Hydro|Run-of-river hydro</t>
  </si>
  <si>
    <t>Primary Energy Consumption|Hydro|Pump storage</t>
  </si>
  <si>
    <t>Primary Energy Consumption|Solar</t>
  </si>
  <si>
    <t>Primary Energy Consumption|Wind</t>
  </si>
  <si>
    <t>Primary Energy Consumption|Ambient heat</t>
  </si>
  <si>
    <t>Primary Energy Consumption|Geothermal</t>
  </si>
  <si>
    <t>Total domestic energy consumption (= production + imports - exports)</t>
  </si>
  <si>
    <t>Net install electricity and CHP generatoin capacity</t>
  </si>
  <si>
    <t>Electricity generation capacity</t>
  </si>
  <si>
    <t xml:space="preserve">Electricity generation capacity </t>
  </si>
  <si>
    <t>Electricity generation capacity|Nuclear Fuel</t>
  </si>
  <si>
    <t>Electricity generation capacity|Nuclear Fuel|Nuclear power plants</t>
  </si>
  <si>
    <t>Electricity generation capacity|Hydro</t>
  </si>
  <si>
    <t>Electricity generation capacity|Hydro|Hydro Large</t>
  </si>
  <si>
    <t>Electricity generation capacity|Hydro|Hydro Run of River</t>
  </si>
  <si>
    <t>Electricity generation capacity|Hydro|Pump storage</t>
  </si>
  <si>
    <t>Electricity generation capacity|Oil</t>
  </si>
  <si>
    <t>Electricity generation capacity|Oil|Peak devices</t>
  </si>
  <si>
    <t>Electricity generation capacity|Oil|CHP Oil (for District Heating)</t>
  </si>
  <si>
    <t>Electricity generation capacity|Oil|Industrial CHPs oil</t>
  </si>
  <si>
    <t>Electricity generation capacity|Gas</t>
  </si>
  <si>
    <t>Electricity generation capacity|Gas|Gas turbines combined cycle</t>
  </si>
  <si>
    <t>Electricity generation capacity|Gas|Gas turbines open cycle</t>
  </si>
  <si>
    <t>Electricity generation capacity|Gas|Gas turbines combined cycle CCS</t>
  </si>
  <si>
    <t>Electricity generation capacity|Gas|CHP Gas (for District Heating)</t>
  </si>
  <si>
    <t>Electricity generation capacity|Gas|CHP Fuel Cell Gas (for District Heating)</t>
  </si>
  <si>
    <t>Electricity generation capacity|Gas|Industrial CHPs gas</t>
  </si>
  <si>
    <t>Electricity generation capacity|Gas|Industrial CHPs gas (CCS)</t>
  </si>
  <si>
    <t>Electricity generation capacity|Gas|Industrial CHPs fuel cells (gas reformer)</t>
  </si>
  <si>
    <t>Electricity generation capacity|Gas|Residential single family CHPs gas</t>
  </si>
  <si>
    <t>Electricity generation capacity|Gas|Residential single family CHPs fuel cells gas</t>
  </si>
  <si>
    <t>Electricity generation capacity|Gas|Residential multi family CHPs gas</t>
  </si>
  <si>
    <t>Electricity generation capacity|Gas|Residential multi family CHPs fuel cells gas</t>
  </si>
  <si>
    <t>Electricity generation capacity|Gas|Services sectors CHPs (bio)gas</t>
  </si>
  <si>
    <t>Electricity generation capacity|Gas|Services sectors CHPs gas</t>
  </si>
  <si>
    <t>Electricity generation capacity|Gas|Services sectors CHPs fuel cells (gas reformer)</t>
  </si>
  <si>
    <t>Electricity generation capacity|Wastes</t>
  </si>
  <si>
    <t>Electricity generation capacity|Wastes|Wastes Incineration (electric only)</t>
  </si>
  <si>
    <t>Electricity generation capacity|Wastes|Wastes Incineration (electric only) CCS</t>
  </si>
  <si>
    <t>Electricity generation capacity|Wastes|CHP Wastes (for District Heating)</t>
  </si>
  <si>
    <t>Electricity generation capacity|Wastes|CHP Wastes (for District Heating) CCS</t>
  </si>
  <si>
    <t>Electricity generation capacity|Wastes|Industrial CHPs wastes</t>
  </si>
  <si>
    <t>Electricity generation capacity|Wastes|Industrial CHPs wastes CCS</t>
  </si>
  <si>
    <t>Electricity generation capacity|Wood</t>
  </si>
  <si>
    <t>Electricity generation capacity|Wood|CHP Wood (for District Heating)</t>
  </si>
  <si>
    <t>Electricity generation capacity|Wood|Biomass with CCS (BECCS)</t>
  </si>
  <si>
    <t>Electricity generation capacity|Wood|Industrial CHPs wood</t>
  </si>
  <si>
    <t>Electricity generation capacity|Wood|Industrial CHPs wood (CCS)</t>
  </si>
  <si>
    <t>Electricity generation capacity|Wood|Residential single family CHPs wood</t>
  </si>
  <si>
    <t>Electricity generation capacity|Wood|Residential multi family CHPs wood</t>
  </si>
  <si>
    <t>Electricity generation capacity|Wood|Services sectors CHPs wood</t>
  </si>
  <si>
    <t>Electricity generation capacity|Wind</t>
  </si>
  <si>
    <t>Electricity generation capacity|Wind|Wind turbines</t>
  </si>
  <si>
    <t>Electricity generation capacity|Solar</t>
  </si>
  <si>
    <t>Electricity generation capacity|Solar|Solar PV (large scale)</t>
  </si>
  <si>
    <t>Electricity generation capacity|Solar|Solar PV (Industry)</t>
  </si>
  <si>
    <t>Electricity generation capacity|Solar|Solar PV (Residential single family)</t>
  </si>
  <si>
    <t>Electricity generation capacity|Solar|Solar PV (Residential multi family)</t>
  </si>
  <si>
    <t>Electricity generation capacity|Solar|Solar PV (Services)</t>
  </si>
  <si>
    <t>Electricity generation capacity|Geothermal</t>
  </si>
  <si>
    <t>Electricity generation capacity|Geothermal|Deep geothermal</t>
  </si>
  <si>
    <t>Electricity generation capacity|Hydrogen</t>
  </si>
  <si>
    <t>Electricity generation capacity|Hydrogen|CHP Fuel Cell Hydrogen (for District Heating)</t>
  </si>
  <si>
    <t>Electricity generation capacity|Hydrogen|Industrial CHPs fuel cells (hydrogen)</t>
  </si>
  <si>
    <t>Electricity generation capacity|Hydrogen|Services sectors CHPs fuel cells (hydrogen)</t>
  </si>
  <si>
    <t>Electricity generation capacity|Electricity storage (non hydro)</t>
  </si>
  <si>
    <t>Electricity generation capacity|Electricity storage (non hydro)|CAES</t>
  </si>
  <si>
    <t>Electricity generation capacity|Electricity storage (non hydro)|Battery storage large size centralised</t>
  </si>
  <si>
    <t>Electricity generation capacity|Electricity storage (non hydro)|Battery storage medium size centralised</t>
  </si>
  <si>
    <t>Electricity generation capacity|Electricity storage (non hydro)|Batteries in industry</t>
  </si>
  <si>
    <t>Electricity generation capacity|Electricity storage (non hydro)|Batteries in residential multi-family houses</t>
  </si>
  <si>
    <t>Electricity generation capacity|Electricity storage (non hydro)|Batteries in Services sector</t>
  </si>
  <si>
    <t>Electricity generation|Electricity storage (non hydro)|Batteries in residential single family houses</t>
  </si>
  <si>
    <t>Fuel input for electricity generation|Electricity storage (non hydro)|Batteries in residential single family houses</t>
  </si>
  <si>
    <t>Efficiency of power plants (electric)|Electricity storage (non hydro)|Batteries in residential single family houses</t>
  </si>
  <si>
    <t>Electricity generation capacity|Electricity storage (non hydro)|Batteries in residential single family houses</t>
  </si>
  <si>
    <t>Space heating boiler capacity in Residential sector</t>
  </si>
  <si>
    <t>GWe/yr.</t>
  </si>
  <si>
    <t>GWth/yr.</t>
  </si>
  <si>
    <t xml:space="preserve">Capacity of boilers and heat pumps in the residential sector for space heating </t>
  </si>
  <si>
    <t>Space and water heat boiler capacity in Residential sector</t>
  </si>
  <si>
    <t>Space and water heat boiler capacity in Residential sector|Space heating|Electricty</t>
  </si>
  <si>
    <t>Space and water heat boiler capacity in Residential sector|Space heating|Electricty|Electric boiler</t>
  </si>
  <si>
    <t>Space and water heat boiler capacity in Residential sector|Space heating|Electricty|Heat pump electric</t>
  </si>
  <si>
    <t>Space and water heat boiler capacity in Residential sector|Space heating|Oil</t>
  </si>
  <si>
    <t>Space and water heat boiler capacity in Residential sector|Space heating|Oil|Light fuel oil boiler</t>
  </si>
  <si>
    <t>Space and water heat boiler capacity in Residential sector|Space heating|Gas</t>
  </si>
  <si>
    <t>Space and water heat boiler capacity in Residential sector|Space heating|Gas|Gas boiler</t>
  </si>
  <si>
    <t>Space and water heat boiler capacity in Residential sector|Space heating|Gas|Heat pump gas</t>
  </si>
  <si>
    <t>Space and water heat boiler capacity in Residential sector|Space heating|Coal</t>
  </si>
  <si>
    <t>Space and water heat boiler capacity in Residential sector|Space heating|Coal|Coal boiler</t>
  </si>
  <si>
    <t>Space and water heat boiler capacity in Residential sector|Space heating|Wood</t>
  </si>
  <si>
    <t>Space and water heat boiler capacity in Residential sector|Space heating|Wood|Wood boiler</t>
  </si>
  <si>
    <t>Space and water heat boiler capacity in Residential sector|Space heating|Pellets</t>
  </si>
  <si>
    <t>Space and water heat boiler capacity in Residential sector|Space heating|Pellets|Pellets boiler</t>
  </si>
  <si>
    <t>Space and water heat boiler capacity in Residential sector|Space heating|Solar</t>
  </si>
  <si>
    <t>Space and water heat boiler capacity in Residential sector|Space heating|Solar|Solar thermal</t>
  </si>
  <si>
    <t>Space and water heat boiler capacity in Residential sector|Space heating|Hydrogen</t>
  </si>
  <si>
    <t>Space and water heat boiler capacity in Residential sector|Space heating|Hydrogen|Hydrogen boiler</t>
  </si>
  <si>
    <t>Space and water heat boiler capacity in Residential sector|Water heating</t>
  </si>
  <si>
    <t>Space and water heat boiler capacity in Residential sector|Water heating|Electricty</t>
  </si>
  <si>
    <t>Space and water heat boiler capacity in Residential sector|Water heating|Electricty|Electric boiler</t>
  </si>
  <si>
    <t>Space and water heat boiler capacity in Residential sector|Water heating|Electricty|Heat pump electric</t>
  </si>
  <si>
    <t>Space and water heat boiler capacity in Residential sector|Water heating|Oil</t>
  </si>
  <si>
    <t>Space and water heat boiler capacity in Residential sector|Water heating|Oil|Light fuel oil boiler</t>
  </si>
  <si>
    <t>Space and water heat boiler capacity in Residential sector|Water heating|Gas</t>
  </si>
  <si>
    <t>Space and water heat boiler capacity in Residential sector|Water heating|Gas|Gas boiler</t>
  </si>
  <si>
    <t>Space and water heat boiler capacity in Residential sector|Water heating|Gas|Heat pump gas</t>
  </si>
  <si>
    <t>Space and water heat boiler capacity in Residential sector|Water heating|Coal</t>
  </si>
  <si>
    <t>Space and water heat boiler capacity in Residential sector|Water heating|Coal|Coal boiler</t>
  </si>
  <si>
    <t>Space and water heat boiler capacity in Residential sector|Water heating|Wood</t>
  </si>
  <si>
    <t>Space and water heat boiler capacity in Residential sector|Water heating|Wood|Wood boiler</t>
  </si>
  <si>
    <t>Space and water heat boiler capacity in Residential sector|Water heating|Pellets</t>
  </si>
  <si>
    <t>Space and water heat boiler capacity in Residential sector|Water heating|Pellets|Pellets boiler</t>
  </si>
  <si>
    <t>Space and water heat boiler capacity in Residential sector|Water heating|Solar</t>
  </si>
  <si>
    <t>Space and water heat boiler capacity in Residential sector|Water heating|Solar|Solar thermal</t>
  </si>
  <si>
    <t>Space and water heat boiler capacity in Residential sector|Water heating|Hydrogen</t>
  </si>
  <si>
    <t>Space and water heat boiler capacity in Residential sector|Water heating|Hydrogen|Hydrogen boiler</t>
  </si>
  <si>
    <t>Space and water heat boiler capacity in Residential sector|Space heating</t>
  </si>
  <si>
    <t>Process and space heating capacity in industry sectors</t>
  </si>
  <si>
    <t>Space water and process heat boiler capacity in Services sectors</t>
  </si>
  <si>
    <t>Space water and process heat boiler capacity in Services sectors|Electricity</t>
  </si>
  <si>
    <t>Space water and process heat boiler capacity in Services sectors|Electricity|Electric boiler</t>
  </si>
  <si>
    <t>Space water and process heat boiler capacity in Services sectors|Electricity|Heat pump electric</t>
  </si>
  <si>
    <t>Space water and process heat boiler capacity in Services sectors|Oil</t>
  </si>
  <si>
    <t>Space water and process heat boiler capacity in Services sectors|Oil|Light fuel boiler</t>
  </si>
  <si>
    <t>Space water and process heat boiler capacity in Services sectors|Gas</t>
  </si>
  <si>
    <t>Space water and process heat boiler capacity in Services sectors|Gas|Gas boiler</t>
  </si>
  <si>
    <t>Space water and process heat boiler capacity in Services sectors|Gas|Heat pump gas</t>
  </si>
  <si>
    <t>Space water and process heat boiler capacity in Services sectors|Gas|Biogas boiler</t>
  </si>
  <si>
    <t>Space water and process heat boiler capacity in Services sectors|Wood</t>
  </si>
  <si>
    <t>Space water and process heat boiler capacity in Services sectors|Wood|Wood boiler</t>
  </si>
  <si>
    <t>Space water and process heat boiler capacity in Services sectors|Pellets</t>
  </si>
  <si>
    <t>Space water and process heat boiler capacity in Services sectors|Pellets|Pellet boiler</t>
  </si>
  <si>
    <t>Space water and process heat boiler capacity in Services sectors|Solar</t>
  </si>
  <si>
    <t>Space water and process heat boiler capacity in Services sectors|Solar|Solar thermal</t>
  </si>
  <si>
    <t>Space water and process heat boiler capacity in Services sectors|Hydrogen</t>
  </si>
  <si>
    <t>Space water and process heat boiler capacity in Services sectors|Hydrogen|Hydrogen boiler</t>
  </si>
  <si>
    <t xml:space="preserve">Capacity of industrial boilers and heat pumps for process and space heating production </t>
  </si>
  <si>
    <t>Capacity of boilers and heat pumps for process and space heating production in services sector</t>
  </si>
  <si>
    <t>Cars stock</t>
  </si>
  <si>
    <t>Cars stock|Electricity|Existing battery electric cars</t>
  </si>
  <si>
    <t>Cars stock|Electricity|New battery electric cars (&lt;60kW)</t>
  </si>
  <si>
    <t>Cars stock|Electricity|New battery electric cars (60-100 kW)</t>
  </si>
  <si>
    <t>Cars stock|Electricity|New battery electric cars (100-140 kW)</t>
  </si>
  <si>
    <t>Cars stock|Electricity|New battery electric cars (&gt;140 kW)</t>
  </si>
  <si>
    <t>Cars stock|Electricity|New plug-in hybrid gasoline (&lt;60 kW)</t>
  </si>
  <si>
    <t>Cars stock|Electricity|New plug-in hybrid gasoline (60-100 kW)</t>
  </si>
  <si>
    <t>Cars stock|Electricity|New plug-in hybrid gasoline (100-140 kW)</t>
  </si>
  <si>
    <t>Cars stock|Electricity|New plug-in hybrid gasoline (&gt;140 kW)</t>
  </si>
  <si>
    <t>Cars stock|Electricity|New plug-in hybrid diesel (&lt;60 kW)</t>
  </si>
  <si>
    <t>Cars stock|Electricity|New plug-in hybrid diesel (60-100 kW)</t>
  </si>
  <si>
    <t>Cars stock|Electricity|New plug-in hybrid diesel (100-140 kW)</t>
  </si>
  <si>
    <t>Cars stock|Electricity|New plug-in hybrid diesel (&gt;140 kW)</t>
  </si>
  <si>
    <t>Cars stock|Hydrogen|New fuel cell cars (&lt;60 kW)</t>
  </si>
  <si>
    <t>Cars stock|Hydrogen|New fuel cell cars (60-100 kW)</t>
  </si>
  <si>
    <t>Cars stock|Hydrogen|New fuel cell cars (100-140 kW)</t>
  </si>
  <si>
    <t>Cars stock|Hydrogen|New fuel cell cars (&gt;140 kW)</t>
  </si>
  <si>
    <t>Cars stock|Motor Gasoline|Total|Conventional gasoline hybrid existing</t>
  </si>
  <si>
    <t>Cars stock|Motor Gasoline|Total|New conventional gasoline hybrid (&lt;60 kW)</t>
  </si>
  <si>
    <t>Cars stock|Motor Gasoline|Total|New conventional gasoline hybrid (60-100 kW)</t>
  </si>
  <si>
    <t>Cars stock|Motor Gasoline|Total|New conventional gasoline hybrid (100-140 kW)</t>
  </si>
  <si>
    <t>Cars stock|Motor Gasoline|Total|New conventional gasoline hybrid (&gt;140 kW)</t>
  </si>
  <si>
    <t>Cars stock|Motor Gasoline|Total|Conventional gasoline ICE existing</t>
  </si>
  <si>
    <t>Cars stock|Motor Gasoline|Total|New conventional gasoline ICE (&lt;60 kW)</t>
  </si>
  <si>
    <t>Cars stock|Motor Gasoline|Total|New conventional gasoline ICE (60-100 kW)</t>
  </si>
  <si>
    <t>Cars stock|Motor Gasoline|Total|New conventional gasoline ICE (100-140 kW)</t>
  </si>
  <si>
    <t>Cars stock|Motor Gasoline|Total|New conventional gasoline ICE (&gt;140 kW)</t>
  </si>
  <si>
    <t>Cars stock|Motor Gasoline|Total|New mild hybrid gasoline (&lt;60 kW)</t>
  </si>
  <si>
    <t>Cars stock|Motor Gasoline|Total|New mild hybrid gasoline (60-100 kW)</t>
  </si>
  <si>
    <t>Cars stock|Motor Gasoline|Total|New mild hybrid gasoline (100-140 kW)</t>
  </si>
  <si>
    <t>Cars stock|Motor Gasoline|Total|New mild hybrid gasoline (&gt;140 kW)</t>
  </si>
  <si>
    <t>Cars stock|Motor Diesel|Total|Conventional diesel hybrid existing</t>
  </si>
  <si>
    <t>Cars stock|Motor Diesel|Total|New conventional diesel hybrid (&lt;60 kW)</t>
  </si>
  <si>
    <t>Cars stock|Motor Diesel|Total|New conventional diesel hybrid (60-100 kW)</t>
  </si>
  <si>
    <t>Cars stock|Motor Diesel|Total|New conventional diesel hybrid (100-140 kW)</t>
  </si>
  <si>
    <t>Cars stock|Motor Diesel|Total|New conventional diesel hybrid (&gt;140 kW)</t>
  </si>
  <si>
    <t>Cars stock|Motor Diesel|Total|Conventional diesel ICE existing</t>
  </si>
  <si>
    <t>Cars stock|Motor Diesel|Total|New conventional diesel ICE (&lt;60 kW)</t>
  </si>
  <si>
    <t>Cars stock|Motor Diesel|Total|New conventional diesel ICE (60-100 kW)</t>
  </si>
  <si>
    <t>Cars stock|Motor Diesel|Total|New conventional diesel ICE (100-140 kW)</t>
  </si>
  <si>
    <t>Cars stock|Motor Diesel|Total|New conventional diesel ICE (&gt;140 kW)</t>
  </si>
  <si>
    <t>Cars stock|Motor Diesel|Total|New mild hybrid diesel (&lt;60 kW)</t>
  </si>
  <si>
    <t>Cars stock|Motor Diesel|Total|New mild hybrid diesel (60-100 kW)</t>
  </si>
  <si>
    <t>Cars stock|Motor Diesel|Total|New mild hybrid diesel (100-140 kW)</t>
  </si>
  <si>
    <t>Cars stock|Motor Diesel|Total|New mild hybrid diesel (&gt;140 kW)</t>
  </si>
  <si>
    <t>Cars stock|Gas|Conventional gas ICE existing</t>
  </si>
  <si>
    <t>Cars stock|Gas|New conventionalgas ICE (&lt;60 kW)</t>
  </si>
  <si>
    <t>Cars stock|Gas|New conventional gas ICE (60-100 kW)</t>
  </si>
  <si>
    <t>Cars stock|Gas|New conventional gas ICE (100-140 kW)</t>
  </si>
  <si>
    <t>Cars stock|Gas|New conventional gas ICE (&gt;140 kW)</t>
  </si>
  <si>
    <t>Stock of cars per engine type and size</t>
  </si>
  <si>
    <t>Million</t>
  </si>
  <si>
    <t>Urban buses stock</t>
  </si>
  <si>
    <t>Stock of urban buses per engine type and size</t>
  </si>
  <si>
    <t>Thousands</t>
  </si>
  <si>
    <t>Stock of coaches per engine type and size</t>
  </si>
  <si>
    <t>Coaches stock</t>
  </si>
  <si>
    <t>Urban buses stock|Electricity|Existing electric urban buses</t>
  </si>
  <si>
    <t>Urban buses stock|Electricity|New electric urban buses (Mini)</t>
  </si>
  <si>
    <t>Urban buses stock|Electricity|New electric urban buses (Midi)</t>
  </si>
  <si>
    <t>Urban buses stock|Electricity|New electric urban buses (Maxi)</t>
  </si>
  <si>
    <t>Urban buses stock|Electricity|New electric urban buses (Mega)</t>
  </si>
  <si>
    <t>Urban buses stock|Hydrogen|New fuel cell urban buses (Mini)</t>
  </si>
  <si>
    <t>Urban buses stock|Hydrogen|New fuel cell urban buses (Midi)</t>
  </si>
  <si>
    <t>Urban buses stock|Hydrogen|New fuel cell urban buses (Maxi)</t>
  </si>
  <si>
    <t>Urban buses stock|Hydrogen|New fuel cell urban buses (Mega)</t>
  </si>
  <si>
    <t>Urban buses stock|Motor Diesel|Total|New conventional hybrid diesel urban buses (Mini)</t>
  </si>
  <si>
    <t>Urban buses stock|Motor Diesel|Total|New conventional hybrid diesel urban buses (Midi)</t>
  </si>
  <si>
    <t>Urban buses stock|Motor Diesel|Total|New conventional hybrid diesel urban buses (Maxi)</t>
  </si>
  <si>
    <t>Urban buses stock|Motor Diesel|Total|New conventional hybrid diesel urban buses (Mega)</t>
  </si>
  <si>
    <t>Urban buses stock|Motor Diesel|Total|New conventional ICE diesel urban buses (Mini)</t>
  </si>
  <si>
    <t>Urban buses stock|Motor Diesel|Total|New conventional ICE diesel urban buses (Midi)</t>
  </si>
  <si>
    <t>Urban buses stock|Motor Diesel|Total|New conventional ICE diesel urban buses (Maxi)</t>
  </si>
  <si>
    <t>Urban buses stock|Motor Diesel|Total|New conventional ICE diesel urban buses (Mega)</t>
  </si>
  <si>
    <t>Urban buses stock|Motor Gas|Total|New conventional ICE gas urban buses (Mini)</t>
  </si>
  <si>
    <t>Urban buses stock|Motor Gas|Total|New conventional ICE gas urban buses (Midi)</t>
  </si>
  <si>
    <t>Urban buses stock|Motor Gas|Total|New conventional ICE gas urban buses (Maxi)</t>
  </si>
  <si>
    <t>Urban buses stock|Motor Gas|Total|New conventional ICE gas urban buses (Mega)</t>
  </si>
  <si>
    <t>Thousand</t>
  </si>
  <si>
    <t>Fuel consumption in urban buses|Motor Diesel|Total|Existing ICE diesel urban buses</t>
  </si>
  <si>
    <t>Urban buses mileage|Motor Diesel|Total|Existing ICE diesel urban buses</t>
  </si>
  <si>
    <t>Urban buses efficiency|Motor Diesel|Total|Existing ICE diesel urban buses</t>
  </si>
  <si>
    <t>Urban buses stock|Motor Diesel|Total|Existing ICE diesel urban buses</t>
  </si>
  <si>
    <t>Fuel consumption in urban buses|Motor Gas|Total|Existing ICE Gas urban buses</t>
  </si>
  <si>
    <t>Urban buses mileage|Motor Gas|Total|Existing ICE Gas urban buses</t>
  </si>
  <si>
    <t>Urban buses efficiency|Motor Gas|Total|Existing ICE Gas urban buses</t>
  </si>
  <si>
    <t>Urban buses stock|Motor Gas|Total|Existing ICE Gas urban buses</t>
  </si>
  <si>
    <t xml:space="preserve">Coaches stock|Electricity|Existing electric Coaches </t>
  </si>
  <si>
    <t>Coaches stock|Electricity|New electric Coaches (Mini)</t>
  </si>
  <si>
    <t>Coaches stock|Electricity|New electric Coaches (Midi)</t>
  </si>
  <si>
    <t>Coaches stock|Electricity|New electric Coaches (Maxi)</t>
  </si>
  <si>
    <t>Coaches stock|Electricity|New electric Coaches (Mega)</t>
  </si>
  <si>
    <t>Coaches stock|Hydrogen|New fuel cell Coaches (Mini)</t>
  </si>
  <si>
    <t>Coaches stock|Hydrogen|New fuel cell Coaches (Midi)</t>
  </si>
  <si>
    <t>Coaches stock|Hydrogen|New fuel cell Coaches (Maxi)</t>
  </si>
  <si>
    <t>Coaches stock|Hydrogen|New fuel cell Coaches (Mega)</t>
  </si>
  <si>
    <t>Coaches stock|Motor Diesel|Total|New conventional hybrid diesel Coaches (Mini)</t>
  </si>
  <si>
    <t>Coaches stock|Motor Diesel|Total|New conventional hybrid diesel Coaches (Midi)</t>
  </si>
  <si>
    <t>Coaches stock|Motor Diesel|Total|New conventional hybrid diesel Coaches (Maxi)</t>
  </si>
  <si>
    <t>Coaches stock|Motor Diesel|Total|New conventional hybrid diesel Coaches (Mega)</t>
  </si>
  <si>
    <t xml:space="preserve">Coaches stock|Motor Diesel|Total|Existing ICE diesel Coaches </t>
  </si>
  <si>
    <t>Coaches stock|Motor Diesel|Total|New conventional ICE diesel Coaches (Mini)</t>
  </si>
  <si>
    <t>Coaches stock|Motor Diesel|Total|New conventional ICE diesel Coaches (Midi)</t>
  </si>
  <si>
    <t>Coaches stock|Motor Diesel|Total|New conventional ICE diesel Coaches (Maxi)</t>
  </si>
  <si>
    <t>Coaches stock|Motor Diesel|Total|New conventional ICE diesel Coaches (Mega)</t>
  </si>
  <si>
    <t xml:space="preserve">Coaches stock|Motor Gas|Total|Existing ICE Gas Coaches </t>
  </si>
  <si>
    <t>Coaches stock|Motor Gas|Total|New conventional ICE gas Coaches (Mini)</t>
  </si>
  <si>
    <t>Coaches stock|Motor Gas|Total|New conventional ICE gas Coaches (Midi)</t>
  </si>
  <si>
    <t>Coaches stock|Motor Gas|Total|New conventional ICE gas Coaches (Maxi)</t>
  </si>
  <si>
    <t>Coaches stock|Motor Gas|Total|New conventional ICE gas Coaches (Mega)</t>
  </si>
  <si>
    <t>Process and space heating production in industry sectors|Electricity</t>
  </si>
  <si>
    <t>Process and space heating production in industry sectors|Electricity|Electric boiler</t>
  </si>
  <si>
    <t>Process and space heating production in industry sectors|Electricity|Heat pump electric</t>
  </si>
  <si>
    <t>Process and space heating production in industry sectors|Electricity|Other electric processes</t>
  </si>
  <si>
    <t>Process and space heating production in industry sectors|Oil</t>
  </si>
  <si>
    <t>Process and space heating production in industry sectors|Oil|Light fuel boiler</t>
  </si>
  <si>
    <t>Process and space heating production in industry sectors|Oil|Heavy fuel boiler</t>
  </si>
  <si>
    <t>Process and space heating production in industry sectors|Gas</t>
  </si>
  <si>
    <t>Process and space heating production in industry sectors|Gas|Gas boiler</t>
  </si>
  <si>
    <t>Process and space heating production in industry sectors|Gas|Heat pump gas</t>
  </si>
  <si>
    <t>Process and space heating production in industry sectors|Gas|Biogas boiler</t>
  </si>
  <si>
    <t>Process and space heating production in industry sectors|Coal</t>
  </si>
  <si>
    <t>Process and space heating production in industry sectors|Coal|Coal boiler</t>
  </si>
  <si>
    <t>Process and space heating production in industry sectors|Heat</t>
  </si>
  <si>
    <t>Process and space heating production in industry sectors|Heat|On-site CHPs</t>
  </si>
  <si>
    <t>Process and space heating production in industry sectors|Heat|On-site CHPs|Industrial CHPs oil</t>
  </si>
  <si>
    <t>Process and space heating production in industry sectors|Heat|On-site CHPs|Industrial CHPs gas</t>
  </si>
  <si>
    <t>Process and space heating production in industry sectors|Heat|On-site CHPs|Industrial CHPs gas (CCS)</t>
  </si>
  <si>
    <t>Process and space heating production in industry sectors|Heat|On-site CHPs|Industrial CHPs fuel cells (gas reformer)</t>
  </si>
  <si>
    <t>Process and space heating production in industry sectors|Heat|On-site CHPs|Industrial CHPs wastes</t>
  </si>
  <si>
    <t>Process and space heating production in industry sectors|Heat|On-site CHPs|Industrial CHPs wastes CCS</t>
  </si>
  <si>
    <t>Process and space heating production in industry sectors|Heat|On-site CHPs|Industrial CHPs wood</t>
  </si>
  <si>
    <t>Process and space heating production in industry sectors|Heat|On-site CHPs|Industrial CHPs wood (CCS)</t>
  </si>
  <si>
    <t>Process and space heating production in industry sectors|Heat|On-site CHPs|Industrial CHPs fuel cells (hydrogen)</t>
  </si>
  <si>
    <t>Process and space heating production in industry sectors|Heat|District heating</t>
  </si>
  <si>
    <t>Process and space heating production in industry sectors|Wood</t>
  </si>
  <si>
    <t>Process and space heating production in industry sectors|Wood|Wood boiler</t>
  </si>
  <si>
    <t>Process and space heating production in industry sectors|Pellets</t>
  </si>
  <si>
    <t>Process and space heating production in industry sectors|Pellets|Pellet boiler</t>
  </si>
  <si>
    <t>Process and space heating production in industry sectors|Wastes</t>
  </si>
  <si>
    <t>Process and space heating production in industry sectors|Wastes|Wastes boiler</t>
  </si>
  <si>
    <t>Process and space heating production in industry sectors|Solar</t>
  </si>
  <si>
    <t>Process and space heating production in industry sectors|Solar|Solar thermal</t>
  </si>
  <si>
    <t>Process and space heating production in industry sectors|Hydrogen</t>
  </si>
  <si>
    <t>Process and space heating production in industry sectors|Hydrogen|Hydrogen boiler</t>
  </si>
  <si>
    <t>Process and space heating production in industry sectors|Energy savings</t>
  </si>
  <si>
    <t>Process and space heating production in industry sectors|Energy savings|Measures in electric specific uses</t>
  </si>
  <si>
    <t>Process and space heating production in industry sectors|Energy savings|Measuers in process and space heating</t>
  </si>
  <si>
    <t>Efficiency in industry sectors|Electricity|Electric boiler</t>
  </si>
  <si>
    <t>Efficiency in industry sectors|Electricity|Heat pump electric</t>
  </si>
  <si>
    <t>Efficiency in industry sectors|Electricity|Other electric processes</t>
  </si>
  <si>
    <t>Efficiency in industry sectors|Oil|Light fuel boiler</t>
  </si>
  <si>
    <t>Efficiency in industry sectors|Oil|Heavy fuel boiler</t>
  </si>
  <si>
    <t>Efficiency in industry sectors|Gas|Gas boiler</t>
  </si>
  <si>
    <t>Efficiency in industry sectors|Gas|Heat pump gas</t>
  </si>
  <si>
    <t>Efficiency in industry sectors|Gas|Biogas boiler</t>
  </si>
  <si>
    <t>Efficiency in industry sectors|Coal|Coal boiler</t>
  </si>
  <si>
    <t>Efficiency in industry sectors|Heat|On-site CHPs|Industrial CHPs oil</t>
  </si>
  <si>
    <t>Efficiency in industry sectors|Heat|On-site CHPs|Industrial CHPs gas</t>
  </si>
  <si>
    <t>Efficiency in industry sectors|Heat|On-site CHPs|Industrial CHPs gas (CCS)</t>
  </si>
  <si>
    <t>Efficiency in industry sectors|Heat|On-site CHPs|Industrial CHPs fuel cells (gas reformer)</t>
  </si>
  <si>
    <t>Efficiency in industry sectors|Heat|On-site CHPs|Industrial CHPs wastes</t>
  </si>
  <si>
    <t>Efficiency in industry sectors|Heat|On-site CHPs|Industrial CHPs wastes CCS</t>
  </si>
  <si>
    <t>Efficiency in industry sectors|Heat|On-site CHPs|Industrial CHPs wood</t>
  </si>
  <si>
    <t>Efficiency in industry sectors|Heat|On-site CHPs|Industrial CHPs wood (CCS)</t>
  </si>
  <si>
    <t>Efficiency in industry sectors|Heat|On-site CHPs|Industrial CHPs fuel cells (hydrogen)</t>
  </si>
  <si>
    <t>Efficiency in industry sectors|Heat|District heating</t>
  </si>
  <si>
    <t>Efficiency in industry sectors|Wood|Wood boiler</t>
  </si>
  <si>
    <t>Efficiency in industry sectors|Pellets|Pellet boiler</t>
  </si>
  <si>
    <t>Efficiency in industry sectors|Wastes|Wastes boiler</t>
  </si>
  <si>
    <t>Efficiency in industry sectors|Solar|Solar thermal</t>
  </si>
  <si>
    <t>Efficiency in industry sectors|Hydrogen|Hydrogen boiler</t>
  </si>
  <si>
    <t>Process and space heating capacity in industry sectors|Electricity</t>
  </si>
  <si>
    <t>Process and space heating capacity in industry sectors|Electricity|Electric boiler</t>
  </si>
  <si>
    <t>Process and space heating capacity in industry sectors|Electricity|Heat pump electric</t>
  </si>
  <si>
    <t>Process and space heating capacity in industry sectors|Oil</t>
  </si>
  <si>
    <t>Process and space heating capacity in industry sectors|Oil|Light fuel boiler</t>
  </si>
  <si>
    <t>Process and space heating capacity in industry sectors|Oil|Heavy fuel boiler</t>
  </si>
  <si>
    <t>Process and space heating capacity in industry sectors|Gas</t>
  </si>
  <si>
    <t>Process and space heating capacity in industry sectors|Gas|Gas boiler</t>
  </si>
  <si>
    <t>Process and space heating capacity in industry sectors|Gas|Heat pump gas</t>
  </si>
  <si>
    <t>Process and space heating capacity in industry sectors|Gas|Biogas boiler</t>
  </si>
  <si>
    <t>Process and space heating capacity in industry sectors|Coal</t>
  </si>
  <si>
    <t>Process and space heating capacity in industry sectors|Coal|Coal boiler</t>
  </si>
  <si>
    <t>Process and space heating capacity in industry sectors|Wood</t>
  </si>
  <si>
    <t>Process and space heating capacity in industry sectors|Wood|Wood boiler</t>
  </si>
  <si>
    <t>Process and space heating capacity in industry sectors|Pellets</t>
  </si>
  <si>
    <t>Process and space heating capacity in industry sectors|Pellets|Pellet boiler</t>
  </si>
  <si>
    <t>Process and space heating capacity in industry sectors|Wastes</t>
  </si>
  <si>
    <t>Process and space heating capacity in industry sectors|Wastes|Wastes boiler</t>
  </si>
  <si>
    <t>Process and space heating capacity in industry sectors|Solar</t>
  </si>
  <si>
    <t>Process and space heating capacity in industry sectors|Solar|Solar thermal</t>
  </si>
  <si>
    <t>Process and space heating capacity in industry sectors|Hydrogen</t>
  </si>
  <si>
    <t>Process and space heating capacity in industry sectors|Hydrogen|Hydrogen boiler</t>
  </si>
  <si>
    <t>Fuel consumption in coaches|Motor Diesel|Total|Existing ICE diesel coaches</t>
  </si>
  <si>
    <t>Coaches mileage|Motor Diesel|Total|Existing ICE diesel coaches</t>
  </si>
  <si>
    <t>Coaches efficiency|Motor Diesel|Total|Existing ICE diesel coaches</t>
  </si>
  <si>
    <t>Fuel consumption in coaches|Motor Gas|Total|Existing ICE Gas coaches</t>
  </si>
  <si>
    <t>Coaches mileage|Motor Gas|Total|Existing ICE Gas coaches</t>
  </si>
  <si>
    <t>Coaches efficiency|Motor Gas|Total|Existing ICE Gas coaches</t>
  </si>
  <si>
    <t>Light duty vehicles stock</t>
  </si>
  <si>
    <t>Light duty vehicles stock|Electricity|Existing electric light duty vehicles</t>
  </si>
  <si>
    <t>Light duty vehicles stock|Electricity|New electric light duty vehicles</t>
  </si>
  <si>
    <t>Light duty vehicles stock|Hydrogen|New fuel cell electric light duty vehicles</t>
  </si>
  <si>
    <t>Light duty vehicles stock|Motor Gasoline|Total|Existing gasoline light duty vehicles</t>
  </si>
  <si>
    <t>Light duty vehicles stock|Motor Gasoline|Total|New gasoline light duty vehicles</t>
  </si>
  <si>
    <t>Light duty vehicles stock|Motor Diesel|Total|Existing ICE diesel light duty vehicles</t>
  </si>
  <si>
    <t>Light duty vehicles stock|Motor Diesel|Total|New ICE diesel light duty vehicles</t>
  </si>
  <si>
    <t>Light duty vehicles stock|Motor Diesel|Total|New hybrid diesel light duty vehicles</t>
  </si>
  <si>
    <t>Light duty vehicles stock|Motor Gas|Total|New ICE Gas light duty vehicles</t>
  </si>
  <si>
    <t>Stock of light duty vehicles per engine type</t>
  </si>
  <si>
    <t>Stock of trucks (heavy duty vehicles) per engine type</t>
  </si>
  <si>
    <t>Heavy duty vehicles stock</t>
  </si>
  <si>
    <t>Heavy duty vehicles stock|Electricity|Existing electric heavy duty vehicles</t>
  </si>
  <si>
    <t>Heavy duty vehicles stock|Electricity|New electric heavy duty vehicles</t>
  </si>
  <si>
    <t>Heavy duty vehicles stock|Hydrogen|New fuel cell electric heavy duty vehicles</t>
  </si>
  <si>
    <t>Heavy duty vehicles stock|Motor Gasoline|Total|Existing gasoline heavy duty vehicles</t>
  </si>
  <si>
    <t>Heavy duty vehicles stock|Motor Gasoline|Total|New gasoline heavy duty vehicles</t>
  </si>
  <si>
    <t>Heavy duty vehicles stock|Motor Diesel|Total|Existing ICE diesel heavy duty vehicles</t>
  </si>
  <si>
    <t>Heavy duty vehicles stock|Motor Diesel|Total|New ICE diesel heavy duty vehicles</t>
  </si>
  <si>
    <t>Heavy duty vehicles stock|Motor Diesel|Total|New hybrid diesel heavy duty vehicles</t>
  </si>
  <si>
    <t>Heavy duty vehicles stock|Motor Gas|Total|New ICE Gas heavy duty vehicles</t>
  </si>
  <si>
    <t>Domestic hydrogen production capacity</t>
  </si>
  <si>
    <t>Domestic hydrogen production capacity|Electricity</t>
  </si>
  <si>
    <t>Domestic hydrogen production capacity|Electricity|PEM electrolysis small-medium scale</t>
  </si>
  <si>
    <t>Domestic hydrogen production capacity|Electricity|PEM electrolysis large scale</t>
  </si>
  <si>
    <t>Domestic hydrogen production capacity|Electricity|SOEC electrolysis</t>
  </si>
  <si>
    <t>Domestic hydrogen production capacity|Gas</t>
  </si>
  <si>
    <t>Domestic hydrogen production capacity|Gas|SMR-ATR Reforming</t>
  </si>
  <si>
    <t>Domestic hydrogen production capacity|Gas|SMR-ATR Reforming CCS</t>
  </si>
  <si>
    <t>Domestic hydrogen production capacity|Wood</t>
  </si>
  <si>
    <t>Domestic hydrogen production capacity|Wood|Gasification</t>
  </si>
  <si>
    <t>Domestic hydrogen production capacity|Wood|Gasification CCS</t>
  </si>
  <si>
    <t>GW-H2/yr.</t>
  </si>
  <si>
    <t>Domestic hydrogen producton capacity by technology</t>
  </si>
  <si>
    <t>GW-output/yr.</t>
  </si>
  <si>
    <t>Other fuel synthesis capacity|Domestic biogas production|Wastes|Renewable|Gasification</t>
  </si>
  <si>
    <t>Other fuel synthesis capacity</t>
  </si>
  <si>
    <t>Production capacity for synthetic fuels (biogenic or e-fuels) in terms of output product</t>
  </si>
  <si>
    <t>Other fuel synthesis capacity|Domestic PtG and PtL production|PtL|PtL Gasoline</t>
  </si>
  <si>
    <t>Other fuel synthesis capacity|Domestic biogas production|Manure|Fermentation</t>
  </si>
  <si>
    <t>Other fuel synthesis capacity|Domestic biodiesel production|Wood|Fischer Tropsch</t>
  </si>
  <si>
    <t>Other fuel synthesis capacity|Domestic biodiesel production|Wood|Fischer Tropsch CCS</t>
  </si>
  <si>
    <t>Domestic ethanol production|Wood</t>
  </si>
  <si>
    <t>Domestic ethanol production|Wood|Ethanol reactor</t>
  </si>
  <si>
    <t>Domestic ethanol production|Wood|Ethanol reactor with CCS</t>
  </si>
  <si>
    <t>Other fuel synthesis capacity|Domestic ethanol production|Wood|Ethanol reactor</t>
  </si>
  <si>
    <t>Other fuel synthesis capacity|Domestic ethanol production|Wood|Ethanol reactor with CCS</t>
  </si>
  <si>
    <t>Other fuel synthesis capacity|Domestic biogas production|Wastes|Renewable|Gasification CCS</t>
  </si>
  <si>
    <t>Other fuel synthesis capacity|Domestic biogas production|Wastes|Renewable|Hydrothermal gasification</t>
  </si>
  <si>
    <t>Other fuel synthesis capacity|Domestic biogas production|Wastes|Renewable|Hydrothermal gasification CCS</t>
  </si>
  <si>
    <t>Other fuel synthesis capacity|Domestic biogas production|Wood|Gasification</t>
  </si>
  <si>
    <t>Other fuel synthesis capacity|Domestic biogas production|Wood|Gasification CCS</t>
  </si>
  <si>
    <t>Other fuel synthesis capacity|Biomethane production from biogas upgrade</t>
  </si>
  <si>
    <t>Other fuel synthesis capacity|Domestic wood to pellet production|Pellets</t>
  </si>
  <si>
    <t>Other fuel synthesis capacity|Domestic PtG and PtL production|PtG|PtG gas</t>
  </si>
  <si>
    <t>Other fuel synthesis capacity|Domestic PtG and PtL production|PtL|PtL Diesel</t>
  </si>
  <si>
    <t>Electricity generation capacity additions</t>
  </si>
  <si>
    <t>Newly installed capacity for electricity generation (incl. CHPs) - the capacity additions are reported for the whole period represented under the milestone year</t>
  </si>
  <si>
    <t>Electricity generation capacity additions|Nuclear Fuel</t>
  </si>
  <si>
    <t>Electricity generation capacity additions|Nuclear Fuel|Nuclear power plants</t>
  </si>
  <si>
    <t>Electricity generation capacity additions|Hydro</t>
  </si>
  <si>
    <t>Electricity generation capacity additions|Hydro|Hydro Large</t>
  </si>
  <si>
    <t>Electricity generation capacity additions|Hydro|Hydro Run of River</t>
  </si>
  <si>
    <t>Electricity generation capacity additions|Hydro|Pump storage</t>
  </si>
  <si>
    <t>Electricity generation capacity additions|Oil</t>
  </si>
  <si>
    <t>Electricity generation capacity additions|Oil|Peak devices</t>
  </si>
  <si>
    <t>Electricity generation capacity additions|Oil|CHP Oil (for District Heating)</t>
  </si>
  <si>
    <t>Electricity generation capacity additions|Oil|Industrial CHPs oil</t>
  </si>
  <si>
    <t>Electricity generation capacity additions|Gas</t>
  </si>
  <si>
    <t>Electricity generation capacity additions|Gas|Gas turbines combined cycle</t>
  </si>
  <si>
    <t>Electricity generation capacity additions|Gas|Gas turbines open cycle</t>
  </si>
  <si>
    <t>Electricity generation capacity additions|Gas|Gas turbines combined cycle CCS</t>
  </si>
  <si>
    <t>Electricity generation capacity additions|Gas|CHP Gas (for District Heating)</t>
  </si>
  <si>
    <t>Electricity generation capacity additions|Gas|CHP Fuel Cell Gas (for District Heating)</t>
  </si>
  <si>
    <t>Electricity generation capacity additions|Gas|Industrial CHPs gas</t>
  </si>
  <si>
    <t>Electricity generation capacity additions|Gas|Industrial CHPs gas (CCS)</t>
  </si>
  <si>
    <t>Electricity generation capacity additions|Gas|Industrial CHPs fuel cells (gas reformer)</t>
  </si>
  <si>
    <t>Electricity generation capacity additions|Gas|Residential single family CHPs gas</t>
  </si>
  <si>
    <t>Electricity generation capacity additions|Gas|Residential single family CHPs fuel cells gas</t>
  </si>
  <si>
    <t>Electricity generation capacity additions|Gas|Residential multi family CHPs gas</t>
  </si>
  <si>
    <t>Electricity generation capacity additions|Gas|Residential multi family CHPs fuel cells gas</t>
  </si>
  <si>
    <t>Electricity generation capacity additions|Gas|Services sectors CHPs (bio)gas</t>
  </si>
  <si>
    <t>Electricity generation capacity additions|Gas|Services sectors CHPs gas</t>
  </si>
  <si>
    <t>Electricity generation capacity additions|Gas|Services sectors CHPs fuel cells (gas reformer)</t>
  </si>
  <si>
    <t>Electricity generation capacity additions|Wastes</t>
  </si>
  <si>
    <t>Electricity generation capacity additions|Wastes|Wastes Incineration (electric only)</t>
  </si>
  <si>
    <t>Electricity generation capacity additions|Wastes|Wastes Incineration (electric only) CCS</t>
  </si>
  <si>
    <t>Electricity generation capacity additions|Wastes|CHP Wastes (for District Heating)</t>
  </si>
  <si>
    <t>Electricity generation capacity additions|Wastes|CHP Wastes (for District Heating) CCS</t>
  </si>
  <si>
    <t>Electricity generation capacity additions|Wastes|Industrial CHPs wastes</t>
  </si>
  <si>
    <t>Electricity generation capacity additions|Wastes|Industrial CHPs wastes CCS</t>
  </si>
  <si>
    <t>Electricity generation capacity additions|Wood</t>
  </si>
  <si>
    <t>Electricity generation capacity additions|Wood|CHP Wood (for District Heating)</t>
  </si>
  <si>
    <t>Electricity generation capacity additions|Wood|Biomass with CCS (BECCS)</t>
  </si>
  <si>
    <t>Electricity generation capacity additions|Wood|Industrial CHPs wood</t>
  </si>
  <si>
    <t>Electricity generation capacity additions|Wood|Industrial CHPs wood (CCS)</t>
  </si>
  <si>
    <t>Electricity generation capacity additions|Wood|Residential single family CHPs wood</t>
  </si>
  <si>
    <t>Electricity generation capacity additions|Wood|Residential multi family CHPs wood</t>
  </si>
  <si>
    <t>Electricity generation capacity additions|Wood|Services sectors CHPs wood</t>
  </si>
  <si>
    <t>Electricity generation capacity additions|Wind</t>
  </si>
  <si>
    <t>Electricity generation capacity additions|Wind|Wind turbines</t>
  </si>
  <si>
    <t>Electricity generation capacity additions|Solar</t>
  </si>
  <si>
    <t>Electricity generation capacity additions|Solar|Solar PV (large scale)</t>
  </si>
  <si>
    <t>Electricity generation capacity additions|Solar|Solar PV (Industry)</t>
  </si>
  <si>
    <t>Electricity generation capacity additions|Solar|Solar PV (Residential single family)</t>
  </si>
  <si>
    <t>Electricity generation capacity additions|Solar|Solar PV (Residential multi family)</t>
  </si>
  <si>
    <t>Electricity generation capacity additions|Solar|Solar PV (Services)</t>
  </si>
  <si>
    <t>Electricity generation capacity additions|Geothermal</t>
  </si>
  <si>
    <t>Electricity generation capacity additions|Geothermal|Deep geothermal</t>
  </si>
  <si>
    <t>Electricity generation capacity additions|Hydrogen</t>
  </si>
  <si>
    <t>Electricity generation capacity additions|Hydrogen|CHP Fuel Cell Hydrogen (for District Heating)</t>
  </si>
  <si>
    <t>Electricity generation capacity additions|Hydrogen|Industrial CHPs fuel cells (hydrogen)</t>
  </si>
  <si>
    <t>Electricity generation capacity additions|Hydrogen|Services sectors CHPs fuel cells (hydrogen)</t>
  </si>
  <si>
    <t>Electricity generation capacity additions|Electricity storage (non hydro)</t>
  </si>
  <si>
    <t>Electricity generation capacity additions|Electricity storage (non hydro)|CAES</t>
  </si>
  <si>
    <t>Electricity generation capacity additions|Electricity storage (non hydro)|Battery storage large size centralised</t>
  </si>
  <si>
    <t>Electricity generation capacity additions|Electricity storage (non hydro)|Battery storage medium size centralised</t>
  </si>
  <si>
    <t>Electricity generation capacity additions|Electricity storage (non hydro)|Batteries in industry</t>
  </si>
  <si>
    <t>Electricity generation capacity additions|Electricity storage (non hydro)|Batteries in residential single family houses</t>
  </si>
  <si>
    <t>Electricity generation capacity additions|Electricity storage (non hydro)|Batteries in residential multi-family houses</t>
  </si>
  <si>
    <t>Electricity generation capacity additions|Electricity storage (non hydro)|Batteries in Services sector</t>
  </si>
  <si>
    <t>Cars stock additions additions</t>
  </si>
  <si>
    <t>Cars stock additions|Electricity|Existing battery electric cars</t>
  </si>
  <si>
    <t>Cars stock additions|Electricity|New battery electric cars (&lt;60kW)</t>
  </si>
  <si>
    <t>Cars stock additions|Electricity|New battery electric cars (60-100 kW)</t>
  </si>
  <si>
    <t>Cars stock additions|Electricity|New battery electric cars (100-140 kW)</t>
  </si>
  <si>
    <t>Cars stock additions|Electricity|New battery electric cars (&gt;140 kW)</t>
  </si>
  <si>
    <t>Cars stock additions|Electricity|New plug-in hybrid gasoline (&lt;60 kW)</t>
  </si>
  <si>
    <t>Cars stock additions|Electricity|New plug-in hybrid gasoline (60-100 kW)</t>
  </si>
  <si>
    <t>Cars stock additions|Electricity|New plug-in hybrid gasoline (100-140 kW)</t>
  </si>
  <si>
    <t>Cars stock additions|Electricity|New plug-in hybrid gasoline (&gt;140 kW)</t>
  </si>
  <si>
    <t>Cars stock additions|Electricity|New plug-in hybrid diesel (&lt;60 kW)</t>
  </si>
  <si>
    <t>Cars stock additions|Electricity|New plug-in hybrid diesel (60-100 kW)</t>
  </si>
  <si>
    <t>Cars stock additions|Electricity|New plug-in hybrid diesel (100-140 kW)</t>
  </si>
  <si>
    <t>Cars stock additions|Electricity|New plug-in hybrid diesel (&gt;140 kW)</t>
  </si>
  <si>
    <t>Cars stock additions|Hydrogen|New fuel cell cars (&lt;60 kW)</t>
  </si>
  <si>
    <t>Cars stock additions|Hydrogen|New fuel cell cars (60-100 kW)</t>
  </si>
  <si>
    <t>Cars stock additions|Hydrogen|New fuel cell cars (100-140 kW)</t>
  </si>
  <si>
    <t>Cars stock additions|Hydrogen|New fuel cell cars (&gt;140 kW)</t>
  </si>
  <si>
    <t>Cars stock additions|Motor Gasoline|Total|Conventional gasoline hybrid existing</t>
  </si>
  <si>
    <t>Cars stock additions|Motor Gasoline|Total|New conventional gasoline hybrid (&lt;60 kW)</t>
  </si>
  <si>
    <t>Cars stock additions|Motor Gasoline|Total|New conventional gasoline hybrid (60-100 kW)</t>
  </si>
  <si>
    <t>Cars stock additions|Motor Gasoline|Total|New conventional gasoline hybrid (100-140 kW)</t>
  </si>
  <si>
    <t>Cars stock additions|Motor Gasoline|Total|New conventional gasoline hybrid (&gt;140 kW)</t>
  </si>
  <si>
    <t>Cars stock additions|Motor Gasoline|Total|Conventional gasoline ICE existing</t>
  </si>
  <si>
    <t>Cars stock additions|Motor Gasoline|Total|New conventional gasoline ICE (&lt;60 kW)</t>
  </si>
  <si>
    <t>Cars stock additions|Motor Gasoline|Total|New conventional gasoline ICE (60-100 kW)</t>
  </si>
  <si>
    <t>Cars stock additions|Motor Gasoline|Total|New conventional gasoline ICE (100-140 kW)</t>
  </si>
  <si>
    <t>Cars stock additions|Motor Gasoline|Total|New conventional gasoline ICE (&gt;140 kW)</t>
  </si>
  <si>
    <t>Cars stock additions|Motor Gasoline|Total|New mild hybrid gasoline (&lt;60 kW)</t>
  </si>
  <si>
    <t>Cars stock additions|Motor Gasoline|Total|New mild hybrid gasoline (60-100 kW)</t>
  </si>
  <si>
    <t>Cars stock additions|Motor Gasoline|Total|New mild hybrid gasoline (100-140 kW)</t>
  </si>
  <si>
    <t>Cars stock additions|Motor Gasoline|Total|New mild hybrid gasoline (&gt;140 kW)</t>
  </si>
  <si>
    <t>Cars stock additions|Motor Diesel|Total|Conventional diesel hybrid existing</t>
  </si>
  <si>
    <t>Cars stock additions|Motor Diesel|Total|New conventional diesel hybrid (&lt;60 kW)</t>
  </si>
  <si>
    <t>Cars stock additions|Motor Diesel|Total|New conventional diesel hybrid (60-100 kW)</t>
  </si>
  <si>
    <t>Cars stock additions|Motor Diesel|Total|New conventional diesel hybrid (100-140 kW)</t>
  </si>
  <si>
    <t>Cars stock additions|Motor Diesel|Total|New conventional diesel hybrid (&gt;140 kW)</t>
  </si>
  <si>
    <t>Cars stock additions|Motor Diesel|Total|Conventional diesel ICE existing</t>
  </si>
  <si>
    <t>Cars stock additions|Motor Diesel|Total|New conventional diesel ICE (&lt;60 kW)</t>
  </si>
  <si>
    <t>Cars stock additions|Motor Diesel|Total|New conventional diesel ICE (60-100 kW)</t>
  </si>
  <si>
    <t>Cars stock additions|Motor Diesel|Total|New conventional diesel ICE (100-140 kW)</t>
  </si>
  <si>
    <t>Cars stock additions|Motor Diesel|Total|New conventional diesel ICE (&gt;140 kW)</t>
  </si>
  <si>
    <t>Cars stock additions|Motor Diesel|Total|New mild hybrid diesel (&lt;60 kW)</t>
  </si>
  <si>
    <t>Cars stock additions|Motor Diesel|Total|New mild hybrid diesel (60-100 kW)</t>
  </si>
  <si>
    <t>Cars stock additions|Motor Diesel|Total|New mild hybrid diesel (100-140 kW)</t>
  </si>
  <si>
    <t>Cars stock additions|Motor Diesel|Total|New mild hybrid diesel (&gt;140 kW)</t>
  </si>
  <si>
    <t>Cars stock additions|Gas|Conventional gas ICE existing</t>
  </si>
  <si>
    <t>Cars stock additions|Gas|New conventionalgas ICE (&lt;60 kW)</t>
  </si>
  <si>
    <t>Cars stock additions|Gas|New conventional gas ICE (60-100 kW)</t>
  </si>
  <si>
    <t>Cars stock additions|Gas|New conventional gas ICE (100-140 kW)</t>
  </si>
  <si>
    <t>Cars stock additions|Gas|New conventional gas ICE (&gt;140 kW)</t>
  </si>
  <si>
    <t>Urban buses stock additions</t>
  </si>
  <si>
    <t>Urban buses stock additions|Electricity|Existing electric urban buses</t>
  </si>
  <si>
    <t>Urban buses stock additions|Electricity|New electric urban buses (Mini)</t>
  </si>
  <si>
    <t>Urban buses stock additions|Electricity|New electric urban buses (Midi)</t>
  </si>
  <si>
    <t>Urban buses stock additions|Electricity|New electric urban buses (Maxi)</t>
  </si>
  <si>
    <t>Urban buses stock additions|Electricity|New electric urban buses (Mega)</t>
  </si>
  <si>
    <t>Urban buses stock additions|Hydrogen|New fuel cell urban buses (Mini)</t>
  </si>
  <si>
    <t>Urban buses stock additions|Hydrogen|New fuel cell urban buses (Midi)</t>
  </si>
  <si>
    <t>Urban buses stock additions|Hydrogen|New fuel cell urban buses (Maxi)</t>
  </si>
  <si>
    <t>Urban buses stock additions|Hydrogen|New fuel cell urban buses (Mega)</t>
  </si>
  <si>
    <t>Urban buses stock additions|Motor Diesel|Total|New conventional hybrid diesel urban buses (Mini)</t>
  </si>
  <si>
    <t>Urban buses stock additions|Motor Diesel|Total|New conventional hybrid diesel urban buses (Midi)</t>
  </si>
  <si>
    <t>Urban buses stock additions|Motor Diesel|Total|New conventional hybrid diesel urban buses (Maxi)</t>
  </si>
  <si>
    <t>Urban buses stock additions|Motor Diesel|Total|New conventional hybrid diesel urban buses (Mega)</t>
  </si>
  <si>
    <t>Urban buses stock additions|Motor Diesel|Total|Existing ICE diesel urban buses</t>
  </si>
  <si>
    <t>Urban buses stock additions|Motor Diesel|Total|New conventional ICE diesel urban buses (Mini)</t>
  </si>
  <si>
    <t>Urban buses stock additions|Motor Diesel|Total|New conventional ICE diesel urban buses (Midi)</t>
  </si>
  <si>
    <t>Urban buses stock additions|Motor Diesel|Total|New conventional ICE diesel urban buses (Maxi)</t>
  </si>
  <si>
    <t>Urban buses stock additions|Motor Diesel|Total|New conventional ICE diesel urban buses (Mega)</t>
  </si>
  <si>
    <t>Urban buses stock additions|Motor Gas|Total|Existing ICE Gas urban buses</t>
  </si>
  <si>
    <t>Urban buses stock additions|Motor Gas|Total|New conventional ICE gas urban buses (Mini)</t>
  </si>
  <si>
    <t>Urban buses stock additions|Motor Gas|Total|New conventional ICE gas urban buses (Midi)</t>
  </si>
  <si>
    <t>Urban buses stock additions|Motor Gas|Total|New conventional ICE gas urban buses (Maxi)</t>
  </si>
  <si>
    <t>Urban buses stock additions|Motor Gas|Total|New conventional ICE gas urban buses (Mega)</t>
  </si>
  <si>
    <t>Coaches stock additions</t>
  </si>
  <si>
    <t xml:space="preserve">Coaches stock additions|Electricity|Existing electric Coaches </t>
  </si>
  <si>
    <t>Coaches stock additions|Electricity|New electric Coaches (Mini)</t>
  </si>
  <si>
    <t>Coaches stock additions|Electricity|New electric Coaches (Midi)</t>
  </si>
  <si>
    <t>Coaches stock additions|Electricity|New electric Coaches (Maxi)</t>
  </si>
  <si>
    <t>Coaches stock additions|Electricity|New electric Coaches (Mega)</t>
  </si>
  <si>
    <t>Coaches stock additions|Hydrogen|New fuel cell Coaches (Mini)</t>
  </si>
  <si>
    <t>Coaches stock additions|Hydrogen|New fuel cell Coaches (Midi)</t>
  </si>
  <si>
    <t>Coaches stock additions|Hydrogen|New fuel cell Coaches (Maxi)</t>
  </si>
  <si>
    <t>Coaches stock additions|Hydrogen|New fuel cell Coaches (Mega)</t>
  </si>
  <si>
    <t>Coaches stock additions|Motor Diesel|Total|New conventional hybrid diesel Coaches (Mini)</t>
  </si>
  <si>
    <t>Coaches stock additions|Motor Diesel|Total|New conventional hybrid diesel Coaches (Midi)</t>
  </si>
  <si>
    <t>Coaches stock additions|Motor Diesel|Total|New conventional hybrid diesel Coaches (Maxi)</t>
  </si>
  <si>
    <t>Coaches stock additions|Motor Diesel|Total|New conventional hybrid diesel Coaches (Mega)</t>
  </si>
  <si>
    <t xml:space="preserve">Coaches stock additions|Motor Diesel|Total|Existing ICE diesel Coaches </t>
  </si>
  <si>
    <t>Coaches stock additions|Motor Diesel|Total|New conventional ICE diesel Coaches (Mini)</t>
  </si>
  <si>
    <t>Coaches stock additions|Motor Diesel|Total|New conventional ICE diesel Coaches (Midi)</t>
  </si>
  <si>
    <t>Coaches stock additions|Motor Diesel|Total|New conventional ICE diesel Coaches (Maxi)</t>
  </si>
  <si>
    <t>Coaches stock additions|Motor Diesel|Total|New conventional ICE diesel Coaches (Mega)</t>
  </si>
  <si>
    <t xml:space="preserve">Coaches stock additions|Motor Gas|Total|Existing ICE Gas Coaches </t>
  </si>
  <si>
    <t>Coaches stock additions|Motor Gas|Total|New conventional ICE gas Coaches (Mini)</t>
  </si>
  <si>
    <t>Coaches stock additions|Motor Gas|Total|New conventional ICE gas Coaches (Midi)</t>
  </si>
  <si>
    <t>Coaches stock additions|Motor Gas|Total|New conventional ICE gas Coaches (Maxi)</t>
  </si>
  <si>
    <t>Coaches stock additions|Motor Gas|Total|New conventional ICE gas Coaches (Mega)</t>
  </si>
  <si>
    <t>Light duty vehicles stock additions</t>
  </si>
  <si>
    <t>Light duty vehicles stock additions|Electricity|Existing electric light duty vehicles</t>
  </si>
  <si>
    <t>Light duty vehicles stock additions|Electricity|New electric light duty vehicles</t>
  </si>
  <si>
    <t>Light duty vehicles stock additions|Hydrogen|New fuel cell electric light duty vehicles</t>
  </si>
  <si>
    <t>Light duty vehicles stock additions|Motor Gasoline|Total|Existing gasoline light duty vehicles</t>
  </si>
  <si>
    <t>Light duty vehicles stock additions|Motor Gasoline|Total|New gasoline light duty vehicles</t>
  </si>
  <si>
    <t>Light duty vehicles stock additions|Motor Diesel|Total|Existing ICE diesel light duty vehicles</t>
  </si>
  <si>
    <t>Light duty vehicles stock additions|Motor Diesel|Total|New ICE diesel light duty vehicles</t>
  </si>
  <si>
    <t>Light duty vehicles stock additions|Motor Diesel|Total|New hybrid diesel light duty vehicles</t>
  </si>
  <si>
    <t>Light duty vehicles stock additions|Motor Gas|Total|New ICE Gas light duty vehicles</t>
  </si>
  <si>
    <t>Heavy duty vehicles stock additions</t>
  </si>
  <si>
    <t>Heavy duty vehicles stock additions|Electricity|Existing electric heavy duty vehicles</t>
  </si>
  <si>
    <t>Heavy duty vehicles stock additions|Electricity|New electric heavy duty vehicles</t>
  </si>
  <si>
    <t>Heavy duty vehicles stock additions|Hydrogen|New fuel cell electric heavy duty vehicles</t>
  </si>
  <si>
    <t>Heavy duty vehicles stock additions|Motor Gasoline|Total|Existing gasoline heavy duty vehicles</t>
  </si>
  <si>
    <t>Heavy duty vehicles stock additions|Motor Gasoline|Total|New gasoline heavy duty vehicles</t>
  </si>
  <si>
    <t>Heavy duty vehicles stock additions|Motor Diesel|Total|Existing ICE diesel heavy duty vehicles</t>
  </si>
  <si>
    <t>Heavy duty vehicles stock additions|Motor Diesel|Total|New ICE diesel heavy duty vehicles</t>
  </si>
  <si>
    <t>Heavy duty vehicles stock additions|Motor Diesel|Total|New hybrid diesel heavy duty vehicles</t>
  </si>
  <si>
    <t>Heavy duty vehicles stock additions|Motor Gas|Total|New ICE Gas heavy duty vehicles</t>
  </si>
  <si>
    <t>New car registrations - the number in a year is cummulative registrations for the period represented under this year</t>
  </si>
  <si>
    <t>New urban buses registrations - the number in a year is cummulative registrations for the period represented under this year</t>
  </si>
  <si>
    <t>New coaches registrations - the number in a year is cummulative registrations for the period represented under this year</t>
  </si>
  <si>
    <t>New light duty vehicle registrations - the number in a year is cummulative registrations for the period represented under this year</t>
  </si>
  <si>
    <t>New heavy duty vehicle registrations - the number in a year is cummulative registrations for the period represented under this year</t>
  </si>
  <si>
    <t>Space and water heat boiler capacity additions in Residential sector</t>
  </si>
  <si>
    <t>Space and water heat boiler capacity additions in Residential sector|Space heating</t>
  </si>
  <si>
    <t>Space and water heat boiler capacity additions in Residential sector|Space heating|Electricty</t>
  </si>
  <si>
    <t>Space and water heat boiler capacity additions in Residential sector|Space heating|Electricty|Electric boiler</t>
  </si>
  <si>
    <t>Space and water heat boiler capacity additions in Residential sector|Space heating|Electricty|Heat pump electric</t>
  </si>
  <si>
    <t>Space and water heat boiler capacity additions in Residential sector|Space heating|Oil</t>
  </si>
  <si>
    <t>Space and water heat boiler capacity additions in Residential sector|Space heating|Oil|Light fuel oil boiler</t>
  </si>
  <si>
    <t>Space and water heat boiler capacity additions in Residential sector|Space heating|Gas</t>
  </si>
  <si>
    <t>Space and water heat boiler capacity additions in Residential sector|Space heating|Gas|Gas boiler</t>
  </si>
  <si>
    <t>Space and water heat boiler capacity additions in Residential sector|Space heating|Gas|Heat pump gas</t>
  </si>
  <si>
    <t>Space and water heat boiler capacity additions in Residential sector|Space heating|Coal</t>
  </si>
  <si>
    <t>Space and water heat boiler capacity additions in Residential sector|Space heating|Coal|Coal boiler</t>
  </si>
  <si>
    <t>Space and water heat boiler capacity additions in Residential sector|Space heating|Wood</t>
  </si>
  <si>
    <t>Space and water heat boiler capacity additions in Residential sector|Space heating|Wood|Wood boiler</t>
  </si>
  <si>
    <t>Space and water heat boiler capacity additions in Residential sector|Space heating|Pellets</t>
  </si>
  <si>
    <t>Space and water heat boiler capacity additions in Residential sector|Space heating|Pellets|Pellets boiler</t>
  </si>
  <si>
    <t>Space and water heat boiler capacity additions in Residential sector|Space heating|Solar</t>
  </si>
  <si>
    <t>Space and water heat boiler capacity additions in Residential sector|Space heating|Solar|Solar thermal</t>
  </si>
  <si>
    <t>Space and water heat boiler capacity additions in Residential sector|Space heating|Hydrogen</t>
  </si>
  <si>
    <t>Space and water heat boiler capacity additions in Residential sector|Space heating|Hydrogen|Hydrogen boiler</t>
  </si>
  <si>
    <t>Space and water heat boiler capacity additions in Residential sector|Water heating</t>
  </si>
  <si>
    <t>Space and water heat boiler capacity additions in Residential sector|Water heating|Electricty</t>
  </si>
  <si>
    <t>Space and water heat boiler capacity additions in Residential sector|Water heating|Electricty|Electric boiler</t>
  </si>
  <si>
    <t>Space and water heat boiler capacity additions in Residential sector|Water heating|Electricty|Heat pump electric</t>
  </si>
  <si>
    <t>Space and water heat boiler capacity additions in Residential sector|Water heating|Oil</t>
  </si>
  <si>
    <t>Space and water heat boiler capacity additions in Residential sector|Water heating|Oil|Light fuel oil boiler</t>
  </si>
  <si>
    <t>Space and water heat boiler capacity additions in Residential sector|Water heating|Gas</t>
  </si>
  <si>
    <t>Space and water heat boiler capacity additions in Residential sector|Water heating|Gas|Gas boiler</t>
  </si>
  <si>
    <t>Space and water heat boiler capacity additions in Residential sector|Water heating|Gas|Heat pump gas</t>
  </si>
  <si>
    <t>Space and water heat boiler capacity additions in Residential sector|Water heating|Coal</t>
  </si>
  <si>
    <t>Space and water heat boiler capacity additions in Residential sector|Water heating|Coal|Coal boiler</t>
  </si>
  <si>
    <t>Space and water heat boiler capacity additions in Residential sector|Water heating|Wood</t>
  </si>
  <si>
    <t>Space and water heat boiler capacity additions in Residential sector|Water heating|Wood|Wood boiler</t>
  </si>
  <si>
    <t>Space and water heat boiler capacity additions in Residential sector|Water heating|Pellets</t>
  </si>
  <si>
    <t>Space and water heat boiler capacity additions in Residential sector|Water heating|Pellets|Pellets boiler</t>
  </si>
  <si>
    <t>Space and water heat boiler capacity additions in Residential sector|Water heating|Solar</t>
  </si>
  <si>
    <t>Space and water heat boiler capacity additions in Residential sector|Water heating|Solar|Solar thermal</t>
  </si>
  <si>
    <t>Space and water heat boiler capacity additions in Residential sector|Water heating|Hydrogen</t>
  </si>
  <si>
    <t>Space and water heat boiler capacity additions in Residential sector|Water heating|Hydrogen|Hydrogen boiler</t>
  </si>
  <si>
    <t>Process and space heating capacity additions in industry sectors</t>
  </si>
  <si>
    <t>Process and space heating capacity additions in industry sectors|Electricity</t>
  </si>
  <si>
    <t>Process and space heating capacity additions in industry sectors|Electricity|Electric boiler</t>
  </si>
  <si>
    <t>Process and space heating capacity additions in industry sectors|Electricity|Heat pump electric</t>
  </si>
  <si>
    <t>Process and space heating capacity additions in industry sectors|Oil</t>
  </si>
  <si>
    <t>Process and space heating capacity additions in industry sectors|Oil|Light fuel boiler</t>
  </si>
  <si>
    <t>Process and space heating capacity additions in industry sectors|Oil|Heavy fuel boiler</t>
  </si>
  <si>
    <t>Process and space heating capacity additions in industry sectors|Gas</t>
  </si>
  <si>
    <t>Process and space heating capacity additions in industry sectors|Gas|Gas boiler</t>
  </si>
  <si>
    <t>Process and space heating capacity additions in industry sectors|Gas|Heat pump gas</t>
  </si>
  <si>
    <t>Process and space heating capacity additions in industry sectors|Gas|Biogas boiler</t>
  </si>
  <si>
    <t>Process and space heating capacity additions in industry sectors|Coal</t>
  </si>
  <si>
    <t>Process and space heating capacity additions in industry sectors|Coal|Coal boiler</t>
  </si>
  <si>
    <t>Process and space heating capacity additions in industry sectors|Wood</t>
  </si>
  <si>
    <t>Process and space heating capacity additions in industry sectors|Wood|Wood boiler</t>
  </si>
  <si>
    <t>Process and space heating capacity additions in industry sectors|Pellets</t>
  </si>
  <si>
    <t>Process and space heating capacity additions in industry sectors|Pellets|Pellet boiler</t>
  </si>
  <si>
    <t>Process and space heating capacity additions in industry sectors|Wastes</t>
  </si>
  <si>
    <t>Process and space heating capacity additions in industry sectors|Wastes|Wastes boiler</t>
  </si>
  <si>
    <t>Process and space heating capacity additions in industry sectors|Solar</t>
  </si>
  <si>
    <t>Process and space heating capacity additions in industry sectors|Solar|Solar thermal</t>
  </si>
  <si>
    <t>Process and space heating capacity additions in industry sectors|Hydrogen</t>
  </si>
  <si>
    <t>Process and space heating capacity additions in industry sectors|Hydrogen|Hydrogen boiler</t>
  </si>
  <si>
    <t>Space water and process heat boiler capacity additions in Services sectors</t>
  </si>
  <si>
    <t>Space water and process heat boiler capacity additions in Services sectors|Electricity</t>
  </si>
  <si>
    <t>Space water and process heat boiler capacity additions in Services sectors|Electricity|Electric boiler</t>
  </si>
  <si>
    <t>Space water and process heat boiler capacity additions in Services sectors|Electricity|Heat pump electric</t>
  </si>
  <si>
    <t>Space water and process heat boiler capacity additions in Services sectors|Oil</t>
  </si>
  <si>
    <t>Space water and process heat boiler capacity additions in Services sectors|Oil|Light fuel boiler</t>
  </si>
  <si>
    <t>Space water and process heat boiler capacity additions in Services sectors|Gas</t>
  </si>
  <si>
    <t>Space water and process heat boiler capacity additions in Services sectors|Gas|Gas boiler</t>
  </si>
  <si>
    <t>Space water and process heat boiler capacity additions in Services sectors|Gas|Heat pump gas</t>
  </si>
  <si>
    <t>Space water and process heat boiler capacity additions in Services sectors|Gas|Biogas boiler</t>
  </si>
  <si>
    <t>Space water and process heat boiler capacity additions in Services sectors|Wood</t>
  </si>
  <si>
    <t>Space water and process heat boiler capacity additions in Services sectors|Wood|Wood boiler</t>
  </si>
  <si>
    <t>Space water and process heat boiler capacity additions in Services sectors|Pellets</t>
  </si>
  <si>
    <t>Space water and process heat boiler capacity additions in Services sectors|Pellets|Pellet boiler</t>
  </si>
  <si>
    <t>Space water and process heat boiler capacity additions in Services sectors|Solar</t>
  </si>
  <si>
    <t>Space water and process heat boiler capacity additions in Services sectors|Solar|Solar thermal</t>
  </si>
  <si>
    <t>Space water and process heat boiler capacity additions in Services sectors|Hydrogen</t>
  </si>
  <si>
    <t>Space water and process heat boiler capacity additions in Services sectors|Hydrogen|Hydrogen boiler</t>
  </si>
  <si>
    <t>Newly installed capacity  - the capacity additions are reported for the whole period represented under the milestone year</t>
  </si>
  <si>
    <t>Domestic hydrogen production capacity additions</t>
  </si>
  <si>
    <t>Domestic hydrogen production capacity additions|Electricity</t>
  </si>
  <si>
    <t>Domestic hydrogen production capacity additions|Electricity|PEM electrolysis small-medium scale</t>
  </si>
  <si>
    <t>Domestic hydrogen production capacity additions|Electricity|PEM electrolysis large scale</t>
  </si>
  <si>
    <t>Domestic hydrogen production capacity additions|Electricity|SOEC electrolysis</t>
  </si>
  <si>
    <t>Domestic hydrogen production capacity additions|Gas</t>
  </si>
  <si>
    <t>Domestic hydrogen production capacity additions|Gas|SMR-ATR Reforming</t>
  </si>
  <si>
    <t>Domestic hydrogen production capacity additions|Gas|SMR-ATR Reforming CCS</t>
  </si>
  <si>
    <t>Domestic hydrogen production capacity additions|Wood</t>
  </si>
  <si>
    <t>Domestic hydrogen production capacity additions|Wood|Gasification</t>
  </si>
  <si>
    <t>Domestic hydrogen production capacity additions|Wood|Gasification CCS</t>
  </si>
  <si>
    <t>Other fuel synthesis capacity additions</t>
  </si>
  <si>
    <t>Other fuel synthesis capacity additions|Domestic biodiesel production|Wood|Fischer Tropsch</t>
  </si>
  <si>
    <t>Other fuel synthesis capacity additions|Domestic biodiesel production|Wood|Fischer Tropsch CCS</t>
  </si>
  <si>
    <t>Other fuel synthesis capacity additions|Domestic ethanol production|Wood|Ethanol reactor</t>
  </si>
  <si>
    <t>Other fuel synthesis capacity additions|Domestic ethanol production|Wood|Ethanol reactor with CCS</t>
  </si>
  <si>
    <t>Other fuel synthesis capacity additions|Domestic biogas production|Manure|Fermentation</t>
  </si>
  <si>
    <t>Other fuel synthesis capacity additions|Domestic biogas production|Wastes|Renewable|Gasification</t>
  </si>
  <si>
    <t>Other fuel synthesis capacity additions|Domestic biogas production|Wastes|Renewable|Gasification CCS</t>
  </si>
  <si>
    <t>Other fuel synthesis capacity additions|Domestic biogas production|Wastes|Renewable|Hydrothermal gasification</t>
  </si>
  <si>
    <t>Other fuel synthesis capacity additions|Domestic biogas production|Wastes|Renewable|Hydrothermal gasification CCS</t>
  </si>
  <si>
    <t>Other fuel synthesis capacity additions|Domestic biogas production|Wood|Gasification</t>
  </si>
  <si>
    <t>Other fuel synthesis capacity additions|Domestic biogas production|Wood|Gasification CCS</t>
  </si>
  <si>
    <t>Other fuel synthesis capacity additions|Biomethane production from biogas upgrade</t>
  </si>
  <si>
    <t>Other fuel synthesis capacity additions|Domestic wood to pellet production|Pellets</t>
  </si>
  <si>
    <t>Other fuel synthesis capacity additions|Domestic PtG and PtL production|PtG|PtG gas</t>
  </si>
  <si>
    <t>Other fuel synthesis capacity additions|Domestic PtG and PtL production|PtL|PtL Diesel</t>
  </si>
  <si>
    <t>Other fuel synthesis capacity additions|Domestic PtG and PtL production|PtL|PtL Gasoline</t>
  </si>
  <si>
    <t>Imports|Oil|Synthetic liquids|Total|Kerosene</t>
  </si>
  <si>
    <t>Imports|Oil|Synthetic liquids|PtL|Total</t>
  </si>
  <si>
    <t>Imports|Oil|Synthetic liquids|Bioliquids|Biokerosene</t>
  </si>
  <si>
    <t>Fuel consumption in other transport|Jet Fuels|Fossil liquids|Kerosene</t>
  </si>
  <si>
    <t>Fuel consumption in other transport|Jet Fuels|Synthetic liquids|Bioliquids|Biokerosene</t>
  </si>
  <si>
    <t>Fuel consumption in other transport|Jet Fuels|Synthetic liquids|PtL|PtL 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</si>
</sst>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(* #,##0.00_);_(* \(#,##0.00\);_(* &quot;-&quot;??_);_(@_)"/>
    <numFmt numFmtId="165" formatCode="0.0"/>
    <numFmt numFmtId="166" formatCode="0.000"/>
    <numFmt numFmtId="167" formatCode="0.0000"/>
    <numFmt numFmtId="168" formatCode="0.00000"/>
    <numFmt numFmtId="169" formatCode="_-[$€-2]* #,##0.00_-;\-[$€-2]* #,##0.00_-;_-[$€-2]* &quot;-&quot;??_-"/>
    <numFmt numFmtId="170" formatCode="_-* #,##0.00_-;\-* #,##0.00_-;_-* &quot;-&quot;??_-;_-@_-"/>
  </numFmts>
  <fonts count="5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1"/>
      <color indexed="54"/>
      <name val="Calibri"/>
      <family val="2"/>
    </font>
    <font>
      <sz val="8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14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</font>
    <font>
      <b/>
      <sz val="18"/>
      <color indexed="62"/>
      <name val="Cambria"/>
      <family val="2"/>
    </font>
    <font>
      <sz val="11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63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3370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10" fillId="19" borderId="0" applyNumberFormat="0" applyBorder="0" applyAlignment="0" applyProtection="0"/>
    <xf numFmtId="0" fontId="7" fillId="14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24" borderId="0" applyNumberFormat="0" applyBorder="0" applyAlignment="0" applyProtection="0"/>
    <xf numFmtId="0" fontId="34" fillId="28" borderId="0" applyNumberFormat="0" applyBorder="0" applyAlignment="0" applyProtection="0"/>
    <xf numFmtId="0" fontId="11" fillId="30" borderId="0" applyNumberFormat="0" applyBorder="0" applyAlignment="0" applyProtection="0"/>
    <xf numFmtId="0" fontId="34" fillId="27" borderId="0" applyNumberFormat="0" applyBorder="0" applyAlignment="0" applyProtection="0"/>
    <xf numFmtId="0" fontId="34" fillId="12" borderId="0" applyNumberFormat="0" applyBorder="0" applyAlignment="0" applyProtection="0"/>
    <xf numFmtId="0" fontId="34" fillId="20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34" borderId="0" applyNumberFormat="0" applyBorder="0" applyAlignment="0" applyProtection="0"/>
    <xf numFmtId="0" fontId="34" fillId="35" borderId="0" applyNumberFormat="0" applyBorder="0" applyAlignment="0" applyProtection="0"/>
    <xf numFmtId="0" fontId="11" fillId="36" borderId="0" applyNumberFormat="0" applyBorder="0" applyAlignment="0" applyProtection="0"/>
    <xf numFmtId="0" fontId="34" fillId="35" borderId="0" applyNumberFormat="0" applyBorder="0" applyAlignment="0" applyProtection="0"/>
    <xf numFmtId="0" fontId="11" fillId="30" borderId="0" applyNumberFormat="0" applyBorder="0" applyAlignment="0" applyProtection="0"/>
    <xf numFmtId="0" fontId="34" fillId="37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1" borderId="0" applyNumberFormat="0" applyBorder="0" applyAlignment="0" applyProtection="0"/>
    <xf numFmtId="0" fontId="22" fillId="27" borderId="7" applyNumberFormat="0" applyAlignment="0" applyProtection="0"/>
    <xf numFmtId="0" fontId="35" fillId="2" borderId="0" applyNumberFormat="0" applyBorder="0" applyAlignment="0" applyProtection="0"/>
    <xf numFmtId="0" fontId="13" fillId="27" borderId="8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21" fillId="0" borderId="9" applyNumberFormat="0" applyFill="0" applyAlignment="0" applyProtection="0"/>
    <xf numFmtId="0" fontId="37" fillId="5" borderId="5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0" fillId="22" borderId="11" applyNumberFormat="0" applyFont="0" applyAlignment="0" applyProtection="0"/>
    <xf numFmtId="0" fontId="29" fillId="0" borderId="12">
      <alignment horizontal="left" vertical="center" wrapText="1" indent="2"/>
    </xf>
    <xf numFmtId="0" fontId="20" fillId="20" borderId="8" applyNumberFormat="0" applyAlignment="0" applyProtection="0"/>
    <xf numFmtId="0" fontId="20" fillId="20" borderId="8" applyNumberFormat="0" applyAlignment="0" applyProtection="0"/>
    <xf numFmtId="0" fontId="23" fillId="0" borderId="13" applyNumberFormat="0" applyFill="0" applyAlignment="0" applyProtection="0"/>
    <xf numFmtId="0" fontId="15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0" fillId="20" borderId="8" applyNumberFormat="0" applyAlignment="0" applyProtection="0"/>
    <xf numFmtId="0" fontId="12" fillId="16" borderId="0" applyNumberFormat="0" applyBorder="0" applyAlignment="0" applyProtection="0"/>
    <xf numFmtId="0" fontId="25" fillId="2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0" fillId="0" borderId="0"/>
    <xf numFmtId="0" fontId="41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0" fillId="0" borderId="0" applyNumberFormat="0" applyFill="0" applyBorder="0" applyProtection="0">
      <alignment horizontal="left" vertical="center"/>
    </xf>
    <xf numFmtId="4" fontId="6" fillId="39" borderId="0" applyNumberFormat="0" applyFont="0" applyBorder="0" applyAlignment="0" applyProtection="0"/>
    <xf numFmtId="0" fontId="8" fillId="0" borderId="0"/>
    <xf numFmtId="0" fontId="10" fillId="22" borderId="11" applyNumberFormat="0" applyFont="0" applyAlignment="0" applyProtection="0"/>
    <xf numFmtId="0" fontId="10" fillId="6" borderId="6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2" fillId="27" borderId="7" applyNumberFormat="0" applyAlignment="0" applyProtection="0"/>
    <xf numFmtId="0" fontId="42" fillId="21" borderId="4" applyNumberFormat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17" borderId="0" applyNumberFormat="0" applyBorder="0" applyAlignment="0" applyProtection="0"/>
    <xf numFmtId="0" fontId="22" fillId="27" borderId="7" applyNumberFormat="0" applyAlignment="0" applyProtection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4" fillId="38" borderId="10" applyNumberFormat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38" borderId="10" applyNumberFormat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170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4" fontId="6" fillId="39" borderId="0" applyNumberFormat="0" applyFont="0" applyBorder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45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36" fillId="4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10" fillId="22" borderId="11" applyNumberFormat="0" applyFont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32" fillId="3" borderId="3" applyNumberFormat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1" fillId="0" borderId="0"/>
    <xf numFmtId="0" fontId="41" fillId="0" borderId="0"/>
    <xf numFmtId="0" fontId="40" fillId="0" borderId="0"/>
    <xf numFmtId="0" fontId="46" fillId="0" borderId="0"/>
    <xf numFmtId="0" fontId="45" fillId="0" borderId="0"/>
    <xf numFmtId="0" fontId="4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/>
    <xf numFmtId="0" fontId="7" fillId="0" borderId="0"/>
    <xf numFmtId="0" fontId="41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26" fillId="42" borderId="0" applyNumberFormat="0" applyBorder="0" applyProtection="0">
      <alignment horizontal="left"/>
    </xf>
    <xf numFmtId="0" fontId="26" fillId="42" borderId="0" applyNumberFormat="0" applyBorder="0" applyProtection="0">
      <alignment horizontal="left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0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2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2" applyNumberFormat="0" applyFill="0" applyAlignment="0" applyProtection="0"/>
    <xf numFmtId="0" fontId="49" fillId="0" borderId="2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3" borderId="3" applyNumberFormat="0" applyAlignment="0" applyProtection="0"/>
    <xf numFmtId="0" fontId="39" fillId="3" borderId="3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1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46" fillId="0" borderId="0"/>
    <xf numFmtId="9" fontId="46" fillId="0" borderId="0" applyFont="0" applyFill="0" applyBorder="0" applyAlignment="0" applyProtection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6" fillId="40" borderId="11" applyNumberFormat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7" fillId="10" borderId="0" applyNumberFormat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7" borderId="0" applyNumberFormat="0" applyBorder="0" applyAlignment="0" applyProtection="0"/>
    <xf numFmtId="0" fontId="7" fillId="14" borderId="0" applyNumberFormat="0" applyBorder="0" applyAlignment="0" applyProtection="0"/>
    <xf numFmtId="0" fontId="6" fillId="0" borderId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51" fillId="0" borderId="0" applyNumberFormat="0" applyFill="0" applyBorder="0" applyAlignment="0" applyProtection="0"/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2" fillId="0" borderId="0" applyNumberFormat="0" applyBorder="0" applyAlignment="0"/>
    <xf numFmtId="0" fontId="7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1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22" borderId="11" applyNumberFormat="0" applyFon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6" fillId="0" borderId="0" applyFont="0" applyFill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9" fontId="7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7">
    <xf numFmtId="0" fontId="0" fillId="0" borderId="0" xfId="0"/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  <xf numFmtId="9" fontId="0" fillId="0" borderId="0" xfId="1" applyFont="1"/>
    <xf numFmtId="0" fontId="4" fillId="0" borderId="0" xfId="0" applyFont="1"/>
    <xf numFmtId="165" fontId="4" fillId="0" borderId="0" xfId="0" quotePrefix="1" applyNumberFormat="1" applyFont="1"/>
    <xf numFmtId="2" fontId="0" fillId="0" borderId="0" xfId="0" applyNumberFormat="1"/>
    <xf numFmtId="166" fontId="0" fillId="0" borderId="0" xfId="0" applyNumberFormat="1"/>
    <xf numFmtId="0" fontId="5" fillId="0" borderId="0" xfId="0" applyFont="1"/>
    <xf numFmtId="165" fontId="4" fillId="0" borderId="0" xfId="0" applyNumberFormat="1" applyFont="1"/>
    <xf numFmtId="1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 applyAlignment="1"/>
    <xf numFmtId="9" fontId="1" fillId="0" borderId="0" xfId="1" applyFont="1"/>
    <xf numFmtId="0" fontId="1" fillId="0" borderId="1" xfId="0" applyFont="1" applyBorder="1"/>
    <xf numFmtId="9" fontId="4" fillId="0" borderId="0" xfId="1" applyFont="1"/>
    <xf numFmtId="165" fontId="1" fillId="0" borderId="0" xfId="1" applyNumberFormat="1" applyFont="1"/>
    <xf numFmtId="165" fontId="2" fillId="0" borderId="0" xfId="1" applyNumberFormat="1" applyFont="1"/>
    <xf numFmtId="167" fontId="0" fillId="0" borderId="0" xfId="0" applyNumberFormat="1"/>
    <xf numFmtId="168" fontId="0" fillId="0" borderId="0" xfId="0" applyNumberFormat="1"/>
    <xf numFmtId="0" fontId="0" fillId="0" borderId="0" xfId="0" quotePrefix="1"/>
    <xf numFmtId="165" fontId="0" fillId="0" borderId="0" xfId="0" quotePrefix="1" applyNumberFormat="1"/>
    <xf numFmtId="165" fontId="1" fillId="0" borderId="0" xfId="0" quotePrefix="1" applyNumberFormat="1" applyFont="1"/>
    <xf numFmtId="0" fontId="1" fillId="0" borderId="0" xfId="0" quotePrefix="1" applyFont="1"/>
    <xf numFmtId="0" fontId="0" fillId="0" borderId="0" xfId="0" applyAlignment="1">
      <alignment horizontal="left" indent="1"/>
    </xf>
    <xf numFmtId="2" fontId="1" fillId="0" borderId="0" xfId="0" applyNumberFormat="1" applyFont="1"/>
  </cellXfs>
  <cellStyles count="33700">
    <cellStyle name="20 % - Accent1" xfId="3" xr:uid="{1E7BDF39-77FB-4A88-926C-B832EE990DA4}"/>
    <cellStyle name="20 % - Accent1 2" xfId="2981" xr:uid="{D90307E6-1D66-4690-9BD1-74F3C3FFD2A9}"/>
    <cellStyle name="20 % - Accent2" xfId="4" xr:uid="{E385C123-D15B-4605-B8F6-7EF4F84D723F}"/>
    <cellStyle name="20 % - Accent2 2" xfId="2982" xr:uid="{0E004222-00A2-407F-AF29-77FCE8F62B0A}"/>
    <cellStyle name="20 % - Accent3" xfId="5" xr:uid="{8DAFA6ED-90FA-4766-99B6-54107FA3ED4D}"/>
    <cellStyle name="20 % - Accent3 2" xfId="2983" xr:uid="{1B5EB30A-109F-44A0-B286-FDE3B9EBB7A7}"/>
    <cellStyle name="20 % - Accent4" xfId="6" xr:uid="{03FDA40F-1909-4899-A49C-000F0DFA4BEE}"/>
    <cellStyle name="20 % - Accent4 2" xfId="2984" xr:uid="{55A86177-6E10-451D-B6DE-E582AC642F45}"/>
    <cellStyle name="20 % - Accent5" xfId="7" xr:uid="{84120C11-E93B-4BA0-8E56-FDD19719E044}"/>
    <cellStyle name="20 % - Accent5 2" xfId="2985" xr:uid="{6CA1E939-270C-4186-8A00-BF89B3E582C1}"/>
    <cellStyle name="20 % - Accent6" xfId="8" xr:uid="{993D259A-3BCE-4D5B-A387-FA35EA9CA12D}"/>
    <cellStyle name="20 % - Accent6 2" xfId="2986" xr:uid="{A8FBE383-A845-4932-8A37-33625F73AA68}"/>
    <cellStyle name="20% - Accent1 2" xfId="9" xr:uid="{C1528C57-5131-43B8-AC6C-4488570F5CE4}"/>
    <cellStyle name="20% - Accent1 2 2" xfId="2987" xr:uid="{17502556-DA30-48BF-8986-74D98450D0A0}"/>
    <cellStyle name="20% - Accent1 3" xfId="10" xr:uid="{8C32B0A8-EB2B-4E3A-98D3-02D05CAFCA71}"/>
    <cellStyle name="20% - Accent1 3 2" xfId="2988" xr:uid="{47848F85-B03A-4429-BA36-E93DE8804817}"/>
    <cellStyle name="20% - Accent1 3 2 2" xfId="20816" xr:uid="{13C5F2BB-DC5A-4288-B655-A862375518AF}"/>
    <cellStyle name="20% - Accent1 3 3" xfId="5585" xr:uid="{7CDE298D-345A-40AA-9A9B-BF0A2CBFABEC}"/>
    <cellStyle name="20% - Accent1 3 3 2" xfId="20923" xr:uid="{0A52A349-17A6-4E1F-A6C3-5212924526CF}"/>
    <cellStyle name="20% - Accent1 3 4" xfId="5586" xr:uid="{14AF0539-FBA6-42D7-997B-08228941DBA4}"/>
    <cellStyle name="20% - Accent1 3 4 2" xfId="21036" xr:uid="{AE48B976-D082-43E5-8B35-172B772EC612}"/>
    <cellStyle name="20% - Accent1 3 5" xfId="5587" xr:uid="{F046AFCF-4F58-45C6-A8B3-DC4B11C6656E}"/>
    <cellStyle name="20% - Accent1 3 6" xfId="5588" xr:uid="{B780E057-8A92-408F-BEC2-46C695A86468}"/>
    <cellStyle name="20% - Accent1 3 6 2" xfId="22111" xr:uid="{04964007-AE88-447D-9A09-ECA090CCE315}"/>
    <cellStyle name="20% - Accent1 3 7" xfId="5589" xr:uid="{B0182CC1-141E-4904-9F29-54FAE57689D6}"/>
    <cellStyle name="20% - Accent1 3 7 2" xfId="22554" xr:uid="{DD262BA1-DC64-4BCC-9CDC-E3621319132F}"/>
    <cellStyle name="20% - Accent1 3 8" xfId="5590" xr:uid="{A7C0B595-912F-4181-A398-9DBF0F9DA850}"/>
    <cellStyle name="20% - Accent1 3 8 2" xfId="22555" xr:uid="{9A1D2099-8FAE-4B3F-B8A9-AEED961D1068}"/>
    <cellStyle name="20% - Accent1 4" xfId="5591" xr:uid="{577E39E3-F020-4219-9B74-5BBBCBFE729B}"/>
    <cellStyle name="20% - Accent1 4 2" xfId="5592" xr:uid="{A1A006BF-D238-4E51-B729-29D54345ECCF}"/>
    <cellStyle name="20% - Accent1 4 2 2" xfId="22557" xr:uid="{8432B2D8-5BEB-48D7-A384-031C829F6514}"/>
    <cellStyle name="20% - Accent1 4 3" xfId="5593" xr:uid="{6D0BA57C-67DE-4832-A40D-6705CD1DF90E}"/>
    <cellStyle name="20% - Accent1 4 3 2" xfId="22558" xr:uid="{3405B4E8-B363-4BCF-B138-88F06A42932E}"/>
    <cellStyle name="20% - Accent1 4 4" xfId="5594" xr:uid="{82E6EDCF-9C54-4885-A2C1-4F8A8ABBE13A}"/>
    <cellStyle name="20% - Accent1 4 4 2" xfId="22559" xr:uid="{3E51EAA9-8FBE-4BEB-B802-71A2F8D26821}"/>
    <cellStyle name="20% - Accent1 4 5" xfId="5595" xr:uid="{7BE34AF5-001E-4124-B572-4B36C8BA1D99}"/>
    <cellStyle name="20% - Accent1 4 5 2" xfId="22560" xr:uid="{B428F14C-821D-4D26-AEEC-77BF77972F24}"/>
    <cellStyle name="20% - Accent1 4 6" xfId="5596" xr:uid="{3E01E32D-7116-4DD9-BE2D-7108EC206699}"/>
    <cellStyle name="20% - Accent1 4 6 2" xfId="22561" xr:uid="{2C727548-1FE8-4A2C-B949-F5FA53E56264}"/>
    <cellStyle name="20% - Accent1 4 7" xfId="5597" xr:uid="{F1548537-6E66-46DF-BD17-8502837488BB}"/>
    <cellStyle name="20% - Accent1 4 7 2" xfId="22562" xr:uid="{70FB0FF9-B294-4EAA-B1AC-1B87DCE869BC}"/>
    <cellStyle name="20% - Accent1 4 8" xfId="5598" xr:uid="{400E2F7D-A2AC-4D22-8715-C797054B9A03}"/>
    <cellStyle name="20% - Accent1 4 8 2" xfId="22563" xr:uid="{9D1D0261-FA32-4B62-A4D8-C92B46177847}"/>
    <cellStyle name="20% - Accent1 4 9" xfId="22556" xr:uid="{2321CCEA-AE9D-41B7-8FDB-C29E78BB64B2}"/>
    <cellStyle name="20% - Accent2 2" xfId="11" xr:uid="{5CB0DF7C-F15B-4C3B-BC3C-071C1FFBDE46}"/>
    <cellStyle name="20% - Accent2 2 2" xfId="2989" xr:uid="{4EA38E81-177F-4133-B756-447C9087A050}"/>
    <cellStyle name="20% - Accent2 3" xfId="12" xr:uid="{00122D15-4B85-451E-8783-34285F0F0F15}"/>
    <cellStyle name="20% - Accent2 3 2" xfId="2990" xr:uid="{0D188AC2-4E8C-4AB1-A712-3DEE8D9DE9D5}"/>
    <cellStyle name="20% - Accent2 3 2 2" xfId="20815" xr:uid="{122FFE5F-D43E-43EE-9CEA-A0CAF7180E00}"/>
    <cellStyle name="20% - Accent2 3 3" xfId="5599" xr:uid="{55466413-0382-41D9-8125-6F48F213EBE0}"/>
    <cellStyle name="20% - Accent2 3 3 2" xfId="20924" xr:uid="{9F792B3E-28FB-4DC5-9D0C-4B83624B66CD}"/>
    <cellStyle name="20% - Accent2 3 4" xfId="5600" xr:uid="{F1131C4B-89D5-4003-AE3C-E3872E71F809}"/>
    <cellStyle name="20% - Accent2 3 4 2" xfId="21037" xr:uid="{811A300B-FA01-4BF1-A7AF-C344F92E1BE7}"/>
    <cellStyle name="20% - Accent2 3 5" xfId="5601" xr:uid="{C3FA4F7A-012F-4FAF-BFEF-5AA897B98877}"/>
    <cellStyle name="20% - Accent2 3 6" xfId="5602" xr:uid="{B64B1A5E-403E-486F-A973-3145BE41BC31}"/>
    <cellStyle name="20% - Accent2 3 6 2" xfId="22112" xr:uid="{3324E9AA-5AA5-4695-B123-20DD1AB9A96F}"/>
    <cellStyle name="20% - Accent2 3 7" xfId="5603" xr:uid="{6AD84681-8F9A-47DE-BE14-94070CC420B2}"/>
    <cellStyle name="20% - Accent2 3 7 2" xfId="22564" xr:uid="{090B59D7-5922-4A2F-BE7C-517ECFFC7C83}"/>
    <cellStyle name="20% - Accent2 3 8" xfId="5604" xr:uid="{0E80D51E-0421-40EB-B0E6-F9CD585E132E}"/>
    <cellStyle name="20% - Accent2 3 8 2" xfId="22565" xr:uid="{3007C144-D2E1-44D1-8F57-8AE8A1E83554}"/>
    <cellStyle name="20% - Accent2 4" xfId="5605" xr:uid="{B8BE6797-D332-4257-92C2-49891DEFF14D}"/>
    <cellStyle name="20% - Accent2 4 2" xfId="5606" xr:uid="{4C91A057-69CD-4D76-8A73-1854267775DF}"/>
    <cellStyle name="20% - Accent2 4 2 2" xfId="22567" xr:uid="{43B666BB-EA61-44FD-ABDE-5C6A0F21C8E8}"/>
    <cellStyle name="20% - Accent2 4 3" xfId="5607" xr:uid="{94823796-C729-4CA4-8471-680DBA02C668}"/>
    <cellStyle name="20% - Accent2 4 3 2" xfId="22568" xr:uid="{6542DF89-C148-49A3-B751-E2DA3D55C385}"/>
    <cellStyle name="20% - Accent2 4 4" xfId="5608" xr:uid="{AC4BFD1B-CE0E-438E-B90D-36AB1FAF2D4D}"/>
    <cellStyle name="20% - Accent2 4 4 2" xfId="22569" xr:uid="{66DFC9EC-F461-4766-9620-D91AC9CE5E3C}"/>
    <cellStyle name="20% - Accent2 4 5" xfId="5609" xr:uid="{14DD7425-A87A-4921-AB46-085471924B70}"/>
    <cellStyle name="20% - Accent2 4 5 2" xfId="22570" xr:uid="{71515DE5-1297-4F0B-BB4E-B6FBED30D27B}"/>
    <cellStyle name="20% - Accent2 4 6" xfId="5610" xr:uid="{95336325-EA49-4EA6-B7C9-DDF3656033F2}"/>
    <cellStyle name="20% - Accent2 4 6 2" xfId="22571" xr:uid="{8B38BD95-58FC-41A1-8AE3-CBABEB7874AA}"/>
    <cellStyle name="20% - Accent2 4 7" xfId="5611" xr:uid="{BC525C95-EB57-47DE-8D95-2E9714B3E6D1}"/>
    <cellStyle name="20% - Accent2 4 7 2" xfId="22572" xr:uid="{087EF41D-C353-444A-A233-3EF012081CE5}"/>
    <cellStyle name="20% - Accent2 4 8" xfId="5612" xr:uid="{6C3A375A-8A3C-4CD9-B455-FC68DD84C3EE}"/>
    <cellStyle name="20% - Accent2 4 8 2" xfId="22573" xr:uid="{F4BFEF67-7503-4729-A326-C13B2076A3B6}"/>
    <cellStyle name="20% - Accent2 4 9" xfId="22566" xr:uid="{6961DD85-0746-42A6-9384-DBF946EF0A44}"/>
    <cellStyle name="20% - Accent3 2" xfId="13" xr:uid="{DB505781-B0E6-4E8F-A158-3F40960DCC84}"/>
    <cellStyle name="20% - Accent3 2 2" xfId="2991" xr:uid="{49264C20-9449-4DF8-AEEF-5902C6991291}"/>
    <cellStyle name="20% - Accent3 3" xfId="14" xr:uid="{2E5080AB-7339-47F6-8C7E-43FDC1CC8704}"/>
    <cellStyle name="20% - Accent3 3 2" xfId="2992" xr:uid="{2C5DFDC0-C9A9-4F9F-8F91-6A0CC2068761}"/>
    <cellStyle name="20% - Accent3 3 2 2" xfId="20814" xr:uid="{BF334F4B-D4A5-4BB3-81F3-3E9D5DA58CCB}"/>
    <cellStyle name="20% - Accent3 3 3" xfId="5613" xr:uid="{9AEEEDB7-E772-4FA4-8187-2AE5718BB184}"/>
    <cellStyle name="20% - Accent3 3 3 2" xfId="20925" xr:uid="{866E13F6-36F9-4611-AD9E-9118CC596830}"/>
    <cellStyle name="20% - Accent3 3 4" xfId="5614" xr:uid="{5186EFDD-46B9-40C9-B657-53C17CDBFC43}"/>
    <cellStyle name="20% - Accent3 3 4 2" xfId="21038" xr:uid="{EA975DC2-8FA0-48F4-9EBF-C9232995311B}"/>
    <cellStyle name="20% - Accent3 3 5" xfId="5615" xr:uid="{727172DF-02E5-4A0E-99C8-6254ADBEA4A5}"/>
    <cellStyle name="20% - Accent3 3 6" xfId="5616" xr:uid="{8CA06DAC-B3A2-4F72-851D-8FE19BA19074}"/>
    <cellStyle name="20% - Accent3 3 6 2" xfId="22113" xr:uid="{23B08DC0-8ECF-4BBC-97D4-71ABEE7A6625}"/>
    <cellStyle name="20% - Accent3 3 7" xfId="5617" xr:uid="{C36A90C5-A11E-4FA5-8180-4D671C643582}"/>
    <cellStyle name="20% - Accent3 3 7 2" xfId="22574" xr:uid="{2ED0BE0A-EE68-479B-B96E-CCE974607203}"/>
    <cellStyle name="20% - Accent3 3 8" xfId="5618" xr:uid="{2191DE9C-43C2-4C7D-8A9C-7A1A4BE6BD8D}"/>
    <cellStyle name="20% - Accent3 3 8 2" xfId="22575" xr:uid="{32121C00-3294-4854-BD9C-5DE5D700B5DF}"/>
    <cellStyle name="20% - Accent3 4" xfId="5619" xr:uid="{E3E0DB9E-058B-455D-B030-A8A8452DA4E3}"/>
    <cellStyle name="20% - Accent3 4 2" xfId="5620" xr:uid="{C7B4BF38-E3C9-442E-9807-7801F75D111F}"/>
    <cellStyle name="20% - Accent3 4 2 2" xfId="22577" xr:uid="{AC4F378B-E189-4FC9-8DF8-DA1BF3BED27F}"/>
    <cellStyle name="20% - Accent3 4 3" xfId="5621" xr:uid="{3139DE56-0925-4D9F-B735-41DDC77087A2}"/>
    <cellStyle name="20% - Accent3 4 3 2" xfId="22578" xr:uid="{6F50BE4C-614A-4B87-8592-5C359613296D}"/>
    <cellStyle name="20% - Accent3 4 4" xfId="5622" xr:uid="{B9B394CF-1D0F-4188-B4AA-C5F0732DA07C}"/>
    <cellStyle name="20% - Accent3 4 4 2" xfId="22579" xr:uid="{0E839CFE-F04E-4FBA-8EA4-245034BF4480}"/>
    <cellStyle name="20% - Accent3 4 5" xfId="5623" xr:uid="{1F92B60A-0E74-449B-8C88-5055FF11C6BB}"/>
    <cellStyle name="20% - Accent3 4 5 2" xfId="22580" xr:uid="{420DC59D-47DA-473F-A7BC-157204AB1676}"/>
    <cellStyle name="20% - Accent3 4 6" xfId="5624" xr:uid="{DF653E5D-76B6-4AB8-B6E9-336664879A9C}"/>
    <cellStyle name="20% - Accent3 4 6 2" xfId="22581" xr:uid="{77539A51-936D-4BF4-9E48-E502D15DDDD1}"/>
    <cellStyle name="20% - Accent3 4 7" xfId="5625" xr:uid="{B50D0B94-10CC-4AC7-BAFB-9FAF3A8FA5F0}"/>
    <cellStyle name="20% - Accent3 4 7 2" xfId="22582" xr:uid="{F5F583FD-64DE-4687-898B-654DCDB1047C}"/>
    <cellStyle name="20% - Accent3 4 8" xfId="5626" xr:uid="{574046AC-69C8-42D0-A453-5D5C746B2212}"/>
    <cellStyle name="20% - Accent3 4 8 2" xfId="22583" xr:uid="{17A941D9-1DEF-49FE-B48F-21CB871C9B38}"/>
    <cellStyle name="20% - Accent3 4 9" xfId="22576" xr:uid="{D614FFFF-E580-4DA4-A9C4-4D8400B099A3}"/>
    <cellStyle name="20% - Accent4 2" xfId="15" xr:uid="{3A7504F5-DA67-4DDC-82C6-A3CA11EDFB3F}"/>
    <cellStyle name="20% - Accent4 2 2" xfId="2993" xr:uid="{6EF80D49-4C37-4A39-A849-FF6F80B5392E}"/>
    <cellStyle name="20% - Accent4 3" xfId="16" xr:uid="{2AE3671F-F803-473B-BB7C-C0FAB0546375}"/>
    <cellStyle name="20% - Accent4 3 2" xfId="2994" xr:uid="{B463F75F-0A64-4338-8915-0C85C8460C4A}"/>
    <cellStyle name="20% - Accent4 3 2 2" xfId="20813" xr:uid="{FF8B6443-BD4F-48C1-B25B-3B455D670A8C}"/>
    <cellStyle name="20% - Accent4 3 3" xfId="5627" xr:uid="{8E4EFBB4-BF82-47F5-9A2E-396D16EC932B}"/>
    <cellStyle name="20% - Accent4 3 3 2" xfId="20926" xr:uid="{BA84CE06-1985-4A7C-ADA5-94194B40E654}"/>
    <cellStyle name="20% - Accent4 3 4" xfId="5628" xr:uid="{DEAFEDAE-79CF-42BE-83F4-A2575AE0AFAD}"/>
    <cellStyle name="20% - Accent4 3 4 2" xfId="21039" xr:uid="{CE2CF58E-89FD-4327-B73F-1BFCEFBE46AB}"/>
    <cellStyle name="20% - Accent4 3 5" xfId="5629" xr:uid="{83CAAF34-E9AF-444B-A420-1F747440D958}"/>
    <cellStyle name="20% - Accent4 3 6" xfId="5630" xr:uid="{ECD83EE3-C834-428E-95B4-962293BD753A}"/>
    <cellStyle name="20% - Accent4 3 6 2" xfId="22114" xr:uid="{89BA3573-CFA7-44E6-9F1F-6BD21723244B}"/>
    <cellStyle name="20% - Accent4 3 7" xfId="5631" xr:uid="{1B69DED2-5C27-4686-9611-B358C98B1AF6}"/>
    <cellStyle name="20% - Accent4 3 7 2" xfId="22584" xr:uid="{D0A42453-3FDC-461E-8AE1-0FAF2B73B497}"/>
    <cellStyle name="20% - Accent4 3 8" xfId="5632" xr:uid="{FF91A52D-234E-4006-806F-4788D2A4731C}"/>
    <cellStyle name="20% - Accent4 3 8 2" xfId="22585" xr:uid="{7518D21A-45FB-4195-A549-95AC6AE825A4}"/>
    <cellStyle name="20% - Accent4 4" xfId="5633" xr:uid="{BB273D36-9ED2-4A30-BA3A-EE68F31AC413}"/>
    <cellStyle name="20% - Accent4 4 2" xfId="5634" xr:uid="{7720E976-DA8B-47A1-8066-4BD8F22E3893}"/>
    <cellStyle name="20% - Accent4 4 2 2" xfId="22587" xr:uid="{97201B23-43DC-4F9D-87E6-A5DE8E5B144C}"/>
    <cellStyle name="20% - Accent4 4 3" xfId="5635" xr:uid="{0EE344C5-2782-4E2C-A96F-49819A749011}"/>
    <cellStyle name="20% - Accent4 4 3 2" xfId="22588" xr:uid="{8489024C-F1D5-43B2-9908-1505312BA397}"/>
    <cellStyle name="20% - Accent4 4 4" xfId="5636" xr:uid="{0ED0858B-B5C5-480D-A478-5EF432D9793B}"/>
    <cellStyle name="20% - Accent4 4 4 2" xfId="22589" xr:uid="{D3D85F47-951C-483F-AC74-467904086459}"/>
    <cellStyle name="20% - Accent4 4 5" xfId="5637" xr:uid="{2868E4E8-0D99-4395-A507-64DCAC6AB997}"/>
    <cellStyle name="20% - Accent4 4 5 2" xfId="22590" xr:uid="{BA800603-B2F5-4B9C-BD12-5340F1B43CEE}"/>
    <cellStyle name="20% - Accent4 4 6" xfId="5638" xr:uid="{1E6C4D74-36A2-440E-9070-02C19C1845A3}"/>
    <cellStyle name="20% - Accent4 4 6 2" xfId="22591" xr:uid="{6AA0A037-F00D-48CD-9C3A-AF1B5FCB4DE8}"/>
    <cellStyle name="20% - Accent4 4 7" xfId="5639" xr:uid="{6AE4CB3E-5654-437B-9049-B99357AA2760}"/>
    <cellStyle name="20% - Accent4 4 7 2" xfId="22592" xr:uid="{8C639532-2CFD-4164-97F0-DC42B3D73554}"/>
    <cellStyle name="20% - Accent4 4 8" xfId="5640" xr:uid="{2F4F677F-8766-42CD-B354-82FEEFA886C0}"/>
    <cellStyle name="20% - Accent4 4 8 2" xfId="22593" xr:uid="{050BCF8E-3696-4170-8925-337500E8AC33}"/>
    <cellStyle name="20% - Accent4 4 9" xfId="22586" xr:uid="{0A08440F-A009-4BF7-AD28-361C0B040B20}"/>
    <cellStyle name="20% - Accent5 10" xfId="20478" xr:uid="{AB841113-86C8-43C8-93E8-C0C12876A3F5}"/>
    <cellStyle name="20% - Accent5 10 2" xfId="33681" xr:uid="{9E01FA34-BF57-419E-AE63-A1E7E9157AA6}"/>
    <cellStyle name="20% - Accent5 11" xfId="20670" xr:uid="{BFD37944-B6E2-4023-BB11-13D81318FB10}"/>
    <cellStyle name="20% - Accent5 12" xfId="17" xr:uid="{BFABA702-9F4A-4FCD-9684-930CD46BD748}"/>
    <cellStyle name="20% - Accent5 2" xfId="18" xr:uid="{5EAB910D-CAD6-417F-A4E7-E3DCAAB78872}"/>
    <cellStyle name="20% - Accent5 2 2" xfId="2995" xr:uid="{EA4E6999-49D8-43D8-8097-3EEF1DCE7534}"/>
    <cellStyle name="20% - Accent5 3" xfId="2996" xr:uid="{17F88A94-28E0-49F4-891D-79CD562C740E}"/>
    <cellStyle name="20% - Accent5 3 2" xfId="5641" xr:uid="{19EE80D4-43D5-45F5-8ECA-984A9625720C}"/>
    <cellStyle name="20% - Accent5 4" xfId="5642" xr:uid="{2AA2A36D-73F2-4F3B-BE1A-F3A4090D273F}"/>
    <cellStyle name="20% - Accent5 4 2" xfId="20927" xr:uid="{F78C0E70-90D1-43C1-8618-8C0F87397899}"/>
    <cellStyle name="20% - Accent5 5" xfId="5643" xr:uid="{F16CD90A-3A93-4E1B-BDC4-B26B351FBE91}"/>
    <cellStyle name="20% - Accent5 5 2" xfId="21040" xr:uid="{5F38C4EF-EA9F-46BF-8DDB-C405E0753BF5}"/>
    <cellStyle name="20% - Accent5 6" xfId="5644" xr:uid="{97CF5CF5-D7F1-4612-A3C2-816EDF661F32}"/>
    <cellStyle name="20% - Accent5 6 2" xfId="22115" xr:uid="{FF785E2A-0BBA-4415-B5A3-E9076D6AF073}"/>
    <cellStyle name="20% - Accent5 7" xfId="5645" xr:uid="{561F91A7-5B93-42AF-8AE1-2240E72E607D}"/>
    <cellStyle name="20% - Accent5 7 2" xfId="22594" xr:uid="{8E4ED543-7570-4C21-88C4-F990333E3E8C}"/>
    <cellStyle name="20% - Accent5 8" xfId="5646" xr:uid="{A7E00F4A-6CC9-4D2A-9981-F46D1C68DD24}"/>
    <cellStyle name="20% - Accent5 8 2" xfId="22595" xr:uid="{A3046679-8924-4E95-B2F4-FB9F78B4A229}"/>
    <cellStyle name="20% - Accent5 9" xfId="19649" xr:uid="{AFD9CDF8-5D69-4862-9415-CB359836B072}"/>
    <cellStyle name="20% - Accent5 9 2" xfId="33682" xr:uid="{E71C51D3-6452-4A35-AE24-7C41A6A72FAE}"/>
    <cellStyle name="20% - Accent6 10" xfId="20483" xr:uid="{A2A1DFEF-4DA5-4151-832C-A918CAA691B2}"/>
    <cellStyle name="20% - Accent6 10 2" xfId="33683" xr:uid="{5E8FC090-DDB4-48C1-912B-49F88A25D78F}"/>
    <cellStyle name="20% - Accent6 11" xfId="20672" xr:uid="{9D00D5AF-4308-4F4A-9524-599A4E33C54C}"/>
    <cellStyle name="20% - Accent6 12" xfId="19" xr:uid="{0E7B2BFC-EFBE-44A9-B67C-01788E74065E}"/>
    <cellStyle name="20% - Accent6 2" xfId="20" xr:uid="{BCE11CE0-8B2F-4756-B175-F95E2DE0DD17}"/>
    <cellStyle name="20% - Accent6 2 2" xfId="2997" xr:uid="{96A79471-7F37-404D-8CC5-6C82A122023D}"/>
    <cellStyle name="20% - Accent6 3" xfId="2998" xr:uid="{484645B9-0BBB-4404-9B01-F2A5BFC3187A}"/>
    <cellStyle name="20% - Accent6 3 2" xfId="5647" xr:uid="{4BA4711F-4837-4D79-B7B4-A148E0A7F71B}"/>
    <cellStyle name="20% - Accent6 4" xfId="5648" xr:uid="{A8815D5A-58B0-4F41-AAAD-31886DD58005}"/>
    <cellStyle name="20% - Accent6 4 2" xfId="20928" xr:uid="{BDC4378A-44BB-4ED4-AB44-0CB452A1A0ED}"/>
    <cellStyle name="20% - Accent6 5" xfId="5649" xr:uid="{26CEA4BA-32DF-4C33-A8DB-C7E4B97A5A86}"/>
    <cellStyle name="20% - Accent6 5 2" xfId="21041" xr:uid="{C7120FB9-DD49-4287-AA2C-7656893D89F2}"/>
    <cellStyle name="20% - Accent6 6" xfId="5650" xr:uid="{C4B68BFE-0E5F-47F2-8C32-111CBF8775E4}"/>
    <cellStyle name="20% - Accent6 6 2" xfId="22116" xr:uid="{6586B386-2E4A-4DE7-B45A-F51555E10177}"/>
    <cellStyle name="20% - Accent6 7" xfId="5651" xr:uid="{924CEBAD-3B05-48A3-8403-638DF251BEC4}"/>
    <cellStyle name="20% - Accent6 7 2" xfId="22596" xr:uid="{A6B85376-6FD1-4BB0-AC09-D9090E5499D1}"/>
    <cellStyle name="20% - Accent6 8" xfId="5652" xr:uid="{1ED2A761-C5EF-4D18-BE9D-21824CEB4AD4}"/>
    <cellStyle name="20% - Accent6 8 2" xfId="22597" xr:uid="{AB7D6DE3-3762-4F9B-863A-0F691DC4EEFF}"/>
    <cellStyle name="20% - Accent6 9" xfId="19650" xr:uid="{778A725B-D2BB-4162-B6C0-0C207E15E3A4}"/>
    <cellStyle name="20% - Accent6 9 2" xfId="33684" xr:uid="{B5228D36-7128-4235-A6BD-DDC22ABDB254}"/>
    <cellStyle name="20% - Akzent1" xfId="21" xr:uid="{26737B38-E6A3-421F-8C34-06EBAF9A95CE}"/>
    <cellStyle name="20% - Akzent1 2" xfId="2999" xr:uid="{0462FEB3-A1A6-4D18-83FA-4889C07EEDA0}"/>
    <cellStyle name="20% - Akzent2" xfId="22" xr:uid="{28F74B0B-DB76-46A8-AC47-80F2FE5DE5DD}"/>
    <cellStyle name="20% - Akzent2 2" xfId="3000" xr:uid="{869AB0E2-2214-471D-8F78-6D7F539F7DA0}"/>
    <cellStyle name="20% - Akzent3" xfId="23" xr:uid="{4991864C-3ADF-4F0C-B7EC-7AEA073CCC92}"/>
    <cellStyle name="20% - Akzent3 2" xfId="3001" xr:uid="{F9CB3612-54EE-427D-A7E7-0508A15C66E1}"/>
    <cellStyle name="20% - Akzent4" xfId="24" xr:uid="{B10E7F0D-A29D-4FB4-B334-39A2E14708DF}"/>
    <cellStyle name="20% - Akzent4 2" xfId="3002" xr:uid="{AE44F8A5-908F-48BF-A702-03CE17FA3666}"/>
    <cellStyle name="20% - Akzent5" xfId="25" xr:uid="{AFD6D169-7591-482C-A310-41AC01596FDD}"/>
    <cellStyle name="20% - Akzent5 2" xfId="3003" xr:uid="{0D30027F-6C9A-4A17-9033-9807200F8989}"/>
    <cellStyle name="20% - Akzent6" xfId="26" xr:uid="{2CF3ECE3-898B-479C-8BC6-0C61B770753F}"/>
    <cellStyle name="20% - Akzent6 2" xfId="3004" xr:uid="{531D6015-F923-48BF-B406-2B9E2EF61762}"/>
    <cellStyle name="40 % - Accent1" xfId="27" xr:uid="{D13AD135-D430-4C1C-AA3C-34ED5B55299F}"/>
    <cellStyle name="40 % - Accent2" xfId="28" xr:uid="{676E541A-D421-4816-AB6C-37A98CCB5210}"/>
    <cellStyle name="40 % - Accent2 2" xfId="3005" xr:uid="{97FB411D-312D-44CA-BE11-8A2B7994D25B}"/>
    <cellStyle name="40 % - Accent3" xfId="29" xr:uid="{1A20C310-18CC-4A08-8350-52102038B050}"/>
    <cellStyle name="40 % - Accent3 2" xfId="3006" xr:uid="{758BB844-7325-4605-B393-ACF3618BEB4E}"/>
    <cellStyle name="40 % - Accent4" xfId="30" xr:uid="{A1C1A883-88D8-4306-839D-7EE1575824C2}"/>
    <cellStyle name="40 % - Accent4 2" xfId="3007" xr:uid="{C700A04D-327D-4D4F-90F1-10E159C18997}"/>
    <cellStyle name="40 % - Accent5" xfId="31" xr:uid="{A528D126-C17A-4506-9C19-389EC7471E78}"/>
    <cellStyle name="40 % - Accent6" xfId="32" xr:uid="{836F0136-DDAF-4427-9824-B8320061160D}"/>
    <cellStyle name="40% - Accent1 2" xfId="33" xr:uid="{E88636F7-59A3-43F3-BFD7-355B4F43B6B8}"/>
    <cellStyle name="40% - Accent1 2 2" xfId="3008" xr:uid="{45B47769-5737-4670-A30B-42A453379C7A}"/>
    <cellStyle name="40% - Accent1 3" xfId="34" xr:uid="{847AC31C-CBFF-40A4-B4BC-962251AB0DAB}"/>
    <cellStyle name="40% - Accent1 3 2 2" xfId="20812" xr:uid="{EF40B3F6-2F8B-4D0B-AC2A-F15BD92DC84B}"/>
    <cellStyle name="40% - Accent1 3 3 2" xfId="20929" xr:uid="{9E479D87-7649-4ACF-BB27-0FBBEDD62374}"/>
    <cellStyle name="40% - Accent1 3 4" xfId="5653" xr:uid="{08F54CDA-4109-44BE-8ED9-2ECF6522A21B}"/>
    <cellStyle name="40% - Accent1 3 5" xfId="5654" xr:uid="{9934494B-3727-4FE8-9A59-8AEB26BC7FE6}"/>
    <cellStyle name="40% - Accent1 3 6" xfId="5655" xr:uid="{654AC92E-A010-41E6-9BF1-ED6D221DA566}"/>
    <cellStyle name="40% - Accent1 3 6 2" xfId="22117" xr:uid="{29520BBD-D194-48CC-8B9F-B211E892AAD3}"/>
    <cellStyle name="40% - Accent1 3 7" xfId="5656" xr:uid="{421D6756-2942-4C84-862B-52F6F244543D}"/>
    <cellStyle name="40% - Accent1 3 7 2" xfId="22598" xr:uid="{C2953C27-5B15-4216-AC7A-D348D81209C3}"/>
    <cellStyle name="40% - Accent1 3 8" xfId="5657" xr:uid="{9D185CE9-0DB2-498F-B140-758DAF96C864}"/>
    <cellStyle name="40% - Accent1 4" xfId="5658" xr:uid="{FFD37290-2494-44FE-9CD9-CE5209359269}"/>
    <cellStyle name="40% - Accent1 4 2" xfId="5659" xr:uid="{FBAD7C09-EDE0-48F4-8D89-E6E6BF7FC4C5}"/>
    <cellStyle name="40% - Accent1 4 2 2" xfId="22600" xr:uid="{22AFF8BC-23ED-4450-A502-7597016550E8}"/>
    <cellStyle name="40% - Accent1 4 3" xfId="5660" xr:uid="{D097D287-CB2D-4616-BF6D-51C3E34AC2CB}"/>
    <cellStyle name="40% - Accent1 4 3 2" xfId="22601" xr:uid="{FCF6912E-F491-446C-88D4-D45C124E4ED5}"/>
    <cellStyle name="40% - Accent1 4 4" xfId="5661" xr:uid="{FB8FAB01-92C8-4B29-A9D3-6472C2B642C8}"/>
    <cellStyle name="40% - Accent1 4 4 2" xfId="22602" xr:uid="{3F9106D2-39F5-4341-B067-8B6761FAE2E4}"/>
    <cellStyle name="40% - Accent1 4 5" xfId="5662" xr:uid="{C0E8293E-DDE4-415C-8814-7F192C46A56C}"/>
    <cellStyle name="40% - Accent1 4 5 2" xfId="22603" xr:uid="{0A996F8F-8A18-40E6-BE4F-1B97AB574378}"/>
    <cellStyle name="40% - Accent1 4 6" xfId="5663" xr:uid="{F65FBCCA-F122-4197-8C23-39B8C3E310CF}"/>
    <cellStyle name="40% - Accent1 4 6 2" xfId="22604" xr:uid="{D2E8922F-B70B-4D86-95EA-8E5ABCAB90EF}"/>
    <cellStyle name="40% - Accent1 4 7" xfId="5664" xr:uid="{CB8B0359-E49D-4043-AF0D-C58CD158BF46}"/>
    <cellStyle name="40% - Accent1 4 7 2" xfId="22605" xr:uid="{2EF371F1-C94B-4247-B6ED-66B1CA63A3F2}"/>
    <cellStyle name="40% - Accent1 4 8" xfId="5665" xr:uid="{B81B4799-3776-4A39-96CD-64A9303B0F26}"/>
    <cellStyle name="40% - Accent1 4 8 2" xfId="22606" xr:uid="{A93FF5D9-752B-44C6-8137-32049A466A71}"/>
    <cellStyle name="40% - Accent1 4 9" xfId="22599" xr:uid="{CBC1B7C3-687A-42F1-A55B-109A644C2A99}"/>
    <cellStyle name="40% - Accent2 10" xfId="20482" xr:uid="{13993CB5-327B-48CB-A07A-D22E80B88A89}"/>
    <cellStyle name="40% - Accent2 10 2" xfId="33685" xr:uid="{6510F139-1FB1-41DC-9D21-6215B631C5CF}"/>
    <cellStyle name="40% - Accent2 11" xfId="20669" xr:uid="{7E2B35C8-97FD-44F8-8997-8D63D011515B}"/>
    <cellStyle name="40% - Accent2 12" xfId="35" xr:uid="{13682045-FC3D-41A5-9E2F-B5734DF4E9A4}"/>
    <cellStyle name="40% - Accent2 2" xfId="36" xr:uid="{B0E8EA80-2A3C-40FB-849A-C7A86A16EF52}"/>
    <cellStyle name="40% - Accent2 2 2" xfId="3009" xr:uid="{97047ECE-4A5B-48CD-AC7F-1EAB40592C3E}"/>
    <cellStyle name="40% - Accent2 3" xfId="3010" xr:uid="{0010C2DA-ACF8-4977-A683-05A5CC9A1C18}"/>
    <cellStyle name="40% - Accent2 3 2" xfId="5666" xr:uid="{6EA0308D-8644-4EBD-8EE7-C83AF775DE96}"/>
    <cellStyle name="40% - Accent2 4" xfId="5667" xr:uid="{854DB05A-6C70-4F79-AE2F-4FEF96FD8E63}"/>
    <cellStyle name="40% - Accent2 4 2" xfId="20930" xr:uid="{282A28D7-50DE-492C-B720-8FBB78BC1386}"/>
    <cellStyle name="40% - Accent2 5" xfId="5668" xr:uid="{95BFF480-5AD5-4377-B5F6-64AAAA1BF776}"/>
    <cellStyle name="40% - Accent2 5 2" xfId="21042" xr:uid="{104CBB3F-3A2F-41FE-BBF7-4AF0C61AC63C}"/>
    <cellStyle name="40% - Accent2 6" xfId="5669" xr:uid="{5560F1C7-866A-4B7F-81A4-95518F068533}"/>
    <cellStyle name="40% - Accent2 6 2" xfId="22118" xr:uid="{77994999-2748-4C92-BE49-DF96686F8601}"/>
    <cellStyle name="40% - Accent2 7" xfId="5670" xr:uid="{1825E08F-6806-4DDA-96DE-F467CAA59180}"/>
    <cellStyle name="40% - Accent2 7 2" xfId="22607" xr:uid="{3FA8010C-DCF5-449A-B3F9-EC535AD9380E}"/>
    <cellStyle name="40% - Accent2 8" xfId="5671" xr:uid="{AF150EB2-149C-4063-AFB4-81E42C1C5679}"/>
    <cellStyle name="40% - Accent2 8 2" xfId="22608" xr:uid="{4FFE42EC-2E96-44E2-86C9-7DD6C9CE52D6}"/>
    <cellStyle name="40% - Accent2 9" xfId="19651" xr:uid="{27848EB7-08EF-4E0B-9D96-183F21F00B70}"/>
    <cellStyle name="40% - Accent2 9 2" xfId="33686" xr:uid="{62CDC78C-080D-4DD7-BD22-543ACBED8C1F}"/>
    <cellStyle name="40% - Accent3 2" xfId="37" xr:uid="{7AFEFE11-6F47-4635-A285-621ACBA78F16}"/>
    <cellStyle name="40% - Accent3 2 2" xfId="3011" xr:uid="{F0EE06BA-1E4E-4352-A6AD-6384422EE352}"/>
    <cellStyle name="40% - Accent3 3" xfId="38" xr:uid="{0AF2568C-6BDE-40B4-BC93-0C8A3CA47FB4}"/>
    <cellStyle name="40% - Accent3 3 2" xfId="3012" xr:uid="{0137A603-945A-47C3-866B-C95F363321B3}"/>
    <cellStyle name="40% - Accent3 3 2 2" xfId="20811" xr:uid="{18B987D4-CF40-42C9-A7B9-7D66343874EF}"/>
    <cellStyle name="40% - Accent3 3 3" xfId="5672" xr:uid="{DD25AC94-AF6C-4EB2-B74C-FD714BDCC41E}"/>
    <cellStyle name="40% - Accent3 3 3 2" xfId="20931" xr:uid="{C88C0BEB-BEF2-4D74-B431-D729CD8680EC}"/>
    <cellStyle name="40% - Accent3 3 4" xfId="5673" xr:uid="{FACBEE54-5AFD-417D-AD18-2B2FD900CEBA}"/>
    <cellStyle name="40% - Accent3 3 4 2" xfId="21043" xr:uid="{7DC73D38-5966-4BB7-ACB2-6C886249701F}"/>
    <cellStyle name="40% - Accent3 3 5" xfId="5674" xr:uid="{171816CB-B671-42FA-AE69-AF459FC7EC5D}"/>
    <cellStyle name="40% - Accent3 3 6" xfId="5675" xr:uid="{B54CEDB5-85C0-458C-BEDD-4C3BE68006A5}"/>
    <cellStyle name="40% - Accent3 3 6 2" xfId="22119" xr:uid="{4473FF20-5ED1-4A4B-8DCC-C3B013866442}"/>
    <cellStyle name="40% - Accent3 3 7" xfId="5676" xr:uid="{653B0E3E-1C89-432B-9008-9D2EFC86D82D}"/>
    <cellStyle name="40% - Accent3 3 7 2" xfId="22609" xr:uid="{E3F0A09D-17BE-4654-9BE2-0434699854A0}"/>
    <cellStyle name="40% - Accent3 3 8" xfId="5677" xr:uid="{D37E0F29-5674-4E39-9129-3BCC3A36D47F}"/>
    <cellStyle name="40% - Accent3 3 8 2" xfId="22610" xr:uid="{3E765A8D-E2C1-4B1E-8577-3CB5A0209D9E}"/>
    <cellStyle name="40% - Accent3 4" xfId="5678" xr:uid="{F53FCDD2-0DE4-4AFA-8C51-6630C16815E2}"/>
    <cellStyle name="40% - Accent3 4 2" xfId="5679" xr:uid="{7D254B50-C313-4CCA-A6FD-DC6EECE1FA2D}"/>
    <cellStyle name="40% - Accent3 4 2 2" xfId="22612" xr:uid="{002BBA1A-9A97-4750-9474-57570D23EA1F}"/>
    <cellStyle name="40% - Accent3 4 3" xfId="5680" xr:uid="{45B13F1C-09F1-4A2C-BB21-57FF02B60270}"/>
    <cellStyle name="40% - Accent3 4 3 2" xfId="22613" xr:uid="{86A97091-92F4-4C6C-9854-C8FF52746DCE}"/>
    <cellStyle name="40% - Accent3 4 4" xfId="5681" xr:uid="{D1C0A46F-AB61-4E6E-9354-5F0C8420405B}"/>
    <cellStyle name="40% - Accent3 4 4 2" xfId="22614" xr:uid="{75713359-999A-4ED1-A2AB-EE981DC87BBB}"/>
    <cellStyle name="40% - Accent3 4 5" xfId="5682" xr:uid="{C9A8D3F1-DB15-4A30-933B-CBCD2CB98A2C}"/>
    <cellStyle name="40% - Accent3 4 5 2" xfId="22615" xr:uid="{5D1156BD-3380-4AE7-9930-F05116799A6C}"/>
    <cellStyle name="40% - Accent3 4 6" xfId="5683" xr:uid="{9321BD8E-4262-4930-910F-0D9F15AE494F}"/>
    <cellStyle name="40% - Accent3 4 6 2" xfId="22616" xr:uid="{879C4768-E2F3-4FB4-8E33-27FB6016905C}"/>
    <cellStyle name="40% - Accent3 4 7" xfId="5684" xr:uid="{D9CE66AC-1184-4BDF-8C9F-DF451FDB59A5}"/>
    <cellStyle name="40% - Accent3 4 7 2" xfId="22617" xr:uid="{9E206F60-9DD8-4C04-897A-0AAC87B94A44}"/>
    <cellStyle name="40% - Accent3 4 8" xfId="5685" xr:uid="{32746B8D-066D-4CD7-8958-7A067F0D86E2}"/>
    <cellStyle name="40% - Accent3 4 8 2" xfId="22618" xr:uid="{24FEEF7D-EFAF-4074-9B73-9E24AD7D4BBE}"/>
    <cellStyle name="40% - Accent3 4 9" xfId="22611" xr:uid="{80EC2764-2A96-4380-A963-D89D0EE0AB47}"/>
    <cellStyle name="40% - Accent4 2" xfId="39" xr:uid="{F47C32BF-F781-473C-9E76-C15554552923}"/>
    <cellStyle name="40% - Accent4 2 2" xfId="3013" xr:uid="{7B76282D-DC49-4FB4-A065-9C339C07306E}"/>
    <cellStyle name="40% - Accent4 3" xfId="40" xr:uid="{4D795BC5-101A-4C97-B16C-F9FBFBE5C231}"/>
    <cellStyle name="40% - Accent4 3 2" xfId="3014" xr:uid="{40B36C9D-83AE-44F3-905F-ED2328ADD8D3}"/>
    <cellStyle name="40% - Accent4 3 2 2" xfId="20810" xr:uid="{31931391-4AB9-4FD0-BA58-A215A9746C35}"/>
    <cellStyle name="40% - Accent4 3 3" xfId="5686" xr:uid="{FE0E969A-E094-4FCA-AAFE-BF154784DA0A}"/>
    <cellStyle name="40% - Accent4 3 3 2" xfId="20932" xr:uid="{3612FC48-ABED-4499-ACE7-E4885F573CA6}"/>
    <cellStyle name="40% - Accent4 3 4" xfId="5687" xr:uid="{9B999FB2-0079-4A24-8BB3-F464346E86EA}"/>
    <cellStyle name="40% - Accent4 3 4 2" xfId="21044" xr:uid="{6FADB7EC-A83E-4F91-8704-ACC492AC23D0}"/>
    <cellStyle name="40% - Accent4 3 5" xfId="5688" xr:uid="{AE852B00-B5DD-4128-A63C-A533D3B58097}"/>
    <cellStyle name="40% - Accent4 3 6" xfId="5689" xr:uid="{88FBEAA6-9B45-4ED0-BB6A-36CD474F01C1}"/>
    <cellStyle name="40% - Accent4 3 6 2" xfId="22120" xr:uid="{B53271F5-3177-438B-A877-86C844BB48A2}"/>
    <cellStyle name="40% - Accent4 3 7" xfId="5690" xr:uid="{56926EB4-ABF1-4245-851F-B77621D57B37}"/>
    <cellStyle name="40% - Accent4 3 7 2" xfId="22619" xr:uid="{D179AA8A-BA77-42F6-A6D7-07AEDDFF45E1}"/>
    <cellStyle name="40% - Accent4 3 8" xfId="5691" xr:uid="{88EE0E62-EE98-4722-8E84-DC8044DE9366}"/>
    <cellStyle name="40% - Accent4 3 8 2" xfId="22620" xr:uid="{C72711DE-A08F-459D-8E74-3BB8D5B6F56D}"/>
    <cellStyle name="40% - Accent4 4" xfId="5692" xr:uid="{B2C5B9B9-A770-49DF-A561-0818F26A06D1}"/>
    <cellStyle name="40% - Accent4 4 2" xfId="5693" xr:uid="{EC028A4A-5CA9-4A01-A459-B3C72A251D6A}"/>
    <cellStyle name="40% - Accent4 4 2 2" xfId="22622" xr:uid="{68BD5B38-FD82-43B0-ADC4-D9391D1C8200}"/>
    <cellStyle name="40% - Accent4 4 3" xfId="5694" xr:uid="{A9089C24-891B-44D3-A051-D49105E217F9}"/>
    <cellStyle name="40% - Accent4 4 3 2" xfId="22623" xr:uid="{058EE1D2-B6DC-4302-8199-1D958456B293}"/>
    <cellStyle name="40% - Accent4 4 4" xfId="5695" xr:uid="{290D37B5-7C97-4D6E-AA43-64AE218EE197}"/>
    <cellStyle name="40% - Accent4 4 4 2" xfId="22624" xr:uid="{357ADA15-EDA1-40B0-BF0F-E1B29861EFDD}"/>
    <cellStyle name="40% - Accent4 4 5" xfId="5696" xr:uid="{34BC0836-29EF-425B-A4D0-7906001A915B}"/>
    <cellStyle name="40% - Accent4 4 5 2" xfId="22625" xr:uid="{979ABB0B-B192-41D7-B5E6-21390E0B9CEE}"/>
    <cellStyle name="40% - Accent4 4 6" xfId="5697" xr:uid="{FBE04E7C-CAC2-41B4-AE42-98334DB6E4A3}"/>
    <cellStyle name="40% - Accent4 4 6 2" xfId="22626" xr:uid="{EC762B43-2F7D-4C7B-8A74-A32B775E7B57}"/>
    <cellStyle name="40% - Accent4 4 7" xfId="5698" xr:uid="{038FFC9F-A7A5-4E8B-9896-C82017A994F6}"/>
    <cellStyle name="40% - Accent4 4 7 2" xfId="22627" xr:uid="{B3A761A9-23E9-4F1D-B2C0-1C09A16F0B22}"/>
    <cellStyle name="40% - Accent4 4 8" xfId="5699" xr:uid="{5144BABE-5AA2-483E-965C-5F67E0D4C674}"/>
    <cellStyle name="40% - Accent4 4 8 2" xfId="22628" xr:uid="{424F5913-ED94-4ACB-B4CF-D742E223280B}"/>
    <cellStyle name="40% - Accent4 4 9" xfId="22621" xr:uid="{42EB0601-3D54-4418-B080-5B72D9011BC3}"/>
    <cellStyle name="40% - Accent5 10" xfId="20481" xr:uid="{A0216EB9-EAD9-407F-BDD6-B3E4EA71C14A}"/>
    <cellStyle name="40% - Accent5 11" xfId="20671" xr:uid="{80728D0C-88D0-488A-9183-006B57FB3F1B}"/>
    <cellStyle name="40% - Accent5 2" xfId="41" xr:uid="{383E105D-1D66-4EF4-B8BE-DDA8F8BC2B3E}"/>
    <cellStyle name="40% - Accent5 3" xfId="3015" xr:uid="{33836B3D-2F9F-4E38-96F6-64862A8B55F9}"/>
    <cellStyle name="40% - Accent5 3 2" xfId="5700" xr:uid="{E4B61D0D-0E3C-433C-96E3-E8AE4684605B}"/>
    <cellStyle name="40% - Accent5 4" xfId="5701" xr:uid="{AD02163E-0101-472F-B941-8AF5EFBEA7AB}"/>
    <cellStyle name="40% - Accent5 4 2" xfId="20933" xr:uid="{E2928C3B-E27D-49F3-97E4-47CA1E692DDB}"/>
    <cellStyle name="40% - Accent5 5" xfId="5702" xr:uid="{BDF5BA3C-D578-4645-AEA6-ED241D2AB78F}"/>
    <cellStyle name="40% - Accent5 6" xfId="5703" xr:uid="{E4AFEB73-692B-4FD9-8158-FA07881B04C4}"/>
    <cellStyle name="40% - Accent5 8" xfId="5704" xr:uid="{189928BC-037B-4333-861B-93864777B040}"/>
    <cellStyle name="40% - Accent6 3 2" xfId="3016" xr:uid="{01D03756-85FE-46D0-B5B2-C369C9BA60A3}"/>
    <cellStyle name="40% - Accent6 3 3" xfId="5705" xr:uid="{3AA0358C-B0B3-4BB0-B2E7-38FA648BC151}"/>
    <cellStyle name="40% - Accent6 3 4" xfId="5706" xr:uid="{743DF861-5EF1-457D-9624-E08FCAF727DD}"/>
    <cellStyle name="40% - Accent6 3 5" xfId="5707" xr:uid="{E80AD111-B235-4CD3-A800-951F87C0D2B0}"/>
    <cellStyle name="40% - Accent6 3 6 2" xfId="22121" xr:uid="{2BAAF522-9640-4BC6-A216-E33806638755}"/>
    <cellStyle name="40% - Accent6 3 7 2" xfId="22629" xr:uid="{57367956-E94F-4469-977F-0067030A6FEA}"/>
    <cellStyle name="40% - Accent6 3 8" xfId="5708" xr:uid="{82DAF5B4-523E-4EDC-8DAC-7E33B5454F4D}"/>
    <cellStyle name="40% - Accent6 3 8 2" xfId="22630" xr:uid="{28A190D2-BFD1-4BEE-BCEE-F1E9895D0004}"/>
    <cellStyle name="40% - Accent6 4" xfId="5709" xr:uid="{65B3BE6E-2171-4D69-A7E4-8D6A7E45544D}"/>
    <cellStyle name="40% - Accent6 4 2" xfId="5710" xr:uid="{14E954E7-E7F8-430D-91D2-AF42CB3DB46F}"/>
    <cellStyle name="40% - Accent6 4 2 2" xfId="22632" xr:uid="{16EABA9C-B95A-4293-BF68-83D858AD9A99}"/>
    <cellStyle name="40% - Accent6 4 3" xfId="5711" xr:uid="{1BF0BDCF-39E4-455F-B3A3-7FE5CA03832B}"/>
    <cellStyle name="40% - Accent6 4 3 2" xfId="22633" xr:uid="{07E1FDDE-0A84-430E-B943-23C166048063}"/>
    <cellStyle name="40% - Accent6 4 4" xfId="5712" xr:uid="{2DC6CD5F-66B7-411F-83C3-996CE8A6CEB2}"/>
    <cellStyle name="40% - Accent6 4 4 2" xfId="22634" xr:uid="{8061FECB-7E03-410A-B7FA-C294C4B8363B}"/>
    <cellStyle name="40% - Accent6 4 5" xfId="5713" xr:uid="{A196BA9C-ED73-4532-A833-319B924F9E4B}"/>
    <cellStyle name="40% - Accent6 4 5 2" xfId="22635" xr:uid="{B17671C6-C4ED-4B2A-A7CB-69029D86A3DF}"/>
    <cellStyle name="40% - Accent6 4 6" xfId="5714" xr:uid="{7C9C1EDD-DD20-4B22-AC4E-8BF020A64798}"/>
    <cellStyle name="40% - Accent6 4 6 2" xfId="22636" xr:uid="{0D7FC70C-C16E-4037-A7B7-E4CD4E755FA2}"/>
    <cellStyle name="40% - Accent6 4 7" xfId="5715" xr:uid="{F6D04456-FC10-4955-A081-98E0E6466F18}"/>
    <cellStyle name="40% - Accent6 4 7 2" xfId="22637" xr:uid="{9B8150FD-BA61-427D-BE25-D7452009ECED}"/>
    <cellStyle name="40% - Accent6 4 8" xfId="5716" xr:uid="{EB38BF12-303C-4598-A4A1-F0FD100681F6}"/>
    <cellStyle name="40% - Accent6 4 8 2" xfId="22638" xr:uid="{EAB5031B-DB65-488D-A32A-86E9AD94BAB7}"/>
    <cellStyle name="40% - Accent6 4 9" xfId="22631" xr:uid="{5EAA9948-EF37-49B9-B538-F36B6CEA8210}"/>
    <cellStyle name="40% - Akzent1" xfId="42" xr:uid="{CDD29443-351E-4A71-8AE0-805A366B13A0}"/>
    <cellStyle name="40% - Akzent1 2" xfId="3017" xr:uid="{B8DD1D97-BFB9-41BB-A1BE-414F3BFE3B95}"/>
    <cellStyle name="40% - Akzent2" xfId="43" xr:uid="{29FD98CB-B72F-421F-984F-2AAF4971EF79}"/>
    <cellStyle name="40% - Akzent2 2" xfId="3018" xr:uid="{857D2B4E-71E3-420E-935A-28EB43F58DAE}"/>
    <cellStyle name="40% - Akzent3" xfId="44" xr:uid="{2112FEDC-481B-455C-B58F-5CF5A07A6F69}"/>
    <cellStyle name="40% - Akzent3 2" xfId="3019" xr:uid="{06260A00-076F-4745-84C5-6B83008622B4}"/>
    <cellStyle name="40% - Akzent4" xfId="45" xr:uid="{82287540-06B9-46DE-B961-B1FE94CF8B1D}"/>
    <cellStyle name="40% - Akzent4 2" xfId="3020" xr:uid="{DA04DB26-7966-4F26-B8B2-ABB1E9660419}"/>
    <cellStyle name="40% - Akzent5" xfId="46" xr:uid="{E4A7776D-B626-44E6-9731-38A0A7ED1180}"/>
    <cellStyle name="40% - Akzent5 2" xfId="3021" xr:uid="{E3A8EC58-BCAA-42F5-AF30-8AF7649F5713}"/>
    <cellStyle name="40% - Akzent6 2" xfId="3022" xr:uid="{51C166B2-68A5-4B93-BEFC-A66CF7DCA7F2}"/>
    <cellStyle name="5x indented GHG Textfiels 2" xfId="2838" xr:uid="{027746CB-06E0-4C36-A2C9-01705865DA9D}"/>
    <cellStyle name="60 % - Accent1" xfId="47" xr:uid="{00009E32-BF47-46BF-A58D-189D642FA29E}"/>
    <cellStyle name="60 % - Accent2" xfId="48" xr:uid="{E3507D45-E522-4DC1-93DE-7E469A1A5EEF}"/>
    <cellStyle name="60 % - Accent3" xfId="49" xr:uid="{26C1B16D-131D-4E7D-BF73-802976050EF9}"/>
    <cellStyle name="60 % - Accent4" xfId="50" xr:uid="{D683C157-23B6-473C-A063-384E301E4033}"/>
    <cellStyle name="60 % - Accent5" xfId="51" xr:uid="{F9643B4F-0F61-4FD7-A5C4-8E6FA194927F}"/>
    <cellStyle name="60 % - Accent6" xfId="52" xr:uid="{5242FD6F-4B3A-4E5C-A1AF-ADA65F960BCC}"/>
    <cellStyle name="60% - Accent1 3" xfId="53" xr:uid="{F1ABA30E-F2D5-4FE0-8F6D-5D4A47C67A07}"/>
    <cellStyle name="60% - Accent1 4" xfId="5717" xr:uid="{EBE363E1-8175-4B25-8261-8AC8F24F4FD1}"/>
    <cellStyle name="60% - Accent1 4 2" xfId="5718" xr:uid="{8F1354C3-FABA-4942-A4AE-87ACE711E275}"/>
    <cellStyle name="60% - Accent1 4 4" xfId="5719" xr:uid="{FD62AC58-5CC1-465A-B231-139523AD9ED2}"/>
    <cellStyle name="60% - Accent1 4 8" xfId="5720" xr:uid="{7FBE2B9E-F298-4A5C-8330-70F4A0127852}"/>
    <cellStyle name="60% - Accent2 2" xfId="54" xr:uid="{AF544F03-3CDF-4ABA-9C77-ED5DACD32569}"/>
    <cellStyle name="60% - Accent3 3" xfId="55" xr:uid="{A47CCA1C-631C-4811-8F3A-979D7E6BDC6F}"/>
    <cellStyle name="60% - Accent3 4" xfId="5721" xr:uid="{134F4453-3D7A-483A-9E49-0C1445332A88}"/>
    <cellStyle name="60% - Accent3 4 2" xfId="5722" xr:uid="{3E5E5C34-53EB-4C66-BFA4-7C4395236B42}"/>
    <cellStyle name="60% - Accent3 4 3" xfId="5723" xr:uid="{8316E62A-5136-4C97-BEBD-93ABBE9FF2A5}"/>
    <cellStyle name="60% - Accent3 4 4" xfId="5724" xr:uid="{E9805C20-2B58-4A0F-B9F0-ACAE68DEADE3}"/>
    <cellStyle name="60% - Accent3 4 5" xfId="5725" xr:uid="{E89B8AFE-3320-4C24-A6B4-7973961B1EF7}"/>
    <cellStyle name="60% - Accent3 4 6" xfId="5726" xr:uid="{E6506579-1B9A-496E-9C5A-11D17F93F5A9}"/>
    <cellStyle name="60% - Accent3 4 7" xfId="5727" xr:uid="{849FE376-5718-4BB0-A570-509589A79355}"/>
    <cellStyle name="60% - Accent3 4 8" xfId="5728" xr:uid="{81354426-D6AB-4BA5-ADF0-6621F61B988D}"/>
    <cellStyle name="60% - Accent4 2" xfId="56" xr:uid="{F65F81FB-19F4-489B-8E91-CFB32BF71BAB}"/>
    <cellStyle name="60% - Accent4 3" xfId="57" xr:uid="{E445C79F-DBDA-4815-928F-1F7E10A1D6F1}"/>
    <cellStyle name="60% - Accent4 4" xfId="5729" xr:uid="{AEFE2AC9-BB8F-4F10-9BD8-C2B4CDF36072}"/>
    <cellStyle name="60% - Accent4 4 2" xfId="5730" xr:uid="{5A7BC93A-6F37-43C3-BD57-340D89767A5D}"/>
    <cellStyle name="60% - Accent4 4 4" xfId="5731" xr:uid="{A2BC932B-48FE-468C-8171-25E9DA86C21D}"/>
    <cellStyle name="60% - Accent4 4 6" xfId="5732" xr:uid="{4F405D6D-07D5-466B-9E50-FD494EAD2417}"/>
    <cellStyle name="60% - Accent4 4 8" xfId="5733" xr:uid="{302D712A-E7EB-4C26-A15F-800E08996C16}"/>
    <cellStyle name="60% - Accent5 3" xfId="58" xr:uid="{1DC51E0D-1B84-4648-8829-0CBDBC66916F}"/>
    <cellStyle name="60% - Accent6 3" xfId="59" xr:uid="{4C5CB396-ACEA-4715-8D22-B7CC74F1DDF3}"/>
    <cellStyle name="60% - Accent6 4 3" xfId="5734" xr:uid="{B9FAAF94-1AAC-4208-89F8-C50DA955DC31}"/>
    <cellStyle name="60% - Accent6 4 5" xfId="5735" xr:uid="{787701AB-6449-487F-9903-A7E64E936D46}"/>
    <cellStyle name="60% - Accent6 4 6" xfId="5736" xr:uid="{63A453B6-98E3-4961-93AC-B9BE53414D6B}"/>
    <cellStyle name="60% - Accent6 4 7" xfId="5737" xr:uid="{B46794AD-5C04-4AB5-ACCB-66558F689303}"/>
    <cellStyle name="60% - Accent6 4 8" xfId="5738" xr:uid="{77F0FAF4-66BD-4DF2-B1B1-BFEC65B10812}"/>
    <cellStyle name="60% - Akzent1" xfId="60" xr:uid="{8A26B19B-7C88-43E5-ACD2-762B276D582A}"/>
    <cellStyle name="60% - Akzent2" xfId="61" xr:uid="{B20DC6BF-B437-4B96-A3CF-328841D07222}"/>
    <cellStyle name="60% - Akzent3" xfId="62" xr:uid="{DDE61788-2567-4BC6-9A7F-7B96AAD092B6}"/>
    <cellStyle name="60% - Akzent6" xfId="63" xr:uid="{434A8961-5987-455E-AB29-04117935E957}"/>
    <cellStyle name="Accent1 3" xfId="64" xr:uid="{EE2C749F-C51C-437A-AA8D-9049DD9CAC25}"/>
    <cellStyle name="Accent1 4" xfId="5739" xr:uid="{6570C65B-A8DC-445A-AFFB-9AD60C287E96}"/>
    <cellStyle name="Accent1 4 2" xfId="5740" xr:uid="{5EC7DC04-1AEC-4C95-9575-8AF1C2082E77}"/>
    <cellStyle name="Accent1 4 3" xfId="5741" xr:uid="{ADEEB598-45C7-4F5C-B05F-35C4D57A80E7}"/>
    <cellStyle name="Accent1 4 4" xfId="5742" xr:uid="{9F64D3AF-2E00-4BE0-97F5-D278C4C13514}"/>
    <cellStyle name="Accent1 4 5" xfId="5743" xr:uid="{4913444F-D6AF-4261-9542-401B142A8226}"/>
    <cellStyle name="Accent1 4 6" xfId="5744" xr:uid="{4552CED5-865E-4C65-8B8C-96F0F37DF7DF}"/>
    <cellStyle name="Accent1 4 7" xfId="5745" xr:uid="{ED889CCA-C0BD-4682-8B9C-77BEF6A60210}"/>
    <cellStyle name="Accent1 4 8" xfId="5746" xr:uid="{95C70489-AF03-40C4-AC4B-45A9F4DCE20A}"/>
    <cellStyle name="Accent2 2" xfId="65" xr:uid="{0F0194CB-993E-43C0-BCC1-B5A4A5851CC9}"/>
    <cellStyle name="Accent2 3" xfId="66" xr:uid="{DDCBFB24-0E10-4886-A212-F18E23E60C23}"/>
    <cellStyle name="Accent2 4 2" xfId="5747" xr:uid="{28C131D3-7DAE-4C3A-9A97-156849DCA244}"/>
    <cellStyle name="Accent2 4 4" xfId="5748" xr:uid="{636DF9DD-F79B-43F5-8828-D1F95277BC95}"/>
    <cellStyle name="Accent2 4 5" xfId="5749" xr:uid="{A3F8ECC4-6BFB-444E-92B2-CB153B92EFD4}"/>
    <cellStyle name="Accent2 4 6" xfId="5750" xr:uid="{613D1E1E-EBFB-4638-AD73-A3046712CC7A}"/>
    <cellStyle name="Accent2 4 7" xfId="5751" xr:uid="{707CD46C-E614-4696-ABF4-C8C046D9A7F0}"/>
    <cellStyle name="Accent2 4 8" xfId="5752" xr:uid="{3B0A6DFE-E8A1-42A6-828A-E4BAFD932472}"/>
    <cellStyle name="Accent3 2" xfId="67" xr:uid="{33375A2C-E26C-4037-BDFF-65998C570494}"/>
    <cellStyle name="Accent3 3" xfId="68" xr:uid="{BC3284D3-45A1-41F0-843A-B4176E333C4B}"/>
    <cellStyle name="Accent3 4" xfId="5753" xr:uid="{241D2DBE-F36A-4670-AD5E-B8F69CDB85BD}"/>
    <cellStyle name="Accent4 2" xfId="69" xr:uid="{993392C6-86C5-4955-8BD6-D1FCA2A4671E}"/>
    <cellStyle name="Accent4 3" xfId="70" xr:uid="{4EED7D66-9941-4D8D-BE87-88C40568305B}"/>
    <cellStyle name="Accent4 4 2" xfId="5754" xr:uid="{4D616B9E-7551-4DB3-91DA-BE16F0174E41}"/>
    <cellStyle name="Accent4 4 4" xfId="5755" xr:uid="{34354667-DEA8-47D6-8BFC-6DFCDE7F731D}"/>
    <cellStyle name="Accent4 4 6" xfId="5756" xr:uid="{AAFA501A-2741-4622-B20D-E142464EF683}"/>
    <cellStyle name="Accent4 4 8" xfId="5757" xr:uid="{9A4156CF-0ED3-4BD3-AFD6-DE0904AD7D98}"/>
    <cellStyle name="Accent5 3" xfId="71" xr:uid="{86F54507-4284-48D5-920D-3111FF0E8718}"/>
    <cellStyle name="Accent6 3" xfId="72" xr:uid="{B7FCF172-A001-4776-A7D4-C11C60071B7D}"/>
    <cellStyle name="Akzent1" xfId="73" xr:uid="{2EAF4596-B4F4-4837-8776-2D0E3B08BD37}"/>
    <cellStyle name="Akzent3" xfId="74" xr:uid="{99CE6856-7E28-448E-B7E7-5B47F2E0BA32}"/>
    <cellStyle name="Akzent5" xfId="75" xr:uid="{93368DFC-1660-4D7D-9A61-D336C13128BF}"/>
    <cellStyle name="Ausgabe" xfId="76" xr:uid="{506B265B-EA71-41CC-ABFD-39459B2DEA9E}"/>
    <cellStyle name="Bad 3" xfId="77" xr:uid="{9B4CC2CA-A25F-454D-AF64-ECA0DDE9DEE4}"/>
    <cellStyle name="Berechnung" xfId="78" xr:uid="{F2F47551-9D1A-49D5-8460-10DFA64CED68}"/>
    <cellStyle name="Calculation 3" xfId="79" xr:uid="{2EC819F9-5451-4C2E-8A82-E8A163499CC9}"/>
    <cellStyle name="Calculation 3 3" xfId="3024" xr:uid="{F13C4018-8D01-4654-841D-6B0F167F44AC}"/>
    <cellStyle name="Calculation 3 4" xfId="3025" xr:uid="{13C508FD-3B01-4035-8490-7C211CC580A0}"/>
    <cellStyle name="Calculation 3 5" xfId="3023" xr:uid="{B695DB4C-9620-4FF7-A23C-072AF18C1A95}"/>
    <cellStyle name="Calculation 4" xfId="80" xr:uid="{1D87811A-F58E-452D-9ED7-B1B63814CD04}"/>
    <cellStyle name="Calculation 5" xfId="5758" xr:uid="{D8D4FEE1-2C8B-4B77-BCCA-4E55AEF4597D}"/>
    <cellStyle name="Calculation 5 3" xfId="5759" xr:uid="{5D29A5EF-44C4-4B21-89E6-BF26AF9EFF72}"/>
    <cellStyle name="Calculation 5 4" xfId="5760" xr:uid="{E3F3CB41-081E-4F44-854F-B6D8935F322A}"/>
    <cellStyle name="Calculation 5 6" xfId="5761" xr:uid="{1DEF260F-A157-4CA9-88EF-5A1359666B4B}"/>
    <cellStyle name="Calculation 5 7" xfId="5762" xr:uid="{07390853-3A31-4154-94C6-63ED71F994D6}"/>
    <cellStyle name="Calculation 5 8" xfId="5763" xr:uid="{FD1FFF49-3FCE-40A5-84F3-04BAD344B428}"/>
    <cellStyle name="Cellule liée" xfId="81" xr:uid="{42CF93D8-8FC1-440A-A4E3-B4D345966274}"/>
    <cellStyle name="Check Cell 10" xfId="5764" xr:uid="{F600F252-3DEE-4D9A-860B-E6E4E7E1A0AD}"/>
    <cellStyle name="Check Cell 11" xfId="82" xr:uid="{7E81CC96-DFD3-4B4E-BADD-CE64D3193996}"/>
    <cellStyle name="Check Cell 4" xfId="5765" xr:uid="{E7B407E8-67EF-436A-819E-7DFB7C70A81D}"/>
    <cellStyle name="Check Cell 5" xfId="5766" xr:uid="{5C4DD79F-AB72-4BC1-8580-A1F22812C295}"/>
    <cellStyle name="Check Cell 6" xfId="5767" xr:uid="{1ED6B597-DAD7-46C3-B122-24FA4C0033DA}"/>
    <cellStyle name="Check Cell 7" xfId="5768" xr:uid="{D09242E0-A1A7-44B8-A8D2-E52017B5F6FD}"/>
    <cellStyle name="Check Cell 8" xfId="5769" xr:uid="{29274CFD-B977-4D74-A618-590BA59D5302}"/>
    <cellStyle name="Comma 10" xfId="83" xr:uid="{EB1A0B8A-DCE1-4346-8AB4-5FA5B0906744}"/>
    <cellStyle name="Comma 10 2" xfId="84" xr:uid="{C6A1E345-D469-4F02-B2F4-C33DB6566FBB}"/>
    <cellStyle name="Comma 10 2 2" xfId="19707" xr:uid="{88CFC920-8CC5-43C4-98A1-4DC79E0B0285}"/>
    <cellStyle name="Comma 10 2 3" xfId="19830" xr:uid="{BEA9A9A7-9338-4328-9F6F-466B59F439B1}"/>
    <cellStyle name="Comma 10 2 4" xfId="19831" xr:uid="{D221A641-A367-4310-9EE2-6851B155E8F7}"/>
    <cellStyle name="Comma 10 2 4 2" xfId="21046" xr:uid="{95506937-3B65-4C62-BE14-7E076F4B4ABA}"/>
    <cellStyle name="Comma 10 2 5 2" xfId="21341" xr:uid="{8466D611-AA9C-484E-AB6A-4F31BE633697}"/>
    <cellStyle name="Comma 10 2 6" xfId="19832" xr:uid="{D2911166-ADF1-4E20-93CF-783B7FC40BA0}"/>
    <cellStyle name="Comma 10 2 6 2" xfId="22124" xr:uid="{51D57761-7627-4107-BBCC-855C15A44ADA}"/>
    <cellStyle name="Comma 10 2 7" xfId="19833" xr:uid="{CF9B4EB6-854F-437A-BDEB-571FFD23955A}"/>
    <cellStyle name="Comma 10 2 7 2" xfId="22639" xr:uid="{BA6E999A-C1AB-4244-B704-6606DF376C90}"/>
    <cellStyle name="Comma 10 2 8" xfId="20689" xr:uid="{0A56CF3B-3467-4AC0-A3B4-BB467715D00C}"/>
    <cellStyle name="Comma 10 3" xfId="19681" xr:uid="{4A2D97CF-67C1-42AD-9755-CEDA37B3D7E4}"/>
    <cellStyle name="Comma 10 3 2" xfId="19834" xr:uid="{8A8A3695-FCFB-4ADD-A7F7-2250FF853081}"/>
    <cellStyle name="Comma 10 3 2 2" xfId="22426" xr:uid="{217F1061-B25E-4C53-8A44-6B494A48DEB2}"/>
    <cellStyle name="Comma 10 3 3" xfId="19835" xr:uid="{075E2893-C298-4C2A-B292-9A9EE51D316D}"/>
    <cellStyle name="Comma 10 3 3 2" xfId="22640" xr:uid="{867D7BDA-00C4-4CA3-B72E-84D4DCB75DF2}"/>
    <cellStyle name="Comma 10 3 4" xfId="20809" xr:uid="{C86E70DB-ED87-4191-B604-3DF1B7C81FA7}"/>
    <cellStyle name="Comma 10 4" xfId="19706" xr:uid="{A7457B6A-3940-4197-ACBD-84582DB1D6EF}"/>
    <cellStyle name="Comma 10 4 2" xfId="20935" xr:uid="{0DE193A3-E5F1-4E05-9E13-2E357EE6C8C9}"/>
    <cellStyle name="Comma 10 5" xfId="19836" xr:uid="{CD4583F5-A904-4D82-AEA6-44F26E788450}"/>
    <cellStyle name="Comma 10 5 2" xfId="21045" xr:uid="{BFF44F4A-F6BC-4720-A198-9E1F95FFAD20}"/>
    <cellStyle name="Comma 10 6" xfId="19837" xr:uid="{F8826AFD-31DA-4DF1-A52B-54E081B1F731}"/>
    <cellStyle name="Comma 10 6 2" xfId="21340" xr:uid="{8425E3F5-BADD-4FE3-83D1-4E8085B18CAD}"/>
    <cellStyle name="Comma 10 7" xfId="19838" xr:uid="{05371EF9-F3B4-4CDC-9D41-50116D3E9F34}"/>
    <cellStyle name="Comma 10 7 2" xfId="22123" xr:uid="{FC0E4135-0895-4F86-8775-413A56155637}"/>
    <cellStyle name="Comma 10 8" xfId="19839" xr:uid="{FBFE8F06-1993-4232-BB83-8C320D62D4EB}"/>
    <cellStyle name="Comma 10 8 2" xfId="22641" xr:uid="{8AF2305A-3A40-4B2B-9C3F-54DB33B3D359}"/>
    <cellStyle name="Comma 10 9" xfId="20688" xr:uid="{4FFCF191-67FA-46EF-94CA-A6EF8BF1725E}"/>
    <cellStyle name="Comma 11" xfId="85" xr:uid="{9F0DE6FB-5E5E-4460-B6EC-9BC562F56621}"/>
    <cellStyle name="Comma 11 2" xfId="86" xr:uid="{3189C5FC-C1B7-4AC1-8DA1-F198E249B4AF}"/>
    <cellStyle name="Comma 11 2 2" xfId="19709" xr:uid="{C528B870-C362-43BA-9A68-1F249506B7C3}"/>
    <cellStyle name="Comma 11 2 2 2" xfId="20806" xr:uid="{5B374905-B2C5-436A-8A98-511DD92CCA7D}"/>
    <cellStyle name="Comma 11 2 3" xfId="19840" xr:uid="{1DC52AF2-14D2-492B-83AE-D2976E7B5836}"/>
    <cellStyle name="Comma 11 2 3 2" xfId="20937" xr:uid="{10A23E9F-F21D-483E-AF02-52C0C6E776B2}"/>
    <cellStyle name="Comma 11 2 4" xfId="19841" xr:uid="{D76C0B00-8DD2-43E6-ABD5-32CB94AE978F}"/>
    <cellStyle name="Comma 11 2 4 2" xfId="21048" xr:uid="{5BDB6B21-C88B-42A3-AC07-71119A9D024A}"/>
    <cellStyle name="Comma 11 2 5" xfId="19842" xr:uid="{2186BE80-7297-4148-87C5-F71437663050}"/>
    <cellStyle name="Comma 11 2 5 2" xfId="21343" xr:uid="{530C2349-72A7-4CF6-B7C6-CCE07194367B}"/>
    <cellStyle name="Comma 11 2 6" xfId="19843" xr:uid="{5719E3E8-EE68-4C73-81DB-453B066538AA}"/>
    <cellStyle name="Comma 11 2 6 2" xfId="22126" xr:uid="{8DAE4D12-A942-413B-A805-53DD9013B7B8}"/>
    <cellStyle name="Comma 11 2 7" xfId="19844" xr:uid="{7C97B0E3-4FA7-4B90-B7B5-D3EC45FF1D2B}"/>
    <cellStyle name="Comma 11 2 7 2" xfId="22642" xr:uid="{5B9B2433-970B-4196-9364-3ECA6E35AFFF}"/>
    <cellStyle name="Comma 11 2 8" xfId="20691" xr:uid="{0CACD79A-849B-41A5-A805-2D5AC6BF9693}"/>
    <cellStyle name="Comma 11 3" xfId="19682" xr:uid="{5B54208B-546B-45BE-838B-D4F4FEAD369C}"/>
    <cellStyle name="Comma 11 3 2" xfId="19845" xr:uid="{7A77B6B5-B6DD-4E01-88CE-04D582FB21A0}"/>
    <cellStyle name="Comma 11 3 2 2" xfId="22427" xr:uid="{59BB5339-1854-4686-AC20-C725383DA8E5}"/>
    <cellStyle name="Comma 11 3 3" xfId="19846" xr:uid="{B7BB91CC-2A7A-4119-A26D-E9D0FBD1D6F4}"/>
    <cellStyle name="Comma 11 3 3 2" xfId="22643" xr:uid="{3F7A0A26-BAF7-46D3-B8D5-383E7FC9208E}"/>
    <cellStyle name="Comma 11 3 4" xfId="20807" xr:uid="{821C4135-F5F8-4778-9A48-80A4A293F0B9}"/>
    <cellStyle name="Comma 11 4" xfId="19708" xr:uid="{A4B8F3C6-E071-4CB8-B44E-0835B1FABA2D}"/>
    <cellStyle name="Comma 11 4 2" xfId="20936" xr:uid="{462697D9-15AC-4D15-A8A8-379732657A46}"/>
    <cellStyle name="Comma 11 5" xfId="19847" xr:uid="{6C7EAFD3-57BE-4F7C-A7C0-09949CABC02D}"/>
    <cellStyle name="Comma 11 5 2" xfId="21047" xr:uid="{47ED0690-4DA4-4298-885D-BE51AD02BFDD}"/>
    <cellStyle name="Comma 11 6" xfId="19848" xr:uid="{C9473474-7D95-44BE-9D02-6A0CA1C39DFD}"/>
    <cellStyle name="Comma 11 6 2" xfId="21342" xr:uid="{FBB1300F-7A07-4C50-A765-3CCBF051A855}"/>
    <cellStyle name="Comma 11 7" xfId="19849" xr:uid="{FCFA8059-83FA-476D-80D7-256461755D11}"/>
    <cellStyle name="Comma 11 7 2" xfId="22125" xr:uid="{13C5AED5-2397-4BE8-A701-C0C57C6B5428}"/>
    <cellStyle name="Comma 11 8" xfId="19850" xr:uid="{CFD1E0DF-D0AA-4F77-96ED-6137C5EF8C5B}"/>
    <cellStyle name="Comma 11 8 2" xfId="22644" xr:uid="{9057A10F-12DB-4B85-BAF3-B7C4396533FF}"/>
    <cellStyle name="Comma 11 9" xfId="20690" xr:uid="{51C0D802-0229-4EC3-8422-9F4482900382}"/>
    <cellStyle name="Comma 12" xfId="87" xr:uid="{C587AD86-30E7-4AA3-AD1B-7E70A9B0DA9E}"/>
    <cellStyle name="Comma 12 2" xfId="88" xr:uid="{6247387B-EEE6-4017-8126-E8C0921DEB16}"/>
    <cellStyle name="Comma 12 2 2" xfId="19851" xr:uid="{8D4892E0-87A7-4BBA-AB2A-710F1DAE4551}"/>
    <cellStyle name="Comma 12 2 2 2" xfId="20804" xr:uid="{F26BD043-7F7C-4A11-ABD4-6919FD497399}"/>
    <cellStyle name="Comma 12 2 3" xfId="19852" xr:uid="{842F61D0-8AE3-4F07-9B4C-627D07897A5F}"/>
    <cellStyle name="Comma 12 2 3 2" xfId="20939" xr:uid="{D2C4C330-BE89-415E-BB17-7CEF666E9128}"/>
    <cellStyle name="Comma 12 2 4" xfId="19853" xr:uid="{432325A5-A769-4F7C-8DB7-321ED29F3106}"/>
    <cellStyle name="Comma 12 2 4 2" xfId="21050" xr:uid="{DC09AE1B-298F-4BD7-96D7-496F1098A2ED}"/>
    <cellStyle name="Comma 12 2 5" xfId="19854" xr:uid="{02A22D6A-37D6-4DD0-90D9-F66ADBBF430F}"/>
    <cellStyle name="Comma 12 2 5 2" xfId="22128" xr:uid="{4CC6CC37-B8EC-4318-A380-C4B3EAA1F68C}"/>
    <cellStyle name="Comma 12 2 6" xfId="19855" xr:uid="{2A0BDD6B-E1A7-4011-A018-50E15356D223}"/>
    <cellStyle name="Comma 12 2 6 2" xfId="22645" xr:uid="{EA802755-25DD-42CF-8A6C-19AA3004E23A}"/>
    <cellStyle name="Comma 12 2 7" xfId="20693" xr:uid="{B182C195-8696-421F-88ED-C7E3D88F8D30}"/>
    <cellStyle name="Comma 12 3" xfId="19710" xr:uid="{A8F3B4F4-61DD-4F43-BC2A-9C3DC747AD0C}"/>
    <cellStyle name="Comma 12 3 2" xfId="20805" xr:uid="{E3AFC9A0-75D4-4CB0-85CC-07363EA52FA3}"/>
    <cellStyle name="Comma 12 4" xfId="19856" xr:uid="{5643AD14-3608-479C-AEE8-490FA5F6A6EC}"/>
    <cellStyle name="Comma 12 4 2" xfId="20938" xr:uid="{33C2078B-A60E-4F6B-BE48-3981711C1F8E}"/>
    <cellStyle name="Comma 12 5" xfId="19857" xr:uid="{B5F02219-55FB-4D0A-B9B3-8FBAFE3DBA5B}"/>
    <cellStyle name="Comma 12 5 2" xfId="21049" xr:uid="{C8E6A473-4F01-4784-9019-C8257BF8F585}"/>
    <cellStyle name="Comma 12 6" xfId="19858" xr:uid="{072BA0F7-7B05-4814-9436-61EA4B5778F7}"/>
    <cellStyle name="Comma 12 6 2" xfId="21344" xr:uid="{91957977-920D-48C6-82CD-6288C2C25608}"/>
    <cellStyle name="Comma 12 7" xfId="19859" xr:uid="{E3785B30-C337-4A75-BD66-C703FD523CC0}"/>
    <cellStyle name="Comma 12 7 2" xfId="22127" xr:uid="{B184A725-D48C-42CD-8112-2EFB98134F21}"/>
    <cellStyle name="Comma 12 8" xfId="19860" xr:uid="{2865C745-9E68-4205-9512-9C2FEB0A22D8}"/>
    <cellStyle name="Comma 12 8 2" xfId="22646" xr:uid="{F345E900-E0B0-4ED7-9198-0A868327EC57}"/>
    <cellStyle name="Comma 12 9" xfId="20692" xr:uid="{ACDAC515-6A00-4C8C-AF6A-A306940A3B69}"/>
    <cellStyle name="Comma 13" xfId="89" xr:uid="{C067B15E-8107-4735-8B7E-C626E6DFE652}"/>
    <cellStyle name="Comma 13 2" xfId="19711" xr:uid="{46282CB0-4F94-4207-8A04-BE813AE78839}"/>
    <cellStyle name="Comma 13 2 2" xfId="19861" xr:uid="{953EB1F9-4A03-4BC0-8FE7-98061DCE3DFA}"/>
    <cellStyle name="Comma 13 2 2 2" xfId="22647" xr:uid="{EDC12707-FD27-4F8A-B8F8-3DEF54FE0617}"/>
    <cellStyle name="Comma 13 2 3" xfId="20803" xr:uid="{3489E263-4741-4E36-A042-8764AD381BA0}"/>
    <cellStyle name="Comma 13 3" xfId="19862" xr:uid="{764F7036-CAAC-4D54-B76F-3E22EC2F130F}"/>
    <cellStyle name="Comma 13 3 2" xfId="19863" xr:uid="{E22A5658-1B46-4851-9422-4FFD66DE0FE9}"/>
    <cellStyle name="Comma 13 3 2 2" xfId="22648" xr:uid="{E79E5EEA-3547-4A41-ACCD-EFE00B9DAFDF}"/>
    <cellStyle name="Comma 13 3 3" xfId="20940" xr:uid="{F37FC784-8B5B-4C05-A861-5741F6CC7D54}"/>
    <cellStyle name="Comma 13 4" xfId="19864" xr:uid="{E2968360-E513-4B54-9F71-FECE033137C2}"/>
    <cellStyle name="Comma 13 4 2" xfId="19865" xr:uid="{B6D18F2E-8602-44F2-82EA-8736A2FDC8AA}"/>
    <cellStyle name="Comma 13 4 2 2" xfId="22649" xr:uid="{489CE14D-60EA-4B14-9222-F49D5A9E3599}"/>
    <cellStyle name="Comma 13 4 3" xfId="21051" xr:uid="{BB6A0EAA-B2C1-444E-B5FB-96B952380F2C}"/>
    <cellStyle name="Comma 13 5" xfId="19866" xr:uid="{49E99058-02B1-4197-916E-8FE749F27D3C}"/>
    <cellStyle name="Comma 13 5 2" xfId="19867" xr:uid="{DAA0A691-7776-420C-A70E-0258A6160CBF}"/>
    <cellStyle name="Comma 13 5 2 2" xfId="22650" xr:uid="{0F50A65A-E688-49A5-9767-88426FAE9DC8}"/>
    <cellStyle name="Comma 13 5 3" xfId="21345" xr:uid="{5E120413-1F3A-49DD-9F27-EE8E8B55C7CB}"/>
    <cellStyle name="Comma 13 6" xfId="19868" xr:uid="{AF36E664-C498-4F81-BA26-1859849C0607}"/>
    <cellStyle name="Comma 13 6 2" xfId="22129" xr:uid="{6DF3F227-A300-43D8-BE83-F9D88C8EBBFA}"/>
    <cellStyle name="Comma 13 7" xfId="5770" xr:uid="{B86CC485-D820-4795-82B2-220B32F32A34}"/>
    <cellStyle name="Comma 13 7 2" xfId="22651" xr:uid="{9B117E6D-EDFD-4A41-9155-643B668BF4BC}"/>
    <cellStyle name="Comma 13 8" xfId="20675" xr:uid="{4C42FD07-DDB0-4E90-851C-99141DB8E5A8}"/>
    <cellStyle name="Comma 14" xfId="19656" xr:uid="{6A399930-9A25-460A-A1E0-663BC118A206}"/>
    <cellStyle name="Comma 14 2" xfId="19712" xr:uid="{FEFB8D68-5722-4D53-90CF-7B7396445400}"/>
    <cellStyle name="Comma 14 2 2" xfId="19869" xr:uid="{0C9586A2-CA3F-4F9F-8D7C-ECDAAF080B0E}"/>
    <cellStyle name="Comma 14 2 2 2" xfId="22652" xr:uid="{C1A8670F-F1CE-4D81-AD8A-7B21C9B874D9}"/>
    <cellStyle name="Comma 14 2 3" xfId="21346" xr:uid="{1DB76061-1CF5-4382-9AE9-AAE35D96ACA4}"/>
    <cellStyle name="Comma 14 3" xfId="19870" xr:uid="{06461E82-EF4C-43DA-B73A-EA1CF9E3F06F}"/>
    <cellStyle name="Comma 14 3 2" xfId="22425" xr:uid="{94EB4EDC-22C4-4982-936E-18104FEDE0FE}"/>
    <cellStyle name="Comma 14 4" xfId="5771" xr:uid="{FE96A4D8-2299-41D2-8F02-74AA9FFEA852}"/>
    <cellStyle name="Comma 14 4 2" xfId="22653" xr:uid="{E8BC6D7C-516B-4BA3-9EB6-838999671EBD}"/>
    <cellStyle name="Comma 14 5" xfId="20676" xr:uid="{6DAF251C-6818-4D8F-80A7-1AA2F124FC7C}"/>
    <cellStyle name="Comma 15" xfId="19660" xr:uid="{85E2013C-7C39-429D-80E5-E7B63CBCBC6E}"/>
    <cellStyle name="Comma 15 2" xfId="19871" xr:uid="{EF7D5D77-D722-49CC-9F53-BE6980B6941D}"/>
    <cellStyle name="Comma 15 2 2" xfId="21347" xr:uid="{D9405338-C87A-4510-B3A3-D634A8645238}"/>
    <cellStyle name="Comma 15 3" xfId="20934" xr:uid="{D51F5973-9ECC-436B-AE38-DC1DD58E2C75}"/>
    <cellStyle name="Comma 16" xfId="19828" xr:uid="{FE145A2A-4F64-4ACC-B9DD-70D6EB5C37CC}"/>
    <cellStyle name="Comma 16 2" xfId="19872" xr:uid="{236858F1-7E88-4535-8C9E-278533AEDF9A}"/>
    <cellStyle name="Comma 16 2 2" xfId="22110" xr:uid="{543E5880-6C49-4A72-9A81-7904842CE6E2}"/>
    <cellStyle name="Comma 16 3" xfId="20682" xr:uid="{7B4B3226-F4DD-4E81-A479-4DCD7A987EAA}"/>
    <cellStyle name="Comma 17" xfId="19658" xr:uid="{7CEA6C32-16DA-42F5-9BF3-51481C9026EA}"/>
    <cellStyle name="Comma 17 2" xfId="20665" xr:uid="{ABDDCD33-E838-437B-8793-07A31D27D3B9}"/>
    <cellStyle name="Comma 18" xfId="5772" xr:uid="{0FF7E3BF-6213-4491-B8C9-5BCD8F9F45C2}"/>
    <cellStyle name="Comma 18 2" xfId="20782" xr:uid="{A51F3DC9-7CA5-4744-ACF4-D56F6C62D07A}"/>
    <cellStyle name="Comma 19" xfId="19829" xr:uid="{CCD9B0D4-0321-44D3-8933-0E94CBED2552}"/>
    <cellStyle name="Comma 19 2" xfId="22122" xr:uid="{50B14B85-8BA4-4CDD-9B91-FA0A26B7EE1C}"/>
    <cellStyle name="Comma 2" xfId="2599" xr:uid="{BF741904-E7EF-4E63-B382-1FC2FE505FFE}"/>
    <cellStyle name="Comma 2 10" xfId="20808" xr:uid="{CB6D9B2A-0161-45A1-B720-F256C6592C67}"/>
    <cellStyle name="Comma 2 2" xfId="90" xr:uid="{76B9E859-A40B-4969-B926-D9A9CD32DF9E}"/>
    <cellStyle name="Comma 2 2 2" xfId="2600" xr:uid="{F247A710-B902-4C33-8EF3-100CB71151BD}"/>
    <cellStyle name="Comma 2 2 2 2" xfId="19873" xr:uid="{C5D4CC24-B007-43C8-B106-5B3FB966337F}"/>
    <cellStyle name="Comma 2 2 2 2 2" xfId="22429" xr:uid="{E2953DFA-3D77-4793-B1DD-49FB1D586BE1}"/>
    <cellStyle name="Comma 2 2 2 3" xfId="19874" xr:uid="{8C7E1FF9-0E1D-45A0-A951-E32F21D6F74D}"/>
    <cellStyle name="Comma 2 2 2 3 2" xfId="22654" xr:uid="{F5484541-CDED-427D-A690-1E58DA5A0A0B}"/>
    <cellStyle name="Comma 2 2 2 4" xfId="20802" xr:uid="{49BD6E1B-B5C7-48EB-BF37-401C592F2F33}"/>
    <cellStyle name="Comma 2 2 4" xfId="19875" xr:uid="{DD7A1EE9-64E6-4E1C-9381-34BBBFDDE0FC}"/>
    <cellStyle name="Comma 2 2 5" xfId="19876" xr:uid="{30783AF1-8D6F-458F-AB9F-E1936AB1F64B}"/>
    <cellStyle name="Comma 2 2 6" xfId="19877" xr:uid="{23C864E0-A391-4E0A-9D2A-ECAD0F272CFD}"/>
    <cellStyle name="Comma 2 2 7 2" xfId="22655" xr:uid="{7125932D-30A9-4CF1-9702-74D77616A538}"/>
    <cellStyle name="Comma 2 3" xfId="91" xr:uid="{46A9681B-F6E9-4B89-BF3E-3E7CFECE610A}"/>
    <cellStyle name="Comma 2 3 2 2" xfId="19878" xr:uid="{5E08A24D-3436-4B24-9351-76B285CD0206}"/>
    <cellStyle name="Comma 2 3 2 3" xfId="19879" xr:uid="{422B4F20-83C7-4EB7-900C-7831F6EEAA42}"/>
    <cellStyle name="Comma 2 3 2 3 2" xfId="22656" xr:uid="{F17F88DB-1E67-427A-A54F-A370F6BFE0FA}"/>
    <cellStyle name="Comma 2 3 2 4" xfId="20801" xr:uid="{F686D480-500F-41EB-916C-871559794FFB}"/>
    <cellStyle name="Comma 2 3 3" xfId="19691" xr:uid="{CC75F677-47B6-4FCB-A82F-3923D2263B24}"/>
    <cellStyle name="Comma 2 3 3 2" xfId="20941" xr:uid="{AB766CBF-DB93-4CA9-97BF-AED5C5CE8950}"/>
    <cellStyle name="Comma 2 3 4" xfId="19880" xr:uid="{5DB76345-C390-4FDE-ADCA-F2AAEC0AADD9}"/>
    <cellStyle name="Comma 2 3 4 2" xfId="21052" xr:uid="{98EF6754-F3BE-427E-94D6-838B2115F712}"/>
    <cellStyle name="Comma 2 3 5" xfId="19881" xr:uid="{81C0CBEE-591F-4D3A-9DCD-747D1CC5A226}"/>
    <cellStyle name="Comma 2 3 5 2" xfId="21154" xr:uid="{1D724A73-48C2-43C6-87AE-736A867135CA}"/>
    <cellStyle name="Comma 2 3 6" xfId="19882" xr:uid="{F361A759-D6E2-4725-9028-C95A1EA9B149}"/>
    <cellStyle name="Comma 2 3 6 2" xfId="22130" xr:uid="{F78E081B-E8CC-4B85-9834-8251F8C07480}"/>
    <cellStyle name="Comma 2 3 7" xfId="19883" xr:uid="{07BD50D9-C807-4747-95E4-DBFEF3638494}"/>
    <cellStyle name="Comma 2 3 7 2" xfId="22657" xr:uid="{62BCB668-EEE1-4CC5-87E3-B23C4882B5C0}"/>
    <cellStyle name="Comma 2 3 8" xfId="20694" xr:uid="{DC6CC8EE-D04C-4C93-A0F5-5CAD1E1E915D}"/>
    <cellStyle name="Comma 2 4" xfId="92" xr:uid="{97146237-CFB2-4F38-9E90-F3D4E1B3112E}"/>
    <cellStyle name="Comma 2 4 2" xfId="19884" xr:uid="{49E17051-FDF4-4C5D-868F-E8E05EF7DF4E}"/>
    <cellStyle name="Comma 2 4 2 2" xfId="19885" xr:uid="{92436538-80E2-47BB-8D9F-9889FE486E04}"/>
    <cellStyle name="Comma 2 4 2 2 2" xfId="22658" xr:uid="{D6A63D3B-3512-44A5-BF2E-ECD7B3211354}"/>
    <cellStyle name="Comma 2 4 2 3" xfId="20800" xr:uid="{5AD324D9-DF51-4FD4-A60B-4A7E485AAE86}"/>
    <cellStyle name="Comma 2 4 3" xfId="19886" xr:uid="{C02CE9BD-83EC-4E43-9F38-C418C9047926}"/>
    <cellStyle name="Comma 2 4 3 2" xfId="20942" xr:uid="{028CB65B-FDE6-4451-9B1D-D2B2C1930858}"/>
    <cellStyle name="Comma 2 4 4" xfId="19887" xr:uid="{77EB0A59-B124-4484-A433-F4999020F13F}"/>
    <cellStyle name="Comma 2 4 4 2" xfId="21053" xr:uid="{9935320E-64D9-4AA6-95E2-AC800C81EF3B}"/>
    <cellStyle name="Comma 2 4 5" xfId="19888" xr:uid="{872A2A1D-670C-4546-9307-98E99D7FDD6A}"/>
    <cellStyle name="Comma 2 4 5 2" xfId="22131" xr:uid="{BE4A815A-8F2E-4C9F-81DC-1217CD68D15A}"/>
    <cellStyle name="Comma 2 4 6" xfId="19889" xr:uid="{60B2D5B1-7329-4F3B-B8A7-35F326474B41}"/>
    <cellStyle name="Comma 2 4 6 2" xfId="22659" xr:uid="{DE638DC3-9B4E-46E5-A7A3-375E7062F3B3}"/>
    <cellStyle name="Comma 2 4 7" xfId="20695" xr:uid="{9E3B303F-551A-45E8-871A-EAB7C9103150}"/>
    <cellStyle name="Comma 2 5" xfId="19713" xr:uid="{67EE5AC9-E33E-4352-8736-B5C64C7D976D}"/>
    <cellStyle name="Comma 2 5 2" xfId="21151" xr:uid="{12DDBB1B-4811-4046-BC35-C82E85454F95}"/>
    <cellStyle name="Comma 2 6" xfId="19890" xr:uid="{E38497AB-234C-4940-B0CB-E7E61B52DE90}"/>
    <cellStyle name="Comma 2 6 2" xfId="21152" xr:uid="{ABBD139C-B693-4D1B-B2FD-F60F2C533FA2}"/>
    <cellStyle name="Comma 2 7" xfId="19891" xr:uid="{D2946BD9-B131-432C-9D4F-C14EEA57E71A}"/>
    <cellStyle name="Comma 2 7 2" xfId="21348" xr:uid="{BDF1D467-F2FD-4B02-973D-BE0566164117}"/>
    <cellStyle name="Comma 2 8" xfId="19892" xr:uid="{00B98D56-7135-40F4-A011-C6764B3A8873}"/>
    <cellStyle name="Comma 2 8 2" xfId="22428" xr:uid="{483EF0F6-1AA3-4AD4-9E84-54432CE2DA3D}"/>
    <cellStyle name="Comma 2 9" xfId="20485" xr:uid="{794D5CC6-C22F-4500-A1A3-81DDEC3D11F0}"/>
    <cellStyle name="Comma 2 9 2" xfId="33687" xr:uid="{EAF462EA-021A-4D66-8F12-B7932396CA0F}"/>
    <cellStyle name="Comma 20" xfId="20486" xr:uid="{8FA7C3B8-95CA-4508-BED3-2BB5C4801E19}"/>
    <cellStyle name="Comma 20 2" xfId="33688" xr:uid="{1685A7B3-6501-43A7-991E-C5060F6B9A81}"/>
    <cellStyle name="Comma 21" xfId="20487" xr:uid="{873EBF31-55A7-45A5-B798-BB8E7C18B84F}"/>
    <cellStyle name="Comma 21 2" xfId="33689" xr:uid="{61D40BA1-4E13-4EAF-91ED-9A7034D60FC8}"/>
    <cellStyle name="Comma 22" xfId="20683" xr:uid="{778CF8D4-ECF9-4242-A783-71E30F505011}"/>
    <cellStyle name="Comma 23" xfId="19659" xr:uid="{562A1A82-52B7-4FE2-BC05-A9DFBD9E96D6}"/>
    <cellStyle name="Comma 3" xfId="19818" xr:uid="{C8BDA2CD-0158-4C08-8223-C2CF124144DF}"/>
    <cellStyle name="Comma 3 10" xfId="93" xr:uid="{F514905F-B7FB-4A19-B0F8-5E5B31F189A5}"/>
    <cellStyle name="Comma 3 10 10" xfId="20697" xr:uid="{1A9E1C86-C03A-4A91-AED3-8281B9227515}"/>
    <cellStyle name="Comma 3 10 2" xfId="94" xr:uid="{3063487E-E7E7-42F3-9847-705550B4DB61}"/>
    <cellStyle name="Comma 3 10 2 2" xfId="19716" xr:uid="{574F4F9B-8D9F-44F2-AFB7-4D766BF867B4}"/>
    <cellStyle name="Comma 3 10 2 2 2" xfId="20797" xr:uid="{A7755434-52D2-4DC8-8011-7E9C717BAD24}"/>
    <cellStyle name="Comma 3 10 2 3" xfId="19893" xr:uid="{9EC2620F-2FE6-4D08-B36C-23E967A1BA69}"/>
    <cellStyle name="Comma 3 10 2 3 2" xfId="20945" xr:uid="{C3B9928F-1402-4735-9B15-F8ABDBCF083E}"/>
    <cellStyle name="Comma 3 10 2 4" xfId="19894" xr:uid="{E8D51543-03AC-4CAE-935C-C60A3189180A}"/>
    <cellStyle name="Comma 3 10 2 4 2" xfId="21056" xr:uid="{756FCE03-407D-446A-8214-8AD0C35AABC5}"/>
    <cellStyle name="Comma 3 10 2 5" xfId="19895" xr:uid="{D9D22D10-D7B5-4ED5-B7E9-22186291A0DA}"/>
    <cellStyle name="Comma 3 10 2 5 2" xfId="21351" xr:uid="{26B026D3-52CA-4C1F-8E47-2F41EFF7F0F6}"/>
    <cellStyle name="Comma 3 10 2 6" xfId="19896" xr:uid="{C22E7D76-FC3D-4CEF-B1D2-01848CDA2819}"/>
    <cellStyle name="Comma 3 10 2 6 2" xfId="22134" xr:uid="{3949A83A-2C13-4125-B029-FCACE8CD7B97}"/>
    <cellStyle name="Comma 3 10 2 7" xfId="19897" xr:uid="{45C20F1C-83DD-42BE-B547-7529A1510ED9}"/>
    <cellStyle name="Comma 3 10 2 8" xfId="19898" xr:uid="{C4CF4B22-9F0E-47AA-9EE1-A1CF8CAEE796}"/>
    <cellStyle name="Comma 3 10 2 9" xfId="20698" xr:uid="{4A51539C-7931-4CF9-B55B-F85A10058EBD}"/>
    <cellStyle name="Comma 3 10 3" xfId="19715" xr:uid="{C406B0E1-E366-4190-B34A-976CE751001A}"/>
    <cellStyle name="Comma 3 10 3 2" xfId="20798" xr:uid="{91D773E0-A5B5-41C8-92AD-1E64A2ED4AC0}"/>
    <cellStyle name="Comma 3 10 4" xfId="19899" xr:uid="{1E0DC6C0-16F8-447F-BEA9-39306F2C2F12}"/>
    <cellStyle name="Comma 3 10 4 2" xfId="20944" xr:uid="{EC92542C-711F-4087-9A06-B22AC744D713}"/>
    <cellStyle name="Comma 3 10 5 2" xfId="21055" xr:uid="{FB4A0D2F-242D-40DB-8BAE-849B1452209E}"/>
    <cellStyle name="Comma 3 10 6 2" xfId="21350" xr:uid="{EA01F432-B5C3-4512-9ED9-6BE74BEC776A}"/>
    <cellStyle name="Comma 3 10 7" xfId="19900" xr:uid="{89FE9436-F41A-46EA-B69F-F162244905B5}"/>
    <cellStyle name="Comma 3 10 7 2" xfId="22133" xr:uid="{14DB4D73-216A-4364-B765-282EDD2D867B}"/>
    <cellStyle name="Comma 3 10 8" xfId="19901" xr:uid="{578577BB-2D8F-4639-9EED-7D84CC4DA53D}"/>
    <cellStyle name="Comma 3 10 8 2" xfId="22660" xr:uid="{9318DC4E-9231-4E3C-84CA-1C5D74CCE5DF}"/>
    <cellStyle name="Comma 3 10 9" xfId="19902" xr:uid="{306730FB-1100-487E-981A-85454304E6AB}"/>
    <cellStyle name="Comma 3 10 9 2" xfId="22661" xr:uid="{A0949A41-080A-421D-B4C1-3E13C53C0BD9}"/>
    <cellStyle name="Comma 3 11" xfId="95" xr:uid="{B99BEF1D-C011-424E-A201-5760FB00A0BE}"/>
    <cellStyle name="Comma 3 11 2" xfId="19714" xr:uid="{C04B6F19-29D3-4586-8C7F-1D9CDFD79BBC}"/>
    <cellStyle name="Comma 3 11 2 2" xfId="19903" xr:uid="{996B7387-56D2-4007-98F3-423E22855DE1}"/>
    <cellStyle name="Comma 3 11 2 2 2" xfId="22662" xr:uid="{674B853B-A475-4D1B-A765-A25347CF3094}"/>
    <cellStyle name="Comma 3 11 2 3" xfId="20796" xr:uid="{4F2F8F1D-2303-4BFB-AA3A-E3AF0EFD9A91}"/>
    <cellStyle name="Comma 3 11 3" xfId="19904" xr:uid="{8FD49CED-6280-4969-8FA4-CF1A05BEF0CC}"/>
    <cellStyle name="Comma 3 11 3 2" xfId="19905" xr:uid="{455CA259-66A8-42C4-982F-408831BF6DA0}"/>
    <cellStyle name="Comma 3 11 3 2 2" xfId="22663" xr:uid="{5C90ADB2-A99E-483B-A6DD-F0E13EAE8862}"/>
    <cellStyle name="Comma 3 11 3 3" xfId="20946" xr:uid="{709CDA1E-620D-4E79-87E7-6C099992D416}"/>
    <cellStyle name="Comma 3 11 4" xfId="19906" xr:uid="{2DCC49A5-64F5-4FC8-9518-EE01BA80B28B}"/>
    <cellStyle name="Comma 3 11 4 2" xfId="19907" xr:uid="{4BECDF95-5808-410A-BD3C-A1E5B2C7DC70}"/>
    <cellStyle name="Comma 3 11 4 2 2" xfId="22664" xr:uid="{E60E6C75-EBD1-4FE0-9D40-EDE98C8DF8F0}"/>
    <cellStyle name="Comma 3 11 4 3" xfId="21057" xr:uid="{947E0B17-91C5-4971-A952-55F749DEABFD}"/>
    <cellStyle name="Comma 3 11 5" xfId="19908" xr:uid="{F93BB2AB-8D80-416D-A59F-E3D831BB30C4}"/>
    <cellStyle name="Comma 3 11 5 2" xfId="19909" xr:uid="{9BD09498-4038-4543-B474-59B241EC9492}"/>
    <cellStyle name="Comma 3 11 5 2 2" xfId="22665" xr:uid="{1F6AAA20-3F99-41DD-8A0A-71E1DD40FB89}"/>
    <cellStyle name="Comma 3 11 5 3" xfId="21349" xr:uid="{E6C96955-8EB7-4907-8E56-D1E48ECEA07F}"/>
    <cellStyle name="Comma 3 11 6" xfId="19910" xr:uid="{DC217C75-E464-44BF-BEF6-85CB728951AB}"/>
    <cellStyle name="Comma 3 11 6 2" xfId="22135" xr:uid="{D65D19CF-6BF5-4C3D-BA73-62D98E6DA7D1}"/>
    <cellStyle name="Comma 3 11 7" xfId="5773" xr:uid="{F8B194F6-966B-4F3B-AAD0-353136ED49CD}"/>
    <cellStyle name="Comma 3 11 7 2" xfId="22666" xr:uid="{13CA9ECB-B936-4EB3-ADDE-04FA6DC419B5}"/>
    <cellStyle name="Comma 3 11 8" xfId="19911" xr:uid="{6D1D7C06-3A19-4CC2-8AD4-F36B59F27511}"/>
    <cellStyle name="Comma 3 11 8 2" xfId="22667" xr:uid="{6174A9EC-B385-40BE-A42A-4F00FA5A1A1C}"/>
    <cellStyle name="Comma 3 11 9" xfId="20699" xr:uid="{65813363-E8F2-4940-84B6-B7624835011D}"/>
    <cellStyle name="Comma 3 12" xfId="19683" xr:uid="{36D903ED-5B9E-4A25-97EC-8FAF1E7916AE}"/>
    <cellStyle name="Comma 3 12 2" xfId="19912" xr:uid="{F0D47D20-5402-407D-9C38-9AEE12BD0BB9}"/>
    <cellStyle name="Comma 3 12 2 2" xfId="19913" xr:uid="{F62DAB34-0937-4187-AB05-0F7640493EC5}"/>
    <cellStyle name="Comma 3 12 2 2 2" xfId="22668" xr:uid="{37031FB1-C56D-4A46-9DCF-3CAA3DF7AEBD}"/>
    <cellStyle name="Comma 3 12 2 3" xfId="22430" xr:uid="{03FEB4AA-7C83-40A4-9494-A1A51DA8C5F2}"/>
    <cellStyle name="Comma 3 12 3" xfId="19914" xr:uid="{98D2EBFB-80A0-4481-A5B2-078D4319E0D0}"/>
    <cellStyle name="Comma 3 12 3 2" xfId="22669" xr:uid="{C2C211A2-6B6B-4D6B-A6F8-941D42FEDB62}"/>
    <cellStyle name="Comma 3 12 4" xfId="19915" xr:uid="{2735E3C3-808C-43F4-88FF-3A5DE183924D}"/>
    <cellStyle name="Comma 3 12 4 2" xfId="22670" xr:uid="{CDE4BE27-41D7-4751-907B-2BECF5FDD162}"/>
    <cellStyle name="Comma 3 12 5" xfId="20696" xr:uid="{3E4031C8-7D5E-44F4-9D53-BE36585A4ABD}"/>
    <cellStyle name="Comma 3 13" xfId="19692" xr:uid="{5CC8434A-B282-4757-9508-3217F3565511}"/>
    <cellStyle name="Comma 3 13 2" xfId="19916" xr:uid="{BE7350C2-5A1B-431F-BF99-406F10BEBB87}"/>
    <cellStyle name="Comma 3 13 2 2" xfId="22671" xr:uid="{EB9B9380-89EC-446A-9072-DE8951EEE87E}"/>
    <cellStyle name="Comma 3 13 3" xfId="19917" xr:uid="{3275100B-8783-4891-988D-B928EE13B049}"/>
    <cellStyle name="Comma 3 13 3 2" xfId="22672" xr:uid="{6FC0456C-1D03-4456-8EC6-B5CCF3DE1060}"/>
    <cellStyle name="Comma 3 13 4" xfId="20799" xr:uid="{A4902289-E65C-4C12-95E4-97C0B645FB67}"/>
    <cellStyle name="Comma 3 14" xfId="19918" xr:uid="{A498674B-941B-4A35-A796-A7CDDEA2172E}"/>
    <cellStyle name="Comma 3 14 2" xfId="19919" xr:uid="{B99B9C38-01E8-4D3C-A519-558CF0A9675E}"/>
    <cellStyle name="Comma 3 14 2 2" xfId="22673" xr:uid="{5AC1B6C8-F43A-41F8-9779-2D5AB26C6530}"/>
    <cellStyle name="Comma 3 14 3" xfId="5774" xr:uid="{256D4F21-2E11-41C8-BBBD-D271E0A798D5}"/>
    <cellStyle name="Comma 3 14 3 2" xfId="22674" xr:uid="{B9C6FA6C-E9AA-423B-AA1B-69D9B570724A}"/>
    <cellStyle name="Comma 3 14 4" xfId="20943" xr:uid="{2CCD4B98-401A-47E9-9A79-9E3125AEC90C}"/>
    <cellStyle name="Comma 3 15" xfId="19920" xr:uid="{060BF323-877E-4D31-AA8D-B39D9B7CF96A}"/>
    <cellStyle name="Comma 3 15 2" xfId="21054" xr:uid="{CFCBE9E9-CDF1-4447-9535-DC1622A37932}"/>
    <cellStyle name="Comma 3 16" xfId="5775" xr:uid="{28F267A0-AB03-4AFC-AB52-99225C8B424E}"/>
    <cellStyle name="Comma 3 16 2" xfId="21155" xr:uid="{84292E02-CE49-4236-85BE-972E5E45E8ED}"/>
    <cellStyle name="Comma 3 17" xfId="19921" xr:uid="{15B23744-A0FB-4827-AE6C-4F85912CAA9A}"/>
    <cellStyle name="Comma 3 17 2" xfId="22132" xr:uid="{2EBDE21E-A281-4398-96C7-6A5F6BA1B33D}"/>
    <cellStyle name="Comma 3 18" xfId="5776" xr:uid="{0AB9E753-27C8-4DD5-B9B1-D47E4DDA6585}"/>
    <cellStyle name="Comma 3 18 2" xfId="22675" xr:uid="{1FAEC17A-A5EB-4374-BA09-33E47BB82339}"/>
    <cellStyle name="Comma 3 19" xfId="19922" xr:uid="{E737F906-4651-4AAA-8C84-B20F33970C6A}"/>
    <cellStyle name="Comma 3 19 2" xfId="22676" xr:uid="{2AB22CEF-49BF-4246-B7E4-6F60A37D21CD}"/>
    <cellStyle name="Comma 3 2" xfId="96" xr:uid="{CE03746C-3F49-48C9-A19A-6A8456925579}"/>
    <cellStyle name="Comma 3 2 10" xfId="19923" xr:uid="{745584EA-8DF7-423F-BF4E-905525E620E0}"/>
    <cellStyle name="Comma 3 2 10 2" xfId="22136" xr:uid="{0D280DA5-971C-43B4-9806-1F971B272323}"/>
    <cellStyle name="Comma 3 2 11" xfId="5777" xr:uid="{70A623CC-56AB-44E0-8215-B90137F9F951}"/>
    <cellStyle name="Comma 3 2 11 2" xfId="22677" xr:uid="{0FD3E5EA-2B21-48A9-BA48-AF76D312E61B}"/>
    <cellStyle name="Comma 3 2 12" xfId="19924" xr:uid="{129F6208-6AF3-4E7E-923C-4474B4588D90}"/>
    <cellStyle name="Comma 3 2 12 2" xfId="22678" xr:uid="{0E9647A9-FE24-4DBE-ADF5-674DCB0231D3}"/>
    <cellStyle name="Comma 3 2 13" xfId="20685" xr:uid="{143CBEE8-77F5-4F48-BEF4-A09A0F816F3F}"/>
    <cellStyle name="Comma 3 2 2" xfId="97" xr:uid="{87446011-15AA-447E-8E9C-BE8CE489E5AB}"/>
    <cellStyle name="Comma 3 2 2 10" xfId="20701" xr:uid="{4CF67CB7-AD61-4783-BC3E-AF2BF17A54F6}"/>
    <cellStyle name="Comma 3 2 2 2" xfId="98" xr:uid="{10DA6CD3-1C21-4CC4-9B9E-5B035B2C66B8}"/>
    <cellStyle name="Comma 3 2 2 2 2" xfId="2603" xr:uid="{96899C59-F694-4A89-9414-6248F27B704A}"/>
    <cellStyle name="Comma 3 2 2 2 2 2" xfId="19925" xr:uid="{0D1FF0C5-E9BC-4ED9-95B1-56BB4D6DB8BC}"/>
    <cellStyle name="Comma 3 2 2 2 2 2 2" xfId="22433" xr:uid="{69C1FF0B-CAF6-42AD-A0A1-F7790CD24D3D}"/>
    <cellStyle name="Comma 3 2 2 2 2 3" xfId="19926" xr:uid="{AA1ACDEF-8C65-4BD4-AC1B-7679CE960DB2}"/>
    <cellStyle name="Comma 3 2 2 2 2 3 2" xfId="22679" xr:uid="{E329AD94-B0C0-4557-B404-61124C26FFF6}"/>
    <cellStyle name="Comma 3 2 2 2 2 4" xfId="20793" xr:uid="{AD3092B2-D7F4-4F73-9454-208FD95BD052}"/>
    <cellStyle name="Comma 3 2 2 2 3" xfId="19718" xr:uid="{F3738E6D-B719-4B07-8D05-4B8FB4027029}"/>
    <cellStyle name="Comma 3 2 2 2 3 2" xfId="20949" xr:uid="{7576BDE1-07C8-4E5D-8AC6-1E712A2EEA17}"/>
    <cellStyle name="Comma 3 2 2 2 4" xfId="19927" xr:uid="{59C16665-588B-4F2F-93DE-9C152E7F83F3}"/>
    <cellStyle name="Comma 3 2 2 2 4 2" xfId="21060" xr:uid="{F1ACBB7C-142B-4470-B9E1-F483D49B0200}"/>
    <cellStyle name="Comma 3 2 2 2 5" xfId="19928" xr:uid="{9AE87DF1-7ED1-4173-8211-DF1732211B89}"/>
    <cellStyle name="Comma 3 2 2 2 5 2" xfId="21354" xr:uid="{FF2644F1-561B-44F3-941C-5277AAD9F523}"/>
    <cellStyle name="Comma 3 2 2 2 6" xfId="19929" xr:uid="{F454EE71-98C2-40A0-AF96-8544CAE996DA}"/>
    <cellStyle name="Comma 3 2 2 2 6 2" xfId="22138" xr:uid="{16C28253-B2CE-4209-A6C1-894197122720}"/>
    <cellStyle name="Comma 3 2 2 2 7" xfId="19930" xr:uid="{35517740-2BE9-44A3-BE9A-109904670F58}"/>
    <cellStyle name="Comma 3 2 2 2 7 2" xfId="22680" xr:uid="{88B24F8E-D3C3-46BF-BCDB-89C65149E352}"/>
    <cellStyle name="Comma 3 2 2 2 8" xfId="19931" xr:uid="{CB96520C-C654-4111-9C91-420AF371B0E6}"/>
    <cellStyle name="Comma 3 2 2 2 8 2" xfId="22681" xr:uid="{610E194D-E135-495A-B35A-C045E576F610}"/>
    <cellStyle name="Comma 3 2 2 2 9" xfId="20702" xr:uid="{0B46DA80-8483-49C3-90DB-D1E1AF921B92}"/>
    <cellStyle name="Comma 3 2 2 3" xfId="2602" xr:uid="{E1ABCC2D-86F5-4CED-B72E-C8DB4AA40296}"/>
    <cellStyle name="Comma 3 2 2 3 2" xfId="19717" xr:uid="{546E3CC5-D776-41FC-9F8E-7BEFD21D57E0}"/>
    <cellStyle name="Comma 3 2 2 3 2 2" xfId="21353" xr:uid="{3C666367-626B-4ED0-A046-F61CA34B037A}"/>
    <cellStyle name="Comma 3 2 2 3 3" xfId="19932" xr:uid="{50B57E11-DC56-499E-B742-020F38CB1CBB}"/>
    <cellStyle name="Comma 3 2 2 3 3 2" xfId="22432" xr:uid="{459E4752-C818-417C-9199-CB19479C7689}"/>
    <cellStyle name="Comma 3 2 2 3 4" xfId="19933" xr:uid="{9B881F68-E1B8-465E-A119-97556FED5F5C}"/>
    <cellStyle name="Comma 3 2 2 3 4 2" xfId="22682" xr:uid="{DA17D26C-C034-4837-A0A6-C82C3E1F7054}"/>
    <cellStyle name="Comma 3 2 2 3 5" xfId="20794" xr:uid="{35CA9CD4-1B03-4CFB-844C-441F18490726}"/>
    <cellStyle name="Comma 3 2 2 4" xfId="19694" xr:uid="{4F0A4BD2-BF45-4F34-B3F2-5ABF64944F43}"/>
    <cellStyle name="Comma 3 2 2 4 2" xfId="20948" xr:uid="{A087CE5D-9400-4CF7-9006-B0A42FC96C30}"/>
    <cellStyle name="Comma 3 2 2 5" xfId="19934" xr:uid="{9C93329D-D920-4ABB-8797-C9B09916C687}"/>
    <cellStyle name="Comma 3 2 2 5 2" xfId="21059" xr:uid="{C8074574-73D3-491E-874B-40D744C904F4}"/>
    <cellStyle name="Comma 3 2 2 6" xfId="19935" xr:uid="{D935E311-CD7A-4D72-A2F3-B219602F1DFA}"/>
    <cellStyle name="Comma 3 2 2 6 2" xfId="21157" xr:uid="{05941B78-E262-476A-B11B-2448B1C7BD80}"/>
    <cellStyle name="Comma 3 2 2 7" xfId="19936" xr:uid="{9FFFF0CC-B549-4854-87B6-8C82B79455C0}"/>
    <cellStyle name="Comma 3 2 2 7 2" xfId="22137" xr:uid="{C2246D06-582F-4831-A358-5E012E10C7CF}"/>
    <cellStyle name="Comma 3 2 2 8" xfId="19937" xr:uid="{0741A9C1-2C3E-4503-BB6C-237B12B705D6}"/>
    <cellStyle name="Comma 3 2 2 8 2" xfId="22683" xr:uid="{CEC2A23B-D54A-4BC1-BF1F-5A3906D5CE54}"/>
    <cellStyle name="Comma 3 2 2 9" xfId="19938" xr:uid="{E1746C53-ED03-4900-B77C-02156AB93EFC}"/>
    <cellStyle name="Comma 3 2 2 9 2" xfId="22684" xr:uid="{EC1E7699-54BE-4AC5-9CD0-7A34CEC192DF}"/>
    <cellStyle name="Comma 3 2 3" xfId="99" xr:uid="{8628EFCE-F102-4716-A2AF-8AE6C57C9889}"/>
    <cellStyle name="Comma 3 2 3 10" xfId="19939" xr:uid="{F6122935-4265-4786-9CCA-8E22B1BAC9D7}"/>
    <cellStyle name="Comma 3 2 3 10 2" xfId="22685" xr:uid="{4C6AD4D0-7F04-4165-9C2A-8E0D3C9A5C16}"/>
    <cellStyle name="Comma 3 2 3 11" xfId="19940" xr:uid="{479001D7-8001-4A00-99B3-CB2A62BD553A}"/>
    <cellStyle name="Comma 3 2 3 11 2" xfId="22686" xr:uid="{30EED319-5A20-4F73-A6F4-7A07813F9619}"/>
    <cellStyle name="Comma 3 2 3 12" xfId="20703" xr:uid="{2F7AE03C-07C5-4175-827B-84DB67324A61}"/>
    <cellStyle name="Comma 3 2 3 2" xfId="100" xr:uid="{C8AC243D-093E-404C-9298-6D03A542C598}"/>
    <cellStyle name="Comma 3 2 3 2 2" xfId="2605" xr:uid="{94E390B7-6CCE-4838-9E05-726714A2D9B1}"/>
    <cellStyle name="Comma 3 2 3 2 2 2" xfId="19941" xr:uid="{003BE59E-9A53-476B-BD1F-4D3DA038F38D}"/>
    <cellStyle name="Comma 3 2 3 2 2 2 2" xfId="22435" xr:uid="{C0F07412-C5B0-45B7-AE40-58A01133A680}"/>
    <cellStyle name="Comma 3 2 3 2 2 3" xfId="19942" xr:uid="{F8C817BA-C17F-42CF-8A02-6E69F1C22976}"/>
    <cellStyle name="Comma 3 2 3 2 2 3 2" xfId="22687" xr:uid="{3E8F0F19-041B-4AAC-914B-686731D6A4BA}"/>
    <cellStyle name="Comma 3 2 3 2 2 4" xfId="20791" xr:uid="{333CDD1F-F176-495E-8FCF-29D3B7DF1595}"/>
    <cellStyle name="Comma 3 2 3 2 3" xfId="19720" xr:uid="{B64FD617-7F0B-47A3-B749-12DD32A0EBC8}"/>
    <cellStyle name="Comma 3 2 3 2 3 2" xfId="20951" xr:uid="{A0F5698E-23D2-45A3-B2E5-A42EDEC47A16}"/>
    <cellStyle name="Comma 3 2 3 2 4" xfId="19943" xr:uid="{A8589847-A984-4350-888A-BEC01D5326C9}"/>
    <cellStyle name="Comma 3 2 3 2 4 2" xfId="21062" xr:uid="{C1767FD1-3370-4684-9B8D-98C10155BC0D}"/>
    <cellStyle name="Comma 3 2 3 2 5" xfId="19944" xr:uid="{812288EA-F1F7-4376-87E6-DD58200FF67F}"/>
    <cellStyle name="Comma 3 2 3 2 5 2" xfId="21356" xr:uid="{10946178-9EDE-4801-BDCB-8AC6116AD168}"/>
    <cellStyle name="Comma 3 2 3 2 6" xfId="19945" xr:uid="{5FBACD9F-E3A4-4A98-8678-F6EACAD77A38}"/>
    <cellStyle name="Comma 3 2 3 2 6 2" xfId="22140" xr:uid="{066A0FA1-C149-4F16-800A-E6955DDCA9A4}"/>
    <cellStyle name="Comma 3 2 3 2 7" xfId="19946" xr:uid="{BFE27F4E-D935-4733-9278-5EC59A8BD01E}"/>
    <cellStyle name="Comma 3 2 3 2 7 2" xfId="22688" xr:uid="{E431699A-B390-427B-BBE2-F743AE8879A1}"/>
    <cellStyle name="Comma 3 2 3 2 8" xfId="19947" xr:uid="{B7B7D4D1-747C-440E-9137-3E5855CF2E82}"/>
    <cellStyle name="Comma 3 2 3 2 8 2" xfId="22689" xr:uid="{B71E42C1-8AC5-4461-832B-E037445BF6DE}"/>
    <cellStyle name="Comma 3 2 3 2 9" xfId="20704" xr:uid="{F66E10CF-0419-45A8-AA35-7EF11926ABF3}"/>
    <cellStyle name="Comma 3 2 3 3" xfId="101" xr:uid="{7DE8056A-6738-48C0-8994-4D4B7920E9CF}"/>
    <cellStyle name="Comma 3 2 3 3 10" xfId="20705" xr:uid="{E0DA924B-13D4-41A1-A7EB-45CA82D2272D}"/>
    <cellStyle name="Comma 3 2 3 3 2" xfId="102" xr:uid="{783C89E5-7A3C-4DD5-92E3-76AC86A3BC58}"/>
    <cellStyle name="Comma 3 2 3 3 2 2" xfId="2607" xr:uid="{0116715C-A2DF-4C64-97A6-3C63E13C2FD7}"/>
    <cellStyle name="Comma 3 2 3 3 2 2 2" xfId="19948" xr:uid="{E0EB6311-2E98-4C94-9D72-EE7595DD83C6}"/>
    <cellStyle name="Comma 3 2 3 3 2 2 2 2" xfId="22437" xr:uid="{0C804539-58F3-4520-B858-8BC0D7AFF2E5}"/>
    <cellStyle name="Comma 3 2 3 3 2 2 3" xfId="19949" xr:uid="{16BAF3B0-72F8-4633-B22D-206AF659D2EA}"/>
    <cellStyle name="Comma 3 2 3 3 2 2 3 2" xfId="22690" xr:uid="{E7E1EC5D-9A73-4A0C-82C6-19DFD9DEEAF3}"/>
    <cellStyle name="Comma 3 2 3 3 2 2 4" xfId="20789" xr:uid="{7C1728A8-A7F4-4DB4-9ADA-114AE0FAF49D}"/>
    <cellStyle name="Comma 3 2 3 3 2 3" xfId="19722" xr:uid="{5B08F065-DB93-4BBB-9F75-FB7455F397A1}"/>
    <cellStyle name="Comma 3 2 3 3 2 3 2" xfId="20953" xr:uid="{9362C91B-42B9-4310-8456-0152FF4848E6}"/>
    <cellStyle name="Comma 3 2 3 3 2 4" xfId="19950" xr:uid="{6B141EC7-1B8C-4738-9F50-5363C0E77972}"/>
    <cellStyle name="Comma 3 2 3 3 2 4 2" xfId="21064" xr:uid="{38B3DBA0-E579-4EEE-9EA9-125E6340B5F2}"/>
    <cellStyle name="Comma 3 2 3 3 2 5" xfId="19951" xr:uid="{11F603FE-47BE-47CF-89AD-6E2E9FD1B7F5}"/>
    <cellStyle name="Comma 3 2 3 3 2 5 2" xfId="21358" xr:uid="{18C67D61-E5FF-4032-9A4D-3169DF139B68}"/>
    <cellStyle name="Comma 3 2 3 3 2 6" xfId="19952" xr:uid="{888BAD10-E18A-4ECB-B354-6A54D5172EBC}"/>
    <cellStyle name="Comma 3 2 3 3 2 6 2" xfId="22142" xr:uid="{63BDBDCD-E14E-49B4-98B6-60F26C8B00EE}"/>
    <cellStyle name="Comma 3 2 3 3 2 7" xfId="19953" xr:uid="{F7354AFA-A240-4C97-9935-F41F8AE1913D}"/>
    <cellStyle name="Comma 3 2 3 3 2 7 2" xfId="22691" xr:uid="{CC126C43-D3F2-450A-ADB0-E61842FF3305}"/>
    <cellStyle name="Comma 3 2 3 3 2 8" xfId="19954" xr:uid="{6C2357DE-B1DA-4446-AF32-3C1623879EC4}"/>
    <cellStyle name="Comma 3 2 3 3 2 8 2" xfId="22692" xr:uid="{88F51CC7-81EB-41F6-9312-7649195E921F}"/>
    <cellStyle name="Comma 3 2 3 3 2 9" xfId="20706" xr:uid="{7F9D2B08-32AE-4D87-B1A1-2BE9ACC4A58F}"/>
    <cellStyle name="Comma 3 2 3 3 3" xfId="2606" xr:uid="{B9D20F16-CF4A-405E-8078-4B225D8D0FE9}"/>
    <cellStyle name="Comma 3 2 3 3 3 2" xfId="19723" xr:uid="{831AD4D2-DF33-4523-9437-6E9DE471F584}"/>
    <cellStyle name="Comma 3 2 3 3 3 2 2" xfId="21359" xr:uid="{1D57BD79-A8BF-43E4-AEE9-09D086EFEEB0}"/>
    <cellStyle name="Comma 3 2 3 3 3 3" xfId="19955" xr:uid="{851837FD-D397-42DF-97CE-D0466F2E9CEC}"/>
    <cellStyle name="Comma 3 2 3 3 3 3 2" xfId="22436" xr:uid="{C88D5972-C014-45FF-B577-A94E4070B8BE}"/>
    <cellStyle name="Comma 3 2 3 3 3 4" xfId="19956" xr:uid="{3EAEF948-7909-4D05-A2DB-93FB1D2536B9}"/>
    <cellStyle name="Comma 3 2 3 3 3 4 2" xfId="22693" xr:uid="{144F0DF2-C015-4C5E-8FE0-1F4B670553AC}"/>
    <cellStyle name="Comma 3 2 3 3 3 5" xfId="19957" xr:uid="{4259BC69-71C5-45D3-9BE3-33E6C4682D09}"/>
    <cellStyle name="Comma 3 2 3 3 3 5 2" xfId="22694" xr:uid="{55E66717-CAA0-4DF3-800A-5712EC9378BC}"/>
    <cellStyle name="Comma 3 2 3 3 3 6" xfId="20790" xr:uid="{C44AB656-D397-4786-ADA9-2BC3F5163ADB}"/>
    <cellStyle name="Comma 3 2 3 3 4" xfId="19662" xr:uid="{6F60EB20-696D-4325-81D5-48E4F909DEB2}"/>
    <cellStyle name="Comma 3 2 3 3 4 2" xfId="19958" xr:uid="{2426D865-E32D-4AC8-9118-75DDC87E8347}"/>
    <cellStyle name="Comma 3 2 3 3 4 2 2" xfId="21360" xr:uid="{016BD838-9199-4368-9FDD-BD480F93E281}"/>
    <cellStyle name="Comma 3 2 3 3 4 3" xfId="20952" xr:uid="{70433F6F-6FD1-4093-98A5-D93E0B8FE573}"/>
    <cellStyle name="Comma 3 2 3 3 5" xfId="19721" xr:uid="{567B513B-315A-4DA3-8AA9-EA337972313A}"/>
    <cellStyle name="Comma 3 2 3 3 5 2" xfId="21063" xr:uid="{3786FCD8-F73F-4D3B-A58A-05F0EF95A42C}"/>
    <cellStyle name="Comma 3 2 3 3 6" xfId="19959" xr:uid="{209B3AF4-AEC1-414F-899A-29B8A47DC9C3}"/>
    <cellStyle name="Comma 3 2 3 3 6 2" xfId="21357" xr:uid="{7F1A7A84-2777-4613-A65E-70E687CB3281}"/>
    <cellStyle name="Comma 3 2 3 3 7" xfId="19960" xr:uid="{462E9EC2-222B-4DA7-B527-EAE5D6E1506C}"/>
    <cellStyle name="Comma 3 2 3 3 7 2" xfId="22141" xr:uid="{717485C3-F7F5-454E-B06E-CBA153273E8D}"/>
    <cellStyle name="Comma 3 2 3 3 8" xfId="19961" xr:uid="{CD5F4300-35BD-441F-8058-AD03C62EF0C5}"/>
    <cellStyle name="Comma 3 2 3 3 8 2" xfId="22695" xr:uid="{BAF48A0C-95BE-4BEF-B8EF-02CFBF450155}"/>
    <cellStyle name="Comma 3 2 3 3 9" xfId="19962" xr:uid="{4DB41AC1-F381-44B0-B6EE-2B2475FC8F6F}"/>
    <cellStyle name="Comma 3 2 3 3 9 2" xfId="22696" xr:uid="{1A0C5E67-9F6A-4A46-A188-5CA3A03F6EDB}"/>
    <cellStyle name="Comma 3 2 3 4" xfId="103" xr:uid="{C5FE67FD-2973-46DD-A606-ACB423EB894A}"/>
    <cellStyle name="Comma 3 2 3 4 10" xfId="20707" xr:uid="{D5471952-354C-42B5-8CAD-6414BE91CFF1}"/>
    <cellStyle name="Comma 3 2 3 4 2" xfId="104" xr:uid="{F2F32F0C-48F7-4979-BB6D-5B0F7DFC0D21}"/>
    <cellStyle name="Comma 3 2 3 4 2 2" xfId="19725" xr:uid="{90984EB5-C7AA-41AE-B26B-EF9BBBEC17C7}"/>
    <cellStyle name="Comma 3 2 3 4 2 2 2" xfId="20787" xr:uid="{78DE4FA1-7DF2-4819-B1C1-6EA461A0A478}"/>
    <cellStyle name="Comma 3 2 3 4 2 3" xfId="19963" xr:uid="{E5B7EBBE-BDA7-436C-B2A7-CAD2433EF892}"/>
    <cellStyle name="Comma 3 2 3 4 2 3 2" xfId="20955" xr:uid="{3C985055-F612-4E51-8120-5FD57D117859}"/>
    <cellStyle name="Comma 3 2 3 4 2 4" xfId="19964" xr:uid="{9599DFC0-EFBA-46C3-B2AA-8C3CB20D665C}"/>
    <cellStyle name="Comma 3 2 3 4 2 4 2" xfId="21066" xr:uid="{FAFCE395-1B4A-4AC5-8D6C-775ABEE9EE70}"/>
    <cellStyle name="Comma 3 2 3 4 2 5" xfId="19965" xr:uid="{1589830D-14BD-411F-B471-2CF68DDF3EE2}"/>
    <cellStyle name="Comma 3 2 3 4 2 5 2" xfId="21362" xr:uid="{0CA101DD-50C8-4D77-85D7-8E1F0E8BA123}"/>
    <cellStyle name="Comma 3 2 3 4 2 6" xfId="19966" xr:uid="{FB333002-2782-4DAD-B04F-26B19E32D68E}"/>
    <cellStyle name="Comma 3 2 3 4 2 6 2" xfId="22144" xr:uid="{4B3C2D39-AC8C-4283-BD66-43A777D2B904}"/>
    <cellStyle name="Comma 3 2 3 4 2 7" xfId="19967" xr:uid="{D1FBF99B-BB92-4991-9053-7BC5BDB3FA3B}"/>
    <cellStyle name="Comma 3 2 3 4 2 7 2" xfId="22697" xr:uid="{DD4F24AE-AABA-4642-89CA-83A1FC21FC8E}"/>
    <cellStyle name="Comma 3 2 3 4 2 8" xfId="19968" xr:uid="{3364A42B-1E93-41EE-8709-E62CBF9A68C8}"/>
    <cellStyle name="Comma 3 2 3 4 2 8 2" xfId="22698" xr:uid="{88855A1C-9AB5-4D32-95C3-75DD71E4A970}"/>
    <cellStyle name="Comma 3 2 3 4 2 9" xfId="20708" xr:uid="{E4E01EB8-4A99-4328-BE7D-8F9C5FEA78DF}"/>
    <cellStyle name="Comma 3 2 3 4 3" xfId="2608" xr:uid="{E8474B13-AAF8-4EBB-AA0C-B07E92AAE760}"/>
    <cellStyle name="Comma 3 2 3 4 3 2" xfId="19969" xr:uid="{DABD7761-2711-4263-AADB-18A287901F81}"/>
    <cellStyle name="Comma 3 2 3 4 3 2 2" xfId="22438" xr:uid="{723E8C00-0CB5-464D-90F2-2F27ED1C44CA}"/>
    <cellStyle name="Comma 3 2 3 4 3 3" xfId="19970" xr:uid="{088FFA72-1206-47E5-968B-1A04C158914F}"/>
    <cellStyle name="Comma 3 2 3 4 3 3 2" xfId="22699" xr:uid="{0C99854C-AF92-424E-AE42-3B2C08ED3C29}"/>
    <cellStyle name="Comma 3 2 3 4 3 4" xfId="20788" xr:uid="{03E3EC37-727C-4590-ACE3-D040FC74D438}"/>
    <cellStyle name="Comma 3 2 3 4 4" xfId="19724" xr:uid="{BD9D1F5D-40D1-4329-9262-97CB3390B45C}"/>
    <cellStyle name="Comma 3 2 3 4 4 2" xfId="20954" xr:uid="{60413BCC-BC5F-401C-809E-DF7A828A1BBE}"/>
    <cellStyle name="Comma 3 2 3 4 5" xfId="19971" xr:uid="{33C8EB69-A434-4298-A760-A411A3CF8C42}"/>
    <cellStyle name="Comma 3 2 3 4 5 2" xfId="21065" xr:uid="{AF5462BD-9454-428E-838C-4435522BA775}"/>
    <cellStyle name="Comma 3 2 3 4 6" xfId="19972" xr:uid="{24BAC514-BD36-44C9-8B4B-B0DC114737A7}"/>
    <cellStyle name="Comma 3 2 3 4 6 2" xfId="21361" xr:uid="{1AE18FE5-2BE7-44CE-A654-4E9E5FFA5409}"/>
    <cellStyle name="Comma 3 2 3 4 7" xfId="19973" xr:uid="{E6F6CD8B-C15B-4AC8-8A24-609D3A210EB1}"/>
    <cellStyle name="Comma 3 2 3 4 7 2" xfId="22143" xr:uid="{E05F40E2-50C0-4A46-9604-34C00453C62D}"/>
    <cellStyle name="Comma 3 2 3 4 8" xfId="19974" xr:uid="{0069D6A5-1222-4DB6-9C00-D74C4F9DA203}"/>
    <cellStyle name="Comma 3 2 3 4 8 2" xfId="22700" xr:uid="{77292BC6-F84B-4BFC-ADD1-57DA6173C55D}"/>
    <cellStyle name="Comma 3 2 3 4 9" xfId="19975" xr:uid="{F644501D-DF87-43A2-9593-B15695C78F31}"/>
    <cellStyle name="Comma 3 2 3 4 9 2" xfId="22701" xr:uid="{211A579C-AAD4-48B7-949B-69B5A969C685}"/>
    <cellStyle name="Comma 3 2 3 5" xfId="2604" xr:uid="{81DBCE01-D2F8-42B3-AC85-D60ADBADA7D6}"/>
    <cellStyle name="Comma 3 2 3 5 2" xfId="19726" xr:uid="{7D46B1F6-4A88-493C-98EA-4B275B5D1BAF}"/>
    <cellStyle name="Comma 3 2 3 5 2 2" xfId="21363" xr:uid="{2179691C-B4FB-40DE-B32A-57C5EFDE95F3}"/>
    <cellStyle name="Comma 3 2 3 5 3" xfId="19976" xr:uid="{0C7CE740-3CF2-4C80-9F93-31E1962E201D}"/>
    <cellStyle name="Comma 3 2 3 5 3 2" xfId="22434" xr:uid="{18F5258F-EAD8-494B-8458-96F79B548594}"/>
    <cellStyle name="Comma 3 2 3 5 4" xfId="19977" xr:uid="{A738A584-0082-479B-9466-A3DA38FB3091}"/>
    <cellStyle name="Comma 3 2 3 5 4 2" xfId="22702" xr:uid="{053455CF-C220-499D-B5AE-703CB7F70C9A}"/>
    <cellStyle name="Comma 3 2 3 5 5" xfId="19978" xr:uid="{89F596EF-F097-48F5-8206-E0723616C72C}"/>
    <cellStyle name="Comma 3 2 3 5 5 2" xfId="22703" xr:uid="{B23CEEA1-EE0C-41A5-884D-990C5D3A9939}"/>
    <cellStyle name="Comma 3 2 3 5 6" xfId="20792" xr:uid="{FF338745-04D6-460C-A763-AC42ACD04C7C}"/>
    <cellStyle name="Comma 3 2 3 6" xfId="19719" xr:uid="{A29AB6D1-3C22-4186-87DD-996C089CFA35}"/>
    <cellStyle name="Comma 3 2 3 6 2" xfId="20950" xr:uid="{A472E7F5-4C12-4BDB-950C-25A9D0F4CA95}"/>
    <cellStyle name="Comma 3 2 3 7" xfId="19979" xr:uid="{59F4F641-5603-4D6C-9F3C-EC0239C0EB8A}"/>
    <cellStyle name="Comma 3 2 3 7 2" xfId="21061" xr:uid="{39BE8153-80F3-491D-A4CC-CF904366A417}"/>
    <cellStyle name="Comma 3 2 3 8" xfId="19980" xr:uid="{75250870-A08B-419A-A176-9FA5AA67BFE8}"/>
    <cellStyle name="Comma 3 2 3 8 2" xfId="21355" xr:uid="{B5820F3D-01DC-46E1-8F27-270359876A4F}"/>
    <cellStyle name="Comma 3 2 3 9" xfId="19981" xr:uid="{F680A49A-2366-4E31-9FCA-A3CB9CC165AB}"/>
    <cellStyle name="Comma 3 2 3 9 2" xfId="22139" xr:uid="{B15B0D87-F4D9-47A9-9C1A-44166AF407CC}"/>
    <cellStyle name="Comma 3 2 4" xfId="105" xr:uid="{A73EF3CE-DD84-4EFF-924F-F908C5AE8C23}"/>
    <cellStyle name="Comma 3 2 4 2" xfId="2609" xr:uid="{67EBCDEB-2BCF-4847-AA31-C535B8C39175}"/>
    <cellStyle name="Comma 3 2 4 2 2" xfId="19728" xr:uid="{F20698FE-6554-483A-A869-695190695699}"/>
    <cellStyle name="Comma 3 2 4 2 2 2" xfId="21365" xr:uid="{5DD53770-47EE-415B-9D1A-874CCEA3B34A}"/>
    <cellStyle name="Comma 3 2 4 2 3" xfId="19982" xr:uid="{C864ADD4-B5E0-4D4E-BEF0-DEBE30EB71B7}"/>
    <cellStyle name="Comma 3 2 4 2 3 2" xfId="22439" xr:uid="{FBF93857-1161-4E0F-878B-A4886269B992}"/>
    <cellStyle name="Comma 3 2 4 2 4" xfId="19983" xr:uid="{C6BC6A11-7596-402F-9A93-89D98D636546}"/>
    <cellStyle name="Comma 3 2 4 2 4 2" xfId="22704" xr:uid="{07AA287C-5307-407B-A4D1-A8DB34C5B068}"/>
    <cellStyle name="Comma 3 2 4 2 5" xfId="20786" xr:uid="{A5FE836C-256F-4151-9281-97D8B625AF5A}"/>
    <cellStyle name="Comma 3 2 4 3" xfId="19663" xr:uid="{CB62D6C6-8259-404B-A52A-D2833DB15904}"/>
    <cellStyle name="Comma 3 2 4 3 2" xfId="19984" xr:uid="{0B1FB051-25D9-40FC-99FA-05FC72866375}"/>
    <cellStyle name="Comma 3 2 4 3 2 2" xfId="21366" xr:uid="{236E252E-20BB-4299-B077-C12EDC97ADDE}"/>
    <cellStyle name="Comma 3 2 4 3 3" xfId="20956" xr:uid="{19C770C1-6FCF-4DC9-A01F-5DBEA5C79E86}"/>
    <cellStyle name="Comma 3 2 4 4" xfId="19727" xr:uid="{7E4954B0-E560-4722-B157-6AAFA245A38E}"/>
    <cellStyle name="Comma 3 2 4 4 2" xfId="21067" xr:uid="{BE092F02-1A1E-4E25-A7CD-0641B77AE524}"/>
    <cellStyle name="Comma 3 2 4 5" xfId="19985" xr:uid="{99CBAFB0-0F70-4DDF-9615-75188F1E7C69}"/>
    <cellStyle name="Comma 3 2 4 5 2" xfId="21364" xr:uid="{81C012E5-0552-4216-9290-5CEB53B77609}"/>
    <cellStyle name="Comma 3 2 4 6" xfId="19986" xr:uid="{65D0C38F-AAE0-4370-BEC0-986B28271406}"/>
    <cellStyle name="Comma 3 2 4 6 2" xfId="22145" xr:uid="{289DC453-394C-4A11-91DB-3918A4A68FF3}"/>
    <cellStyle name="Comma 3 2 4 7" xfId="19987" xr:uid="{CD2ECF5F-8139-4AD3-BFD3-B08647684885}"/>
    <cellStyle name="Comma 3 2 4 7 2" xfId="22705" xr:uid="{D89580A2-BA7A-4E70-ABD9-54C037501E84}"/>
    <cellStyle name="Comma 3 2 4 8" xfId="19988" xr:uid="{942E08BD-06C9-44D2-9E70-2A93092A7F70}"/>
    <cellStyle name="Comma 3 2 4 8 2" xfId="22706" xr:uid="{AD4071FE-7E83-4E3C-BE35-A93E13EFCDC4}"/>
    <cellStyle name="Comma 3 2 4 9" xfId="20709" xr:uid="{645EC2F2-35D7-4622-9775-F7A1C3141985}"/>
    <cellStyle name="Comma 3 2 5" xfId="2601" xr:uid="{2A3D195E-755F-4953-B2BF-97A7799585BB}"/>
    <cellStyle name="Comma 3 2 5 2" xfId="19729" xr:uid="{353C8DEF-2C78-45BE-B03F-43BF8D77081C}"/>
    <cellStyle name="Comma 3 2 5 2 2" xfId="21367" xr:uid="{CDC355BC-A6D5-442A-984A-D41361A79634}"/>
    <cellStyle name="Comma 3 2 5 3" xfId="19989" xr:uid="{3ACF7E53-7B7C-4818-81F1-56E27C4B88A2}"/>
    <cellStyle name="Comma 3 2 5 3 2" xfId="22431" xr:uid="{8EA4391D-BA24-4C94-8499-9A543374ED5B}"/>
    <cellStyle name="Comma 3 2 5 4" xfId="19990" xr:uid="{84328A11-FC5E-48A1-9CD7-2028B86704A7}"/>
    <cellStyle name="Comma 3 2 5 4 2" xfId="22707" xr:uid="{8BF99EFF-1E75-4DBF-8B7A-01759E5AB0BD}"/>
    <cellStyle name="Comma 3 2 5 5" xfId="20700" xr:uid="{E0F45B5B-2ECF-41D7-8867-F52653056848}"/>
    <cellStyle name="Comma 3 2 6" xfId="19661" xr:uid="{4CA54F4A-F372-499E-91DE-BE0E70C91E0B}"/>
    <cellStyle name="Comma 3 2 6 2" xfId="19991" xr:uid="{D2AAC6F8-B63B-4B23-9061-A26A7247BB73}"/>
    <cellStyle name="Comma 3 2 6 2 2" xfId="21352" xr:uid="{A3290A37-DA60-4300-A14F-E522BF6B797C}"/>
    <cellStyle name="Comma 3 2 6 3" xfId="20795" xr:uid="{B0CF3F4B-E643-4418-A0C0-C71FBD5FDC9C}"/>
    <cellStyle name="Comma 3 2 7" xfId="19693" xr:uid="{7DF34698-837C-49DC-8DB7-CF1E5C2B0231}"/>
    <cellStyle name="Comma 3 2 7 2" xfId="20947" xr:uid="{C1F898DA-E535-495D-B686-0780A62C7DFC}"/>
    <cellStyle name="Comma 3 2 8" xfId="19992" xr:uid="{BE31E466-DE99-4C0B-9617-BC8CEF9D47A7}"/>
    <cellStyle name="Comma 3 2 8 2" xfId="21058" xr:uid="{C73E9D29-58DE-4C46-8C2F-C77D5AFAC9E9}"/>
    <cellStyle name="Comma 3 2 9" xfId="5778" xr:uid="{623206B7-166B-44CC-A9E5-D2DD4A01AFC3}"/>
    <cellStyle name="Comma 3 2 9 2" xfId="21156" xr:uid="{5F2E1B70-BCD9-4ABD-8D25-DAA9FADD42A6}"/>
    <cellStyle name="Comma 3 20" xfId="20684" xr:uid="{89B1C956-07DC-4F37-8894-7953BD5D673E}"/>
    <cellStyle name="Comma 3 3" xfId="106" xr:uid="{D48BE05D-3E46-42BD-B6E2-1B1D810EF24F}"/>
    <cellStyle name="Comma 3 3 10" xfId="19993" xr:uid="{8917193B-B0DC-47CE-82A1-250437670CD0}"/>
    <cellStyle name="Comma 3 3 10 2" xfId="22708" xr:uid="{6EA4392F-AE80-4626-AD58-D0DAFE1A0051}"/>
    <cellStyle name="Comma 3 3 11" xfId="19994" xr:uid="{464571CE-6D57-4AE1-AE2D-58AA934145F4}"/>
    <cellStyle name="Comma 3 3 11 2" xfId="22709" xr:uid="{9900A2EB-F17B-4403-B78D-6ED2A281B571}"/>
    <cellStyle name="Comma 3 3 12" xfId="20686" xr:uid="{3B884938-F241-4571-8183-A95F13D99CA1}"/>
    <cellStyle name="Comma 3 3 2" xfId="107" xr:uid="{02823854-9024-4C1A-B8B0-6F07A32BE771}"/>
    <cellStyle name="Comma 3 3 2 10" xfId="20711" xr:uid="{1C2EDC9B-C067-4D41-A875-10BDE13E30D7}"/>
    <cellStyle name="Comma 3 3 2 2" xfId="108" xr:uid="{B5904A17-90B5-4D42-83E8-A97671854268}"/>
    <cellStyle name="Comma 3 3 2 2 2" xfId="2612" xr:uid="{59296652-D0CB-4F8A-AAB8-587A8576842F}"/>
    <cellStyle name="Comma 3 3 2 2 2 2" xfId="19995" xr:uid="{87539253-DAD1-42C6-9EB3-C0CFCD012C0A}"/>
    <cellStyle name="Comma 3 3 2 2 2 2 2" xfId="22442" xr:uid="{0EF44EBB-A3DE-47D1-AB42-CC06D9479466}"/>
    <cellStyle name="Comma 3 3 2 2 2 3" xfId="19996" xr:uid="{D588E60D-2E4B-4CF0-A786-2CAC033A9196}"/>
    <cellStyle name="Comma 3 3 2 2 2 3 2" xfId="22710" xr:uid="{5F77B94B-6126-4E8F-9C42-32D650D74DDE}"/>
    <cellStyle name="Comma 3 3 2 2 2 4" xfId="20783" xr:uid="{44C5DF2D-AAFA-4D0A-B982-DD93B5E6DC1C}"/>
    <cellStyle name="Comma 3 3 2 2 3" xfId="19732" xr:uid="{DFADDA9C-E7ED-43AB-B985-1ADBA55BB6D7}"/>
    <cellStyle name="Comma 3 3 2 2 3 2" xfId="20959" xr:uid="{3EC36A67-9850-4071-B7DD-74A7E2FC28F8}"/>
    <cellStyle name="Comma 3 3 2 2 4" xfId="19997" xr:uid="{2E80F47C-4163-4434-A3F8-62FAB459F6C1}"/>
    <cellStyle name="Comma 3 3 2 2 4 2" xfId="21070" xr:uid="{9649A9CF-9A78-4FFF-824F-264D9EBED4C6}"/>
    <cellStyle name="Comma 3 3 2 2 5" xfId="19998" xr:uid="{BE8DF917-799D-4428-AA68-391DE2518CAE}"/>
    <cellStyle name="Comma 3 3 2 2 5 2" xfId="21370" xr:uid="{7C01EE9E-92B6-4A6E-B029-F146A1A5A513}"/>
    <cellStyle name="Comma 3 3 2 2 6" xfId="19999" xr:uid="{44E26D8F-F207-4B93-90DE-1456EC5C1FF5}"/>
    <cellStyle name="Comma 3 3 2 2 6 2" xfId="22148" xr:uid="{3AB94CAB-9EE9-41BC-8F93-7807B9C3F72D}"/>
    <cellStyle name="Comma 3 3 2 2 7" xfId="20000" xr:uid="{1A92E249-FE9B-4459-A6E7-C345B3AEB3C5}"/>
    <cellStyle name="Comma 3 3 2 2 7 2" xfId="22711" xr:uid="{B778C2E6-E832-42C6-B1C2-8517C9CA7A9B}"/>
    <cellStyle name="Comma 3 3 2 2 8" xfId="20001" xr:uid="{E6D9E0E6-50AE-4EA5-A052-269691CBF244}"/>
    <cellStyle name="Comma 3 3 2 2 8 2" xfId="22712" xr:uid="{7E534414-0E30-4718-9B92-142E8D4E04B4}"/>
    <cellStyle name="Comma 3 3 2 2 9" xfId="20712" xr:uid="{ABC3B0D5-4964-4B3F-9E1D-F3BEF8FBBE67}"/>
    <cellStyle name="Comma 3 3 2 3" xfId="2611" xr:uid="{46FE9BD5-21C6-4BA3-A4B0-9597009EDD6F}"/>
    <cellStyle name="Comma 3 3 2 3 2" xfId="19731" xr:uid="{1208ADAD-6517-4AF4-96A5-37BE5B60C817}"/>
    <cellStyle name="Comma 3 3 2 3 2 2" xfId="21369" xr:uid="{2082ADCD-4476-49CA-BCA6-FBB0C5C43C25}"/>
    <cellStyle name="Comma 3 3 2 3 3" xfId="20002" xr:uid="{448E2E5E-31DF-4DBC-B40A-7A9DBC2435F7}"/>
    <cellStyle name="Comma 3 3 2 3 3 2" xfId="22441" xr:uid="{08A5B158-490D-4FF0-A3F0-2AAF18D6F371}"/>
    <cellStyle name="Comma 3 3 2 3 4" xfId="20003" xr:uid="{4801E680-FBDE-4DBD-AE18-1C50BF791802}"/>
    <cellStyle name="Comma 3 3 2 3 4 2" xfId="22713" xr:uid="{BE7D06EE-8A4C-422B-9666-796BDCF14A05}"/>
    <cellStyle name="Comma 3 3 2 3 5" xfId="20784" xr:uid="{63020F7E-06F6-4FB4-8770-9D6407CD96CA}"/>
    <cellStyle name="Comma 3 3 2 4" xfId="19696" xr:uid="{6F615105-34EF-45AE-954F-74511E88397B}"/>
    <cellStyle name="Comma 3 3 2 4 2" xfId="20958" xr:uid="{AA281279-0A15-43E4-B3C1-D417EEE5AE90}"/>
    <cellStyle name="Comma 3 3 2 5" xfId="20004" xr:uid="{CDE08292-55DA-4455-8438-492E5D9FED4D}"/>
    <cellStyle name="Comma 3 3 2 5 2" xfId="21069" xr:uid="{E0DA3DAF-B53D-419D-8922-9C603B007B5F}"/>
    <cellStyle name="Comma 3 3 2 6" xfId="20005" xr:uid="{F51359E6-D8D7-413B-BA04-07960178F516}"/>
    <cellStyle name="Comma 3 3 2 6 2" xfId="21159" xr:uid="{2227AC00-3C0D-4331-82F1-022C475C8FCD}"/>
    <cellStyle name="Comma 3 3 2 7" xfId="20006" xr:uid="{E80BC1D0-B714-45F0-BD5C-7672C8B1F2FC}"/>
    <cellStyle name="Comma 3 3 2 7 2" xfId="22147" xr:uid="{4088CDC4-A57D-4CAB-A6AF-F064F795CA48}"/>
    <cellStyle name="Comma 3 3 2 8" xfId="20007" xr:uid="{02903AD3-2E58-45C9-840B-6A141E9E7E58}"/>
    <cellStyle name="Comma 3 3 2 8 2" xfId="22714" xr:uid="{1D811C58-A053-488F-8B47-6F3BB5A9FFDD}"/>
    <cellStyle name="Comma 3 3 2 9" xfId="20008" xr:uid="{E228241B-A499-400C-ABA6-0B9727B3EE49}"/>
    <cellStyle name="Comma 3 3 2 9 2" xfId="22715" xr:uid="{FC7D71A4-DFD4-4F59-BC12-1DC6DA3D8256}"/>
    <cellStyle name="Comma 3 3 3" xfId="109" xr:uid="{A29D7835-3146-407F-9A5A-B15566016D38}"/>
    <cellStyle name="Comma 3 3 3 10" xfId="20009" xr:uid="{E891B43E-5868-42EC-BFFB-D2D0C15EB4A9}"/>
    <cellStyle name="Comma 3 3 3 10 2" xfId="22716" xr:uid="{A5473C9E-B989-40D6-9D7C-E5FF5C2A2AF4}"/>
    <cellStyle name="Comma 3 3 3 11" xfId="20010" xr:uid="{FC0B8E4B-3EFC-4D2F-A8E1-6DF08D60C3B2}"/>
    <cellStyle name="Comma 3 3 3 11 2" xfId="22717" xr:uid="{C0ACB6F7-7E3E-4877-9CBF-9BF85F9C3408}"/>
    <cellStyle name="Comma 3 3 3 12" xfId="20713" xr:uid="{5FCECD4F-2995-4352-A374-C355F0CC2BB2}"/>
    <cellStyle name="Comma 3 3 3 2" xfId="110" xr:uid="{A4A2B5DD-19C4-4C94-8117-59C5A0176AFC}"/>
    <cellStyle name="Comma 3 3 3 2 2" xfId="2614" xr:uid="{695380AB-985D-4018-9F24-1722AD170895}"/>
    <cellStyle name="Comma 3 3 3 2 2 2" xfId="20011" xr:uid="{F69E748C-7AA3-4DAB-A31B-FCEFE515B85A}"/>
    <cellStyle name="Comma 3 3 3 2 2 2 2" xfId="22444" xr:uid="{1BEA77D8-6EE0-4B6F-B6C4-D3CDB04C180D}"/>
    <cellStyle name="Comma 3 3 3 2 2 3" xfId="20012" xr:uid="{00CCDA03-843C-457B-AECC-58215C367835}"/>
    <cellStyle name="Comma 3 3 3 2 2 3 2" xfId="22718" xr:uid="{F40AF720-5A0C-4AA6-998E-5F96518A4527}"/>
    <cellStyle name="Comma 3 3 3 2 2 4" xfId="20818" xr:uid="{7466DD40-2CE4-41B9-A606-F89D18AEEDC4}"/>
    <cellStyle name="Comma 3 3 3 2 3" xfId="19734" xr:uid="{FA1259A8-80E3-48BD-BB84-B272DDB8D628}"/>
    <cellStyle name="Comma 3 3 3 2 3 2" xfId="20961" xr:uid="{D1580EBC-ABA9-474E-BEF1-0F3E10431C8D}"/>
    <cellStyle name="Comma 3 3 3 2 4" xfId="20013" xr:uid="{FB2B8239-0491-451D-8328-1787C5442584}"/>
    <cellStyle name="Comma 3 3 3 2 4 2" xfId="21072" xr:uid="{3E73FE53-23BB-4E99-8AEC-704BCA206E0F}"/>
    <cellStyle name="Comma 3 3 3 2 5" xfId="20014" xr:uid="{3A652972-0955-483E-BDA6-3EB963AE60AD}"/>
    <cellStyle name="Comma 3 3 3 2 5 2" xfId="21372" xr:uid="{8DDEE0CB-A471-49F9-8BBA-5280BB66DB44}"/>
    <cellStyle name="Comma 3 3 3 2 6" xfId="20015" xr:uid="{91CC6C97-EF6F-4A2C-8E31-EADB5DF9265C}"/>
    <cellStyle name="Comma 3 3 3 2 6 2" xfId="22150" xr:uid="{4CA754A2-2655-4099-AB61-F105F37BB38C}"/>
    <cellStyle name="Comma 3 3 3 2 7" xfId="20016" xr:uid="{45082389-22B4-4E6C-B6C6-A15BBE7E3A52}"/>
    <cellStyle name="Comma 3 3 3 2 7 2" xfId="22719" xr:uid="{10C7E1BB-2D72-42CE-B18D-726D27B2EF5F}"/>
    <cellStyle name="Comma 3 3 3 2 8" xfId="20017" xr:uid="{2AE0AFE6-76F1-4DCC-8EF8-09E521FB3978}"/>
    <cellStyle name="Comma 3 3 3 2 8 2" xfId="22720" xr:uid="{4E93FD0D-D82C-4CB6-9621-F483FCADA972}"/>
    <cellStyle name="Comma 3 3 3 2 9" xfId="20714" xr:uid="{9845F268-E860-4E68-B1F5-F386F2F10331}"/>
    <cellStyle name="Comma 3 3 3 3" xfId="111" xr:uid="{9C8E7427-93D0-40E5-B8D3-8BB25CFF5A42}"/>
    <cellStyle name="Comma 3 3 3 3 10" xfId="20715" xr:uid="{5D888EA4-C8BA-46B0-98EC-431FD6E2CEFA}"/>
    <cellStyle name="Comma 3 3 3 3 2" xfId="112" xr:uid="{E3EDFF03-D927-44F8-A1E4-D7B724D07FFF}"/>
    <cellStyle name="Comma 3 3 3 3 2 2" xfId="2616" xr:uid="{8CFF1C89-A371-41D9-BB40-634AE3C29ABF}"/>
    <cellStyle name="Comma 3 3 3 3 2 2 2" xfId="20018" xr:uid="{1B407CD9-FE31-4AE1-B70D-9472CF677155}"/>
    <cellStyle name="Comma 3 3 3 3 2 2 2 2" xfId="22446" xr:uid="{98187A9F-1C03-4EFC-8ADD-715D677D6A1B}"/>
    <cellStyle name="Comma 3 3 3 3 2 2 3" xfId="20019" xr:uid="{96D92112-9D3A-4785-87BC-7BAD1C8676EB}"/>
    <cellStyle name="Comma 3 3 3 3 2 2 3 2" xfId="22721" xr:uid="{60515DB2-96DE-496F-B2F3-B363EB5C4690}"/>
    <cellStyle name="Comma 3 3 3 3 2 2 4" xfId="20820" xr:uid="{C7B5E3A2-11BF-445A-949E-03C7D63E80B7}"/>
    <cellStyle name="Comma 3 3 3 3 2 3" xfId="19736" xr:uid="{6CFC37F7-63D3-49F8-9910-4AC2296D13AE}"/>
    <cellStyle name="Comma 3 3 3 3 2 3 2" xfId="20963" xr:uid="{5B3FAFE8-4E53-4769-9255-AEE5563298F4}"/>
    <cellStyle name="Comma 3 3 3 3 2 4" xfId="20020" xr:uid="{BAF2417F-C960-4FEA-B7C1-190AB5707C78}"/>
    <cellStyle name="Comma 3 3 3 3 2 4 2" xfId="21074" xr:uid="{D0B2B0FD-13DF-4E3B-BDAA-22B467C2C96D}"/>
    <cellStyle name="Comma 3 3 3 3 2 5" xfId="20021" xr:uid="{D103C4F2-F4D1-4329-8476-E65D044D12A6}"/>
    <cellStyle name="Comma 3 3 3 3 2 5 2" xfId="21374" xr:uid="{1ADE0976-A0BB-41DA-955F-B679CEEE3CA3}"/>
    <cellStyle name="Comma 3 3 3 3 2 6" xfId="20022" xr:uid="{5C9223F0-7E3B-4EF7-A635-B0DEEB72A319}"/>
    <cellStyle name="Comma 3 3 3 3 2 6 2" xfId="22152" xr:uid="{C52899A4-038B-43FA-9C0D-482D77DEF27D}"/>
    <cellStyle name="Comma 3 3 3 3 2 7" xfId="20023" xr:uid="{75C2243A-17C2-4ACB-A301-04601BF93575}"/>
    <cellStyle name="Comma 3 3 3 3 2 7 2" xfId="22722" xr:uid="{0B303375-2DE3-4D6C-BA20-0DC47563C9F0}"/>
    <cellStyle name="Comma 3 3 3 3 2 8" xfId="20024" xr:uid="{4092F648-398B-4A2E-914B-3915676E5450}"/>
    <cellStyle name="Comma 3 3 3 3 2 8 2" xfId="22723" xr:uid="{4878C993-CAD4-49EB-90E5-BAE35BE3B916}"/>
    <cellStyle name="Comma 3 3 3 3 2 9" xfId="20716" xr:uid="{CAED4101-AFC2-4B4D-AE6F-CDC0BF366292}"/>
    <cellStyle name="Comma 3 3 3 3 3" xfId="2615" xr:uid="{F179A3C7-673B-413B-B0B2-9A91912CD496}"/>
    <cellStyle name="Comma 3 3 3 3 3 2" xfId="19737" xr:uid="{4806A6BB-1C8A-4E08-AC3F-3FFC0012FF89}"/>
    <cellStyle name="Comma 3 3 3 3 3 2 2" xfId="21375" xr:uid="{A45511BF-E127-4368-9CD6-7B327E1FFFB5}"/>
    <cellStyle name="Comma 3 3 3 3 3 3" xfId="20025" xr:uid="{3B20F6F4-205D-4940-A7B3-71C6D8F74D56}"/>
    <cellStyle name="Comma 3 3 3 3 3 3 2" xfId="22445" xr:uid="{66CF9F6E-C6D1-4628-9013-BB8C2A75E5C7}"/>
    <cellStyle name="Comma 3 3 3 3 3 4" xfId="20026" xr:uid="{4A460306-0A63-464E-93B3-C1DA33A41307}"/>
    <cellStyle name="Comma 3 3 3 3 3 4 2" xfId="22724" xr:uid="{4A2891F5-B48F-4D10-93E4-D39017B3D247}"/>
    <cellStyle name="Comma 3 3 3 3 3 5" xfId="20027" xr:uid="{214E6DAA-C2F2-49AB-9E2D-FF5659DA362A}"/>
    <cellStyle name="Comma 3 3 3 3 3 5 2" xfId="22725" xr:uid="{77229F47-4F09-42C8-9F28-F56B9B42ECCD}"/>
    <cellStyle name="Comma 3 3 3 3 3 6" xfId="20819" xr:uid="{BA4D5A29-AA24-4A19-B66E-1B2D7F2B4A1F}"/>
    <cellStyle name="Comma 3 3 3 3 4" xfId="19664" xr:uid="{0883A03D-D9EC-4F7F-A838-98D64D3D60B7}"/>
    <cellStyle name="Comma 3 3 3 3 4 2" xfId="20028" xr:uid="{625954C1-20BC-4BF7-B551-DE045BCC6757}"/>
    <cellStyle name="Comma 3 3 3 3 4 2 2" xfId="21376" xr:uid="{CD7224B0-1096-448B-9ECF-5223BC44B673}"/>
    <cellStyle name="Comma 3 3 3 3 4 3" xfId="20962" xr:uid="{C267ED7D-239E-40B0-81B5-6E062F2298DD}"/>
    <cellStyle name="Comma 3 3 3 3 5" xfId="19735" xr:uid="{93BD0080-81C8-4950-99C8-BBD37962A899}"/>
    <cellStyle name="Comma 3 3 3 3 5 2" xfId="21073" xr:uid="{DCDFABDD-B3E1-4261-8BF1-0963E49FE409}"/>
    <cellStyle name="Comma 3 3 3 3 6" xfId="20029" xr:uid="{1B736274-EEA6-4048-9C2A-1A38646F7772}"/>
    <cellStyle name="Comma 3 3 3 3 6 2" xfId="21373" xr:uid="{5DBE8C80-EA32-4F13-85B3-66C91ACC4B9B}"/>
    <cellStyle name="Comma 3 3 3 3 7" xfId="20030" xr:uid="{F66F0F18-F691-4C2C-9A04-5502989877BE}"/>
    <cellStyle name="Comma 3 3 3 3 7 2" xfId="22151" xr:uid="{9FB0E5A6-DD6C-482E-A538-F76510A139C3}"/>
    <cellStyle name="Comma 3 3 3 3 8" xfId="20031" xr:uid="{081C2376-B6DB-4B55-A849-8C8609376927}"/>
    <cellStyle name="Comma 3 3 3 3 8 2" xfId="22726" xr:uid="{F4E467C8-F72A-4434-9B46-D492090705C6}"/>
    <cellStyle name="Comma 3 3 3 3 9" xfId="20032" xr:uid="{BCBD29BB-D39B-4A29-89E3-23D2BC8D97E7}"/>
    <cellStyle name="Comma 3 3 3 3 9 2" xfId="22727" xr:uid="{D8E4BA1A-2E93-4A28-8E6C-A715302D2AAC}"/>
    <cellStyle name="Comma 3 3 3 4" xfId="113" xr:uid="{1E6C73C9-2CB6-47B2-8815-74CC749990CE}"/>
    <cellStyle name="Comma 3 3 3 4 10" xfId="20717" xr:uid="{FD45F516-8FF6-45B8-AF91-1D8DE1633D5E}"/>
    <cellStyle name="Comma 3 3 3 4 2" xfId="114" xr:uid="{141AE015-C4D1-4B31-8F17-30D09437BE65}"/>
    <cellStyle name="Comma 3 3 3 4 2 2" xfId="19739" xr:uid="{0F9E07AC-D275-4D66-9C8C-8CF6FF5F3DD4}"/>
    <cellStyle name="Comma 3 3 3 4 2 2 2" xfId="20822" xr:uid="{0D10F829-E86F-4B39-89AE-A02FDC2E4D78}"/>
    <cellStyle name="Comma 3 3 3 4 2 3" xfId="20033" xr:uid="{D17053C0-5607-4E2F-84A9-F6BCE716A6E3}"/>
    <cellStyle name="Comma 3 3 3 4 2 3 2" xfId="20965" xr:uid="{15F18E18-F106-4526-A8BC-8BB5E0F3166E}"/>
    <cellStyle name="Comma 3 3 3 4 2 4" xfId="20034" xr:uid="{247E0197-8773-4FC8-9E1C-D419F4995BF5}"/>
    <cellStyle name="Comma 3 3 3 4 2 4 2" xfId="21076" xr:uid="{3BE99602-2DBD-488D-AFDA-19388CBDA805}"/>
    <cellStyle name="Comma 3 3 3 4 2 5" xfId="20035" xr:uid="{F1F4E3D8-0159-439A-9A46-8D8DB8525409}"/>
    <cellStyle name="Comma 3 3 3 4 2 5 2" xfId="21378" xr:uid="{F294E6F3-4630-429F-A785-98A874F713DD}"/>
    <cellStyle name="Comma 3 3 3 4 2 6" xfId="20036" xr:uid="{B56D630A-3B3A-4113-A289-3A27218FF56C}"/>
    <cellStyle name="Comma 3 3 3 4 2 6 2" xfId="22154" xr:uid="{A6E2ED69-BF4C-4F7F-9F4E-B04C84253F30}"/>
    <cellStyle name="Comma 3 3 3 4 2 7" xfId="20037" xr:uid="{9E4DAFAD-46D1-48CE-A87E-145FA57273E8}"/>
    <cellStyle name="Comma 3 3 3 4 2 7 2" xfId="22728" xr:uid="{9B5A3EBA-6FBE-4C9A-A5B7-EB5145FB06AC}"/>
    <cellStyle name="Comma 3 3 3 4 2 8" xfId="20038" xr:uid="{F46531CD-3F4E-4B1D-ABEA-CE095B28F111}"/>
    <cellStyle name="Comma 3 3 3 4 2 8 2" xfId="22729" xr:uid="{71F8608B-40B4-4A56-9732-A0CAB49A854B}"/>
    <cellStyle name="Comma 3 3 3 4 2 9" xfId="20718" xr:uid="{15A0092D-C4F2-4AC5-A25E-4B4B6612F900}"/>
    <cellStyle name="Comma 3 3 3 4 3" xfId="2617" xr:uid="{535ACF45-CF79-43A7-AF3D-79096E3D4CEA}"/>
    <cellStyle name="Comma 3 3 3 4 3 2" xfId="20039" xr:uid="{6C6DDA87-3E1A-4840-8394-310504A18B58}"/>
    <cellStyle name="Comma 3 3 3 4 3 2 2" xfId="22447" xr:uid="{A1ED8F37-8B2D-4B22-A388-6FDC06B92663}"/>
    <cellStyle name="Comma 3 3 3 4 3 3" xfId="20040" xr:uid="{D672D3D5-6912-4B79-8D61-849E8C9724B3}"/>
    <cellStyle name="Comma 3 3 3 4 3 3 2" xfId="22730" xr:uid="{825A8BBE-72D3-470F-B27F-0E90E04C427D}"/>
    <cellStyle name="Comma 3 3 3 4 3 4" xfId="20821" xr:uid="{0ED29B90-9182-48B9-82E1-122796F990DF}"/>
    <cellStyle name="Comma 3 3 3 4 4" xfId="19738" xr:uid="{8BC5CE77-2782-40A8-B104-33C28AEFFC03}"/>
    <cellStyle name="Comma 3 3 3 4 4 2" xfId="20964" xr:uid="{C5E144C3-B6D8-4ADB-A12F-9CE97C77C87A}"/>
    <cellStyle name="Comma 3 3 3 4 5" xfId="20041" xr:uid="{C6AAAFC9-1529-4589-8D7A-808B9BE0FDBD}"/>
    <cellStyle name="Comma 3 3 3 4 5 2" xfId="21075" xr:uid="{597283F6-3690-4A8B-AAF6-3892B81D783E}"/>
    <cellStyle name="Comma 3 3 3 4 6" xfId="20042" xr:uid="{0560A3D4-5470-4B44-B8E4-56C4BB66172E}"/>
    <cellStyle name="Comma 3 3 3 4 6 2" xfId="21377" xr:uid="{583F9692-73EE-406B-A208-5C5A8A025A6D}"/>
    <cellStyle name="Comma 3 3 3 4 7" xfId="20043" xr:uid="{BD55ABD9-98A7-4B82-A314-E51D8E9C639E}"/>
    <cellStyle name="Comma 3 3 3 4 7 2" xfId="22153" xr:uid="{D633C7F4-FB75-4EFC-AA43-49C6466CC477}"/>
    <cellStyle name="Comma 3 3 3 4 8" xfId="20044" xr:uid="{0284BD67-75B0-4E5C-8D4A-91FC7AE47F59}"/>
    <cellStyle name="Comma 3 3 3 4 8 2" xfId="22731" xr:uid="{7D7C7608-07AE-4287-8E39-CCACCF010DDC}"/>
    <cellStyle name="Comma 3 3 3 4 9" xfId="20045" xr:uid="{1BC9D82B-CFE1-45FE-A756-444636912E79}"/>
    <cellStyle name="Comma 3 3 3 4 9 2" xfId="22732" xr:uid="{816B2003-CEA5-46D0-AC06-9E931351CD86}"/>
    <cellStyle name="Comma 3 3 3 5" xfId="2613" xr:uid="{42F334A3-725C-41F2-B2A0-5C80599015AE}"/>
    <cellStyle name="Comma 3 3 3 5 2" xfId="19740" xr:uid="{98AAC0FF-B816-44A7-8B8C-C05EC6F05546}"/>
    <cellStyle name="Comma 3 3 3 5 2 2" xfId="21379" xr:uid="{DCAB8FD1-A74D-4B10-81BD-BD8DCB1968AA}"/>
    <cellStyle name="Comma 3 3 3 5 3" xfId="20046" xr:uid="{09CF0857-3E53-44BF-A0F8-0F83564CE43E}"/>
    <cellStyle name="Comma 3 3 3 5 3 2" xfId="22443" xr:uid="{95E48415-BDC0-48CE-9F90-E96FC84662CE}"/>
    <cellStyle name="Comma 3 3 3 5 4" xfId="20047" xr:uid="{7C763226-D336-4C90-9D9C-E3BC94676031}"/>
    <cellStyle name="Comma 3 3 3 5 4 2" xfId="22733" xr:uid="{3BC3C780-C99A-4F46-94B6-8393FA7FF9E8}"/>
    <cellStyle name="Comma 3 3 3 5 5" xfId="20048" xr:uid="{B134D61A-5DA9-433D-99F0-D8EE476546A5}"/>
    <cellStyle name="Comma 3 3 3 5 5 2" xfId="22734" xr:uid="{4F50065D-0ED2-41CF-99EF-300294DA9411}"/>
    <cellStyle name="Comma 3 3 3 5 6" xfId="20817" xr:uid="{1BE02F33-48F2-49A2-A396-2CA8E62AB57C}"/>
    <cellStyle name="Comma 3 3 3 6" xfId="19733" xr:uid="{C5BDD087-E0DA-4EA3-A53A-757AEB6B38F8}"/>
    <cellStyle name="Comma 3 3 3 6 2" xfId="20960" xr:uid="{FDDA694D-D501-48F1-9A25-246CEF5AF824}"/>
    <cellStyle name="Comma 3 3 3 7" xfId="20049" xr:uid="{6C1FC17C-42C3-4075-A2AE-E2BA0699E7D7}"/>
    <cellStyle name="Comma 3 3 3 7 2" xfId="21071" xr:uid="{F19222D9-B49D-4EDB-9F4F-856D2BD5BD28}"/>
    <cellStyle name="Comma 3 3 3 8" xfId="20050" xr:uid="{7AA75786-5698-48B0-A36A-75D73E8F372E}"/>
    <cellStyle name="Comma 3 3 3 8 2" xfId="21371" xr:uid="{EF8453C0-F622-45A2-8F3C-946AA2053936}"/>
    <cellStyle name="Comma 3 3 3 9" xfId="20051" xr:uid="{A286F3E2-645F-4274-A1DD-E3A07766E95D}"/>
    <cellStyle name="Comma 3 3 3 9 2" xfId="22149" xr:uid="{ED57BE5E-6A84-4BEF-B761-1C11FE06903D}"/>
    <cellStyle name="Comma 3 3 4" xfId="2610" xr:uid="{256D6783-B87D-4E65-9A0C-3BFA2F824630}"/>
    <cellStyle name="Comma 3 3 4 2" xfId="19730" xr:uid="{F6A7FA5B-E36D-43A7-A945-B1B0664D88C8}"/>
    <cellStyle name="Comma 3 3 4 2 2" xfId="20052" xr:uid="{BB780308-3077-4B4B-A3E7-FBD4FC3C5BCF}"/>
    <cellStyle name="Comma 3 3 4 2 2 2" xfId="22735" xr:uid="{8A616D9A-A678-402D-9BC2-D8854835FAD1}"/>
    <cellStyle name="Comma 3 3 4 2 3" xfId="21368" xr:uid="{7E1717A1-8C7C-4F96-BCC7-BE4DC4AEDE1C}"/>
    <cellStyle name="Comma 3 3 4 3" xfId="20053" xr:uid="{FA1663BF-F681-4CCC-B27C-2B6A810DDC34}"/>
    <cellStyle name="Comma 3 3 4 3 2" xfId="22440" xr:uid="{30F19781-65A3-4F0E-A1C8-0F45AF0A79E6}"/>
    <cellStyle name="Comma 3 3 4 4" xfId="5779" xr:uid="{7159C7C9-C892-4E5B-9F46-C3446725377B}"/>
    <cellStyle name="Comma 3 3 4 4 2" xfId="22736" xr:uid="{A1603D02-434B-41E6-B35D-DB2B59A9DBD4}"/>
    <cellStyle name="Comma 3 3 4 5" xfId="20054" xr:uid="{06F5931F-23B0-4C77-95A5-0C9DD0A40E83}"/>
    <cellStyle name="Comma 3 3 4 5 2" xfId="22737" xr:uid="{635DEBE4-4E30-43F9-9065-6B953C7E5261}"/>
    <cellStyle name="Comma 3 3 4 6" xfId="20710" xr:uid="{71E703C9-FA74-4002-890D-4C51C7358CAC}"/>
    <cellStyle name="Comma 3 3 5" xfId="19695" xr:uid="{CEEF618F-1B8C-43B3-AF30-A96E4C03FCBE}"/>
    <cellStyle name="Comma 3 3 5 2" xfId="20785" xr:uid="{BE032FD9-F906-41C1-AF94-2F92B08D81F8}"/>
    <cellStyle name="Comma 3 3 6" xfId="20055" xr:uid="{BA1A0F84-432D-4453-9659-153863080BFA}"/>
    <cellStyle name="Comma 3 3 6 2" xfId="20957" xr:uid="{6C114BD3-A3FB-4AFE-87B0-B1361F03C2CF}"/>
    <cellStyle name="Comma 3 3 7" xfId="20056" xr:uid="{6D31E6F9-516B-4EA8-A377-157C146ECA4E}"/>
    <cellStyle name="Comma 3 3 7 2" xfId="21068" xr:uid="{8BFEBD5D-5B13-4CE6-A955-CD13C4289601}"/>
    <cellStyle name="Comma 3 3 8" xfId="5780" xr:uid="{3978B0C1-39F8-497D-BEB3-7A8CAAB245C7}"/>
    <cellStyle name="Comma 3 3 8 2" xfId="21158" xr:uid="{67AF0200-D6FD-433B-AD1C-092942E3E131}"/>
    <cellStyle name="Comma 3 3 9" xfId="20057" xr:uid="{CBCB60CE-F061-49F0-8D7D-4A1A4D426EDC}"/>
    <cellStyle name="Comma 3 3 9 2" xfId="22146" xr:uid="{5108223D-45A9-4BD4-B69A-082259D50CE1}"/>
    <cellStyle name="Comma 3 4" xfId="115" xr:uid="{C6093F36-A0E3-47B0-B842-8CADDB2A0C57}"/>
    <cellStyle name="Comma 3 4 10" xfId="20058" xr:uid="{79D52191-A400-41A3-B0B4-6F3B92F82147}"/>
    <cellStyle name="Comma 3 4 10 2" xfId="22738" xr:uid="{1A839938-7E94-4093-BCE8-720C6A6DE7F4}"/>
    <cellStyle name="Comma 3 4 11" xfId="20719" xr:uid="{1B8CC42E-E806-434B-AA43-A135E8B05BBF}"/>
    <cellStyle name="Comma 3 4 2" xfId="116" xr:uid="{CBAAB6B4-1710-4118-964B-B8D0ACA03A6D}"/>
    <cellStyle name="Comma 3 4 2 10" xfId="20059" xr:uid="{0319AB1C-A605-4E05-AFBE-493F8CDEB2B7}"/>
    <cellStyle name="Comma 3 4 2 10 2" xfId="22739" xr:uid="{167EB3DF-3886-45D3-9185-6CCB7B8B421A}"/>
    <cellStyle name="Comma 3 4 2 11" xfId="20060" xr:uid="{AC0943F7-219B-4ABF-878B-945668D93137}"/>
    <cellStyle name="Comma 3 4 2 11 2" xfId="22740" xr:uid="{CE208472-D2D0-4A4D-9141-305384C7C413}"/>
    <cellStyle name="Comma 3 4 2 12" xfId="20720" xr:uid="{FD085A5C-D88F-452D-9AD8-920EFC6D5316}"/>
    <cellStyle name="Comma 3 4 2 2" xfId="117" xr:uid="{34DBC362-F559-4E08-8956-857B41700128}"/>
    <cellStyle name="Comma 3 4 2 2 2" xfId="2620" xr:uid="{E6E3E672-F059-4C52-9DBB-EEEE87D364B7}"/>
    <cellStyle name="Comma 3 4 2 2 2 2" xfId="20061" xr:uid="{648CA030-7498-42B7-AACE-F10BC2048AD1}"/>
    <cellStyle name="Comma 3 4 2 2 2 2 2" xfId="22450" xr:uid="{70DB362D-B6CD-41B0-B779-65EB00EC53C7}"/>
    <cellStyle name="Comma 3 4 2 2 2 3" xfId="20062" xr:uid="{D6DDDC60-B677-45C2-A6F8-DD7A148B27C2}"/>
    <cellStyle name="Comma 3 4 2 2 2 3 2" xfId="22741" xr:uid="{4E69D67F-3B41-4AF3-8290-C4EC9949D73E}"/>
    <cellStyle name="Comma 3 4 2 2 2 4" xfId="20825" xr:uid="{2B8417CA-0C49-4F65-A44A-F5B4EF8059A2}"/>
    <cellStyle name="Comma 3 4 2 2 3" xfId="19742" xr:uid="{30F590DA-F002-46C5-A4D5-657AA56E37E0}"/>
    <cellStyle name="Comma 3 4 2 2 3 2" xfId="20968" xr:uid="{CDB7AD44-5539-47EF-A67F-E8E06E9E56D0}"/>
    <cellStyle name="Comma 3 4 2 2 4" xfId="20063" xr:uid="{64A69313-51BB-4CF6-B037-A49E39C5C4C0}"/>
    <cellStyle name="Comma 3 4 2 2 4 2" xfId="21079" xr:uid="{80086E7F-6AA8-4E1B-BF46-00D94A9BC9AB}"/>
    <cellStyle name="Comma 3 4 2 2 5" xfId="20064" xr:uid="{31ACF193-AC70-4657-A69B-2DAA748308B6}"/>
    <cellStyle name="Comma 3 4 2 2 5 2" xfId="21382" xr:uid="{7BF0315C-0206-4A86-8134-BAB5151D5F1F}"/>
    <cellStyle name="Comma 3 4 2 2 6" xfId="20065" xr:uid="{74A79D41-19E9-46F0-B75E-2B732EB9BA90}"/>
    <cellStyle name="Comma 3 4 2 2 6 2" xfId="22157" xr:uid="{24E52F0B-94CA-4E51-BBE3-E655253BF2C1}"/>
    <cellStyle name="Comma 3 4 2 2 7" xfId="20066" xr:uid="{85130C89-EE0C-4B61-ADC5-4D48E4FD00CC}"/>
    <cellStyle name="Comma 3 4 2 2 7 2" xfId="22742" xr:uid="{57CB6AC1-CD5C-403A-8B34-D911ACF50D77}"/>
    <cellStyle name="Comma 3 4 2 2 8" xfId="20067" xr:uid="{DA05E6FE-7B49-47CD-BEA8-2C32793CF36C}"/>
    <cellStyle name="Comma 3 4 2 2 8 2" xfId="22743" xr:uid="{E6892591-D724-4A4D-A897-606AAC61048A}"/>
    <cellStyle name="Comma 3 4 2 2 9" xfId="20721" xr:uid="{14D1FA08-BC62-4570-907E-7B55DB441FEC}"/>
    <cellStyle name="Comma 3 4 2 3" xfId="118" xr:uid="{4AB11A44-51D2-4436-BCAD-B4143D9A6C04}"/>
    <cellStyle name="Comma 3 4 2 3 10" xfId="20722" xr:uid="{931D36E8-B09A-4111-A874-90A593D4D551}"/>
    <cellStyle name="Comma 3 4 2 3 2" xfId="119" xr:uid="{201F2B42-D7B3-4DDB-B965-A82BCEF293A9}"/>
    <cellStyle name="Comma 3 4 2 3 2 2" xfId="2622" xr:uid="{13D52415-0418-4C2F-8658-AA064B39C2C2}"/>
    <cellStyle name="Comma 3 4 2 3 2 2 2" xfId="20068" xr:uid="{954FF5B6-66D8-4CBA-9326-AC3552D4DB08}"/>
    <cellStyle name="Comma 3 4 2 3 2 2 2 2" xfId="22452" xr:uid="{C70165CA-3310-4D08-984E-9D568BEFED4E}"/>
    <cellStyle name="Comma 3 4 2 3 2 2 3" xfId="20069" xr:uid="{C05D7ADD-0607-4173-AA68-55D1ED61B140}"/>
    <cellStyle name="Comma 3 4 2 3 2 2 3 2" xfId="22744" xr:uid="{2530F49A-E0BB-4D20-99B6-0C059E9E2BEE}"/>
    <cellStyle name="Comma 3 4 2 3 2 2 4" xfId="20827" xr:uid="{325C6515-6A91-4612-A7F9-23CDEF68B5DF}"/>
    <cellStyle name="Comma 3 4 2 3 2 3" xfId="19744" xr:uid="{0A51EAFB-28FF-458B-9711-5A468E3C9B53}"/>
    <cellStyle name="Comma 3 4 2 3 2 3 2" xfId="20970" xr:uid="{33C15EBE-8299-46D2-8A2F-74D7A30C5720}"/>
    <cellStyle name="Comma 3 4 2 3 2 4" xfId="20070" xr:uid="{F9AFF8CF-46A1-448B-8BF1-8ED2166D3745}"/>
    <cellStyle name="Comma 3 4 2 3 2 4 2" xfId="21081" xr:uid="{A2BB482F-2D06-4892-B415-D64D0AE4B5A9}"/>
    <cellStyle name="Comma 3 4 2 3 2 5" xfId="20071" xr:uid="{744E0898-7F2D-448D-83E7-2AAFBEC7E7B8}"/>
    <cellStyle name="Comma 3 4 2 3 2 5 2" xfId="21384" xr:uid="{01461AD8-86FF-43B4-AE78-8E2B8BC0C2F2}"/>
    <cellStyle name="Comma 3 4 2 3 2 6" xfId="20072" xr:uid="{31BF649F-183A-4A46-B810-0F30B1BC0C31}"/>
    <cellStyle name="Comma 3 4 2 3 2 6 2" xfId="22159" xr:uid="{EED15282-F39D-4962-932C-12E9136A4F62}"/>
    <cellStyle name="Comma 3 4 2 3 2 7" xfId="20073" xr:uid="{3BA37B53-2E02-4714-8831-1BD1FE97EDE1}"/>
    <cellStyle name="Comma 3 4 2 3 2 7 2" xfId="22745" xr:uid="{DE0B0DCD-3686-4891-829B-31B7BEFB8B9D}"/>
    <cellStyle name="Comma 3 4 2 3 2 8" xfId="20074" xr:uid="{9E0D4BAE-927F-4697-98A5-051FE6CFEF86}"/>
    <cellStyle name="Comma 3 4 2 3 2 8 2" xfId="22746" xr:uid="{D533BDEE-1066-4AB8-B483-656410501498}"/>
    <cellStyle name="Comma 3 4 2 3 2 9" xfId="20723" xr:uid="{273855A6-2BC9-43CF-AD20-AE76448AAB92}"/>
    <cellStyle name="Comma 3 4 2 3 3" xfId="2621" xr:uid="{A45C0B00-D505-4F1F-B4BB-E062E03B7743}"/>
    <cellStyle name="Comma 3 4 2 3 3 2" xfId="19745" xr:uid="{9E80969B-FA66-4BBD-8CBB-48EB02615215}"/>
    <cellStyle name="Comma 3 4 2 3 3 2 2" xfId="21385" xr:uid="{A777494B-B424-402C-A306-0FF002F3E24A}"/>
    <cellStyle name="Comma 3 4 2 3 3 3" xfId="20075" xr:uid="{31A61396-BC67-49CC-885D-DA0C03DCD35C}"/>
    <cellStyle name="Comma 3 4 2 3 3 3 2" xfId="22451" xr:uid="{F312A999-959C-48F0-B837-CB1B8BAC2007}"/>
    <cellStyle name="Comma 3 4 2 3 3 4" xfId="20076" xr:uid="{421E7019-DA62-4BCC-9BCF-5AA1BB3223C0}"/>
    <cellStyle name="Comma 3 4 2 3 3 4 2" xfId="22747" xr:uid="{F83B1426-4646-418B-9DCD-3F317D4B1D45}"/>
    <cellStyle name="Comma 3 4 2 3 3 5" xfId="20077" xr:uid="{A050A080-CB34-4221-9354-31F15835930F}"/>
    <cellStyle name="Comma 3 4 2 3 3 5 2" xfId="22748" xr:uid="{9912EEAD-14A0-406C-895E-89E47C0AE671}"/>
    <cellStyle name="Comma 3 4 2 3 3 6" xfId="20826" xr:uid="{A988BFA7-2B04-4C09-B299-ABAC70137DC0}"/>
    <cellStyle name="Comma 3 4 2 3 4" xfId="19666" xr:uid="{C53B8AEC-93F0-42E3-99E5-F1CF287D05A9}"/>
    <cellStyle name="Comma 3 4 2 3 4 2" xfId="20078" xr:uid="{14E7BA06-A9EB-4C62-B0B2-364C89A5FFC1}"/>
    <cellStyle name="Comma 3 4 2 3 4 2 2" xfId="21386" xr:uid="{7E7FC8DE-CDFF-483C-B02E-F9B1B821C662}"/>
    <cellStyle name="Comma 3 4 2 3 4 3" xfId="20969" xr:uid="{685B5FD6-CB16-42EC-8FB1-1AD1F1C306F8}"/>
    <cellStyle name="Comma 3 4 2 3 5" xfId="19743" xr:uid="{A2794030-2887-4D6F-8549-9F5D8BDC0E0F}"/>
    <cellStyle name="Comma 3 4 2 3 5 2" xfId="21080" xr:uid="{882E6FBD-0F43-4E5C-A358-E9DD801A629D}"/>
    <cellStyle name="Comma 3 4 2 3 6" xfId="20079" xr:uid="{16DFE861-4DB3-4E5D-88C0-728FEAB4AD37}"/>
    <cellStyle name="Comma 3 4 2 3 6 2" xfId="21383" xr:uid="{A1569D18-6D6E-4BAC-89AB-C4DCA1E10AD0}"/>
    <cellStyle name="Comma 3 4 2 3 7" xfId="20080" xr:uid="{A6819EC5-B163-4C83-82CB-225175B83365}"/>
    <cellStyle name="Comma 3 4 2 3 7 2" xfId="22158" xr:uid="{72B0EEAE-73C7-4914-AE92-D8D648BDB4B1}"/>
    <cellStyle name="Comma 3 4 2 3 8" xfId="20081" xr:uid="{E71E51C0-AC07-4158-9677-0273AB885474}"/>
    <cellStyle name="Comma 3 4 2 3 8 2" xfId="22749" xr:uid="{5E860817-E362-42B8-BB62-797BFA9BFFB6}"/>
    <cellStyle name="Comma 3 4 2 3 9" xfId="20082" xr:uid="{04994B64-2853-485B-825C-672A4373EA5F}"/>
    <cellStyle name="Comma 3 4 2 3 9 2" xfId="22750" xr:uid="{321DA98F-9CEC-41A9-86E5-51F0CE423802}"/>
    <cellStyle name="Comma 3 4 2 4" xfId="120" xr:uid="{7699DC27-9CD1-4145-907D-AA354D95D33C}"/>
    <cellStyle name="Comma 3 4 2 4 10" xfId="20724" xr:uid="{7959CC16-4412-4BA6-9EA4-D9A1D17451F7}"/>
    <cellStyle name="Comma 3 4 2 4 2" xfId="121" xr:uid="{627A321E-FC8C-4CEB-AD31-5E2C7BB7368F}"/>
    <cellStyle name="Comma 3 4 2 4 2 2" xfId="19747" xr:uid="{82C58ADA-0737-4C30-B9FB-1FC7887C1C69}"/>
    <cellStyle name="Comma 3 4 2 4 2 2 2" xfId="20829" xr:uid="{E0AE7770-1861-4C38-9FDA-FF88C195D271}"/>
    <cellStyle name="Comma 3 4 2 4 2 3" xfId="20083" xr:uid="{1BF7192B-ECBE-4D77-AC6D-F7A48BB33B9B}"/>
    <cellStyle name="Comma 3 4 2 4 2 3 2" xfId="20972" xr:uid="{0C7CE92E-C70C-4A0C-9D5A-728CFBE5A1E0}"/>
    <cellStyle name="Comma 3 4 2 4 2 4" xfId="20084" xr:uid="{8B0781D0-C627-4857-AB5A-F646BCDD76AF}"/>
    <cellStyle name="Comma 3 4 2 4 2 4 2" xfId="21083" xr:uid="{7AB2BA00-9001-4306-BFF6-7DFAA1837D4C}"/>
    <cellStyle name="Comma 3 4 2 4 2 5" xfId="20085" xr:uid="{61B1654E-6E42-4886-999D-92324D698488}"/>
    <cellStyle name="Comma 3 4 2 4 2 5 2" xfId="21388" xr:uid="{18086EF0-D62C-4BBD-9DBD-3F5D8A46216F}"/>
    <cellStyle name="Comma 3 4 2 4 2 6" xfId="20086" xr:uid="{158BBAC2-D85F-4BC6-B192-835B8E4856E3}"/>
    <cellStyle name="Comma 3 4 2 4 2 6 2" xfId="22161" xr:uid="{340AF7E2-A007-4325-8CFA-BA98954B4FA6}"/>
    <cellStyle name="Comma 3 4 2 4 2 7" xfId="20087" xr:uid="{125CD4B3-6E0D-443C-A027-FC2529B70618}"/>
    <cellStyle name="Comma 3 4 2 4 2 7 2" xfId="22751" xr:uid="{DE42B0D3-051B-4E35-BD68-20769D66B8EA}"/>
    <cellStyle name="Comma 3 4 2 4 2 8" xfId="20088" xr:uid="{62FAE775-A43D-41BD-8A4D-32AC970D91C0}"/>
    <cellStyle name="Comma 3 4 2 4 2 8 2" xfId="22752" xr:uid="{19D89D8A-4241-4033-A36A-E8E56198EBFA}"/>
    <cellStyle name="Comma 3 4 2 4 2 9" xfId="20725" xr:uid="{DF9D39DB-3BF1-4B85-8E37-FB182094C751}"/>
    <cellStyle name="Comma 3 4 2 4 3" xfId="2623" xr:uid="{15EEF1D2-4648-44F9-BB2A-AF1FEA2D922A}"/>
    <cellStyle name="Comma 3 4 2 4 3 2" xfId="20089" xr:uid="{59E46E96-5E76-4356-A149-885AFB6A2F0A}"/>
    <cellStyle name="Comma 3 4 2 4 3 2 2" xfId="22453" xr:uid="{E64F1C64-4647-419B-8B8C-E83118B05C17}"/>
    <cellStyle name="Comma 3 4 2 4 3 3" xfId="20090" xr:uid="{CA45DBB1-C7F8-4882-A1A5-51B5C6329EAA}"/>
    <cellStyle name="Comma 3 4 2 4 3 3 2" xfId="22753" xr:uid="{915A61AB-2D0A-4C69-8800-67F8309E8A61}"/>
    <cellStyle name="Comma 3 4 2 4 3 4" xfId="20828" xr:uid="{51AACB84-0C05-4855-8028-337B220D4BDB}"/>
    <cellStyle name="Comma 3 4 2 4 4" xfId="19746" xr:uid="{E7032621-71F4-487E-9714-3A59D00DFD2F}"/>
    <cellStyle name="Comma 3 4 2 4 4 2" xfId="20971" xr:uid="{27BC2B36-13DA-42BE-8CE9-A1EAA9ADAB7B}"/>
    <cellStyle name="Comma 3 4 2 4 5" xfId="20091" xr:uid="{9D74A5FB-8C0F-4831-AA1D-532C022F599F}"/>
    <cellStyle name="Comma 3 4 2 4 5 2" xfId="21082" xr:uid="{82039277-232C-40C6-A918-513A1D66CC02}"/>
    <cellStyle name="Comma 3 4 2 4 6" xfId="20092" xr:uid="{F3817C8C-89E3-4735-8E36-D05AAEC3FF62}"/>
    <cellStyle name="Comma 3 4 2 4 6 2" xfId="21387" xr:uid="{2ED0B359-B757-4D5C-AD2C-8D351FDBCD4B}"/>
    <cellStyle name="Comma 3 4 2 4 7" xfId="20093" xr:uid="{12BA38E6-067C-423F-A404-14E9CBC9C5EA}"/>
    <cellStyle name="Comma 3 4 2 4 7 2" xfId="22160" xr:uid="{3C353C46-C96F-4CEC-8E75-967A302E4E96}"/>
    <cellStyle name="Comma 3 4 2 4 8" xfId="20094" xr:uid="{267FE8FB-B1C0-4A54-8001-949268E19C1D}"/>
    <cellStyle name="Comma 3 4 2 4 8 2" xfId="22754" xr:uid="{48438551-E2F7-45F1-806C-8B72883E1D0B}"/>
    <cellStyle name="Comma 3 4 2 4 9" xfId="20095" xr:uid="{A28863C5-1541-44DF-A825-6F62B523B722}"/>
    <cellStyle name="Comma 3 4 2 4 9 2" xfId="22755" xr:uid="{EB589B94-8D8A-4963-B909-7CD32C4A56B6}"/>
    <cellStyle name="Comma 3 4 2 5" xfId="2619" xr:uid="{93701A7C-5850-4EA7-927A-F262F265DCC9}"/>
    <cellStyle name="Comma 3 4 2 5 2" xfId="19748" xr:uid="{6E66996F-881A-41D0-BA6F-2A5D93E5C5FF}"/>
    <cellStyle name="Comma 3 4 2 5 2 2" xfId="21389" xr:uid="{91583222-6086-4954-B2BB-9452D200B91C}"/>
    <cellStyle name="Comma 3 4 2 5 3" xfId="20096" xr:uid="{A76416A8-A648-4883-9F95-D0E0A29D0E9D}"/>
    <cellStyle name="Comma 3 4 2 5 3 2" xfId="22449" xr:uid="{24D1B029-9EA9-4500-BEF9-855E60C7647E}"/>
    <cellStyle name="Comma 3 4 2 5 4" xfId="20097" xr:uid="{D6EA46C6-AF57-4147-963A-F2238810DEC8}"/>
    <cellStyle name="Comma 3 4 2 5 4 2" xfId="22756" xr:uid="{3D9190E6-48F9-421F-88E6-6215D5F336C3}"/>
    <cellStyle name="Comma 3 4 2 5 5" xfId="20098" xr:uid="{C8150080-3300-4B2D-85A1-83B3F57219F7}"/>
    <cellStyle name="Comma 3 4 2 5 5 2" xfId="22757" xr:uid="{2F157E1C-5715-4405-9E11-96D2EF882C50}"/>
    <cellStyle name="Comma 3 4 2 5 6" xfId="20824" xr:uid="{17506B0C-C8F5-44A9-9FD5-7E0D1DA0FF14}"/>
    <cellStyle name="Comma 3 4 2 6" xfId="19741" xr:uid="{16D0F9E0-8A86-48DA-B2F5-AE7F73BE3337}"/>
    <cellStyle name="Comma 3 4 2 6 2" xfId="20967" xr:uid="{DF3A4AA2-BC6D-4BB4-9271-AC0C6C969D47}"/>
    <cellStyle name="Comma 3 4 2 7" xfId="20099" xr:uid="{13A2791C-1EE2-4195-B45E-A4BB3F259D6F}"/>
    <cellStyle name="Comma 3 4 2 7 2" xfId="21078" xr:uid="{5C2DC1D1-28C2-4BD1-A9A3-38E5D7684B81}"/>
    <cellStyle name="Comma 3 4 2 8" xfId="20100" xr:uid="{80A7766A-10B8-4FA0-8D03-DF4DFBA3047A}"/>
    <cellStyle name="Comma 3 4 2 8 2" xfId="21381" xr:uid="{6FB68D9B-721D-4DAD-A010-14601B447638}"/>
    <cellStyle name="Comma 3 4 2 9" xfId="20101" xr:uid="{A3D58889-7768-4711-A5C9-1D821BA2A01F}"/>
    <cellStyle name="Comma 3 4 2 9 2" xfId="22156" xr:uid="{2002AA36-7195-4ECC-8E00-AA38D48FE534}"/>
    <cellStyle name="Comma 3 4 3" xfId="122" xr:uid="{3198460F-17C1-44B5-8AD0-E6A2F34B9FE2}"/>
    <cellStyle name="Comma 3 4 3 2" xfId="2624" xr:uid="{BD726D7A-72DD-4BFB-9BE5-4FB8987BFE53}"/>
    <cellStyle name="Comma 3 4 3 2 2" xfId="20102" xr:uid="{5BC84FA3-322E-4AE9-B2CD-83D39BB2F3ED}"/>
    <cellStyle name="Comma 3 4 3 2 2 2" xfId="22454" xr:uid="{ACC74262-F998-40BE-9C66-714B01DF8418}"/>
    <cellStyle name="Comma 3 4 3 2 3" xfId="20103" xr:uid="{BAA7E0B4-983D-4E41-9B4C-56D3413C1C79}"/>
    <cellStyle name="Comma 3 4 3 2 3 2" xfId="22758" xr:uid="{A1F33640-59F8-45CE-A909-38A862BDD799}"/>
    <cellStyle name="Comma 3 4 3 2 4" xfId="20830" xr:uid="{674C2E51-8803-4CF7-B948-DDC9D360802C}"/>
    <cellStyle name="Comma 3 4 3 3" xfId="19749" xr:uid="{0231A1D3-E483-4B58-A784-EEA1D0442C5E}"/>
    <cellStyle name="Comma 3 4 3 3 2" xfId="20973" xr:uid="{E120502C-5A1A-433E-979A-B00FC82676AA}"/>
    <cellStyle name="Comma 3 4 3 4" xfId="20104" xr:uid="{EDF36805-7BA5-4EA7-AA07-CEE9B95049D3}"/>
    <cellStyle name="Comma 3 4 3 4 2" xfId="21084" xr:uid="{C6795819-FD60-45B5-BD24-CFA252ADF27A}"/>
    <cellStyle name="Comma 3 4 3 5" xfId="20105" xr:uid="{8AA26D31-BFD1-4B23-ADCE-C9F8FE07ECE5}"/>
    <cellStyle name="Comma 3 4 3 5 2" xfId="21390" xr:uid="{F28D7A77-A17E-4FA7-A717-F45581CE116A}"/>
    <cellStyle name="Comma 3 4 3 6" xfId="20106" xr:uid="{9C8142C0-F501-40A3-94BC-2D26097BAAC2}"/>
    <cellStyle name="Comma 3 4 3 6 2" xfId="22162" xr:uid="{9022E4E9-1B72-4A94-98B2-3462592A660F}"/>
    <cellStyle name="Comma 3 4 3 7" xfId="20107" xr:uid="{E82E9460-4A81-49DC-B238-4F1BA776D591}"/>
    <cellStyle name="Comma 3 4 3 7 2" xfId="22759" xr:uid="{D0594B53-B777-4430-92B2-3D2BF8BE5094}"/>
    <cellStyle name="Comma 3 4 3 8" xfId="20108" xr:uid="{270ECA14-5CF5-489A-92CF-5B952ABCCC08}"/>
    <cellStyle name="Comma 3 4 3 8 2" xfId="22760" xr:uid="{715E95A0-C968-429D-9965-657031070B59}"/>
    <cellStyle name="Comma 3 4 3 9" xfId="20726" xr:uid="{9406FCEE-AED7-41E3-B277-E8486BEDF0D9}"/>
    <cellStyle name="Comma 3 4 4" xfId="2618" xr:uid="{F4DFC4B6-6AC5-4B64-BCE7-12ADF2976F89}"/>
    <cellStyle name="Comma 3 4 4 2" xfId="19667" xr:uid="{2B8AEEBB-7A7C-47BA-A040-74DCF3DD482E}"/>
    <cellStyle name="Comma 3 4 4 2 2" xfId="21392" xr:uid="{BF8F51DC-B7DF-4742-98AA-62FBF4ABCF97}"/>
    <cellStyle name="Comma 3 4 4 3" xfId="19750" xr:uid="{285B55BE-57AA-4CC8-90B8-3AD8DC51A151}"/>
    <cellStyle name="Comma 3 4 4 3 2" xfId="21391" xr:uid="{0526F46A-4D54-419B-9227-710E91099322}"/>
    <cellStyle name="Comma 3 4 4 4" xfId="20109" xr:uid="{B4973AB3-242E-450B-9EC1-56C7D7C9B835}"/>
    <cellStyle name="Comma 3 4 4 4 2" xfId="22448" xr:uid="{08E21C68-079E-4C05-839D-29A1B3CF62B8}"/>
    <cellStyle name="Comma 3 4 4 5" xfId="20110" xr:uid="{D0013118-639E-458C-894D-273175115CAE}"/>
    <cellStyle name="Comma 3 4 4 5 2" xfId="22761" xr:uid="{BCE322E2-330A-4EC3-9F73-63E1683875BC}"/>
    <cellStyle name="Comma 3 4 4 6" xfId="20111" xr:uid="{1C9D69F4-D4F7-4129-BB70-77C3C640E36C}"/>
    <cellStyle name="Comma 3 4 4 6 2" xfId="22762" xr:uid="{DFA711C8-C995-45B6-82A9-325A2B4D9C2F}"/>
    <cellStyle name="Comma 3 4 4 7" xfId="20823" xr:uid="{2F120580-A936-4934-9BA1-3820007E0F58}"/>
    <cellStyle name="Comma 3 4 5" xfId="19665" xr:uid="{AA0E1D75-02A1-4FE1-8FF9-ED4EB0A63C26}"/>
    <cellStyle name="Comma 3 4 5 2" xfId="20112" xr:uid="{D63C722A-8C65-44AE-B71E-7D32A5C7FD6D}"/>
    <cellStyle name="Comma 3 4 5 2 2" xfId="21380" xr:uid="{D5FCBFED-1B56-4E42-BDBD-EF9B7EACF98F}"/>
    <cellStyle name="Comma 3 4 5 3" xfId="20966" xr:uid="{7D5C03EE-69E3-4A58-AD9D-4C6E5A17B7F2}"/>
    <cellStyle name="Comma 3 4 6" xfId="19697" xr:uid="{6C06D962-DCE6-4FD3-BB5A-50D469985AFB}"/>
    <cellStyle name="Comma 3 4 6 2" xfId="21077" xr:uid="{61185839-E0C8-4F8C-BE19-B112A889F6B5}"/>
    <cellStyle name="Comma 3 4 7" xfId="5781" xr:uid="{27A5D60C-C149-4C76-B225-A4048C876172}"/>
    <cellStyle name="Comma 3 4 7 2" xfId="21160" xr:uid="{FB1137FE-30C5-4B82-8C3D-B564D041E1C4}"/>
    <cellStyle name="Comma 3 4 8" xfId="20113" xr:uid="{1524F8F0-699A-4E85-AB8B-464C98368DC5}"/>
    <cellStyle name="Comma 3 4 8 2" xfId="22155" xr:uid="{4AF66C44-4B9D-4D73-A455-2E4AC897FADF}"/>
    <cellStyle name="Comma 3 4 9" xfId="5782" xr:uid="{6A541E41-5B1C-4551-81CF-2B62995CE0B4}"/>
    <cellStyle name="Comma 3 4 9 2" xfId="22763" xr:uid="{DB5E2F0C-E3A7-4619-9E64-96E34FFF91CB}"/>
    <cellStyle name="Comma 3 5" xfId="123" xr:uid="{8216EA39-CCA7-410A-934B-8777A1077FA5}"/>
    <cellStyle name="Comma 3 5 10" xfId="20114" xr:uid="{713B3FAF-4C28-4BDA-BD44-2CDE7783D832}"/>
    <cellStyle name="Comma 3 5 10 2" xfId="22764" xr:uid="{75CF864A-73FA-4FE1-9D5E-651DA3BFE874}"/>
    <cellStyle name="Comma 3 5 11" xfId="20115" xr:uid="{7B3353F0-52B7-4ADE-9B22-BA2F6102FEF2}"/>
    <cellStyle name="Comma 3 5 11 2" xfId="22765" xr:uid="{A33BAEE7-6E8C-4BA8-8B11-E914076BDEE2}"/>
    <cellStyle name="Comma 3 5 12" xfId="20727" xr:uid="{75B84E69-5C8E-4308-BF43-397AFA1D8C99}"/>
    <cellStyle name="Comma 3 5 2" xfId="124" xr:uid="{286B72FE-3C5B-466B-B4A8-8CA4C7A740E9}"/>
    <cellStyle name="Comma 3 5 2 2" xfId="2626" xr:uid="{D8F5466A-3BF7-40EE-8D97-DA3906CCD8FA}"/>
    <cellStyle name="Comma 3 5 2 2 2" xfId="20116" xr:uid="{0E6D469B-6B01-4C76-8266-C57581D7AEDB}"/>
    <cellStyle name="Comma 3 5 2 2 2 2" xfId="22456" xr:uid="{CBAEA610-5EDB-44BF-BA03-AE2C5AFED555}"/>
    <cellStyle name="Comma 3 5 2 2 3" xfId="20117" xr:uid="{85DF0F26-6336-4F55-82FB-49488B7EF5B8}"/>
    <cellStyle name="Comma 3 5 2 2 3 2" xfId="22766" xr:uid="{2D2C36F8-EC5C-485C-8888-32A117969285}"/>
    <cellStyle name="Comma 3 5 2 2 4" xfId="20832" xr:uid="{A58A0CAE-1181-43CB-9B90-477A0C4C8DB6}"/>
    <cellStyle name="Comma 3 5 2 3" xfId="19752" xr:uid="{1B0F7EF5-010D-4DA7-B70E-7C72655F07CC}"/>
    <cellStyle name="Comma 3 5 2 3 2" xfId="20975" xr:uid="{4A8EB26F-60BE-4625-941E-0D78065F8A1F}"/>
    <cellStyle name="Comma 3 5 2 4" xfId="20118" xr:uid="{47CB63E8-9CD5-4A63-A13A-9EE6D773E4D4}"/>
    <cellStyle name="Comma 3 5 2 4 2" xfId="21086" xr:uid="{E8D54842-B2AC-416E-A17E-5290F1EBA98A}"/>
    <cellStyle name="Comma 3 5 2 5" xfId="20119" xr:uid="{3A0D2400-DDD6-4937-AAE1-24E9DC898F44}"/>
    <cellStyle name="Comma 3 5 2 5 2" xfId="21394" xr:uid="{6785BA82-66DB-48AA-92EC-4B05166BAB93}"/>
    <cellStyle name="Comma 3 5 2 6" xfId="20120" xr:uid="{CC0ABCA8-F08F-40F7-835A-C82846ED04B9}"/>
    <cellStyle name="Comma 3 5 2 6 2" xfId="22164" xr:uid="{D80810CC-7C67-42B1-94FC-5FBBF8D6F461}"/>
    <cellStyle name="Comma 3 5 2 7" xfId="20121" xr:uid="{7ACBB650-053E-40EA-A9CD-0D15768FCAB6}"/>
    <cellStyle name="Comma 3 5 2 7 2" xfId="22767" xr:uid="{FBA2731D-5948-4778-AE7A-F2FD34A42748}"/>
    <cellStyle name="Comma 3 5 2 8" xfId="20122" xr:uid="{1324C766-47AA-449A-BC5A-A097B66C02AB}"/>
    <cellStyle name="Comma 3 5 2 8 2" xfId="22768" xr:uid="{B27FE678-3B3A-49CA-A21C-1438B3E7ECB5}"/>
    <cellStyle name="Comma 3 5 2 9" xfId="20728" xr:uid="{1C50D5FE-9E28-4D30-A383-E49D71F1363A}"/>
    <cellStyle name="Comma 3 5 3" xfId="125" xr:uid="{3220F999-E28B-44DA-88BA-23066F90F56E}"/>
    <cellStyle name="Comma 3 5 3 10" xfId="20729" xr:uid="{CD9AA66B-1495-449A-AA29-4FB40A3AEF77}"/>
    <cellStyle name="Comma 3 5 3 2" xfId="126" xr:uid="{B294747F-7926-48FA-8DAA-1EF60142D683}"/>
    <cellStyle name="Comma 3 5 3 2 2" xfId="2628" xr:uid="{1838A93C-A9D8-469A-A517-111990342B8E}"/>
    <cellStyle name="Comma 3 5 3 2 2 2" xfId="20123" xr:uid="{28D5D6C6-8FCD-4533-85FF-775BF45CB46A}"/>
    <cellStyle name="Comma 3 5 3 2 2 2 2" xfId="22458" xr:uid="{D79F1CDE-A2EE-4F9A-95DA-F41D0100D3F4}"/>
    <cellStyle name="Comma 3 5 3 2 2 3" xfId="20124" xr:uid="{06C8318C-2EDA-4D7A-826F-2E81888D03F9}"/>
    <cellStyle name="Comma 3 5 3 2 2 3 2" xfId="22769" xr:uid="{45C67D42-079E-43B9-A751-805660AAF6B3}"/>
    <cellStyle name="Comma 3 5 3 2 2 4" xfId="20834" xr:uid="{364070F5-BADC-40CE-A701-61D685907D3A}"/>
    <cellStyle name="Comma 3 5 3 2 3" xfId="19754" xr:uid="{6A6D305A-C3EB-4194-8506-0AE03F6DEA77}"/>
    <cellStyle name="Comma 3 5 3 2 3 2" xfId="20977" xr:uid="{F64C8CC5-C796-4975-A9D1-0FB9EB8F2695}"/>
    <cellStyle name="Comma 3 5 3 2 4" xfId="20125" xr:uid="{7069AD77-F42D-4403-B855-E8DE961E369B}"/>
    <cellStyle name="Comma 3 5 3 2 4 2" xfId="21088" xr:uid="{D6F014DF-B6A5-4836-B985-6276CC53593E}"/>
    <cellStyle name="Comma 3 5 3 2 5" xfId="20126" xr:uid="{752C7AFA-0565-4A59-96C0-E7F5F55DAB46}"/>
    <cellStyle name="Comma 3 5 3 2 5 2" xfId="21396" xr:uid="{0753CEC5-B35F-4FFE-93B5-F4AAA9CF1D13}"/>
    <cellStyle name="Comma 3 5 3 2 6" xfId="20127" xr:uid="{5C9ADE70-4F92-4C5C-9D8A-18F184A9D937}"/>
    <cellStyle name="Comma 3 5 3 2 6 2" xfId="22166" xr:uid="{4D6D9B7D-401C-42E2-8593-EA82994C6248}"/>
    <cellStyle name="Comma 3 5 3 2 7" xfId="20128" xr:uid="{12ADC7B1-F436-44A2-98B1-F1D07B8F3AA9}"/>
    <cellStyle name="Comma 3 5 3 2 7 2" xfId="22770" xr:uid="{CE0913CF-B83D-4DDE-B2E0-4D2C0C9284D6}"/>
    <cellStyle name="Comma 3 5 3 2 8" xfId="20129" xr:uid="{1ECF1922-CA40-4A30-9C66-5001FBBEA6F1}"/>
    <cellStyle name="Comma 3 5 3 2 8 2" xfId="22771" xr:uid="{E4450DB3-EF30-4D3F-86DE-849136DE4EF3}"/>
    <cellStyle name="Comma 3 5 3 2 9" xfId="20730" xr:uid="{55D5579B-835E-4838-9D14-FC03E231E661}"/>
    <cellStyle name="Comma 3 5 3 3" xfId="2627" xr:uid="{287D8EA8-B79E-433B-B6BD-17D2B41EBF71}"/>
    <cellStyle name="Comma 3 5 3 3 2" xfId="19755" xr:uid="{A624C7EA-7E1A-4B95-8132-3972E996920B}"/>
    <cellStyle name="Comma 3 5 3 3 2 2" xfId="21397" xr:uid="{053EB531-FFCA-432F-B28A-7F2A2F188686}"/>
    <cellStyle name="Comma 3 5 3 3 3" xfId="20130" xr:uid="{32BF4E9D-A1C1-4D6C-81C5-989174E27B53}"/>
    <cellStyle name="Comma 3 5 3 3 3 2" xfId="22457" xr:uid="{04999EDD-801C-477A-9A18-8DB3164543C3}"/>
    <cellStyle name="Comma 3 5 3 3 4" xfId="20131" xr:uid="{D948F45B-B327-47BA-9145-D627E7CD3793}"/>
    <cellStyle name="Comma 3 5 3 3 4 2" xfId="22772" xr:uid="{1AF43A74-E3D2-46B1-9959-FC8FBFDA9A2F}"/>
    <cellStyle name="Comma 3 5 3 3 5" xfId="20132" xr:uid="{21C15F14-15D7-4B52-8916-7C6004541689}"/>
    <cellStyle name="Comma 3 5 3 3 5 2" xfId="22773" xr:uid="{262B4861-24CC-4D83-9C66-452333587F00}"/>
    <cellStyle name="Comma 3 5 3 3 6" xfId="20833" xr:uid="{5883883A-F4EB-4310-8926-854B9A89152A}"/>
    <cellStyle name="Comma 3 5 3 4" xfId="19668" xr:uid="{87B2EEFE-8F6E-43F7-876F-B995EC3E55F6}"/>
    <cellStyle name="Comma 3 5 3 4 2" xfId="20133" xr:uid="{1F6C8138-D705-466F-835D-4E0BD3A7CEE0}"/>
    <cellStyle name="Comma 3 5 3 4 2 2" xfId="21398" xr:uid="{15B29C1B-B065-4225-BCF6-F2AD14E1520F}"/>
    <cellStyle name="Comma 3 5 3 4 3" xfId="20976" xr:uid="{42B07E90-8F5C-4D70-A905-BEC870EB7884}"/>
    <cellStyle name="Comma 3 5 3 5" xfId="19753" xr:uid="{183514E8-1B27-492D-AFAD-25150B93680C}"/>
    <cellStyle name="Comma 3 5 3 5 2" xfId="21087" xr:uid="{BA2A6722-FE86-439B-A375-D0207F79E7F7}"/>
    <cellStyle name="Comma 3 5 3 6" xfId="20134" xr:uid="{7CB53565-1F82-4E5D-8ED3-5989EFC0979C}"/>
    <cellStyle name="Comma 3 5 3 6 2" xfId="21395" xr:uid="{9ED4D873-F260-41C9-9BC6-AC5A9DB7CF8C}"/>
    <cellStyle name="Comma 3 5 3 7" xfId="20135" xr:uid="{7DA4661A-72E0-4594-BA81-991CD5A59CFF}"/>
    <cellStyle name="Comma 3 5 3 7 2" xfId="22165" xr:uid="{B8EE252A-46A2-48D2-A9BA-CAF81AAC6012}"/>
    <cellStyle name="Comma 3 5 3 8" xfId="20136" xr:uid="{CA56DA39-6615-482F-9B91-D3CC11A3ABA9}"/>
    <cellStyle name="Comma 3 5 3 8 2" xfId="22774" xr:uid="{4050B68C-B68D-43FC-992E-7DB20A3E7BEB}"/>
    <cellStyle name="Comma 3 5 3 9" xfId="20137" xr:uid="{2AD906BC-1486-4654-8283-74246FCC6E4D}"/>
    <cellStyle name="Comma 3 5 3 9 2" xfId="22775" xr:uid="{C4674913-497A-41E0-ADAE-280CB6AE39C8}"/>
    <cellStyle name="Comma 3 5 4" xfId="127" xr:uid="{C3BBDCE5-134C-42D9-8DC3-8FEB5F4F00CF}"/>
    <cellStyle name="Comma 3 5 4 10" xfId="20731" xr:uid="{B697D228-DAC6-4FC3-BA9C-8DF7B434C5DB}"/>
    <cellStyle name="Comma 3 5 4 2" xfId="128" xr:uid="{24AD1CDE-1536-4046-B7C3-CB858810B73B}"/>
    <cellStyle name="Comma 3 5 4 2 2" xfId="19757" xr:uid="{122850A2-633A-47EF-9F66-64BED57DB613}"/>
    <cellStyle name="Comma 3 5 4 2 2 2" xfId="20836" xr:uid="{754AE734-1AAF-4260-953D-AE7235CFE759}"/>
    <cellStyle name="Comma 3 5 4 2 3" xfId="20138" xr:uid="{06527D9D-D802-474A-B951-E745DCCDD302}"/>
    <cellStyle name="Comma 3 5 4 2 3 2" xfId="20979" xr:uid="{7F26D78C-3F3C-41B8-9A88-D28911CB044B}"/>
    <cellStyle name="Comma 3 5 4 2 4" xfId="20139" xr:uid="{798FC3F4-3F2C-4ABA-BCCE-D3EBABF75183}"/>
    <cellStyle name="Comma 3 5 4 2 4 2" xfId="21090" xr:uid="{8F9671E1-7EF2-489A-BD5F-280C055D2908}"/>
    <cellStyle name="Comma 3 5 4 2 5" xfId="20140" xr:uid="{C1AD2DCF-5256-4E4B-84FC-D5C526D17E5E}"/>
    <cellStyle name="Comma 3 5 4 2 5 2" xfId="21400" xr:uid="{0C3B40D8-63D9-44C7-A729-EE84FAFFE2E4}"/>
    <cellStyle name="Comma 3 5 4 2 6" xfId="20141" xr:uid="{DECB2054-3A9C-4974-8C1B-4732426924DD}"/>
    <cellStyle name="Comma 3 5 4 2 6 2" xfId="22168" xr:uid="{FDB08F34-DB07-48E8-A1C4-39E2C48B4195}"/>
    <cellStyle name="Comma 3 5 4 2 7" xfId="20142" xr:uid="{1C3E6ABD-D743-4CDB-BC6B-C892DAF78D69}"/>
    <cellStyle name="Comma 3 5 4 2 7 2" xfId="22776" xr:uid="{61583FDB-19DB-4CF4-807B-4EB2611C22A4}"/>
    <cellStyle name="Comma 3 5 4 2 8" xfId="20143" xr:uid="{9DAEAF47-8958-4688-98E1-45067B93CDAE}"/>
    <cellStyle name="Comma 3 5 4 2 8 2" xfId="22777" xr:uid="{88E91109-F23A-4ACC-8DEF-7714B25929FA}"/>
    <cellStyle name="Comma 3 5 4 2 9" xfId="20732" xr:uid="{8AF41B02-FB3C-4AF7-9720-94FFBA7567D3}"/>
    <cellStyle name="Comma 3 5 4 3" xfId="2629" xr:uid="{F2EA1CC3-AEB6-4299-A750-E94FF55225FB}"/>
    <cellStyle name="Comma 3 5 4 3 2" xfId="20144" xr:uid="{22065EF2-DA67-4CC7-87C7-9FA4148F6FE7}"/>
    <cellStyle name="Comma 3 5 4 3 2 2" xfId="22459" xr:uid="{AE527A9E-3ED2-4E00-A7B5-A0E2B10E8A68}"/>
    <cellStyle name="Comma 3 5 4 3 3" xfId="20145" xr:uid="{5F82FDDB-FDEE-446A-8F31-46AD9E5D23E2}"/>
    <cellStyle name="Comma 3 5 4 3 3 2" xfId="22778" xr:uid="{1FC54902-0025-4270-8283-27E87329F9AE}"/>
    <cellStyle name="Comma 3 5 4 3 4" xfId="20835" xr:uid="{C5528BEC-19E7-445A-9B68-1B31B040101F}"/>
    <cellStyle name="Comma 3 5 4 4" xfId="19756" xr:uid="{1DB03CDE-610E-480B-A5B0-D43E50178168}"/>
    <cellStyle name="Comma 3 5 4 4 2" xfId="20978" xr:uid="{69DECCF5-4096-42BF-AE41-6BA20E9EC65E}"/>
    <cellStyle name="Comma 3 5 4 5" xfId="20146" xr:uid="{34C70E3F-7A09-48C3-9876-5743E10AC3A5}"/>
    <cellStyle name="Comma 3 5 4 5 2" xfId="21089" xr:uid="{CBABC8FE-B751-4C14-B929-48BEE0234EBE}"/>
    <cellStyle name="Comma 3 5 4 6" xfId="20147" xr:uid="{AB06420E-179F-4982-B266-825B4A453C19}"/>
    <cellStyle name="Comma 3 5 4 6 2" xfId="21399" xr:uid="{EE910E68-0FD0-45E5-92F5-5C2171A26134}"/>
    <cellStyle name="Comma 3 5 4 7" xfId="20148" xr:uid="{A21BFC37-EB72-4BD3-9585-B09D2A1A73B1}"/>
    <cellStyle name="Comma 3 5 4 7 2" xfId="22167" xr:uid="{E73A4FF0-91FA-430A-B6CE-5555D5EEA7AE}"/>
    <cellStyle name="Comma 3 5 4 8" xfId="20149" xr:uid="{C13B7B0B-D3B7-4FB4-9194-A89DA8842BE5}"/>
    <cellStyle name="Comma 3 5 4 8 2" xfId="22779" xr:uid="{D04A5492-54F3-4A73-BEBD-47EB8255925C}"/>
    <cellStyle name="Comma 3 5 4 9" xfId="20150" xr:uid="{CB7A7B7B-D8AC-469B-8DD9-B13712812D02}"/>
    <cellStyle name="Comma 3 5 4 9 2" xfId="22780" xr:uid="{E31E4909-A03A-46BF-A3ED-1DBAD8AEB9FF}"/>
    <cellStyle name="Comma 3 5 5" xfId="2625" xr:uid="{3D40FA86-12C0-454E-9143-3FE84187463C}"/>
    <cellStyle name="Comma 3 5 5 2" xfId="19758" xr:uid="{D6348A2F-89EC-4B6A-8F3D-EE0291A9EAB9}"/>
    <cellStyle name="Comma 3 5 5 2 2" xfId="21401" xr:uid="{30903790-A60F-48EF-9CF7-61F493B6DD20}"/>
    <cellStyle name="Comma 3 5 5 3" xfId="20151" xr:uid="{0E778E25-F7F3-40BD-B541-ACAC492EC712}"/>
    <cellStyle name="Comma 3 5 5 3 2" xfId="22455" xr:uid="{2D045438-90B2-4A74-9921-95906F8C9BE4}"/>
    <cellStyle name="Comma 3 5 5 4" xfId="20152" xr:uid="{69C841BC-89B8-40EA-86E4-D5F75EB8F028}"/>
    <cellStyle name="Comma 3 5 5 4 2" xfId="22781" xr:uid="{2AE6CA7B-270F-4621-9C51-583F86801375}"/>
    <cellStyle name="Comma 3 5 5 5" xfId="20153" xr:uid="{C9C8E5D0-EF4B-49F1-9BDF-003AE741D79F}"/>
    <cellStyle name="Comma 3 5 5 5 2" xfId="22782" xr:uid="{61057B65-82EC-4743-9127-C9213DEF4D79}"/>
    <cellStyle name="Comma 3 5 5 6" xfId="20831" xr:uid="{3A011BC7-8395-49E6-ABF7-533339B32016}"/>
    <cellStyle name="Comma 3 5 6" xfId="19751" xr:uid="{95E3E3C8-13BE-44B3-891F-086379424230}"/>
    <cellStyle name="Comma 3 5 6 2" xfId="20974" xr:uid="{4122445A-AE6E-4AED-9E4E-774275F74DC0}"/>
    <cellStyle name="Comma 3 5 7" xfId="20154" xr:uid="{0DFCBD88-5D1E-4742-B659-9F582D325FA8}"/>
    <cellStyle name="Comma 3 5 7 2" xfId="21085" xr:uid="{1454CB68-050D-4A31-934A-75FFE4B7D030}"/>
    <cellStyle name="Comma 3 5 8" xfId="20155" xr:uid="{862874F4-C378-484A-966A-9E69DA9A98E4}"/>
    <cellStyle name="Comma 3 5 8 2" xfId="21393" xr:uid="{208289B5-897D-44C2-B044-0FEF048BD1FE}"/>
    <cellStyle name="Comma 3 5 9" xfId="20156" xr:uid="{BE652EDA-1D63-4533-8FD3-F646FA0BB56C}"/>
    <cellStyle name="Comma 3 5 9 2" xfId="22163" xr:uid="{73CAB948-CD16-43DC-8B3D-A8A7C23116C5}"/>
    <cellStyle name="Comma 3 6" xfId="129" xr:uid="{2E511DA8-851F-43F8-8913-627103CBDF86}"/>
    <cellStyle name="Comma 3 6 10" xfId="20733" xr:uid="{7E8B5F1B-D3F9-48E7-84AE-2487EB0DF454}"/>
    <cellStyle name="Comma 3 6 2" xfId="130" xr:uid="{2BE736D2-DA57-4EAE-8137-E2EF386E95AD}"/>
    <cellStyle name="Comma 3 6 2 2" xfId="2631" xr:uid="{758A2772-F98E-4CA2-A5A6-839B624BCE78}"/>
    <cellStyle name="Comma 3 6 2 2 2" xfId="20157" xr:uid="{D17DA58C-5C1B-4B57-B3EF-E1B334B3A69C}"/>
    <cellStyle name="Comma 3 6 2 2 2 2" xfId="22461" xr:uid="{4FC00F45-51F1-4540-BC53-55E95BDF2396}"/>
    <cellStyle name="Comma 3 6 2 2 3" xfId="20158" xr:uid="{9C86678F-DA49-41AC-A61D-63F1959B99B4}"/>
    <cellStyle name="Comma 3 6 2 2 3 2" xfId="22783" xr:uid="{3FC675F1-CBD1-4027-9A8A-AAB22E0B99C5}"/>
    <cellStyle name="Comma 3 6 2 2 4" xfId="20838" xr:uid="{F87CC055-5D6C-44F8-AE6E-25C463DB3618}"/>
    <cellStyle name="Comma 3 6 2 3" xfId="19760" xr:uid="{AE323EAC-51E6-47C8-87D1-3380C317F6B2}"/>
    <cellStyle name="Comma 3 6 2 3 2" xfId="20981" xr:uid="{DB002A55-C64F-4173-9F74-E9771E4126BF}"/>
    <cellStyle name="Comma 3 6 2 4" xfId="20159" xr:uid="{242A2967-3B13-4E4A-B499-419B9F7D70C2}"/>
    <cellStyle name="Comma 3 6 2 4 2" xfId="21092" xr:uid="{F714251A-6F2F-4762-8CD1-4F0A4707AA86}"/>
    <cellStyle name="Comma 3 6 2 5" xfId="20160" xr:uid="{DFE9D1B1-505B-4583-8713-B8C9CC7216ED}"/>
    <cellStyle name="Comma 3 6 2 5 2" xfId="21403" xr:uid="{CD3E7CB0-79B2-4F64-9023-7B9B7B87896F}"/>
    <cellStyle name="Comma 3 6 2 6" xfId="20161" xr:uid="{968054FE-02B2-4DA3-89B2-505A99626446}"/>
    <cellStyle name="Comma 3 6 2 6 2" xfId="22170" xr:uid="{C396E0D7-3BD3-4BA0-A1FD-A12AAA357342}"/>
    <cellStyle name="Comma 3 6 2 7" xfId="20162" xr:uid="{9EDF2750-8DA1-4BB5-8223-4272D83CCD3B}"/>
    <cellStyle name="Comma 3 6 2 7 2" xfId="22784" xr:uid="{9B396F72-D396-4F31-973D-D50D244DDD3E}"/>
    <cellStyle name="Comma 3 6 2 8" xfId="20163" xr:uid="{F0768AEE-6B46-47AF-AE7C-6B2EC3DF389E}"/>
    <cellStyle name="Comma 3 6 2 8 2" xfId="22785" xr:uid="{5A4ADAAC-F256-45EF-BEA5-FB62E1803117}"/>
    <cellStyle name="Comma 3 6 2 9" xfId="20734" xr:uid="{367AADB2-5970-46ED-AA87-CAE46A7F6FA5}"/>
    <cellStyle name="Comma 3 6 3" xfId="2630" xr:uid="{02A6C170-CDCC-4345-B6AD-0415B40C1051}"/>
    <cellStyle name="Comma 3 6 3 2" xfId="19761" xr:uid="{9EBB2EA6-1E51-47BE-996A-44BD3E17909D}"/>
    <cellStyle name="Comma 3 6 3 2 2" xfId="21404" xr:uid="{D6789060-D888-401D-BA0C-F803B6E7AA09}"/>
    <cellStyle name="Comma 3 6 3 3" xfId="20164" xr:uid="{4BD6C086-21DD-46F1-8091-BDBF202D8337}"/>
    <cellStyle name="Comma 3 6 3 3 2" xfId="22460" xr:uid="{F8162C83-B3D2-442F-B043-8532288D5F36}"/>
    <cellStyle name="Comma 3 6 3 4" xfId="20165" xr:uid="{DFB21977-3FBA-4869-917A-A191630C553E}"/>
    <cellStyle name="Comma 3 6 3 4 2" xfId="22786" xr:uid="{A3F10A9E-F8BB-4247-A08E-0B1AA891CDAA}"/>
    <cellStyle name="Comma 3 6 3 5" xfId="20166" xr:uid="{08FD83F7-EA8B-4DF3-A7D2-B2A080937FB6}"/>
    <cellStyle name="Comma 3 6 3 5 2" xfId="22787" xr:uid="{E2D54506-0164-41C3-AA97-2089E139FB57}"/>
    <cellStyle name="Comma 3 6 3 6" xfId="20837" xr:uid="{55C7A7F7-ED07-4BF2-80D0-F5B8BC9A34EE}"/>
    <cellStyle name="Comma 3 6 4" xfId="19669" xr:uid="{44D12F7F-5A07-40F2-8E9B-A06B7550A535}"/>
    <cellStyle name="Comma 3 6 4 2" xfId="20167" xr:uid="{2F99DDCB-CDAE-46F2-A4CF-667B06222990}"/>
    <cellStyle name="Comma 3 6 4 2 2" xfId="21405" xr:uid="{E88B1349-EEFC-4028-A26B-20DD94EC51BF}"/>
    <cellStyle name="Comma 3 6 4 3" xfId="20980" xr:uid="{3FD80FBC-46AC-473C-985F-6AEF06DFF4DA}"/>
    <cellStyle name="Comma 3 6 5" xfId="19759" xr:uid="{8EF0EA3C-478A-4A5A-82EA-9DFB5F93AE8B}"/>
    <cellStyle name="Comma 3 6 5 2" xfId="21091" xr:uid="{B941AED7-BD6B-4CEC-A5A2-405E6F2A8391}"/>
    <cellStyle name="Comma 3 6 6" xfId="20168" xr:uid="{53882F34-A98D-4D80-BE73-D021A26FA5E8}"/>
    <cellStyle name="Comma 3 6 6 2" xfId="21402" xr:uid="{FEB29D91-39A4-4E7E-9424-F45DEF19F6E6}"/>
    <cellStyle name="Comma 3 6 7" xfId="20169" xr:uid="{92D7A59B-4605-4213-B0F5-D438758862FE}"/>
    <cellStyle name="Comma 3 6 7 2" xfId="22169" xr:uid="{C040CEEE-FC06-4169-826B-8736F7250F9E}"/>
    <cellStyle name="Comma 3 6 8" xfId="20170" xr:uid="{FFFCE5D0-85F8-490C-867E-2BA453AFA875}"/>
    <cellStyle name="Comma 3 6 8 2" xfId="22788" xr:uid="{628923EE-5A84-4AF9-8471-1D1E9DE3A13A}"/>
    <cellStyle name="Comma 3 6 9" xfId="20171" xr:uid="{5255FC29-2A0E-4E6E-A003-C4C8591388C0}"/>
    <cellStyle name="Comma 3 6 9 2" xfId="22789" xr:uid="{450E0807-EE5B-44DC-A9C0-8C8A4E2FB430}"/>
    <cellStyle name="Comma 3 7" xfId="131" xr:uid="{4AB53733-6BB2-461D-BBF8-41667B51FD46}"/>
    <cellStyle name="Comma 3 7 10" xfId="20735" xr:uid="{F2AA7786-6B35-4C76-85C0-58120FDA688D}"/>
    <cellStyle name="Comma 3 7 2" xfId="132" xr:uid="{C616FD52-ED77-4847-B857-2E93706BAFA2}"/>
    <cellStyle name="Comma 3 7 2 2" xfId="19763" xr:uid="{EE1BFB21-E643-4566-9983-536733E584BA}"/>
    <cellStyle name="Comma 3 7 2 2 2" xfId="20840" xr:uid="{4F2ED7A0-2DCA-4A30-B62F-638ACDDE1EAE}"/>
    <cellStyle name="Comma 3 7 2 3" xfId="20172" xr:uid="{10F90339-7D0B-4C25-BFD3-F16CE9D424D4}"/>
    <cellStyle name="Comma 3 7 2 3 2" xfId="20983" xr:uid="{BD41AB84-00A8-4135-A9AD-F4B2AEF47A1F}"/>
    <cellStyle name="Comma 3 7 2 4" xfId="20173" xr:uid="{30007361-3167-42E9-8E52-2EBA516B4DEC}"/>
    <cellStyle name="Comma 3 7 2 4 2" xfId="21094" xr:uid="{E17F3C00-DBFB-41A0-AD6E-67C76336A692}"/>
    <cellStyle name="Comma 3 7 2 5" xfId="20174" xr:uid="{D201B4BB-903D-46B4-A4AA-072C43C0704E}"/>
    <cellStyle name="Comma 3 7 2 5 2" xfId="21407" xr:uid="{6C32CCD1-37B6-4E1A-B1A9-E2C0E088C6E8}"/>
    <cellStyle name="Comma 3 7 2 6" xfId="20175" xr:uid="{A4C25FFD-3E5B-4EA1-A332-6A261E05773F}"/>
    <cellStyle name="Comma 3 7 2 6 2" xfId="22172" xr:uid="{8269B6A2-80B3-4D4C-BB95-7DF5D612DFA3}"/>
    <cellStyle name="Comma 3 7 2 7" xfId="20176" xr:uid="{14117C3D-BCA8-4C2F-AEB0-4E94C58A1D82}"/>
    <cellStyle name="Comma 3 7 2 7 2" xfId="22790" xr:uid="{CB8F2F7A-1C86-49BD-A765-B9FA2A50DEFB}"/>
    <cellStyle name="Comma 3 7 2 8" xfId="20177" xr:uid="{FBAEA29B-ED91-465C-B353-6A14B5BAA6F6}"/>
    <cellStyle name="Comma 3 7 2 8 2" xfId="22791" xr:uid="{CD29BF14-1A99-4EA7-A117-52A4EE06A091}"/>
    <cellStyle name="Comma 3 7 2 9" xfId="20736" xr:uid="{A3DD21A9-A75D-4ADA-A9CF-748016179191}"/>
    <cellStyle name="Comma 3 7 3" xfId="2632" xr:uid="{187F346A-7DD1-4FC3-8B0A-CD8F44BC889F}"/>
    <cellStyle name="Comma 3 7 3 2" xfId="19764" xr:uid="{BEEA7A54-BD1A-4A77-B0A7-1C40BBF97D53}"/>
    <cellStyle name="Comma 3 7 3 2 2" xfId="21408" xr:uid="{6E1EE694-DC1D-4B9E-9DDE-344E56A6691E}"/>
    <cellStyle name="Comma 3 7 3 3" xfId="20178" xr:uid="{531FA47F-4094-4D9A-B76E-5B6F3FB20B93}"/>
    <cellStyle name="Comma 3 7 3 3 2" xfId="22462" xr:uid="{CBBDD16B-A13A-40EA-9CD3-E9EC388A9B98}"/>
    <cellStyle name="Comma 3 7 3 4" xfId="20179" xr:uid="{6882B564-6D78-4FE5-B07B-1C5A1B0E4E46}"/>
    <cellStyle name="Comma 3 7 3 4 2" xfId="22792" xr:uid="{6C04C17A-10A3-4DAA-AF5D-9286D73EBE31}"/>
    <cellStyle name="Comma 3 7 3 5" xfId="20839" xr:uid="{456E2DC0-FD63-4451-B0FE-BFB55EEEA6DC}"/>
    <cellStyle name="Comma 3 7 4" xfId="19670" xr:uid="{677057F7-AAD8-4CDD-B3B7-ABA04CD655FB}"/>
    <cellStyle name="Comma 3 7 4 2" xfId="20180" xr:uid="{D589595E-5FF8-4419-8670-965E15C32B5F}"/>
    <cellStyle name="Comma 3 7 4 2 2" xfId="21409" xr:uid="{8F427DCA-6E72-4E8F-BA6B-9A6FAA510A53}"/>
    <cellStyle name="Comma 3 7 4 3" xfId="20982" xr:uid="{6F16AF81-9667-44D3-9918-94BA269D3212}"/>
    <cellStyle name="Comma 3 7 5" xfId="19762" xr:uid="{503C4901-AA4C-40B4-86BF-D5EB54DB1092}"/>
    <cellStyle name="Comma 3 7 5 2" xfId="21093" xr:uid="{A833FA8B-EED4-4CBF-82BF-DEB7A4A51D80}"/>
    <cellStyle name="Comma 3 7 6" xfId="20181" xr:uid="{667D358F-C7E3-4E0A-9AE7-DD07BED9F2AA}"/>
    <cellStyle name="Comma 3 7 6 2" xfId="21406" xr:uid="{460A39D8-8B63-4D7B-B502-D4BEE05FA2E9}"/>
    <cellStyle name="Comma 3 7 7" xfId="20182" xr:uid="{4A6815C7-2928-4248-9EC2-1CA51E62308D}"/>
    <cellStyle name="Comma 3 7 7 2" xfId="22171" xr:uid="{FAE61624-53DD-4347-A510-65162B20D33A}"/>
    <cellStyle name="Comma 3 7 8" xfId="20183" xr:uid="{5B6342DE-4718-4AED-A65E-89F4365E1E33}"/>
    <cellStyle name="Comma 3 7 8 2" xfId="22793" xr:uid="{DB887231-9830-44EB-97D4-A6AECC33904E}"/>
    <cellStyle name="Comma 3 7 9" xfId="20184" xr:uid="{895E9623-2309-4E31-A200-EB60DBC9A1C1}"/>
    <cellStyle name="Comma 3 7 9 2" xfId="22794" xr:uid="{53D93CE3-01AC-4EB1-B7CF-233D8D55AEE0}"/>
    <cellStyle name="Comma 3 8" xfId="133" xr:uid="{992D0E4A-343D-44B4-B3EA-F36E34B481CB}"/>
    <cellStyle name="Comma 3 8 10" xfId="20737" xr:uid="{8C3C8FCE-F9D4-4533-84DA-8DB2C1AC0B86}"/>
    <cellStyle name="Comma 3 8 2" xfId="134" xr:uid="{A6574645-0C45-441F-90D0-983A4212BC97}"/>
    <cellStyle name="Comma 3 8 2 2" xfId="19766" xr:uid="{26ABCC83-B5A4-437D-965E-FDE3D0C6825D}"/>
    <cellStyle name="Comma 3 8 2 2 2" xfId="20842" xr:uid="{BD7FE8D7-BE21-455B-A30C-DE8B3C0F71EE}"/>
    <cellStyle name="Comma 3 8 2 3" xfId="20185" xr:uid="{FEE1AFBE-C1F7-4120-B93D-86F44724FCDC}"/>
    <cellStyle name="Comma 3 8 2 3 2" xfId="20985" xr:uid="{B40D2708-424D-40B5-A28B-4610078B4BB3}"/>
    <cellStyle name="Comma 3 8 2 4" xfId="20186" xr:uid="{C5E365D3-F928-4CF8-82C2-577F12ED46F9}"/>
    <cellStyle name="Comma 3 8 2 4 2" xfId="21096" xr:uid="{5129757B-A463-4815-81E4-4BDD336E473A}"/>
    <cellStyle name="Comma 3 8 2 5" xfId="20187" xr:uid="{F1A880C2-5228-41F3-ADBA-33EB51660F9F}"/>
    <cellStyle name="Comma 3 8 2 5 2" xfId="21411" xr:uid="{125E8BDC-AA0A-43DE-84B3-71C96DAF8A29}"/>
    <cellStyle name="Comma 3 8 2 6" xfId="20188" xr:uid="{C6BD3C99-E368-4E9E-AA0B-B112ADA67EB8}"/>
    <cellStyle name="Comma 3 8 2 6 2" xfId="22174" xr:uid="{17EE38B5-025A-46BE-BD98-B1CB267077D2}"/>
    <cellStyle name="Comma 3 8 2 7" xfId="20189" xr:uid="{74F681B5-EB11-49AD-9905-8A4489655F8C}"/>
    <cellStyle name="Comma 3 8 2 7 2" xfId="22795" xr:uid="{43C834B1-25A3-4B63-95AC-F2B6BD94097C}"/>
    <cellStyle name="Comma 3 8 2 8" xfId="20190" xr:uid="{C7D811AB-7BF4-429D-BE30-78382812EA0A}"/>
    <cellStyle name="Comma 3 8 2 8 2" xfId="22796" xr:uid="{F764B7FE-14A8-4452-8D72-D2F82A3B7F74}"/>
    <cellStyle name="Comma 3 8 2 9" xfId="20738" xr:uid="{630ABE71-F006-4D1B-866F-12A8D1A44F18}"/>
    <cellStyle name="Comma 3 8 3" xfId="19684" xr:uid="{10723370-5E61-4BF7-9035-A4798040AB49}"/>
    <cellStyle name="Comma 3 8 3 2" xfId="20191" xr:uid="{971F9E5B-C54E-4FE3-910F-6F73FE2B043F}"/>
    <cellStyle name="Comma 3 8 3 2 2" xfId="22463" xr:uid="{8ED6B29F-5353-4540-8421-94119D034CBE}"/>
    <cellStyle name="Comma 3 8 3 3" xfId="20192" xr:uid="{FB01AE0F-801E-4C12-9558-69B860B9EE21}"/>
    <cellStyle name="Comma 3 8 3 3 2" xfId="22797" xr:uid="{E4F33B73-66B8-4515-A957-8E8D9C434BCC}"/>
    <cellStyle name="Comma 3 8 3 4" xfId="20841" xr:uid="{04EBCAC5-4F40-4B6D-9D76-DDE17D3D2713}"/>
    <cellStyle name="Comma 3 8 4" xfId="19765" xr:uid="{E539322E-FF4F-4DC1-B185-EC0B1F014E2D}"/>
    <cellStyle name="Comma 3 8 4 2" xfId="20984" xr:uid="{8CB99797-200F-4E89-A1A8-9F006DBFEC4A}"/>
    <cellStyle name="Comma 3 8 5" xfId="20193" xr:uid="{B575EC12-1EB9-4C08-B08C-F54D7E7F8515}"/>
    <cellStyle name="Comma 3 8 5 2" xfId="21095" xr:uid="{687064B7-0D05-4CB5-A6F2-C7E421D6C502}"/>
    <cellStyle name="Comma 3 8 6" xfId="20194" xr:uid="{BBE0E627-F794-40A4-AFC5-8675FABA12F9}"/>
    <cellStyle name="Comma 3 8 6 2" xfId="21410" xr:uid="{5D9D20FC-1E2C-4851-B218-BFBDC77A58A6}"/>
    <cellStyle name="Comma 3 8 7" xfId="20195" xr:uid="{77C8B8B8-CDDE-4FF9-8D2C-A83236EEE4FB}"/>
    <cellStyle name="Comma 3 8 7 2" xfId="22173" xr:uid="{FBECFF60-7E53-4731-A162-3246ACB767A9}"/>
    <cellStyle name="Comma 3 8 8" xfId="20196" xr:uid="{53EF99BC-AEA9-4A22-AD9C-5C27D6665828}"/>
    <cellStyle name="Comma 3 8 8 2" xfId="22798" xr:uid="{F49979BB-4ED3-49B2-849D-6B4235F7D915}"/>
    <cellStyle name="Comma 3 8 9" xfId="20197" xr:uid="{7B412CFD-1D4F-430F-85E4-FBC570A4ADF1}"/>
    <cellStyle name="Comma 3 8 9 2" xfId="22799" xr:uid="{2E90F062-492F-49B1-BE30-CF65A5B946C4}"/>
    <cellStyle name="Comma 3 9" xfId="135" xr:uid="{1B18BDC7-0008-497A-B9CB-46C1FA237A35}"/>
    <cellStyle name="Comma 3 9 10" xfId="20739" xr:uid="{D48750D6-8D27-4257-A313-AE8E2D8E0F41}"/>
    <cellStyle name="Comma 3 9 2" xfId="136" xr:uid="{9721EFFD-4C09-4322-A908-C6584CDDFBB6}"/>
    <cellStyle name="Comma 3 9 2 2" xfId="19768" xr:uid="{BE2776F6-F4FB-4060-86D8-B7BEB1CE4CE7}"/>
    <cellStyle name="Comma 3 9 2 2 2" xfId="20844" xr:uid="{F4EC7FD9-8E02-4784-BC2E-F9F06B6B5CE2}"/>
    <cellStyle name="Comma 3 9 2 3" xfId="20198" xr:uid="{D136EC2E-229C-4FA7-85B1-48B0C876ACF9}"/>
    <cellStyle name="Comma 3 9 2 3 2" xfId="20987" xr:uid="{BE554A9F-AAFC-4665-8F8F-7049FD781CB6}"/>
    <cellStyle name="Comma 3 9 2 4" xfId="20199" xr:uid="{ED705636-0C01-477E-8876-7260C075E711}"/>
    <cellStyle name="Comma 3 9 2 4 2" xfId="21098" xr:uid="{865CAA5D-832D-4889-A537-4B33D8926D76}"/>
    <cellStyle name="Comma 3 9 2 5" xfId="20200" xr:uid="{01CB6EF8-C417-4F89-912E-9A09EC8E23A0}"/>
    <cellStyle name="Comma 3 9 2 5 2" xfId="21413" xr:uid="{D3C47A7D-9311-4DF6-BCB8-66AFED670DA9}"/>
    <cellStyle name="Comma 3 9 2 6" xfId="20201" xr:uid="{7E046601-D11D-46F0-B9E2-6295B174E62B}"/>
    <cellStyle name="Comma 3 9 2 6 2" xfId="22176" xr:uid="{EBE4A6E0-40EE-4E65-8AC1-9CFB08BA11F5}"/>
    <cellStyle name="Comma 3 9 2 7" xfId="20202" xr:uid="{0FC44F37-7804-4CAD-B167-AD621DE25616}"/>
    <cellStyle name="Comma 3 9 2 7 2" xfId="22800" xr:uid="{8717AC45-2202-483D-AE23-F7D9066F8077}"/>
    <cellStyle name="Comma 3 9 2 8" xfId="20203" xr:uid="{2110DA52-C2FE-436C-ABF6-73790571CD44}"/>
    <cellStyle name="Comma 3 9 2 8 2" xfId="22801" xr:uid="{693A70C7-ED5F-461D-89DD-AE7C5091C84E}"/>
    <cellStyle name="Comma 3 9 2 9" xfId="20740" xr:uid="{8EE8BAE2-E809-4EB7-8CFC-64E6D23BBE8C}"/>
    <cellStyle name="Comma 3 9 3" xfId="19685" xr:uid="{01969055-B03D-42E9-A576-748B8527410C}"/>
    <cellStyle name="Comma 3 9 3 2" xfId="20204" xr:uid="{064E8DD7-5F10-42B3-A45B-25B42713CBE6}"/>
    <cellStyle name="Comma 3 9 3 2 2" xfId="22464" xr:uid="{4C88305C-A685-45C1-B519-391642439E43}"/>
    <cellStyle name="Comma 3 9 3 3" xfId="20205" xr:uid="{47E0DEBF-3430-4CCD-AD6B-6D8F391F2B5D}"/>
    <cellStyle name="Comma 3 9 3 3 2" xfId="22802" xr:uid="{B6DD6085-663C-4EBB-9FF9-5772EF7758BD}"/>
    <cellStyle name="Comma 3 9 3 4" xfId="20843" xr:uid="{37EA1BEB-FC45-41D4-AEFC-10E9B728A9CC}"/>
    <cellStyle name="Comma 3 9 4" xfId="19767" xr:uid="{5CF80529-6433-47CE-BB24-2C63A06E5B94}"/>
    <cellStyle name="Comma 3 9 4 2" xfId="20986" xr:uid="{48AAA17F-CD30-49FD-BEE0-F985C9F17D00}"/>
    <cellStyle name="Comma 3 9 5" xfId="20206" xr:uid="{A0B43F60-59CD-4CF4-AFFD-C1AAE87BB32D}"/>
    <cellStyle name="Comma 3 9 5 2" xfId="21097" xr:uid="{3A2B13E2-76AB-4292-BFB5-126EC014760E}"/>
    <cellStyle name="Comma 3 9 6" xfId="20207" xr:uid="{AD283BDD-70FC-4EA4-A225-86B1F4892880}"/>
    <cellStyle name="Comma 3 9 6 2" xfId="21412" xr:uid="{2F5F3000-FCD8-4DCB-86C4-801C5D9D845C}"/>
    <cellStyle name="Comma 3 9 7" xfId="20208" xr:uid="{FD1A16A1-C6E7-4C58-8F03-6652E31C50A7}"/>
    <cellStyle name="Comma 3 9 7 2" xfId="22175" xr:uid="{4657CD83-10DE-4C78-BE2E-AF03B1BF9C83}"/>
    <cellStyle name="Comma 3 9 8" xfId="20209" xr:uid="{6C721711-AD9B-4789-8BDD-C2C354A41982}"/>
    <cellStyle name="Comma 3 9 8 2" xfId="22803" xr:uid="{6CFE753E-155B-4471-9CC0-EB337B052F89}"/>
    <cellStyle name="Comma 3 9 9" xfId="20210" xr:uid="{2B8C0AAF-A9CD-4F01-A29C-0C9121ACD4EC}"/>
    <cellStyle name="Comma 3 9 9 2" xfId="22804" xr:uid="{66166A47-DDA2-42B6-930B-E77E4A0204FA}"/>
    <cellStyle name="Comma 4" xfId="19653" xr:uid="{E62DD741-4E77-4BD6-ACF8-ABA2F3F3EA42}"/>
    <cellStyle name="Comma 4 10" xfId="5783" xr:uid="{B95E9D63-AFE7-47D2-878A-B94B4AEEDF3F}"/>
    <cellStyle name="Comma 4 10 2" xfId="21161" xr:uid="{98F30BEE-A9F9-4F0A-A4A1-612DBD1732A8}"/>
    <cellStyle name="Comma 4 11" xfId="20211" xr:uid="{5ACEE3EA-7DD5-4F86-BD45-C934D29BE3A1}"/>
    <cellStyle name="Comma 4 11 2" xfId="22177" xr:uid="{FB0DDB61-97B0-44D4-A7FC-2B835165E167}"/>
    <cellStyle name="Comma 4 12" xfId="5784" xr:uid="{110BB3BD-99D3-42BD-93BA-9C342B72A97F}"/>
    <cellStyle name="Comma 4 12 2" xfId="22805" xr:uid="{F8250083-CD7E-4AFA-8FAD-DCB3AF5D2C83}"/>
    <cellStyle name="Comma 4 13" xfId="20687" xr:uid="{58D352ED-84B0-4C16-AA48-7BDFB6BD7F7D}"/>
    <cellStyle name="Comma 4 2" xfId="137" xr:uid="{289392CB-5FB2-46E1-AE07-94492B24CE9B}"/>
    <cellStyle name="Comma 4 2 10" xfId="20741" xr:uid="{2ACB6A55-12AD-4B00-A714-A39AA994632A}"/>
    <cellStyle name="Comma 4 2 2" xfId="138" xr:uid="{9C021D71-349A-4C65-99C9-7A9232814F17}"/>
    <cellStyle name="Comma 4 2 2 2" xfId="2634" xr:uid="{C2AC24D3-750E-47C8-85D8-20B14FA0BF8E}"/>
    <cellStyle name="Comma 4 2 2 2 2" xfId="20212" xr:uid="{A0F71D26-ED6F-49AF-B06C-59AB26531D78}"/>
    <cellStyle name="Comma 4 2 2 2 2 2" xfId="22467" xr:uid="{E68F825B-FFB9-4A19-AF8F-3354A5B0F7A7}"/>
    <cellStyle name="Comma 4 2 2 2 3" xfId="20213" xr:uid="{68761588-4544-484B-9925-7C70AF83C5D7}"/>
    <cellStyle name="Comma 4 2 2 2 3 2" xfId="22806" xr:uid="{1D39FB64-CC74-46EE-9BEB-D94171EC9284}"/>
    <cellStyle name="Comma 4 2 2 2 4" xfId="20846" xr:uid="{6E4338C8-6912-42C6-A8B6-4D5DA8C18F79}"/>
    <cellStyle name="Comma 4 2 2 3" xfId="19700" xr:uid="{7A3C173A-4F10-4C12-99E8-33D013069653}"/>
    <cellStyle name="Comma 4 2 2 3 2" xfId="20990" xr:uid="{7F60D9AC-804C-4DE8-A7AA-C0AE0E582921}"/>
    <cellStyle name="Comma 4 2 2 4" xfId="20214" xr:uid="{301CEA05-3FC0-44E8-96CA-D6733891C8EC}"/>
    <cellStyle name="Comma 4 2 2 4 2" xfId="21101" xr:uid="{1523D363-9218-421D-81EC-612BC2DADD36}"/>
    <cellStyle name="Comma 4 2 2 5" xfId="20215" xr:uid="{D1F3687E-3259-4611-9184-2E917ED89021}"/>
    <cellStyle name="Comma 4 2 2 5 2" xfId="21163" xr:uid="{486001EF-78AE-41B6-96EC-295B23F8597B}"/>
    <cellStyle name="Comma 4 2 2 6" xfId="20216" xr:uid="{65DEC7C4-915C-404E-95F5-66FA839BABAB}"/>
    <cellStyle name="Comma 4 2 2 6 2" xfId="22179" xr:uid="{8FEB528A-C97D-4363-8F8F-79AD2641C86F}"/>
    <cellStyle name="Comma 4 2 2 7" xfId="20217" xr:uid="{3197794D-5328-4D00-BDA7-25C2E57D8EFD}"/>
    <cellStyle name="Comma 4 2 2 7 2" xfId="22807" xr:uid="{E9637C4F-5780-4C73-B1CE-FEC1617358B7}"/>
    <cellStyle name="Comma 4 2 2 8" xfId="20742" xr:uid="{DFFE398F-CDFD-48BD-B68B-218755FF2CC1}"/>
    <cellStyle name="Comma 4 2 3" xfId="19819" xr:uid="{43B62407-68F3-4769-AFCD-CF1ADC8CED67}"/>
    <cellStyle name="Comma 4 2 3 2" xfId="19686" xr:uid="{9C646650-3902-4A93-8E36-FA493AA6C13C}"/>
    <cellStyle name="Comma 4 2 3 2 2" xfId="20218" xr:uid="{23C40236-F5CE-4D6E-845A-390C57C03E0D}"/>
    <cellStyle name="Comma 4 2 3 2 2 2" xfId="22468" xr:uid="{A05480AE-CA5D-4AD9-9E22-E9D397A0AB40}"/>
    <cellStyle name="Comma 4 2 3 2 3" xfId="20219" xr:uid="{DEB6457C-F76F-4F4A-8A37-EC4D3026CF7D}"/>
    <cellStyle name="Comma 4 2 3 2 3 2" xfId="22808" xr:uid="{355B080F-F166-4DF5-B14C-8283CFFCA620}"/>
    <cellStyle name="Comma 4 2 3 2 4" xfId="20847" xr:uid="{262BBA83-A616-4094-8C1F-1F4DDD9CCC63}"/>
    <cellStyle name="Comma 4 2 3 3" xfId="19701" xr:uid="{D5D1394B-B7A9-4096-9570-2411A9A78BC2}"/>
    <cellStyle name="Comma 4 2 3 3 2" xfId="20991" xr:uid="{684B3C29-473F-46D0-9E29-745E20B9ACFE}"/>
    <cellStyle name="Comma 4 2 3 4" xfId="20220" xr:uid="{B79A29A5-BE8A-4E90-B609-96C70F476CE8}"/>
    <cellStyle name="Comma 4 2 3 4 2" xfId="21102" xr:uid="{0070B638-E17B-4FB3-9DB6-B99D80316C52}"/>
    <cellStyle name="Comma 4 2 3 5" xfId="20221" xr:uid="{69B65CA4-8D5C-4DDA-9FE7-B81AF1D826C2}"/>
    <cellStyle name="Comma 4 2 3 5 2" xfId="21164" xr:uid="{5FDE3454-0EB7-4E5F-8ECC-4C6CF1310239}"/>
    <cellStyle name="Comma 4 2 3 6" xfId="20222" xr:uid="{BBEBAA3E-37E2-491A-8DBD-00E2F5912DE5}"/>
    <cellStyle name="Comma 4 2 3 6 2" xfId="22180" xr:uid="{287AFE08-6CF4-4087-8F4C-D27542F3F32A}"/>
    <cellStyle name="Comma 4 2 3 7" xfId="20223" xr:uid="{1A2C9487-5A0B-490D-A96F-39735C3346EA}"/>
    <cellStyle name="Comma 4 2 3 7 2" xfId="22809" xr:uid="{3CE236C8-5331-42E2-8BBF-A62CD7F34A2B}"/>
    <cellStyle name="Comma 4 2 3 8" xfId="20743" xr:uid="{FD72A857-575E-4145-B14C-9B3A772CE6AB}"/>
    <cellStyle name="Comma 4 2 4" xfId="2633" xr:uid="{21C2883F-3DA5-4EC5-B2B1-8DD288D16DFD}"/>
    <cellStyle name="Comma 4 2 4 2" xfId="20224" xr:uid="{A3D2B4BC-42AE-464E-8446-2335D2233584}"/>
    <cellStyle name="Comma 4 2 4 2 2" xfId="22466" xr:uid="{67348578-1DFE-41BA-98AA-9449793BAC6B}"/>
    <cellStyle name="Comma 4 2 4 3" xfId="20225" xr:uid="{CC4B4AF3-946D-4D0E-8003-7A90AF77A57A}"/>
    <cellStyle name="Comma 4 2 4 3 2" xfId="22810" xr:uid="{31C6E3F0-6C9E-4C42-A2F1-6FE809B98D92}"/>
    <cellStyle name="Comma 4 2 4 4" xfId="20845" xr:uid="{30F5AC63-993A-442D-B6D6-2CE98BC585A6}"/>
    <cellStyle name="Comma 4 2 5" xfId="19699" xr:uid="{A6C8704B-DC09-4795-A47C-0C9874DE6363}"/>
    <cellStyle name="Comma 4 2 5 2" xfId="20989" xr:uid="{F2E84AFF-B739-41A4-8E51-FDCE8C4BF2CE}"/>
    <cellStyle name="Comma 4 2 6" xfId="20226" xr:uid="{F7BC5014-758C-4699-B245-BB0C4922CFB5}"/>
    <cellStyle name="Comma 4 2 6 2" xfId="21100" xr:uid="{A36F15F5-FC7D-4FF8-A0A1-E36BA7989E2D}"/>
    <cellStyle name="Comma 4 2 7" xfId="20227" xr:uid="{01C3E942-9C30-479C-A110-E8E4A5F6D84B}"/>
    <cellStyle name="Comma 4 2 7 2" xfId="21162" xr:uid="{C69F2835-6110-470C-875A-3DC9A98CA5DF}"/>
    <cellStyle name="Comma 4 2 8" xfId="20228" xr:uid="{EB0CB441-105B-4831-979C-8C9D14C8D96E}"/>
    <cellStyle name="Comma 4 2 8 2" xfId="22178" xr:uid="{79ED7362-B894-48B0-A4D3-F74E6DA58614}"/>
    <cellStyle name="Comma 4 2 9" xfId="20229" xr:uid="{E49723A4-8850-4621-9FB5-1DDCB2F4D676}"/>
    <cellStyle name="Comma 4 2 9 2" xfId="22811" xr:uid="{F3E3F159-8E27-4DEE-8D2E-4400C6E85F08}"/>
    <cellStyle name="Comma 4 3" xfId="19820" xr:uid="{6BF90A4D-A0A2-4925-859D-613C90ECD412}"/>
    <cellStyle name="Comma 4 3 10" xfId="20744" xr:uid="{39426BF2-AC6D-4E09-A222-F3C8E0B95069}"/>
    <cellStyle name="Comma 4 3 2" xfId="19822" xr:uid="{7E98202B-4B6A-4C8A-BD62-53F3519F293A}"/>
    <cellStyle name="Comma 4 3 2 2" xfId="19688" xr:uid="{737AF58F-69D6-4DA5-B3CC-806ABFAEC4DC}"/>
    <cellStyle name="Comma 4 3 2 2 2" xfId="20230" xr:uid="{D1AC9D40-481A-4BD5-B59B-C10E5470910B}"/>
    <cellStyle name="Comma 4 3 2 2 2 2" xfId="22470" xr:uid="{0F519D07-5D24-4F0B-B071-DE9658CEEFD7}"/>
    <cellStyle name="Comma 4 3 2 2 3" xfId="20231" xr:uid="{49E4A3CD-3B4B-4110-8C0F-7D38BA56D17A}"/>
    <cellStyle name="Comma 4 3 2 2 3 2" xfId="22812" xr:uid="{ACFFEB0D-3296-428D-BF9C-5F147B588730}"/>
    <cellStyle name="Comma 4 3 2 2 4" xfId="20849" xr:uid="{BB13FC6B-2C46-4527-BAEA-90255CC67371}"/>
    <cellStyle name="Comma 4 3 2 3" xfId="19769" xr:uid="{9E3C3A4E-A916-4B0E-BFC1-803365AACDD9}"/>
    <cellStyle name="Comma 4 3 2 3 2" xfId="20993" xr:uid="{CD0FB3B8-E4CC-4299-94D2-53DE5FE68E91}"/>
    <cellStyle name="Comma 4 3 2 4" xfId="20232" xr:uid="{A69D3115-294D-48DC-A579-CA0EA9619E94}"/>
    <cellStyle name="Comma 4 3 2 4 2" xfId="21104" xr:uid="{341E5CAF-27CC-4F1C-83F8-6EA1BA14CE20}"/>
    <cellStyle name="Comma 4 3 2 5" xfId="20233" xr:uid="{797FBBB0-A26D-48CF-BECF-6063B06E860D}"/>
    <cellStyle name="Comma 4 3 2 5 2" xfId="21414" xr:uid="{B69D4CC8-B552-4CB3-AF1A-E3A1CA6F92A6}"/>
    <cellStyle name="Comma 4 3 2 6" xfId="20234" xr:uid="{9D970F13-FF11-46DD-A950-5F46B91C068C}"/>
    <cellStyle name="Comma 4 3 2 6 2" xfId="22182" xr:uid="{21682CAD-2884-4352-A0DB-4919F5AB18EF}"/>
    <cellStyle name="Comma 4 3 2 7" xfId="20235" xr:uid="{88538F1A-F5A3-43B5-B350-38B60C6D8FCD}"/>
    <cellStyle name="Comma 4 3 2 7 2" xfId="22813" xr:uid="{F384FE9D-54C8-42BC-BAFC-2ACFA3CF5AE0}"/>
    <cellStyle name="Comma 4 3 2 8" xfId="20745" xr:uid="{0BAAA33B-E723-4CD8-BE1A-81A537D20E24}"/>
    <cellStyle name="Comma 4 3 3" xfId="139" xr:uid="{132A1D40-7276-452A-BD1D-CB54976B1E3D}"/>
    <cellStyle name="Comma 4 3 3 2" xfId="2635" xr:uid="{B13F125A-7D43-4A8F-A870-48F29643A02F}"/>
    <cellStyle name="Comma 4 3 3 2 2" xfId="20236" xr:uid="{89D17EA6-6E52-42CA-958B-B3D39209427D}"/>
    <cellStyle name="Comma 4 3 3 2 2 2" xfId="22471" xr:uid="{49431510-8DC1-4EC7-A777-A6F313B3E6B6}"/>
    <cellStyle name="Comma 4 3 3 2 3" xfId="20237" xr:uid="{9D310E4B-263A-4DE5-A46C-596582A9A760}"/>
    <cellStyle name="Comma 4 3 3 2 3 2" xfId="22814" xr:uid="{700F4338-852F-464C-84D7-E86D9E5099F0}"/>
    <cellStyle name="Comma 4 3 3 2 4" xfId="20850" xr:uid="{7781B610-E299-4F59-8DE1-B8737078420C}"/>
    <cellStyle name="Comma 4 3 3 3" xfId="19770" xr:uid="{1AC7FC44-CBAE-430A-A59F-772971C0C569}"/>
    <cellStyle name="Comma 4 3 3 3 2" xfId="20994" xr:uid="{CD56BD99-64CB-4FAB-A74F-C8FBA744849B}"/>
    <cellStyle name="Comma 4 3 3 4" xfId="20238" xr:uid="{145F9275-F010-4D1C-85E5-1155F9177BCF}"/>
    <cellStyle name="Comma 4 3 3 4 2" xfId="21105" xr:uid="{79E3CC4A-D7D9-4718-AAD4-AD26B8D84268}"/>
    <cellStyle name="Comma 4 3 3 5" xfId="20239" xr:uid="{C8EEA3CA-2E36-433D-BE8D-61920BF0EA4D}"/>
    <cellStyle name="Comma 4 3 3 5 2" xfId="21415" xr:uid="{5ECA8226-0D0C-4E47-B9B2-B8882AA1E17C}"/>
    <cellStyle name="Comma 4 3 3 6" xfId="20240" xr:uid="{464EEE64-D666-40A9-B42E-DDE215F1EF84}"/>
    <cellStyle name="Comma 4 3 3 6 2" xfId="22183" xr:uid="{66AE5A44-21A5-45B8-8F1E-F46859901D5D}"/>
    <cellStyle name="Comma 4 3 3 7" xfId="20241" xr:uid="{6DE42D9D-3328-4947-BE35-1F2F7232F020}"/>
    <cellStyle name="Comma 4 3 3 7 2" xfId="22815" xr:uid="{6D2CF16D-7FB3-4061-B308-92DFA490AA6F}"/>
    <cellStyle name="Comma 4 3 3 8" xfId="20746" xr:uid="{6EE5DF18-FE02-4CD4-9F22-8CB4478E16CA}"/>
    <cellStyle name="Comma 4 3 4" xfId="19687" xr:uid="{FA960CBF-D2CF-4671-8C86-8D797FC2575B}"/>
    <cellStyle name="Comma 4 3 4 2" xfId="20242" xr:uid="{CF460730-1185-49DB-9A62-1AB16E9BCDF6}"/>
    <cellStyle name="Comma 4 3 4 2 2" xfId="22469" xr:uid="{243E2D84-736C-4BFC-BE79-12226648A847}"/>
    <cellStyle name="Comma 4 3 4 3" xfId="20243" xr:uid="{D72F8897-A0C6-4053-BF38-E874FC38116E}"/>
    <cellStyle name="Comma 4 3 4 3 2" xfId="22816" xr:uid="{53B6C61E-B411-4ECF-A7B3-BDC2DCE00610}"/>
    <cellStyle name="Comma 4 3 4 4" xfId="20848" xr:uid="{A1AFCCC2-A854-447E-B6E7-AE084DE00547}"/>
    <cellStyle name="Comma 4 3 5" xfId="19702" xr:uid="{F5F0180C-F3DB-4D66-BC66-98DF0D5B97EF}"/>
    <cellStyle name="Comma 4 3 5 2" xfId="20992" xr:uid="{9B618681-1064-4179-B21E-DC7F87A9BD09}"/>
    <cellStyle name="Comma 4 3 6" xfId="20244" xr:uid="{44630E6A-D9E6-4537-A55B-6996E22AA327}"/>
    <cellStyle name="Comma 4 3 6 2" xfId="21103" xr:uid="{4EF4FE92-E990-4FD2-B775-743F69DFCD50}"/>
    <cellStyle name="Comma 4 3 7" xfId="20245" xr:uid="{E0C855A5-0920-4A90-B755-71A5300BDFEF}"/>
    <cellStyle name="Comma 4 3 7 2" xfId="21165" xr:uid="{1FE6B181-0E8A-4BD5-9B54-1B1863AC5E5B}"/>
    <cellStyle name="Comma 4 3 8" xfId="20246" xr:uid="{0609583E-C605-4E0A-BBCC-E88AB61EAABF}"/>
    <cellStyle name="Comma 4 3 8 2" xfId="22181" xr:uid="{EC3BA004-B149-4500-A4DB-8B99EC5618E8}"/>
    <cellStyle name="Comma 4 3 9" xfId="20247" xr:uid="{95E4FC54-10D7-40E8-A75A-704EFB2AC5DA}"/>
    <cellStyle name="Comma 4 3 9 2" xfId="22817" xr:uid="{4CD1F30F-7EFC-4B96-9FD6-C26AA3DF30EA}"/>
    <cellStyle name="Comma 4 4" xfId="140" xr:uid="{C56ADEC9-E2AF-46C5-9522-EF293F9B6D17}"/>
    <cellStyle name="Comma 4 4 10" xfId="20248" xr:uid="{37BA3835-C948-4409-BCFD-13058EE5B443}"/>
    <cellStyle name="Comma 4 4 10 2" xfId="22818" xr:uid="{903E1033-8701-4672-9275-CFBBA2C1DC3E}"/>
    <cellStyle name="Comma 4 4 11" xfId="20747" xr:uid="{77E4DFC1-40FA-48D5-B506-9787AE4474F3}"/>
    <cellStyle name="Comma 4 4 2" xfId="141" xr:uid="{FD52E0B6-5947-4292-B78F-4AA8136EA410}"/>
    <cellStyle name="Comma 4 4 2 2" xfId="2637" xr:uid="{2DA86E14-5827-46AC-855B-87E386448BA2}"/>
    <cellStyle name="Comma 4 4 2 2 2" xfId="20249" xr:uid="{FC598E05-DD9C-46B6-8A71-5480CE0B5369}"/>
    <cellStyle name="Comma 4 4 2 2 2 2" xfId="22473" xr:uid="{215CDB6A-F115-438D-B294-147DFF9D21E8}"/>
    <cellStyle name="Comma 4 4 2 2 3" xfId="20250" xr:uid="{3B4AC24A-53C2-418A-AD36-AAE365913050}"/>
    <cellStyle name="Comma 4 4 2 2 3 2" xfId="22819" xr:uid="{13DE64FF-1C0C-491E-AF29-8A134C81EB32}"/>
    <cellStyle name="Comma 4 4 2 2 4" xfId="20852" xr:uid="{87708A5C-0B06-4397-B2BE-09411FC60010}"/>
    <cellStyle name="Comma 4 4 2 3" xfId="19772" xr:uid="{934D9DE6-D3C9-415A-AD0A-B7F26675E225}"/>
    <cellStyle name="Comma 4 4 2 3 2" xfId="20996" xr:uid="{16B89900-674D-462F-A48D-0EB0A3B84F43}"/>
    <cellStyle name="Comma 4 4 2 4" xfId="20251" xr:uid="{662C0F8A-1327-4F76-B893-44F0C4BF28A4}"/>
    <cellStyle name="Comma 4 4 2 4 2" xfId="21107" xr:uid="{67AF6B6D-5687-40CD-A311-07809F71F15D}"/>
    <cellStyle name="Comma 4 4 2 5" xfId="20252" xr:uid="{55020FC6-1A81-4DCD-A341-C32FFDCCA9EE}"/>
    <cellStyle name="Comma 4 4 2 5 2" xfId="21417" xr:uid="{A34461C9-C895-4A73-8067-67F0B4886481}"/>
    <cellStyle name="Comma 4 4 2 6" xfId="20253" xr:uid="{59303553-76C9-4AC0-842E-CB4AF5E18D6E}"/>
    <cellStyle name="Comma 4 4 2 6 2" xfId="22185" xr:uid="{AADB5D56-5F5F-4DF9-BF22-60459D24CF77}"/>
    <cellStyle name="Comma 4 4 2 7" xfId="20254" xr:uid="{A55B2E20-36F8-4594-B9AB-C70F619D88EC}"/>
    <cellStyle name="Comma 4 4 2 7 2" xfId="22820" xr:uid="{F8DF362E-20A9-4B68-8352-8642CF3A274A}"/>
    <cellStyle name="Comma 4 4 2 8" xfId="20748" xr:uid="{37316176-B759-40B8-8691-CA8985BD9204}"/>
    <cellStyle name="Comma 4 4 3" xfId="142" xr:uid="{DE4F3751-AC35-4D40-A127-EACE53CF814E}"/>
    <cellStyle name="Comma 4 4 3 2" xfId="143" xr:uid="{1A234EC2-5500-41CF-BDE0-E0AB3CF51E31}"/>
    <cellStyle name="Comma 4 4 3 2 2" xfId="2639" xr:uid="{38A23337-B72C-490E-908A-5F567389A313}"/>
    <cellStyle name="Comma 4 4 3 2 2 2" xfId="20255" xr:uid="{9996E8DC-9EA3-4120-BC5F-E7B47B41FEBB}"/>
    <cellStyle name="Comma 4 4 3 2 2 2 2" xfId="22475" xr:uid="{1F71687F-EF31-454A-B1F7-395C4ED3962D}"/>
    <cellStyle name="Comma 4 4 3 2 2 3" xfId="20256" xr:uid="{680C0184-0DF0-4823-AA20-F4752EAE7BAE}"/>
    <cellStyle name="Comma 4 4 3 2 2 3 2" xfId="22821" xr:uid="{01EE2BAD-2FCA-487F-8764-C210EFEF8A98}"/>
    <cellStyle name="Comma 4 4 3 2 2 4" xfId="20854" xr:uid="{850230C8-61CA-42F8-9020-B710891C53A8}"/>
    <cellStyle name="Comma 4 4 3 2 3" xfId="19774" xr:uid="{98A9FFCF-9448-44F5-B7A1-DC9CF7FACF68}"/>
    <cellStyle name="Comma 4 4 3 2 3 2" xfId="20998" xr:uid="{AA432629-E99E-49F3-A7EF-862063B028EC}"/>
    <cellStyle name="Comma 4 4 3 2 4" xfId="20257" xr:uid="{0024D590-22AE-4264-AB1E-CA068D1057AF}"/>
    <cellStyle name="Comma 4 4 3 2 4 2" xfId="21109" xr:uid="{CED954BA-0CE7-4B4D-AC60-1C3976490BEF}"/>
    <cellStyle name="Comma 4 4 3 2 5" xfId="20258" xr:uid="{CC1E8724-A091-45C9-A827-426FB2B31F8D}"/>
    <cellStyle name="Comma 4 4 3 2 5 2" xfId="21419" xr:uid="{3C4AF4F1-9F62-4269-9A59-C4C80C527FB9}"/>
    <cellStyle name="Comma 4 4 3 2 6" xfId="20259" xr:uid="{244FE31B-4FEB-4FB3-9E05-A037EB57C5BB}"/>
    <cellStyle name="Comma 4 4 3 2 6 2" xfId="22187" xr:uid="{764867E1-89A4-4F32-9C3C-CC9B4F153A73}"/>
    <cellStyle name="Comma 4 4 3 2 7" xfId="20260" xr:uid="{F4274E1C-2330-48B4-81AE-6F7CE830C1CD}"/>
    <cellStyle name="Comma 4 4 3 2 7 2" xfId="22822" xr:uid="{CD2CEBBC-DCD5-43F5-AB20-423E11606A78}"/>
    <cellStyle name="Comma 4 4 3 2 8" xfId="20750" xr:uid="{19BD527A-8C45-428D-9683-5EEA0814D1F1}"/>
    <cellStyle name="Comma 4 4 3 3" xfId="2638" xr:uid="{97AB35A9-BC4E-48E7-8298-F7DD705FB065}"/>
    <cellStyle name="Comma 4 4 3 3 2" xfId="19775" xr:uid="{8CB0A45E-4120-428A-A5B5-A574D26F07A3}"/>
    <cellStyle name="Comma 4 4 3 3 2 2" xfId="21420" xr:uid="{DFA6655D-5BDF-4F9B-B33A-88BAAFEBE883}"/>
    <cellStyle name="Comma 4 4 3 3 3" xfId="20261" xr:uid="{EC16C777-558E-4588-A9F1-11E33266B1EF}"/>
    <cellStyle name="Comma 4 4 3 3 3 2" xfId="22474" xr:uid="{9162E197-A293-48F6-9DF0-CA51D190EBD5}"/>
    <cellStyle name="Comma 4 4 3 3 4" xfId="20262" xr:uid="{03BD2926-BA13-4C77-85B7-C88057F12C9F}"/>
    <cellStyle name="Comma 4 4 3 3 4 2" xfId="22823" xr:uid="{2B934004-EB67-4FB2-B896-E080DCEF7DCE}"/>
    <cellStyle name="Comma 4 4 3 3 5" xfId="20853" xr:uid="{EA03A95B-0D9C-4EBF-96E0-7CA57648FBC3}"/>
    <cellStyle name="Comma 4 4 3 4" xfId="19671" xr:uid="{16AEF943-9C59-418E-AA60-B9546ADBB0A9}"/>
    <cellStyle name="Comma 4 4 3 4 2" xfId="20263" xr:uid="{366EDAF2-CFD9-4F28-BCB6-0EEB1732419A}"/>
    <cellStyle name="Comma 4 4 3 4 2 2" xfId="21421" xr:uid="{7AFD0F44-F8B4-45DE-A2B5-D2A2E55982B2}"/>
    <cellStyle name="Comma 4 4 3 4 3" xfId="20997" xr:uid="{82C858FD-A128-47E1-A857-8E80B346A250}"/>
    <cellStyle name="Comma 4 4 3 5" xfId="19773" xr:uid="{66DDAD64-1E75-462F-AB27-3C8F6404FA60}"/>
    <cellStyle name="Comma 4 4 3 5 2" xfId="21108" xr:uid="{097A32DC-B258-4763-8210-D23554C0C3CD}"/>
    <cellStyle name="Comma 4 4 3 6" xfId="20264" xr:uid="{FE1B5ED6-2C06-4B66-8EB7-2740710E4D62}"/>
    <cellStyle name="Comma 4 4 3 6 2" xfId="21418" xr:uid="{6B4DD2FA-8F7D-4D0A-BCBA-08218B506E7D}"/>
    <cellStyle name="Comma 4 4 3 7" xfId="20265" xr:uid="{A597AE3C-85CA-4F25-92DC-841C8C464156}"/>
    <cellStyle name="Comma 4 4 3 7 2" xfId="22186" xr:uid="{9D26AF8D-F7AA-416D-83A0-B4A2293738EB}"/>
    <cellStyle name="Comma 4 4 3 8" xfId="20266" xr:uid="{B2F5C820-072F-4864-AE37-928053662C95}"/>
    <cellStyle name="Comma 4 4 3 8 2" xfId="22824" xr:uid="{C7836272-5A87-4D41-BD40-FCD8BFB8068F}"/>
    <cellStyle name="Comma 4 4 3 9" xfId="20749" xr:uid="{4D497F63-8025-4F53-95F6-312ADD3F05F5}"/>
    <cellStyle name="Comma 4 4 4" xfId="144" xr:uid="{00BB9508-4276-4DAE-82C1-02F05FC0E691}"/>
    <cellStyle name="Comma 4 4 4 2" xfId="145" xr:uid="{3B8A1512-58CD-4605-B15D-CAB58E327992}"/>
    <cellStyle name="Comma 4 4 4 2 2" xfId="19777" xr:uid="{841255EE-B333-42B1-A8FD-21EEDE311F1A}"/>
    <cellStyle name="Comma 4 4 4 2 2 2" xfId="20856" xr:uid="{2534429F-9ECC-4A69-9360-8E0B51E5C2A6}"/>
    <cellStyle name="Comma 4 4 4 2 3" xfId="20267" xr:uid="{E53371AE-E8B3-47B0-9D1C-BD896A78E83B}"/>
    <cellStyle name="Comma 4 4 4 2 3 2" xfId="21000" xr:uid="{945DC192-97E5-4E03-A9AB-D80BB24EBF95}"/>
    <cellStyle name="Comma 4 4 4 2 4" xfId="20268" xr:uid="{5E2D9899-9230-402B-8D00-FAA4C9D59B4F}"/>
    <cellStyle name="Comma 4 4 4 2 4 2" xfId="21111" xr:uid="{61641680-DD69-4EF8-BEC4-32332ACE7CBD}"/>
    <cellStyle name="Comma 4 4 4 2 5" xfId="20269" xr:uid="{5761DD65-3081-4880-97E6-B61C2B5BE37F}"/>
    <cellStyle name="Comma 4 4 4 2 5 2" xfId="21423" xr:uid="{6D2C70E5-14BC-46AB-AFFE-BBCF250B3041}"/>
    <cellStyle name="Comma 4 4 4 2 6" xfId="20270" xr:uid="{35211906-5089-493B-ACD2-5A8D3611E2B5}"/>
    <cellStyle name="Comma 4 4 4 2 6 2" xfId="22189" xr:uid="{53EBF7E0-1CAB-4BAF-B1FE-523EB60903BF}"/>
    <cellStyle name="Comma 4 4 4 2 7" xfId="20271" xr:uid="{932FBB06-B3C3-4D4C-809D-E0269A89C6B0}"/>
    <cellStyle name="Comma 4 4 4 2 7 2" xfId="22825" xr:uid="{02989EC7-CD4D-4303-A3C0-9ECD795AD813}"/>
    <cellStyle name="Comma 4 4 4 2 8" xfId="20752" xr:uid="{53F6F8E5-C90D-4C86-BD69-4229F2688539}"/>
    <cellStyle name="Comma 4 4 4 3" xfId="2640" xr:uid="{25491281-42F9-466E-8072-250544E7C60B}"/>
    <cellStyle name="Comma 4 4 4 3 2" xfId="20272" xr:uid="{32043A54-8B9E-4C7E-AC8B-37EAD798EDA6}"/>
    <cellStyle name="Comma 4 4 4 3 2 2" xfId="22476" xr:uid="{7690438A-29DC-441A-93BA-FDAC062AB8BA}"/>
    <cellStyle name="Comma 4 4 4 3 3" xfId="20273" xr:uid="{2AE25716-84AB-44D8-939C-0789DB7638E9}"/>
    <cellStyle name="Comma 4 4 4 3 3 2" xfId="22826" xr:uid="{53138D35-E509-482A-9906-77DD564A93DA}"/>
    <cellStyle name="Comma 4 4 4 3 4" xfId="20855" xr:uid="{4CB4C1CA-9103-4C04-9781-3AE18167EA3A}"/>
    <cellStyle name="Comma 4 4 4 4" xfId="19776" xr:uid="{BBCF2DDC-61DD-4C87-90D2-F0CC855989D5}"/>
    <cellStyle name="Comma 4 4 4 4 2" xfId="20999" xr:uid="{BB2893A4-316A-4593-981F-63969DFD5F6F}"/>
    <cellStyle name="Comma 4 4 4 5" xfId="20274" xr:uid="{24A92445-518F-43DC-ADCF-2D2730B84A28}"/>
    <cellStyle name="Comma 4 4 4 5 2" xfId="21110" xr:uid="{E71B77FF-728C-4765-A5F5-FCDED068BC4E}"/>
    <cellStyle name="Comma 4 4 4 6" xfId="20275" xr:uid="{BAA1FBF4-7E8D-46D6-B46A-C3BB80251AB7}"/>
    <cellStyle name="Comma 4 4 4 6 2" xfId="21422" xr:uid="{0140BDBC-8E97-48DA-BCC0-DA104B4BE5D6}"/>
    <cellStyle name="Comma 4 4 4 7" xfId="20276" xr:uid="{F4785058-FB65-43F5-B4E7-F0F5AD879018}"/>
    <cellStyle name="Comma 4 4 4 7 2" xfId="22188" xr:uid="{D0E645B0-0514-47D8-9D2E-8B59F0EF8985}"/>
    <cellStyle name="Comma 4 4 4 8" xfId="20277" xr:uid="{2E6835DF-A9B3-476C-8232-0254E2162459}"/>
    <cellStyle name="Comma 4 4 4 8 2" xfId="22827" xr:uid="{7D4947B7-6227-4FD4-A688-E928BD009F6E}"/>
    <cellStyle name="Comma 4 4 4 9" xfId="20751" xr:uid="{1018CF3D-4AF4-44D7-B864-2A0CD92D40EA}"/>
    <cellStyle name="Comma 4 4 5" xfId="2636" xr:uid="{4A9A3E81-164F-4C8B-A534-25E906BD550B}"/>
    <cellStyle name="Comma 4 4 5 2" xfId="19778" xr:uid="{11BFA375-BA1B-4D79-AB17-1295EE104CAE}"/>
    <cellStyle name="Comma 4 4 5 2 2" xfId="21424" xr:uid="{403579E9-F221-4B05-BD0B-67264D04F8D8}"/>
    <cellStyle name="Comma 4 4 5 3" xfId="20278" xr:uid="{EF3C1C5C-F0FB-40BF-BC79-5097CDC7AE55}"/>
    <cellStyle name="Comma 4 4 5 3 2" xfId="22472" xr:uid="{54A1FA50-2F16-4CE4-80DD-A9114E3C9F10}"/>
    <cellStyle name="Comma 4 4 5 4" xfId="20279" xr:uid="{F0BE97D6-F439-4257-87DD-D05D44195235}"/>
    <cellStyle name="Comma 4 4 5 4 2" xfId="22828" xr:uid="{C8A6FD07-FB25-49A5-8B04-D6596653DE3B}"/>
    <cellStyle name="Comma 4 4 5 5" xfId="20851" xr:uid="{39F79003-7680-4729-BBB4-7FDD5A08CC1B}"/>
    <cellStyle name="Comma 4 4 6" xfId="19771" xr:uid="{0504F244-7D05-4594-B2BF-8BC0B9DEBD82}"/>
    <cellStyle name="Comma 4 4 6 2" xfId="20995" xr:uid="{C2F48C69-3663-4F89-B612-8DF2279565BD}"/>
    <cellStyle name="Comma 4 4 7" xfId="20280" xr:uid="{01130976-B54F-45AB-A263-C3A3C9F34CA3}"/>
    <cellStyle name="Comma 4 4 7 2" xfId="21106" xr:uid="{31810DEB-E3E1-45E3-B67F-B0A20B006F60}"/>
    <cellStyle name="Comma 4 4 8" xfId="20281" xr:uid="{AAA5A6EC-4A79-448B-AD29-1F844AA14DBE}"/>
    <cellStyle name="Comma 4 4 8 2" xfId="21416" xr:uid="{1192B8CD-704A-40BB-91F9-16CD5F1D4503}"/>
    <cellStyle name="Comma 4 4 9" xfId="20282" xr:uid="{4FF54F48-6D99-488C-B17F-D7095EFEB8EE}"/>
    <cellStyle name="Comma 4 4 9 2" xfId="22184" xr:uid="{E6AC3E06-94D5-423D-A89D-55CB30A3E4E4}"/>
    <cellStyle name="Comma 4 5" xfId="146" xr:uid="{BC4EFD39-1ED0-48CA-A449-88DDC1107600}"/>
    <cellStyle name="Comma 4 5 2" xfId="2641" xr:uid="{CC1714B7-E1F9-4486-A031-DBAAF3B919EA}"/>
    <cellStyle name="Comma 4 5 2 2" xfId="19780" xr:uid="{D4F6BB2E-C3F5-4BFC-80DB-0C78A07E5E76}"/>
    <cellStyle name="Comma 4 5 2 2 2" xfId="21426" xr:uid="{2C2F9DB6-DEF0-451E-86C1-A4AA7177A2AF}"/>
    <cellStyle name="Comma 4 5 2 3" xfId="20283" xr:uid="{11CA2895-7933-4412-9913-76F73403342C}"/>
    <cellStyle name="Comma 4 5 2 3 2" xfId="22477" xr:uid="{3AD07165-582C-4027-82C1-99BDBE0D936C}"/>
    <cellStyle name="Comma 4 5 2 4" xfId="20284" xr:uid="{C505D84F-B99E-49B0-B30F-8BE58A254087}"/>
    <cellStyle name="Comma 4 5 2 4 2" xfId="22829" xr:uid="{E3F10503-1A86-4E3C-BDE5-A0B8E04C2BBA}"/>
    <cellStyle name="Comma 4 5 2 5" xfId="20857" xr:uid="{248130D0-38CB-414F-A4F9-DB5C5D4E3456}"/>
    <cellStyle name="Comma 4 5 3" xfId="19672" xr:uid="{ED7DC2B7-BD07-4C14-AAF4-5F651BFDFEA2}"/>
    <cellStyle name="Comma 4 5 3 2" xfId="20285" xr:uid="{5C900708-8FE4-447B-AB85-406D0515BE9D}"/>
    <cellStyle name="Comma 4 5 3 2 2" xfId="21427" xr:uid="{C1FBA7CE-6A39-4836-819F-CC0345BAB752}"/>
    <cellStyle name="Comma 4 5 3 3" xfId="21001" xr:uid="{987FE5A1-65AE-4A21-A20A-97DA3D841885}"/>
    <cellStyle name="Comma 4 5 4" xfId="19779" xr:uid="{17652EE9-B04C-4F42-A1FB-16CECE9254E5}"/>
    <cellStyle name="Comma 4 5 4 2" xfId="21112" xr:uid="{97418465-5778-46C0-9233-2AD559045267}"/>
    <cellStyle name="Comma 4 5 5" xfId="20286" xr:uid="{CAD2E354-890C-438A-9ADE-759D20A32FC7}"/>
    <cellStyle name="Comma 4 5 5 2" xfId="21425" xr:uid="{4037A3BA-4B07-4CE8-8D25-EB77842183F5}"/>
    <cellStyle name="Comma 4 5 6" xfId="20287" xr:uid="{F6351EE1-20B8-4795-9D78-1827C16491B2}"/>
    <cellStyle name="Comma 4 5 6 2" xfId="22190" xr:uid="{3E4B6B5D-7978-4BF0-B00F-7C3F3AA1BA9D}"/>
    <cellStyle name="Comma 4 5 7" xfId="20288" xr:uid="{5FBB0CA6-4D45-469C-A1BF-3939835CE0B8}"/>
    <cellStyle name="Comma 4 5 7 2" xfId="22830" xr:uid="{AE96C69D-513B-42B6-93FF-21E2B88352A3}"/>
    <cellStyle name="Comma 4 5 8" xfId="20753" xr:uid="{BBAFAAA4-547E-4749-B9DE-A993765C8CAE}"/>
    <cellStyle name="Comma 4 6" xfId="19657" xr:uid="{9BD7F0CB-9BC7-4A7E-9BD5-1B18BFF07ACC}"/>
    <cellStyle name="Comma 4 6 2" xfId="19781" xr:uid="{F01BEF29-92A8-4C0A-838D-9A75E110422A}"/>
    <cellStyle name="Comma 4 6 2 2" xfId="21428" xr:uid="{27BBD7C2-EE9E-48A1-AF81-9EBAA9060B05}"/>
    <cellStyle name="Comma 4 6 3" xfId="20289" xr:uid="{2657FC17-8A9B-46D2-8294-BB9298998455}"/>
    <cellStyle name="Comma 4 6 3 2" xfId="22465" xr:uid="{11CFAE9A-02A0-41F6-B896-F364DD316106}"/>
    <cellStyle name="Comma 4 6 4" xfId="20290" xr:uid="{9F473E71-D167-46AB-BBA7-B50FB788713F}"/>
    <cellStyle name="Comma 4 6 4 2" xfId="22831" xr:uid="{59CF4516-287C-4CC7-9367-F0A80E5B541B}"/>
    <cellStyle name="Comma 4 6 5" xfId="20677" xr:uid="{14C25AB3-F66C-443E-983D-EE411127C7C6}"/>
    <cellStyle name="Comma 4 7" xfId="19673" xr:uid="{5DF83B4A-A2C3-4D89-9D66-E6E3A29E5820}"/>
    <cellStyle name="Comma 4 7 2" xfId="20291" xr:uid="{4650BBFB-18E3-4BFF-B7E7-3EBE6CA665F4}"/>
    <cellStyle name="Comma 4 7 2 2" xfId="21429" xr:uid="{9AAFB432-5EA8-4751-BCC4-53B2D01FB3FB}"/>
    <cellStyle name="Comma 4 7 3" xfId="20678" xr:uid="{B17AAE32-06CF-42EA-A671-B21D33583DE0}"/>
    <cellStyle name="Comma 4 8" xfId="19698" xr:uid="{19E5279D-F496-4BDD-BE17-A13476E88028}"/>
    <cellStyle name="Comma 4 8 2" xfId="20988" xr:uid="{9A02C597-9028-48DF-8098-26FF5E20A6A0}"/>
    <cellStyle name="Comma 4 9" xfId="20292" xr:uid="{F9BE34BF-1E05-442F-8A60-6DB26F52F1B9}"/>
    <cellStyle name="Comma 4 9 2" xfId="21099" xr:uid="{EB0D60E6-0471-4880-9BBA-E8AA98428442}"/>
    <cellStyle name="Comma 5" xfId="19654" xr:uid="{60F5EF53-FCD2-4ED0-A1F4-0E29721FF7F9}"/>
    <cellStyle name="Comma 5 10" xfId="19674" xr:uid="{70FAE150-1106-4048-849D-0A590D057F21}"/>
    <cellStyle name="Comma 5 10 2" xfId="20293" xr:uid="{99BE990A-32AD-4D6A-BD10-ACACF70D5ADC}"/>
    <cellStyle name="Comma 5 10 2 2" xfId="21431" xr:uid="{73D985C2-ECB6-4BDF-9FDC-4055183EF764}"/>
    <cellStyle name="Comma 5 10 3" xfId="20679" xr:uid="{E9777DD1-1918-4284-944A-8F5A040F6B8D}"/>
    <cellStyle name="Comma 5 11" xfId="19675" xr:uid="{ED45E9E6-987A-49B7-8640-8AB5F60FEDAA}"/>
    <cellStyle name="Comma 5 11 2" xfId="20294" xr:uid="{936B3BE5-8F77-48BD-A7A1-C94A39E6E6FC}"/>
    <cellStyle name="Comma 5 11 2 2" xfId="21432" xr:uid="{1DEFFF7B-8968-4951-9FFC-A725DB7C8C50}"/>
    <cellStyle name="Comma 5 11 3" xfId="20680" xr:uid="{588AE4A0-7BD6-42F4-B557-CADF3BFAB62E}"/>
    <cellStyle name="Comma 5 12" xfId="19823" xr:uid="{750196A6-6CDA-4166-860F-05573C4FD40D}"/>
    <cellStyle name="Comma 5 12 2" xfId="21430" xr:uid="{F3DB386F-5867-420E-8BDD-814DCD592EB3}"/>
    <cellStyle name="Comma 5 13" xfId="19703" xr:uid="{A757860C-E6B4-4FAD-945C-AAE978374AA2}"/>
    <cellStyle name="Comma 5 13 2" xfId="21166" xr:uid="{56E98395-6353-4C43-A506-B5940E63CFD8}"/>
    <cellStyle name="Comma 5 14" xfId="20295" xr:uid="{E4A0DF3E-2E48-42C5-8076-F3AF9F4A468D}"/>
    <cellStyle name="Comma 5 14 2" xfId="22191" xr:uid="{8AB82964-5B30-41EE-9E77-4D1EAD087C01}"/>
    <cellStyle name="Comma 5 15" xfId="5785" xr:uid="{E3B1BEA3-729E-45FF-8A32-6F015C523136}"/>
    <cellStyle name="Comma 5 15 2" xfId="22832" xr:uid="{EA347CEA-8405-4045-AE78-E4E485870746}"/>
    <cellStyle name="Comma 5 16" xfId="20296" xr:uid="{8B38B8DB-7D04-4383-B3DB-D41A7818902A}"/>
    <cellStyle name="Comma 5 16 2" xfId="22833" xr:uid="{E051E942-76C1-4868-B398-CFEE2E82FCCD}"/>
    <cellStyle name="Comma 5 17" xfId="20673" xr:uid="{285A5291-75B4-4243-B873-6FD9882718B8}"/>
    <cellStyle name="Comma 5 2" xfId="147" xr:uid="{41D5B316-5594-4F25-AD48-8563EACC0155}"/>
    <cellStyle name="Comma 5 2 2" xfId="148" xr:uid="{12C1B299-DF5F-48FB-B5DE-04011A1F2265}"/>
    <cellStyle name="Comma 5 2 2 2" xfId="149" xr:uid="{D0F976A8-27E2-4C2F-B1CD-31AA2C945584}"/>
    <cellStyle name="Comma 5 2 2 2 2" xfId="3028" xr:uid="{28A7FF75-1149-4E91-A632-1511F445042F}"/>
    <cellStyle name="Comma 5 2 2 3" xfId="3027" xr:uid="{E3C646C2-EB62-41CC-A94E-0D045D8A5E6F}"/>
    <cellStyle name="Comma 5 2 3" xfId="150" xr:uid="{A7053268-E6F6-4DBE-B78B-32A52CB1FD1C}"/>
    <cellStyle name="Comma 5 2 3 2" xfId="3030" xr:uid="{E5400879-2F77-418A-A464-4ABCCAC76959}"/>
    <cellStyle name="Comma 5 2 3 3" xfId="3031" xr:uid="{9039A5E1-BDF7-440F-8C4B-898946C695AB}"/>
    <cellStyle name="Comma 5 2 3 4" xfId="3029" xr:uid="{19AEC477-78A6-44F6-A074-798414236016}"/>
    <cellStyle name="Comma 5 2 4" xfId="151" xr:uid="{04A72E0A-14E9-481B-A7BB-1F4CEDB7696F}"/>
    <cellStyle name="Comma 5 2 4 2" xfId="2642" xr:uid="{A1DA41BE-07DF-4ABB-BFA8-C07206165E68}"/>
    <cellStyle name="Comma 5 2 4 2 2" xfId="20297" xr:uid="{CF9436A0-8842-477E-94CC-56EE563BF9D6}"/>
    <cellStyle name="Comma 5 2 4 2 2 2" xfId="22478" xr:uid="{338AE94A-1A02-47B5-900B-069738F7A8BA}"/>
    <cellStyle name="Comma 5 2 4 2 3" xfId="20298" xr:uid="{86D90562-3FAF-4C9D-8A2A-5F53C2158B52}"/>
    <cellStyle name="Comma 5 2 4 2 3 2" xfId="22834" xr:uid="{04039708-D628-427D-BF5D-CA77D6FE8CBD}"/>
    <cellStyle name="Comma 5 2 4 2 4" xfId="20859" xr:uid="{75D908F8-C21A-4A9F-A8A7-AF214F1B544E}"/>
    <cellStyle name="Comma 5 2 4 3" xfId="19782" xr:uid="{8D6CA624-E318-45A7-A7A4-3749BA7CC48D}"/>
    <cellStyle name="Comma 5 2 4 3 2" xfId="21002" xr:uid="{5E8F10B2-EC36-43A0-8E85-9192FD7ADF1A}"/>
    <cellStyle name="Comma 5 2 4 4" xfId="20299" xr:uid="{79F33A27-A24C-4E83-B297-E8805604C031}"/>
    <cellStyle name="Comma 5 2 4 4 2" xfId="21113" xr:uid="{61EBBDFD-A384-4A2D-8570-122FCA269029}"/>
    <cellStyle name="Comma 5 2 4 5" xfId="20300" xr:uid="{4E70F44E-E7D6-4BD0-89B1-CB5E90F5719F}"/>
    <cellStyle name="Comma 5 2 4 5 2" xfId="21433" xr:uid="{DCA2C3FF-5B87-441D-A6E4-129B0CAF0630}"/>
    <cellStyle name="Comma 5 2 4 6" xfId="20301" xr:uid="{248B3A6D-F177-4737-860B-5C2B88A158FF}"/>
    <cellStyle name="Comma 5 2 4 6 2" xfId="22192" xr:uid="{D4AC3412-34C0-48B5-8816-47684F1EDE90}"/>
    <cellStyle name="Comma 5 2 4 7" xfId="20302" xr:uid="{4F9E5645-EABC-4FC2-B7D3-2CB275AC2979}"/>
    <cellStyle name="Comma 5 2 4 7 2" xfId="22835" xr:uid="{56D7E130-BC66-4251-9A52-8A6F3EED9F99}"/>
    <cellStyle name="Comma 5 2 4 8" xfId="20754" xr:uid="{E2742C13-B298-42DA-98BC-6C443FD21A44}"/>
    <cellStyle name="Comma 5 2 5" xfId="3026" xr:uid="{8736BA6C-A1E2-439D-93C6-6D02C70A080D}"/>
    <cellStyle name="Comma 5 2 6" xfId="2839" xr:uid="{B9C3D82A-4075-4555-97F9-845C9F06B978}"/>
    <cellStyle name="Comma 5 3" xfId="152" xr:uid="{B96CC2A6-5838-4981-9CB7-0EE1B229810C}"/>
    <cellStyle name="Comma 5 3 10" xfId="20303" xr:uid="{15B808CA-A120-4AF8-B8E7-660C481A04C1}"/>
    <cellStyle name="Comma 5 3 10 2" xfId="22836" xr:uid="{385FAE69-EBFA-4FC2-B22C-F962FEB65A17}"/>
    <cellStyle name="Comma 5 3 11" xfId="20755" xr:uid="{5B3C5808-89B3-43E2-A0FD-1373068E8665}"/>
    <cellStyle name="Comma 5 3 2" xfId="153" xr:uid="{8454FF49-A7B8-4F91-928E-075273CE976D}"/>
    <cellStyle name="Comma 5 3 2 2" xfId="2644" xr:uid="{1CFCDFC3-655E-4455-B48C-DCB47C0CEBED}"/>
    <cellStyle name="Comma 5 3 2 2 2" xfId="20304" xr:uid="{1E507969-3ECA-4ACD-AEB5-EA6016BAC2F5}"/>
    <cellStyle name="Comma 5 3 2 2 3" xfId="20305" xr:uid="{AA0F1A02-63D4-4133-9EFB-21E2172CABD0}"/>
    <cellStyle name="Comma 5 3 2 2 4" xfId="20861" xr:uid="{FB134E7A-1AE6-4BF6-9FC9-F81D86BF9FE5}"/>
    <cellStyle name="Comma 5 3 2 4 2" xfId="21115" xr:uid="{DA763D25-DCB5-4D18-B9D7-341A16817250}"/>
    <cellStyle name="Comma 5 3 2 6 2" xfId="22194" xr:uid="{F0230E08-EBA2-411F-8CD2-D42C6AE39283}"/>
    <cellStyle name="Comma 5 3 3" xfId="154" xr:uid="{047C6943-483F-4056-A37F-9B9225E15FBB}"/>
    <cellStyle name="Comma 5 3 3 2 2 2 2" xfId="22481" xr:uid="{0F6144AF-968C-4792-9249-DC37D3B66DE6}"/>
    <cellStyle name="Comma 5 3 3 2 2 4" xfId="20863" xr:uid="{A2E8E5C6-3E8E-452B-8141-68A7A077F49C}"/>
    <cellStyle name="Comma 5 3 3 2 3 2" xfId="21005" xr:uid="{BE714F43-8710-4D9A-B184-2BE16E4A5337}"/>
    <cellStyle name="Comma 5 3 3 2 4 2" xfId="21116" xr:uid="{EB95C45C-193C-4E41-BE95-A1EC67CE92A6}"/>
    <cellStyle name="Comma 5 3 3 2 5" xfId="20306" xr:uid="{30CFD560-7EA8-4D0B-958D-3DA26075321B}"/>
    <cellStyle name="Comma 5 3 3 2 5 2" xfId="21435" xr:uid="{B6C9C966-430D-4F4C-910C-FEE1CE034D3F}"/>
    <cellStyle name="Comma 5 3 3 2 6" xfId="20307" xr:uid="{00D8B9EE-6E90-4F36-BE59-35E67765AC27}"/>
    <cellStyle name="Comma 5 3 3 2 6 2" xfId="22196" xr:uid="{7207F12D-8904-4E0F-A242-2FAF582989E0}"/>
    <cellStyle name="Comma 5 3 3 2 7" xfId="20308" xr:uid="{BBA641C2-0ED3-4D6F-975C-EC9D1AB2079C}"/>
    <cellStyle name="Comma 5 3 3 2 7 2" xfId="22837" xr:uid="{AAD034DD-9929-4151-A913-BE1AFDEED36D}"/>
    <cellStyle name="Comma 5 3 3 2 8" xfId="20757" xr:uid="{67830BA2-605D-47B2-AA3A-3BE03464F8D4}"/>
    <cellStyle name="Comma 5 3 3 3" xfId="2645" xr:uid="{416C1979-5BC9-463D-AD09-F929075AA291}"/>
    <cellStyle name="Comma 5 3 3 3 2" xfId="19785" xr:uid="{B93D0E44-9339-4F94-AC92-2C21E1560EB3}"/>
    <cellStyle name="Comma 5 3 3 3 2 2" xfId="21436" xr:uid="{47C803DA-6FA3-4C26-A4DB-4E215EB5853F}"/>
    <cellStyle name="Comma 5 3 3 3 3" xfId="20309" xr:uid="{60487745-E71A-48ED-817A-61754DB95BAE}"/>
    <cellStyle name="Comma 5 3 3 3 3 2" xfId="22480" xr:uid="{E84FA7D5-2C0A-4465-BF1F-11B0711C98D2}"/>
    <cellStyle name="Comma 5 3 3 3 4" xfId="20310" xr:uid="{59FD3DBF-564F-444F-B166-3A421DCA12D7}"/>
    <cellStyle name="Comma 5 3 3 3 5" xfId="20862" xr:uid="{07F07655-D5A1-4D3E-A2D2-F8F7FD6AF551}"/>
    <cellStyle name="Comma 5 3 3 4 2" xfId="20311" xr:uid="{27714502-E108-433E-AA8E-DB3D6F238913}"/>
    <cellStyle name="Comma 5 3 3 4 2 2" xfId="21437" xr:uid="{CDBFE6EF-DBE2-49BD-916A-2D15010F6F0F}"/>
    <cellStyle name="Comma 5 3 3 4 3" xfId="21004" xr:uid="{CEFF9EF2-D541-463E-A5B8-283308460443}"/>
    <cellStyle name="Comma 5 3 3 5" xfId="19784" xr:uid="{E881D136-C8CE-4C57-84CF-BBD330C90AF1}"/>
    <cellStyle name="Comma 5 3 3 6" xfId="20312" xr:uid="{47C98486-FE9F-420B-8E0E-37D32DF89406}"/>
    <cellStyle name="Comma 5 3 3 7" xfId="20313" xr:uid="{C93B8527-025A-4ACF-B600-74BAEAFD712F}"/>
    <cellStyle name="Comma 5 3 3 7 2" xfId="22195" xr:uid="{6B19B978-B971-430E-AF05-14B17865B6B8}"/>
    <cellStyle name="Comma 5 3 3 8" xfId="20314" xr:uid="{B710CD80-422F-44A6-910A-1A9EA6CFBA56}"/>
    <cellStyle name="Comma 5 3 3 8 2" xfId="22838" xr:uid="{A09F3057-E801-4989-B746-0363B0FDD72E}"/>
    <cellStyle name="Comma 5 3 3 9" xfId="20756" xr:uid="{47A2F486-F11E-4311-B21C-32BE05A49D6C}"/>
    <cellStyle name="Comma 5 3 4" xfId="155" xr:uid="{02732CE8-03BD-41F5-B304-4C49AC3DEA6B}"/>
    <cellStyle name="Comma 5 3 4 2" xfId="156" xr:uid="{3F3094C1-8634-4F55-8F43-F41A83F03346}"/>
    <cellStyle name="Comma 5 3 4 2 2" xfId="19787" xr:uid="{2ABE2E9B-7FEC-46BF-B004-C20E06B8FA61}"/>
    <cellStyle name="Comma 5 3 4 2 2 2" xfId="20865" xr:uid="{F78021E4-0BD0-4EFE-9E99-258893991882}"/>
    <cellStyle name="Comma 5 3 4 2 3" xfId="20315" xr:uid="{4EA5FF77-9524-4CCA-8DD6-7C2093D48FB5}"/>
    <cellStyle name="Comma 5 3 4 2 3 2" xfId="21007" xr:uid="{7E8C4578-FB06-4FC1-8EB5-E8836CFEDC5F}"/>
    <cellStyle name="Comma 5 3 4 2 4" xfId="20316" xr:uid="{6B424D7D-D390-401E-AAB8-9DB272E34C09}"/>
    <cellStyle name="Comma 5 3 4 2 4 2" xfId="21118" xr:uid="{4834F6FF-61BA-4EF5-9A33-D07F48B1C0C6}"/>
    <cellStyle name="Comma 5 3 4 2 5" xfId="20317" xr:uid="{A3C5459D-3DDA-42C2-BAFA-CB45C4C68E76}"/>
    <cellStyle name="Comma 5 3 4 2 5 2" xfId="21439" xr:uid="{7D9A7747-6656-4949-A02D-76C402C65A31}"/>
    <cellStyle name="Comma 5 3 4 2 6" xfId="20318" xr:uid="{78762D2D-D462-438A-AE9F-A9F81AAE2D09}"/>
    <cellStyle name="Comma 5 3 4 2 6 2" xfId="22198" xr:uid="{1D37661F-F158-4874-B302-A89DC81FA021}"/>
    <cellStyle name="Comma 5 3 4 2 7" xfId="20319" xr:uid="{C403FA38-4F88-494D-BAAF-F481F277BB0E}"/>
    <cellStyle name="Comma 5 3 4 2 7 2" xfId="22839" xr:uid="{6CA9CDF6-62EE-4A71-8294-26C73EDE5618}"/>
    <cellStyle name="Comma 5 3 4 2 8" xfId="20759" xr:uid="{03123482-B780-4681-A2FF-44D7A66666E0}"/>
    <cellStyle name="Comma 5 3 4 3" xfId="2646" xr:uid="{8276584B-F56A-464A-8099-DD319D7E7BEC}"/>
    <cellStyle name="Comma 5 3 4 3 2" xfId="20320" xr:uid="{FC40A0A0-CE2C-425A-BF21-D1449105EEF1}"/>
    <cellStyle name="Comma 5 3 4 3 2 2" xfId="22482" xr:uid="{CDEC22D5-DFA7-401E-9736-9D4B86D72EBE}"/>
    <cellStyle name="Comma 5 3 4 3 3" xfId="20321" xr:uid="{E0B975E2-4F5C-43A4-AD53-878479810FE6}"/>
    <cellStyle name="Comma 5 3 4 3 3 2" xfId="22840" xr:uid="{BAC0D7E5-E3A4-4262-B805-502D336E79D3}"/>
    <cellStyle name="Comma 5 3 4 3 4" xfId="20864" xr:uid="{250BE764-DEA5-4A60-B21F-60B54A2650F7}"/>
    <cellStyle name="Comma 5 3 4 4" xfId="19786" xr:uid="{070FB948-F433-48C5-B2E2-BB2CE107CA8D}"/>
    <cellStyle name="Comma 5 3 4 4 2" xfId="21006" xr:uid="{667BC926-0A39-4EEF-8AB0-8A6958F5E652}"/>
    <cellStyle name="Comma 5 3 4 5" xfId="20322" xr:uid="{229D8A92-623F-428E-A657-0A54ABB38CCA}"/>
    <cellStyle name="Comma 5 3 4 5 2" xfId="21117" xr:uid="{70C92FAD-F2B8-4621-AB0C-A48CB345C31D}"/>
    <cellStyle name="Comma 5 3 4 6" xfId="20323" xr:uid="{0DAC584A-C213-4292-812A-DD278F01B8B6}"/>
    <cellStyle name="Comma 5 3 4 6 2" xfId="21438" xr:uid="{56DF0BA8-5492-4974-AC24-97A4B6E9B115}"/>
    <cellStyle name="Comma 5 3 4 7" xfId="20324" xr:uid="{4247756E-52D9-4001-9D84-993DC1DEF5A7}"/>
    <cellStyle name="Comma 5 3 4 7 2" xfId="22197" xr:uid="{6336824A-53F0-4336-86C1-91350F70D824}"/>
    <cellStyle name="Comma 5 3 4 8" xfId="20325" xr:uid="{5F6E6BEF-BB9E-4047-9C93-E8B22E06BCCD}"/>
    <cellStyle name="Comma 5 3 4 8 2" xfId="22841" xr:uid="{791B4B4C-AEC2-4E86-B682-1CEC27277EE2}"/>
    <cellStyle name="Comma 5 3 4 9" xfId="20758" xr:uid="{7C49947C-B4C1-46F2-9EAE-8EEF174BFFC6}"/>
    <cellStyle name="Comma 5 3 5" xfId="2643" xr:uid="{C71EB4B3-F7EE-4C07-956C-6FA998B0A722}"/>
    <cellStyle name="Comma 5 3 5 2" xfId="19788" xr:uid="{055745B0-7208-4E54-BD79-B5B06FB48016}"/>
    <cellStyle name="Comma 5 3 5 2 2" xfId="21440" xr:uid="{2B2406D2-D37B-40AE-B6E7-4D6801BCF34E}"/>
    <cellStyle name="Comma 5 3 5 3" xfId="20326" xr:uid="{2626E254-C53A-4514-B425-75900EBEEA5E}"/>
    <cellStyle name="Comma 5 3 5 3 2" xfId="22479" xr:uid="{E909C188-CCBF-41CD-A29B-AF19FDAD1917}"/>
    <cellStyle name="Comma 5 3 5 4" xfId="20327" xr:uid="{3D839BD0-6D09-42E5-BB23-26AC09E224F1}"/>
    <cellStyle name="Comma 5 3 5 4 2" xfId="22842" xr:uid="{31867B06-C4F4-40AF-A2CE-0064E4F15B89}"/>
    <cellStyle name="Comma 5 3 5 5" xfId="20860" xr:uid="{AFEB3F85-AC41-49D6-9056-C6985BCE0D07}"/>
    <cellStyle name="Comma 5 3 6" xfId="19783" xr:uid="{75286E77-CE71-45BE-AA5F-AF77BC053882}"/>
    <cellStyle name="Comma 5 3 6 2" xfId="21003" xr:uid="{036237E5-6724-4BAB-9FD6-533813AD5DDD}"/>
    <cellStyle name="Comma 5 3 7" xfId="20328" xr:uid="{E2992146-F3B0-4C52-A3AA-1624C700C027}"/>
    <cellStyle name="Comma 5 3 7 2" xfId="21114" xr:uid="{F53135DC-6A4B-4617-811B-E4EB41EEC1C8}"/>
    <cellStyle name="Comma 5 3 8" xfId="20329" xr:uid="{9A50855B-FAAF-4551-BCED-9B16951DD0FD}"/>
    <cellStyle name="Comma 5 3 8 2" xfId="21434" xr:uid="{35DEDE1D-551D-441B-8041-D8F330ED3D1C}"/>
    <cellStyle name="Comma 5 3 9" xfId="20330" xr:uid="{3F1619A0-4454-4FC6-99C4-D26F1F2D6C99}"/>
    <cellStyle name="Comma 5 3 9 2" xfId="22193" xr:uid="{1B2B122F-B7C2-4841-A5CB-B4181FBAB626}"/>
    <cellStyle name="Comma 5 4" xfId="157" xr:uid="{9D39C36A-D29A-4719-8F47-A92EA24EC5B2}"/>
    <cellStyle name="Comma 5 4 2" xfId="2647" xr:uid="{89E2431B-F1A6-4771-B7C9-A679C7AB2871}"/>
    <cellStyle name="Comma 5 4 2 2" xfId="20331" xr:uid="{0A790B05-D07E-4623-9DD4-19FC2605FC7A}"/>
    <cellStyle name="Comma 5 4 2 2 2" xfId="22483" xr:uid="{25626408-4323-405A-9019-53C3CB82022F}"/>
    <cellStyle name="Comma 5 4 2 3" xfId="20332" xr:uid="{55259AE0-5E73-4D87-80C1-AAE58FABF6E8}"/>
    <cellStyle name="Comma 5 4 2 3 2" xfId="22843" xr:uid="{47BF3BA0-696E-490C-A129-A93297BBA2D9}"/>
    <cellStyle name="Comma 5 4 2 4" xfId="20866" xr:uid="{3D7A13C6-8D50-4C65-9789-45763CC9969E}"/>
    <cellStyle name="Comma 5 4 3" xfId="19789" xr:uid="{EF94B2A5-620C-4DC8-AD4D-581B3C735DFA}"/>
    <cellStyle name="Comma 5 4 3 2" xfId="21008" xr:uid="{F30079E8-53E6-4114-AF12-C066856A6A82}"/>
    <cellStyle name="Comma 5 4 4" xfId="20333" xr:uid="{3449A73D-C624-4DD6-81EB-4B52A9D2782D}"/>
    <cellStyle name="Comma 5 4 4 2" xfId="21119" xr:uid="{1795EAFA-8223-4016-A2C3-174A409152CD}"/>
    <cellStyle name="Comma 5 4 5" xfId="20334" xr:uid="{6CB9307B-CFC7-4B25-BF90-D932B7F205B7}"/>
    <cellStyle name="Comma 5 4 5 2" xfId="21441" xr:uid="{F384F67A-0677-45FA-9AF7-33D86B07104C}"/>
    <cellStyle name="Comma 5 4 6" xfId="20335" xr:uid="{0DE17725-AA9C-4CDF-82AD-FF3A24A0015E}"/>
    <cellStyle name="Comma 5 4 6 2" xfId="22199" xr:uid="{07D33240-DD15-40C5-AE5C-3471AE3FBA5C}"/>
    <cellStyle name="Comma 5 4 7" xfId="20336" xr:uid="{AD41DF89-CDD1-439C-84C2-298826831F4B}"/>
    <cellStyle name="Comma 5 4 7 2" xfId="22844" xr:uid="{C5C39719-3B7B-4C41-B879-D3C15CB7949B}"/>
    <cellStyle name="Comma 5 4 8" xfId="20760" xr:uid="{A766D98A-CC35-4A68-A67C-B4CE184C6D73}"/>
    <cellStyle name="Comma 5 5" xfId="158" xr:uid="{7E2299ED-99CE-492B-A7C8-36D4AF39471C}"/>
    <cellStyle name="Comma 5 5 10" xfId="20337" xr:uid="{2DE32A06-B40F-4FDB-8D34-303D565BBE29}"/>
    <cellStyle name="Comma 5 5 10 2" xfId="22845" xr:uid="{E9130CB9-26E9-4559-8E64-C37FA6D65978}"/>
    <cellStyle name="Comma 5 5 2" xfId="159" xr:uid="{EE9A6424-4C49-4A0D-87E7-BBDF3F1CFC2A}"/>
    <cellStyle name="Comma 5 5 2 2" xfId="2649" xr:uid="{A743A286-5B94-4285-AB67-5C34E82AA096}"/>
    <cellStyle name="Comma 5 5 2 2 2" xfId="20338" xr:uid="{2F40FDB7-0ABB-4E96-9591-4C657E3C677B}"/>
    <cellStyle name="Comma 5 5 2 2 2 2" xfId="22485" xr:uid="{7304B644-61E6-4108-90FB-D5F64F8BD943}"/>
    <cellStyle name="Comma 5 5 2 2 3" xfId="20339" xr:uid="{7D4CDEB0-08D3-4945-8454-AE48AE7C1993}"/>
    <cellStyle name="Comma 5 5 2 2 3 2" xfId="22846" xr:uid="{F67C144B-BB14-44B9-993E-11371510B5C2}"/>
    <cellStyle name="Comma 5 5 2 2 4" xfId="20868" xr:uid="{CB88393B-5ADE-4465-92F9-D3175418B168}"/>
    <cellStyle name="Comma 5 5 2 3" xfId="19790" xr:uid="{84BB64F6-EC9B-4308-B4D8-4B407AEBFA5B}"/>
    <cellStyle name="Comma 5 5 2 3 2" xfId="21009" xr:uid="{20DB2A47-27C6-475B-BDA7-DE27FED38903}"/>
    <cellStyle name="Comma 5 5 2 4" xfId="20340" xr:uid="{F6ECFFF9-EFAA-4D20-A70B-D819665CD375}"/>
    <cellStyle name="Comma 5 5 2 4 2" xfId="21121" xr:uid="{4BA2A14C-E946-48D0-9AD2-C6CC109B4819}"/>
    <cellStyle name="Comma 5 5 2 5" xfId="20341" xr:uid="{401718ED-6DAC-4B1F-A70E-FD5ED0C230A9}"/>
    <cellStyle name="Comma 5 5 2 5 2" xfId="21442" xr:uid="{D512AD3F-8519-4FC1-AA88-B419C4B27BF7}"/>
    <cellStyle name="Comma 5 5 2 6" xfId="20342" xr:uid="{A9082D59-53D1-412D-B8EB-310F174E9175}"/>
    <cellStyle name="Comma 5 5 2 6 2" xfId="22201" xr:uid="{32C4E7D1-3DC3-4A37-83B4-6A0FEAD119FA}"/>
    <cellStyle name="Comma 5 5 2 7" xfId="20343" xr:uid="{2F96F05F-1D48-4530-863C-831F9CC080D9}"/>
    <cellStyle name="Comma 5 5 2 7 2" xfId="22847" xr:uid="{AC07A91E-FEE2-4A67-99AE-8B2CEC3C9AA9}"/>
    <cellStyle name="Comma 5 5 2 8" xfId="20761" xr:uid="{1E7D7CAB-520B-44AE-AE4A-6D317097C34C}"/>
    <cellStyle name="Comma 5 5 3" xfId="160" xr:uid="{E4F58B92-E00A-44B8-8E0E-268660C206D4}"/>
    <cellStyle name="Comma 5 5 3 2" xfId="3033" xr:uid="{D46344BD-407F-420F-8219-C416B1FF8AFB}"/>
    <cellStyle name="Comma 5 5 4" xfId="161" xr:uid="{4DD4858E-CC7F-4E02-A5F6-749D4C31FEB3}"/>
    <cellStyle name="Comma 5 5 4 2" xfId="162" xr:uid="{7DCDB7CC-7592-4820-8B46-1572E57726A5}"/>
    <cellStyle name="Comma 5 5 4 2 2" xfId="3035" xr:uid="{E26853F4-0601-4F18-B5D5-8799F7FBE16A}"/>
    <cellStyle name="Comma 5 5 4 3" xfId="3034" xr:uid="{45AA4CEE-D127-4293-A020-2E799E2A88E5}"/>
    <cellStyle name="Comma 5 5 5" xfId="2648" xr:uid="{F54C1528-DF2F-46C3-8862-A3132662C312}"/>
    <cellStyle name="Comma 5 5 5 2" xfId="19791" xr:uid="{CDAEFDAD-CBCD-43C3-BCE9-A3F0DA265D2B}"/>
    <cellStyle name="Comma 5 5 5 2 2" xfId="21443" xr:uid="{34397714-0CE3-4950-90AC-74C8F6D44E4A}"/>
    <cellStyle name="Comma 5 5 5 3" xfId="20344" xr:uid="{0F235448-E270-4A64-AC19-960126232331}"/>
    <cellStyle name="Comma 5 5 5 3 2" xfId="22484" xr:uid="{7B0B9181-901A-464E-A1EA-C7FEF3BB7AD0}"/>
    <cellStyle name="Comma 5 5 5 4" xfId="5786" xr:uid="{3CA666FF-459C-490C-AFC7-13CED473357D}"/>
    <cellStyle name="Comma 5 5 5 5" xfId="20345" xr:uid="{A2E05CC8-94CA-4D41-858B-EBDF16FDAC43}"/>
    <cellStyle name="Comma 5 5 5 5 2" xfId="22848" xr:uid="{A4066A81-6EC2-4944-999E-8A5940CDCCB9}"/>
    <cellStyle name="Comma 5 5 5 6" xfId="20867" xr:uid="{65AC32F7-3AC9-4069-865D-A0C04C84FC64}"/>
    <cellStyle name="Comma 5 5 6" xfId="3036" xr:uid="{51E3ADB9-9CDE-4E51-82AB-01C1DCEF49EB}"/>
    <cellStyle name="Comma 5 5 6 2" xfId="5787" xr:uid="{11D1BF22-06CD-4E8E-AB53-4F7DDCC73A13}"/>
    <cellStyle name="Comma 5 5 7" xfId="3032" xr:uid="{033499AC-EE29-423B-864B-9D6D684D487B}"/>
    <cellStyle name="Comma 5 5 7 2" xfId="21120" xr:uid="{19B277F4-A72A-4FC0-9590-9FF45801872A}"/>
    <cellStyle name="Comma 5 5 8" xfId="5788" xr:uid="{D09A4EDE-89DD-4A6F-BAC5-20021E1C5EFE}"/>
    <cellStyle name="Comma 5 5 9" xfId="20346" xr:uid="{C5D6A67C-48D4-4B3E-95A1-C50AD527BF2D}"/>
    <cellStyle name="Comma 5 5 9 2" xfId="22200" xr:uid="{C28D895A-7061-43D0-A328-43206A9AA05D}"/>
    <cellStyle name="Comma 5 6" xfId="163" xr:uid="{8DD516D1-A748-4941-9737-15FBB9909AA7}"/>
    <cellStyle name="Comma 5 6 2" xfId="19824" xr:uid="{4B47F5EF-964C-4B7D-B5B0-E05C467E408A}"/>
    <cellStyle name="Comma 5 6 2 10" xfId="20762" xr:uid="{1F7758DC-09E9-4D80-B6E0-836384CDB837}"/>
    <cellStyle name="Comma 5 6 2 2" xfId="19825" xr:uid="{CA421E10-8136-4C10-8F92-D3E87C94608E}"/>
    <cellStyle name="Comma 5 6 2 2 2" xfId="19792" xr:uid="{984F8FA5-C70A-4CDF-B2D7-3E7C7A11CDA5}"/>
    <cellStyle name="Comma 5 6 2 2 2 2" xfId="20870" xr:uid="{77F4A394-61E4-428B-8C51-6D1FA89A8D74}"/>
    <cellStyle name="Comma 5 6 2 2 3" xfId="20347" xr:uid="{60B7AD92-1808-495B-8944-AB5D49FA4363}"/>
    <cellStyle name="Comma 5 6 2 2 3 2" xfId="21011" xr:uid="{7A9067F1-BF65-4B7A-B1BC-64423D603674}"/>
    <cellStyle name="Comma 5 6 2 2 4" xfId="20348" xr:uid="{C12CEFD7-F0AD-420D-A20A-8F0CD04D26D0}"/>
    <cellStyle name="Comma 5 6 2 2 4 2" xfId="21123" xr:uid="{CD4D650D-9834-4285-A9CA-F4E0BB086B04}"/>
    <cellStyle name="Comma 5 6 2 2 5" xfId="20349" xr:uid="{231C5C35-1C65-47F2-BE5B-9681C2E75BCD}"/>
    <cellStyle name="Comma 5 6 2 2 5 2" xfId="21444" xr:uid="{208ACA11-89EA-4CCD-80DD-E41CE3A1C34D}"/>
    <cellStyle name="Comma 5 6 2 2 6" xfId="20350" xr:uid="{ABFE5AB4-721F-417D-B51F-6768DEC0DF1B}"/>
    <cellStyle name="Comma 5 6 2 2 6 2" xfId="22203" xr:uid="{2999EA19-9D64-4234-B0A2-B3F9BCFBAFED}"/>
    <cellStyle name="Comma 5 6 2 2 7" xfId="20351" xr:uid="{477AAD97-05D8-4D93-B48F-89A0B9612758}"/>
    <cellStyle name="Comma 5 6 2 2 7 2" xfId="22849" xr:uid="{59FAECB5-1A5D-4CA4-8175-4C3D73BCD321}"/>
    <cellStyle name="Comma 5 6 2 2 8" xfId="20352" xr:uid="{30810486-3C87-4E1D-BC15-7C5CBB16364C}"/>
    <cellStyle name="Comma 5 6 2 2 8 2" xfId="22850" xr:uid="{E2865FA1-C6E3-434D-AC42-BBB4E315872A}"/>
    <cellStyle name="Comma 5 6 2 2 9" xfId="20763" xr:uid="{E715618A-E77C-4C98-9911-42D466E8B268}"/>
    <cellStyle name="Comma 5 6 2 3" xfId="19689" xr:uid="{3CC251FB-8296-45DC-A2CA-EECAA620C68D}"/>
    <cellStyle name="Comma 5 6 2 3 2" xfId="20353" xr:uid="{D3368FA8-FF21-4E5F-81AD-62C36A8DDEBE}"/>
    <cellStyle name="Comma 5 6 2 3 2 2" xfId="22486" xr:uid="{AC22AE3B-7757-41B5-9687-FEE0B6D473C3}"/>
    <cellStyle name="Comma 5 6 2 3 3" xfId="20354" xr:uid="{BF24F49D-58D2-4390-93DE-249EBC93C654}"/>
    <cellStyle name="Comma 5 6 2 3 3 2" xfId="22851" xr:uid="{FA41C667-8537-4231-ACCC-AD8B35A65246}"/>
    <cellStyle name="Comma 5 6 2 3 4" xfId="20869" xr:uid="{03DC3C0D-E005-4906-A5D6-B04F92864024}"/>
    <cellStyle name="Comma 5 6 2 4 2" xfId="21010" xr:uid="{47057494-F3B5-41BD-A45C-1903697208D3}"/>
    <cellStyle name="Comma 5 6 2 5 2" xfId="21122" xr:uid="{D702B75D-E127-4705-8E16-99D23C9E9662}"/>
    <cellStyle name="Comma 5 6 2 7 2" xfId="22202" xr:uid="{BF2A9A3F-FF63-4902-99E3-CBFF75EE6761}"/>
    <cellStyle name="Comma 5 6 2 9 2" xfId="22852" xr:uid="{B0C47736-886E-4ABD-864C-6B3C0B6234FF}"/>
    <cellStyle name="Comma 5 6 4 2" xfId="20355" xr:uid="{65739E90-0408-45AF-9879-738DD61AF9A7}"/>
    <cellStyle name="Comma 5 6 5" xfId="20356" xr:uid="{8F19C1F0-4D19-4CAC-9413-830236E12613}"/>
    <cellStyle name="Comma 5 6 5 2" xfId="20357" xr:uid="{920C2BB2-B279-4855-A6D2-15F5656B72C9}"/>
    <cellStyle name="Comma 5 6 5 2 2" xfId="22854" xr:uid="{5E395439-D575-434A-A490-84AA8874EAF7}"/>
    <cellStyle name="Comma 5 6 5 3" xfId="22853" xr:uid="{B76328B2-A205-4F4A-A0E4-43A4984D79AB}"/>
    <cellStyle name="Comma 5 7 2" xfId="164" xr:uid="{8686832E-9D34-42B0-96DC-3E95D850A525}"/>
    <cellStyle name="Comma 5 7 2 2" xfId="3037" xr:uid="{0BDE4CFB-D2A5-46E7-B00F-A1C756BEF1EF}"/>
    <cellStyle name="Comma 5 8" xfId="19826" xr:uid="{5C018DA3-77E1-4AC0-9F7B-B3536D226017}"/>
    <cellStyle name="Comma 5 8 2 2" xfId="20871" xr:uid="{77E7F319-0386-4223-9695-AE0FAB6CE5AC}"/>
    <cellStyle name="Comma 5 8 3 2" xfId="21012" xr:uid="{625D715F-2A40-46ED-BEE9-9A0860AC9B6A}"/>
    <cellStyle name="Comma 5 8 4 2" xfId="21124" xr:uid="{F0FD2BF1-7DA4-48BC-90FF-BF47D1C9AC58}"/>
    <cellStyle name="Comma 5 8 6" xfId="20358" xr:uid="{47E02AE5-765D-436E-BD55-88EF7ADD2897}"/>
    <cellStyle name="Comma 5 8 7" xfId="20359" xr:uid="{D155D222-CB25-46BC-97E3-8EEFA4451F02}"/>
    <cellStyle name="Comma 5 8 8 2" xfId="22855" xr:uid="{DA26DF03-208E-4B1D-BE93-70E2AE7166EF}"/>
    <cellStyle name="Comma 5 8 9" xfId="20764" xr:uid="{D99D936B-70C8-4CE4-84F6-1E7E67888361}"/>
    <cellStyle name="Comma 5 9 2" xfId="19793" xr:uid="{0583DB31-231F-4498-BC32-FCFC84523A53}"/>
    <cellStyle name="Comma 5 9 2 2" xfId="21445" xr:uid="{528D21B0-1179-4FFE-9D6C-BF289D7F5DAA}"/>
    <cellStyle name="Comma 5 9 3" xfId="20360" xr:uid="{25825DDA-D3DB-4DA4-9C83-64C6AC07A499}"/>
    <cellStyle name="Comma 5 9 4" xfId="20361" xr:uid="{E9A0CF02-B75D-4969-B2E1-905BAE09CF42}"/>
    <cellStyle name="Comma 5 9 4 2" xfId="22856" xr:uid="{F84CFE74-4B79-4EF1-9778-EA39485A2F19}"/>
    <cellStyle name="Comma 5 9 5" xfId="20362" xr:uid="{3AC1AE7C-E827-4101-B2A7-CCEC127B2023}"/>
    <cellStyle name="Comma 5 9 5 2" xfId="22857" xr:uid="{9958BF81-9BFF-484C-84C7-B4825A389C82}"/>
    <cellStyle name="Comma 5 9 6" xfId="20858" xr:uid="{DCA8F1BB-A3C0-47B7-8492-15019E456E0C}"/>
    <cellStyle name="Comma 6" xfId="19655" xr:uid="{84FF1BFC-A2F4-4B60-95D1-BA76AB3FC6F4}"/>
    <cellStyle name="Comma 6 10" xfId="5789" xr:uid="{4DBEC275-2E87-4B25-84D6-5A68D8CA888B}"/>
    <cellStyle name="Comma 6 10 2" xfId="22858" xr:uid="{4C825A40-57C7-445B-A8AF-C1AAA8539F01}"/>
    <cellStyle name="Comma 6 11" xfId="20674" xr:uid="{5A02ED1B-8819-4E2B-942D-BB0F6AE37CAA}"/>
    <cellStyle name="Comma 6 2" xfId="19821" xr:uid="{A7AD304D-89CD-4380-A2C3-80772FCEAE13}"/>
    <cellStyle name="Comma 6 2 2" xfId="19690" xr:uid="{47100DF3-93EA-4984-9B31-EFD4B09FEBCC}"/>
    <cellStyle name="Comma 6 2 2 2" xfId="20363" xr:uid="{B7532B63-70A9-4B03-89C3-3F34BD02F979}"/>
    <cellStyle name="Comma 6 2 2 2 2" xfId="22488" xr:uid="{5848E480-E8B1-4323-AC8D-73FE58D458B4}"/>
    <cellStyle name="Comma 6 2 2 3" xfId="20364" xr:uid="{8E9AF906-D8B1-4F0A-B970-CCC4776E5E4A}"/>
    <cellStyle name="Comma 6 2 2 3 2" xfId="22859" xr:uid="{1ED5744A-7BA5-407E-9AB4-0825F43D31FA}"/>
    <cellStyle name="Comma 6 2 2 4" xfId="20873" xr:uid="{A3A1A4C7-1164-4776-95BF-D7F7518D949B}"/>
    <cellStyle name="Comma 6 2 3" xfId="19705" xr:uid="{91DB9DC8-5184-4B48-952B-81F57D89CD5D}"/>
    <cellStyle name="Comma 6 2 3 2" xfId="21013" xr:uid="{D55C577D-59BA-44E3-8FE9-69FD7391C2A4}"/>
    <cellStyle name="Comma 6 2 4" xfId="20365" xr:uid="{01D30834-604B-4681-B9F1-9317885390BC}"/>
    <cellStyle name="Comma 6 2 4 2" xfId="21126" xr:uid="{4FC4F4BF-CBE5-45CC-B5D7-B610E7880EB6}"/>
    <cellStyle name="Comma 6 2 5" xfId="20366" xr:uid="{4AF06DBF-ED6B-4A52-B010-F51A37BE1E2F}"/>
    <cellStyle name="Comma 6 2 5 2" xfId="21168" xr:uid="{EC71D55D-AAFA-4975-A1B8-B3C13E5C78C5}"/>
    <cellStyle name="Comma 6 2 6" xfId="20367" xr:uid="{30A77118-00F9-4E39-84AE-4A6ECBF3AAC4}"/>
    <cellStyle name="Comma 6 2 6 2" xfId="22205" xr:uid="{9CC9E95E-9074-4451-91D5-0FB538FA74D7}"/>
    <cellStyle name="Comma 6 2 7" xfId="20368" xr:uid="{97D089EA-9C90-4949-B7C9-3EC790882C99}"/>
    <cellStyle name="Comma 6 2 7 2" xfId="22860" xr:uid="{BBB93148-0367-4B9B-8C22-FE57E88FCBE1}"/>
    <cellStyle name="Comma 6 2 8" xfId="20765" xr:uid="{648C6942-34DD-4585-8225-7497D7314B80}"/>
    <cellStyle name="Comma 6 3" xfId="165" xr:uid="{70D57E3F-6803-45AD-9813-F4C0CA3B53E0}"/>
    <cellStyle name="Comma 6 3 2" xfId="166" xr:uid="{4231BA1C-7176-4C3F-9A40-276910A229E2}"/>
    <cellStyle name="Comma 6 3 2 2 2" xfId="20369" xr:uid="{05E724AE-C9C2-4C18-9391-02C530475A75}"/>
    <cellStyle name="Comma 6 3 2 2 3" xfId="20370" xr:uid="{923610CA-7532-4859-9BE8-0310E276D61D}"/>
    <cellStyle name="Comma 6 3 2 2 4" xfId="20875" xr:uid="{DAF752E5-D48D-4D5B-8CFD-144004993736}"/>
    <cellStyle name="Comma 6 3 2 3" xfId="19795" xr:uid="{A9EE5AC8-9AD5-4CF9-819D-04C057EB4D5B}"/>
    <cellStyle name="Comma 6 3 2 4" xfId="20371" xr:uid="{83D67E8F-1A4C-486F-9B8A-FDAFD4A5358A}"/>
    <cellStyle name="Comma 6 3 2 4 2" xfId="21128" xr:uid="{A906CFD4-FDB1-4814-887E-F605056B9C65}"/>
    <cellStyle name="Comma 6 3 2 5" xfId="20372" xr:uid="{116B441D-F0BD-44D8-99CA-B0ECF1E3046C}"/>
    <cellStyle name="Comma 6 3 2 5 2" xfId="21447" xr:uid="{2959BB51-A4C9-4B35-A7EC-66E843DD7981}"/>
    <cellStyle name="Comma 6 3 2 6 2" xfId="22207" xr:uid="{29742CB0-902B-4711-AD2A-833170A2A483}"/>
    <cellStyle name="Comma 6 3 2 7 2" xfId="22861" xr:uid="{3FA3449E-3E47-4577-BB75-73BB35FC6F20}"/>
    <cellStyle name="Comma 6 3 3" xfId="2650" xr:uid="{715043C8-A0F4-4E9D-B998-394E4D812F4E}"/>
    <cellStyle name="Comma 6 3 3 3" xfId="19796" xr:uid="{8E466DD0-F2BB-45DA-8C7F-0F42DCA9577C}"/>
    <cellStyle name="Comma 6 3 3 4" xfId="20373" xr:uid="{55FA8C03-34A5-46B5-A2F9-663FD3141B04}"/>
    <cellStyle name="Comma 6 3 3 5" xfId="20374" xr:uid="{9EDEF95A-3620-4B37-AAA0-C2B4C44F4837}"/>
    <cellStyle name="Comma 6 3 3 5 2" xfId="22862" xr:uid="{B7D1E12F-9C80-4388-B3B2-0BF382962F0C}"/>
    <cellStyle name="Comma 6 3 3 6" xfId="20874" xr:uid="{36C11AE5-A73C-45A2-95E6-E0B22B587FF8}"/>
    <cellStyle name="Comma 6 3 4" xfId="19794" xr:uid="{C320953C-9D8A-4107-9375-51B529EE1D5D}"/>
    <cellStyle name="Comma 6 3 4 2" xfId="21014" xr:uid="{5B83936B-BAC4-47B1-86DA-0A137BBD4299}"/>
    <cellStyle name="Comma 6 3 5" xfId="20375" xr:uid="{E5D72D4A-2F57-4F5A-BE03-F15E67A98B70}"/>
    <cellStyle name="Comma 6 3 5 2" xfId="21127" xr:uid="{07076115-A6A9-42E5-9EF2-6C4F6ED3CF6E}"/>
    <cellStyle name="Comma 6 3 6" xfId="20376" xr:uid="{0848293E-8D9F-4076-8641-2517227D7D7A}"/>
    <cellStyle name="Comma 6 3 6 2" xfId="21446" xr:uid="{36FEC8A8-D98B-4236-B021-079518906C99}"/>
    <cellStyle name="Comma 6 3 7" xfId="20377" xr:uid="{13469596-F526-4877-A698-BE7EE3441442}"/>
    <cellStyle name="Comma 6 3 7 2" xfId="22206" xr:uid="{CD3F0E13-32B7-4152-85B9-786C22B6E7DF}"/>
    <cellStyle name="Comma 6 3 8" xfId="20378" xr:uid="{3BE77DAD-1D36-467B-91D9-1CCE9E225C38}"/>
    <cellStyle name="Comma 6 3 8 2" xfId="22863" xr:uid="{608E7882-7BCE-4DCA-89F3-8D90546D82BD}"/>
    <cellStyle name="Comma 6 3 9" xfId="20766" xr:uid="{E1B94C83-8B1A-424E-B0A8-9A91D0D0A053}"/>
    <cellStyle name="Comma 6 4" xfId="167" xr:uid="{E3E2B383-958B-44DF-AF54-7E4663B42FF6}"/>
    <cellStyle name="Comma 6 4 2" xfId="2651" xr:uid="{C11B9B7B-01FB-436D-98DF-A800270B63A7}"/>
    <cellStyle name="Comma 6 4 2 2" xfId="20379" xr:uid="{1A5E12B0-E51E-4BC7-BCA7-623FBFF855FA}"/>
    <cellStyle name="Comma 6 4 2 2 2" xfId="22489" xr:uid="{7489EEAF-683D-404C-81B0-CB50655A08B8}"/>
    <cellStyle name="Comma 6 4 2 3" xfId="20380" xr:uid="{85B80675-94F7-420A-B45F-CC93D726445D}"/>
    <cellStyle name="Comma 6 4 2 3 2" xfId="22864" xr:uid="{84E887E1-2BF1-468C-B57B-5BF7F489B0AF}"/>
    <cellStyle name="Comma 6 4 2 4" xfId="20876" xr:uid="{D421D9C2-50A5-4E59-A09F-83FCEE551809}"/>
    <cellStyle name="Comma 6 4 3" xfId="19797" xr:uid="{5F14AD61-CF6A-46FF-AB42-E313D576BEBF}"/>
    <cellStyle name="Comma 6 4 3 2" xfId="21015" xr:uid="{A5A9EF59-13F3-4770-8298-3EA161369218}"/>
    <cellStyle name="Comma 6 4 4" xfId="20381" xr:uid="{6FC4E042-1E87-4FA4-9F44-20F46176472E}"/>
    <cellStyle name="Comma 6 4 4 2" xfId="21129" xr:uid="{CEA83D29-8A8E-43CD-8174-406F866FFD9A}"/>
    <cellStyle name="Comma 6 4 5" xfId="20382" xr:uid="{2C4A3400-B8A0-48E0-8A4A-ABA92D5C122A}"/>
    <cellStyle name="Comma 6 4 5 2" xfId="21448" xr:uid="{CEB16AC9-1524-43A8-B5BA-0D0A40D256D6}"/>
    <cellStyle name="Comma 6 4 6" xfId="20383" xr:uid="{7AC95ED4-920F-4336-8F7F-28F6932F4CCB}"/>
    <cellStyle name="Comma 6 4 6 2" xfId="22208" xr:uid="{A3F53F94-16BE-4EE0-80D4-020DCCBA9EB5}"/>
    <cellStyle name="Comma 6 4 7" xfId="20384" xr:uid="{E7869746-58B9-495A-A012-104A1C223B96}"/>
    <cellStyle name="Comma 6 4 7 2" xfId="22865" xr:uid="{FE271EA4-947D-4F2F-84D8-79A5109F0DF3}"/>
    <cellStyle name="Comma 6 4 8" xfId="20767" xr:uid="{C43FA5E4-7F23-45A0-BD5F-4432DB7EDD8D}"/>
    <cellStyle name="Comma 6 5" xfId="19827" xr:uid="{671B8978-3B01-4483-88CE-877E811175E4}"/>
    <cellStyle name="Comma 6 5 2" xfId="19798" xr:uid="{03A05417-A976-4407-9D7C-BA6A268E33B1}"/>
    <cellStyle name="Comma 6 5 2 2" xfId="21449" xr:uid="{97121914-36E0-4EA1-BBD2-F01B5C4D79F0}"/>
    <cellStyle name="Comma 6 5 3" xfId="20385" xr:uid="{19EAADA7-1295-48AA-A557-F71FCC800716}"/>
    <cellStyle name="Comma 6 5 3 2" xfId="22487" xr:uid="{828A2DD7-63BF-4E80-B767-D874A6B52547}"/>
    <cellStyle name="Comma 6 5 4" xfId="20386" xr:uid="{3808AF69-D87B-4A21-AB02-0A7BDE1E6257}"/>
    <cellStyle name="Comma 6 5 4 2" xfId="22866" xr:uid="{BC87D02D-9052-4993-83D0-F3B38D111B2F}"/>
    <cellStyle name="Comma 6 5 5" xfId="20872" xr:uid="{948E2083-53FC-498C-97B6-2D79E4B0C1F3}"/>
    <cellStyle name="Comma 6 6" xfId="3038" xr:uid="{0E6D34FC-5C1A-4614-94B2-D1F06305D748}"/>
    <cellStyle name="Comma 6 6 2" xfId="5790" xr:uid="{74B5D182-DC29-4DB7-B112-FE9FC8E10D00}"/>
    <cellStyle name="Comma 6 7" xfId="19704" xr:uid="{8FEBBAF8-4620-4149-BE0D-5E18A6C0BD9E}"/>
    <cellStyle name="Comma 6 7 2" xfId="21125" xr:uid="{EF960D36-184D-49BC-BB85-0D7DD1B95CC0}"/>
    <cellStyle name="Comma 6 8" xfId="5791" xr:uid="{A9E38D20-9EC4-491A-9D03-CEF7D5D314D3}"/>
    <cellStyle name="Comma 6 8 2" xfId="21167" xr:uid="{313A41C6-7D47-44F3-B906-A05485F9C29A}"/>
    <cellStyle name="Comma 6 9" xfId="20387" xr:uid="{11773FE1-F784-4971-847B-32BB36F323C2}"/>
    <cellStyle name="Comma 6 9 2" xfId="22204" xr:uid="{2109688C-93C7-4FBA-8C00-909420A2F92C}"/>
    <cellStyle name="Comma 7" xfId="168" xr:uid="{5EC5121A-CD54-4CB9-9FA2-63F0188709F3}"/>
    <cellStyle name="Comma 7 10" xfId="20388" xr:uid="{5CCBF3E3-6CDB-49B3-83D1-56415840B451}"/>
    <cellStyle name="Comma 7 10 2" xfId="22867" xr:uid="{57EC80B9-0685-465C-9485-CBDB3E6B5E35}"/>
    <cellStyle name="Comma 7 11" xfId="20681" xr:uid="{AD6D73FA-E55E-4B77-A30C-FA9C427193AB}"/>
    <cellStyle name="Comma 7 2" xfId="169" xr:uid="{C1F75419-33C5-4A6D-B1C1-7689AA670025}"/>
    <cellStyle name="Comma 7 2 2" xfId="2653" xr:uid="{76CF610A-935E-4EC1-AFBC-354ACD4743C4}"/>
    <cellStyle name="Comma 7 2 2 2" xfId="20389" xr:uid="{966E0E3B-E328-417E-8DE3-2E3B60320930}"/>
    <cellStyle name="Comma 7 2 2 2 2" xfId="22491" xr:uid="{5D2F3F8F-54FE-4766-BD07-31CC84F67E04}"/>
    <cellStyle name="Comma 7 2 2 3" xfId="20390" xr:uid="{44395C1C-0005-4259-978E-771071EEB390}"/>
    <cellStyle name="Comma 7 2 2 3 2" xfId="22868" xr:uid="{3173F2BC-DE9C-44AF-9822-4D843510E8D0}"/>
    <cellStyle name="Comma 7 2 2 4" xfId="20878" xr:uid="{94A1B338-9002-4B7A-B5A2-C9C532D26CB5}"/>
    <cellStyle name="Comma 7 2 3" xfId="19800" xr:uid="{AD6EB770-3886-49F6-B23A-93C1B3333331}"/>
    <cellStyle name="Comma 7 2 3 2" xfId="21017" xr:uid="{DA3606DB-6196-4E73-8C9D-3BE7560BA69A}"/>
    <cellStyle name="Comma 7 2 4" xfId="20391" xr:uid="{6815E181-2BDD-45A0-9C37-63691B6B1918}"/>
    <cellStyle name="Comma 7 2 4 2" xfId="21131" xr:uid="{CA22CD74-75F4-4414-964C-EEC66459DFE8}"/>
    <cellStyle name="Comma 7 2 5" xfId="20392" xr:uid="{B5F5C409-4E6D-41BD-B2E8-390E982A3682}"/>
    <cellStyle name="Comma 7 2 5 2" xfId="21451" xr:uid="{E0A81638-FBF7-4D9A-B2C5-A4AEAFBDC6A2}"/>
    <cellStyle name="Comma 7 2 6" xfId="20393" xr:uid="{9CADCCFB-51DD-4E2C-B6E7-EC5CE9AE0D4D}"/>
    <cellStyle name="Comma 7 2 6 2" xfId="22210" xr:uid="{97CE39F4-76DD-45A9-8C93-5F172701BC81}"/>
    <cellStyle name="Comma 7 2 7" xfId="20394" xr:uid="{2A93525D-77AE-4B7C-B20D-37796631F50B}"/>
    <cellStyle name="Comma 7 2 7 2" xfId="22869" xr:uid="{820ECFAB-7616-494B-98C2-60D7BCF04709}"/>
    <cellStyle name="Comma 7 2 8" xfId="20768" xr:uid="{A7B5933B-BB8B-4EB4-B401-B606E436B736}"/>
    <cellStyle name="Comma 7 3" xfId="170" xr:uid="{E0FF7042-7426-4889-AABA-F9D2E516DA14}"/>
    <cellStyle name="Comma 7 3 2" xfId="171" xr:uid="{2AA1D654-DF43-4DA3-AA60-568EDF8D3019}"/>
    <cellStyle name="Comma 7 3 2 2" xfId="2655" xr:uid="{5856CA18-BCF6-450F-9C77-5AE824581C4F}"/>
    <cellStyle name="Comma 7 3 2 2 2" xfId="20395" xr:uid="{D6A18344-9505-4746-BE9C-5C7C60AC826D}"/>
    <cellStyle name="Comma 7 3 2 2 2 2" xfId="22493" xr:uid="{86325206-586E-4FF4-8975-6200096947E8}"/>
    <cellStyle name="Comma 7 3 2 2 3" xfId="20396" xr:uid="{877FF44F-E2CA-4FBC-871E-5CC6E4D16842}"/>
    <cellStyle name="Comma 7 3 2 2 3 2" xfId="22870" xr:uid="{1A74D536-155E-4E3E-B497-E08DD35B4259}"/>
    <cellStyle name="Comma 7 3 2 2 4" xfId="20880" xr:uid="{43234DF8-3E97-474D-8E27-0D1B78C865FF}"/>
    <cellStyle name="Comma 7 3 2 3" xfId="19802" xr:uid="{54DA1180-608D-4639-BB62-717385581959}"/>
    <cellStyle name="Comma 7 3 2 3 2" xfId="21019" xr:uid="{46382952-0488-405B-8127-FCDDE572DA3C}"/>
    <cellStyle name="Comma 7 3 2 4" xfId="20397" xr:uid="{FE378154-7A53-46B7-9BA6-B090AE0B600B}"/>
    <cellStyle name="Comma 7 3 2 4 2" xfId="21133" xr:uid="{7165BC33-675F-4815-A6B8-5D973F385A5D}"/>
    <cellStyle name="Comma 7 3 2 5" xfId="20398" xr:uid="{02A7A0D2-0483-4116-8BD6-65375F692495}"/>
    <cellStyle name="Comma 7 3 2 5 2" xfId="21453" xr:uid="{A65ED887-3B75-47E8-B60E-29487363C38F}"/>
    <cellStyle name="Comma 7 3 2 6" xfId="20399" xr:uid="{AB3CB9DB-31F3-4185-BC6A-EC880E36BD51}"/>
    <cellStyle name="Comma 7 3 2 6 2" xfId="22212" xr:uid="{D878D792-B0DE-49A7-AE9D-A884B7152815}"/>
    <cellStyle name="Comma 7 3 2 7" xfId="20400" xr:uid="{8EB0BEE7-1ECB-41DA-84F8-CE185AF47208}"/>
    <cellStyle name="Comma 7 3 2 7 2" xfId="22871" xr:uid="{F90B58CD-F41F-4260-B163-BC605BEE8BF7}"/>
    <cellStyle name="Comma 7 3 2 8" xfId="20770" xr:uid="{89B4B58F-FAB4-465D-AB77-0B1FDD5A6EA4}"/>
    <cellStyle name="Comma 7 3 3" xfId="2654" xr:uid="{50408AA2-5C76-4463-8A89-3D538F3099E6}"/>
    <cellStyle name="Comma 7 3 3 2" xfId="19803" xr:uid="{6C71AB1C-D2E1-4782-92DF-E4D3EACF1111}"/>
    <cellStyle name="Comma 7 3 3 2 2" xfId="21454" xr:uid="{3C0A740D-CB79-4219-8245-A269333C5E78}"/>
    <cellStyle name="Comma 7 3 3 3" xfId="20401" xr:uid="{943F53C4-F916-4569-967D-16953798D037}"/>
    <cellStyle name="Comma 7 3 3 3 2" xfId="22492" xr:uid="{1D02A404-8CA6-4868-A3FD-2D867B5A732F}"/>
    <cellStyle name="Comma 7 3 3 4" xfId="20402" xr:uid="{A748522A-1FAE-4C9D-9742-86D7FE601D84}"/>
    <cellStyle name="Comma 7 3 3 4 2" xfId="22872" xr:uid="{ED55CB55-D0DC-4EEA-9229-7E688BFECFDF}"/>
    <cellStyle name="Comma 7 3 3 5" xfId="20879" xr:uid="{E105A636-F9C1-46A2-9F5C-EC35EA8AA6BF}"/>
    <cellStyle name="Comma 7 3 4" xfId="19676" xr:uid="{9BACCDDF-66DC-4529-985E-DC1910AA08AE}"/>
    <cellStyle name="Comma 7 3 4 2" xfId="20403" xr:uid="{2410BDB2-3100-4F68-B0A5-5912D687C90E}"/>
    <cellStyle name="Comma 7 3 4 2 2" xfId="21455" xr:uid="{F02D993C-9DAB-4E02-8DA0-2A6E21469274}"/>
    <cellStyle name="Comma 7 3 4 3" xfId="21018" xr:uid="{CB046B07-B18D-4C8A-B634-AE32EB388935}"/>
    <cellStyle name="Comma 7 3 5" xfId="19801" xr:uid="{3338A4B8-FF03-4C06-88DE-140A77CBFCF3}"/>
    <cellStyle name="Comma 7 3 5 2" xfId="21132" xr:uid="{9A783315-58CA-47AD-8C05-C2D8FCDB27B5}"/>
    <cellStyle name="Comma 7 3 6 2" xfId="21452" xr:uid="{B1AD17BA-9B04-49FF-9AAE-311ABD7DDDD0}"/>
    <cellStyle name="Comma 7 3 7 2" xfId="22211" xr:uid="{A7524558-823D-4273-A260-2B0B9F459C41}"/>
    <cellStyle name="Comma 7 3 8" xfId="20404" xr:uid="{117E15EC-1658-44A2-8318-C7C3FF148550}"/>
    <cellStyle name="Comma 7 3 8 2" xfId="22873" xr:uid="{D7B22F51-03F1-4816-8BEC-138840619575}"/>
    <cellStyle name="Comma 7 3 9" xfId="20769" xr:uid="{8A03A6F4-E958-41C3-9DB2-26EFFA968C65}"/>
    <cellStyle name="Comma 7 4 2" xfId="172" xr:uid="{141402FD-4824-4F47-B710-6DEDB50DE01A}"/>
    <cellStyle name="Comma 7 4 2 2 2" xfId="20882" xr:uid="{419272EA-7B28-4F25-B854-0CE1E268BFE8}"/>
    <cellStyle name="Comma 7 4 2 3" xfId="20405" xr:uid="{ADFD6062-02A5-4DD0-B812-CBB461921F95}"/>
    <cellStyle name="Comma 7 4 2 3 2" xfId="21021" xr:uid="{D302A361-9732-4FC3-9C96-FE71C46B130B}"/>
    <cellStyle name="Comma 7 4 2 4" xfId="20406" xr:uid="{637AE077-10D7-4236-921E-CA2134FC2C11}"/>
    <cellStyle name="Comma 7 4 2 4 2" xfId="21135" xr:uid="{43251CFE-7DF7-4C10-8C02-52F2275F8D9D}"/>
    <cellStyle name="Comma 7 4 2 5" xfId="20407" xr:uid="{F938B0C0-B1C3-4B9E-B661-F9DDDCBB25CB}"/>
    <cellStyle name="Comma 7 4 2 5 2" xfId="21457" xr:uid="{5BBC9E33-AA7F-4E5B-AD72-B520C3410748}"/>
    <cellStyle name="Comma 7 4 2 6" xfId="20408" xr:uid="{43FC915E-437F-4E59-A2BC-8FEF5BFB1E3E}"/>
    <cellStyle name="Comma 7 4 2 6 2" xfId="22214" xr:uid="{A52B90F2-17AD-444C-8BE6-0DB6546F0F97}"/>
    <cellStyle name="Comma 7 4 2 7" xfId="20409" xr:uid="{B9A71C4C-4E24-4A18-B6AB-8EAD74604C40}"/>
    <cellStyle name="Comma 7 4 2 7 2" xfId="22874" xr:uid="{AD42297C-539C-42DE-BF96-892EA7CD44C9}"/>
    <cellStyle name="Comma 7 4 2 8" xfId="20772" xr:uid="{4E738781-F272-4F2A-84A4-AE892CB59A83}"/>
    <cellStyle name="Comma 7 4 3" xfId="2656" xr:uid="{51F44F7A-B0A3-4FB3-9687-DE86B8C90178}"/>
    <cellStyle name="Comma 7 4 3 2" xfId="20410" xr:uid="{A7465180-97D6-4905-A48F-EBA865029EE0}"/>
    <cellStyle name="Comma 7 4 3 2 2" xfId="22494" xr:uid="{AE336EC8-3295-4113-AE91-649EC50E5C77}"/>
    <cellStyle name="Comma 7 4 3 3" xfId="20411" xr:uid="{394BB723-D33E-4321-A44B-A3BCB5AE2EE4}"/>
    <cellStyle name="Comma 7 4 3 3 2" xfId="22875" xr:uid="{48A11074-0338-40B0-B2B7-143E772DBDFC}"/>
    <cellStyle name="Comma 7 4 3 4" xfId="20881" xr:uid="{4790A6B5-AA28-4218-9F4C-9325E89AC886}"/>
    <cellStyle name="Comma 7 4 4" xfId="19804" xr:uid="{EAE5CDD2-7274-4F88-B481-6077A05337A9}"/>
    <cellStyle name="Comma 7 4 4 2" xfId="21020" xr:uid="{E20F4515-3C3E-4FF4-871B-09F2B16991F8}"/>
    <cellStyle name="Comma 7 4 5" xfId="20412" xr:uid="{DD6974F0-5FB9-4BA5-A0B2-197280C63EC6}"/>
    <cellStyle name="Comma 7 4 5 2" xfId="21134" xr:uid="{788FAA1C-F4AD-40C7-8B88-BE2705F174A8}"/>
    <cellStyle name="Comma 7 4 6" xfId="20413" xr:uid="{7934DD14-1C34-432C-9E1D-BF20EB82B3C4}"/>
    <cellStyle name="Comma 7 4 6 2" xfId="21456" xr:uid="{DF93F851-A8E8-410D-B873-AB6030A098AA}"/>
    <cellStyle name="Comma 7 4 7" xfId="20414" xr:uid="{DEEEBB85-C564-4F74-9EBA-CCC02A7B8AFC}"/>
    <cellStyle name="Comma 7 4 7 2" xfId="22213" xr:uid="{2E9AB84D-904B-43DE-80F1-0B1AACF94B3D}"/>
    <cellStyle name="Comma 7 4 8" xfId="20415" xr:uid="{0FA9E9C3-3870-4EEC-BE75-5243E05F0F59}"/>
    <cellStyle name="Comma 7 4 8 2" xfId="22876" xr:uid="{378892F8-BDB8-4476-BE55-CE01080D2983}"/>
    <cellStyle name="Comma 7 4 9" xfId="20771" xr:uid="{2A78C6D2-6CD4-4F16-854F-908E686195B9}"/>
    <cellStyle name="Comma 7 5" xfId="2652" xr:uid="{7DAF9DC3-7172-484F-9642-8A3C71438D4D}"/>
    <cellStyle name="Comma 7 5 2" xfId="19805" xr:uid="{162800BB-97E0-4460-BAD2-CA51872C37AF}"/>
    <cellStyle name="Comma 7 5 2 2" xfId="21458" xr:uid="{C17C066B-EC25-4817-B9E9-1C2CF1D01D56}"/>
    <cellStyle name="Comma 7 5 3" xfId="20416" xr:uid="{621F0F27-E0E5-4F4E-9E27-80342F7DF7AA}"/>
    <cellStyle name="Comma 7 5 3 2" xfId="22490" xr:uid="{A9EE1DAB-B26F-4A8D-A456-9138DAE8835A}"/>
    <cellStyle name="Comma 7 5 4" xfId="20417" xr:uid="{DE5DCC4C-E21E-4D55-8E55-589D1CC23C36}"/>
    <cellStyle name="Comma 7 5 4 2" xfId="22877" xr:uid="{F877E80C-4CCA-4BE5-8B13-A036D7EA883D}"/>
    <cellStyle name="Comma 7 5 5" xfId="20877" xr:uid="{DAF04A0B-0189-4E48-9762-42D8FFFAC963}"/>
    <cellStyle name="Comma 7 6" xfId="19677" xr:uid="{1FD70DC3-A113-4E66-956B-EC3F3C1CD077}"/>
    <cellStyle name="Comma 7 6 2" xfId="20418" xr:uid="{76461C96-E689-4A76-AC66-C4B6A5152F4B}"/>
    <cellStyle name="Comma 7 6 2 2" xfId="21459" xr:uid="{5710E268-DD0A-4EAB-B7A4-2D5EE96B3C5E}"/>
    <cellStyle name="Comma 7 6 3" xfId="21016" xr:uid="{FCD3B658-B3BD-440A-98A4-046BEB0A130F}"/>
    <cellStyle name="Comma 7 7" xfId="19799" xr:uid="{A3CA7FFA-DC7D-4B56-95A1-914427096383}"/>
    <cellStyle name="Comma 7 7 2" xfId="21130" xr:uid="{FA82E507-1BB5-4449-875E-8F79CA679284}"/>
    <cellStyle name="Comma 7 8" xfId="20419" xr:uid="{6850EAAF-1754-42FA-BA15-A8C10656D6CC}"/>
    <cellStyle name="Comma 7 8 2" xfId="21450" xr:uid="{E8F84F12-F9C4-49B0-A49F-F66E03676958}"/>
    <cellStyle name="Comma 7 9" xfId="20420" xr:uid="{49554649-7447-4467-A8DE-F6B063C8BAB0}"/>
    <cellStyle name="Comma 7 9 2" xfId="22209" xr:uid="{3C6AAF4D-F05F-4F50-A7D8-1AEA4A777CE9}"/>
    <cellStyle name="Comma 8" xfId="173" xr:uid="{FFBE3BE1-86A1-4D8C-A6B3-106D4A2145C3}"/>
    <cellStyle name="Comma 8 10" xfId="20421" xr:uid="{CDD39B4C-E886-408B-AC8E-40841AC2A15A}"/>
    <cellStyle name="Comma 8 10 2" xfId="22215" xr:uid="{3C6B914F-5920-4768-BEB9-95222286C76E}"/>
    <cellStyle name="Comma 8 11" xfId="20422" xr:uid="{58A1A098-7D4F-4CC0-BE95-96EBDF93172A}"/>
    <cellStyle name="Comma 8 11 2" xfId="22878" xr:uid="{F258F098-3852-4DA1-B2CC-7EBE1523336B}"/>
    <cellStyle name="Comma 8 12" xfId="20773" xr:uid="{56410E63-8078-4888-A8F8-424EE7D35005}"/>
    <cellStyle name="Comma 8 2" xfId="174" xr:uid="{CE9E6A41-39C0-4160-B4BF-1A710A7F0850}"/>
    <cellStyle name="Comma 8 2 2" xfId="175" xr:uid="{E513B88D-75DD-48AB-B421-D1C3B7B02492}"/>
    <cellStyle name="Comma 8 2 2 2" xfId="2659" xr:uid="{17AF5180-5DEF-412A-841E-E4F586323FCC}"/>
    <cellStyle name="Comma 8 2 2 2 2" xfId="20423" xr:uid="{B381E061-5E1D-4F6F-8D9D-A56F6FD8C804}"/>
    <cellStyle name="Comma 8 2 2 2 2 2" xfId="22497" xr:uid="{5A266110-686B-4FAD-97DE-5FA9F0B8BCB9}"/>
    <cellStyle name="Comma 8 2 2 2 3" xfId="20424" xr:uid="{A0CA44C1-DA34-4DFE-933E-DD6EF17489C3}"/>
    <cellStyle name="Comma 8 2 2 2 3 2" xfId="22879" xr:uid="{EB57F23C-3CC1-46C4-BE14-32BE717A6A94}"/>
    <cellStyle name="Comma 8 2 2 2 4" xfId="20885" xr:uid="{4C1926BC-37A4-422F-BC51-FF393BC5BDA9}"/>
    <cellStyle name="Comma 8 2 2 3" xfId="19808" xr:uid="{1E6066CE-F080-4AD9-884D-2A69E4159F2F}"/>
    <cellStyle name="Comma 8 2 2 3 2" xfId="21024" xr:uid="{BC2F914A-AB47-4D98-8DEA-95DBBB2232A0}"/>
    <cellStyle name="Comma 8 2 2 4" xfId="20425" xr:uid="{AF1E6DF7-0DDA-42D6-BD41-A9219B317896}"/>
    <cellStyle name="Comma 8 2 2 4 2" xfId="21138" xr:uid="{66226DEF-0DA9-4B23-88A3-4D3890AC51F3}"/>
    <cellStyle name="Comma 8 2 2 5" xfId="20426" xr:uid="{504752A0-1647-4A73-9626-AAD704F1357C}"/>
    <cellStyle name="Comma 8 2 2 5 2" xfId="21462" xr:uid="{1389AD9F-3078-4C58-B49F-63C2DC15508B}"/>
    <cellStyle name="Comma 8 2 2 6" xfId="20427" xr:uid="{E63888E7-F4C5-47EC-948D-50A476D9E689}"/>
    <cellStyle name="Comma 8 2 2 6 2" xfId="22217" xr:uid="{43BA9F71-1FBA-43D5-BF56-B42D9BFDEDBD}"/>
    <cellStyle name="Comma 8 2 2 7" xfId="20428" xr:uid="{560B96EE-AB9D-4B95-B685-65AB8335D29C}"/>
    <cellStyle name="Comma 8 2 2 7 2" xfId="22880" xr:uid="{DCBD8FD6-7A02-4450-BBB7-071CDEBAA398}"/>
    <cellStyle name="Comma 8 2 2 8" xfId="20775" xr:uid="{D2880025-9DE9-42E5-8470-6D3DD970C0E9}"/>
    <cellStyle name="Comma 8 2 3" xfId="2658" xr:uid="{7F083463-909B-48C5-905F-FC8A2864E2EB}"/>
    <cellStyle name="Comma 8 2 3 2" xfId="19809" xr:uid="{A4F33CA1-3DD6-451C-BCBE-C5535830A7EF}"/>
    <cellStyle name="Comma 8 2 3 2 2" xfId="21463" xr:uid="{A27B1208-31CA-41C9-A7A8-85888419815D}"/>
    <cellStyle name="Comma 8 2 3 3" xfId="20429" xr:uid="{DB54CF86-121B-4209-B50A-C462FDD3F17A}"/>
    <cellStyle name="Comma 8 2 3 3 2" xfId="22496" xr:uid="{2B77235A-0B68-4CBB-B540-B650AB014F1D}"/>
    <cellStyle name="Comma 8 2 3 4" xfId="20430" xr:uid="{598A487E-F7D9-4DF0-BA00-126464B363D7}"/>
    <cellStyle name="Comma 8 2 3 4 2" xfId="22881" xr:uid="{4C6E8F1C-F371-4895-B674-7CF413828087}"/>
    <cellStyle name="Comma 8 2 3 5" xfId="20884" xr:uid="{1A59297C-BD97-4BE4-9FEC-9507C91B85D3}"/>
    <cellStyle name="Comma 8 2 4" xfId="19678" xr:uid="{ECB428CA-5516-4D1E-8AED-6A737B5BC4A5}"/>
    <cellStyle name="Comma 8 2 4 2" xfId="20431" xr:uid="{72F68786-35D4-4982-9C90-3BA8F0545721}"/>
    <cellStyle name="Comma 8 2 4 2 2" xfId="21464" xr:uid="{66DB47D7-B086-4D7E-9631-2631D4BE7805}"/>
    <cellStyle name="Comma 8 2 4 3" xfId="21023" xr:uid="{CC7EB461-9D3B-4C86-81A3-E635BF68B2C6}"/>
    <cellStyle name="Comma 8 2 5" xfId="19807" xr:uid="{223C929F-6C9C-45E0-AFDE-F7EFCB3B7A61}"/>
    <cellStyle name="Comma 8 2 5 2" xfId="21137" xr:uid="{86D15CF6-4661-4BE1-8177-BC2B7595E0AC}"/>
    <cellStyle name="Comma 8 2 6" xfId="20432" xr:uid="{B5D64C18-4509-42D9-A910-E59AA8A61BC0}"/>
    <cellStyle name="Comma 8 2 6 2" xfId="21461" xr:uid="{77B9367D-76FD-4899-B16F-0EBB54EE9CBA}"/>
    <cellStyle name="Comma 8 2 7" xfId="20433" xr:uid="{737D3005-1208-402B-9821-993CB4F1270C}"/>
    <cellStyle name="Comma 8 2 7 2" xfId="22216" xr:uid="{4297087C-28A1-4AF3-8535-550AC456475E}"/>
    <cellStyle name="Comma 8 2 8" xfId="20434" xr:uid="{478AE9BD-464E-41AF-BE1A-8363AF4154BC}"/>
    <cellStyle name="Comma 8 2 8 2" xfId="22882" xr:uid="{9D77C2B7-0548-442D-A5B1-73CCB71BD982}"/>
    <cellStyle name="Comma 8 2 9" xfId="20774" xr:uid="{49A599AF-42E4-411D-BAB6-96A64E007614}"/>
    <cellStyle name="Comma 8 3" xfId="176" xr:uid="{F8CD6374-D3DB-4C98-A34F-06E02C4529AD}"/>
    <cellStyle name="Comma 8 3 2" xfId="2660" xr:uid="{BA15E4BD-77C7-41CD-8F2F-458A54608E9B}"/>
    <cellStyle name="Comma 8 3 2 2" xfId="20435" xr:uid="{BD5AA0AE-7E59-43D1-9C14-97E03303FEB3}"/>
    <cellStyle name="Comma 8 3 2 2 2" xfId="22498" xr:uid="{2BBF5B7E-9EAA-4B7E-9ACE-CB3AF763A400}"/>
    <cellStyle name="Comma 8 3 2 3" xfId="20436" xr:uid="{28726AE8-B422-4C30-A6A2-BAE49B9D8382}"/>
    <cellStyle name="Comma 8 3 2 3 2" xfId="22883" xr:uid="{54982081-5C35-4F50-A6A4-1A5251C496EF}"/>
    <cellStyle name="Comma 8 3 2 4" xfId="20886" xr:uid="{6CC1A77F-FF3A-4E16-87C0-8E42B53DEE95}"/>
    <cellStyle name="Comma 8 3 3" xfId="19810" xr:uid="{E825CD1E-64D1-4AD0-99B7-A38EAD8617D8}"/>
    <cellStyle name="Comma 8 3 3 2" xfId="21025" xr:uid="{2B3533EC-BD52-4637-A30B-52EC22B01250}"/>
    <cellStyle name="Comma 8 3 4" xfId="20437" xr:uid="{BB6E02BB-21E3-4DBB-9F1A-9FA95D26E025}"/>
    <cellStyle name="Comma 8 3 4 2" xfId="21139" xr:uid="{C9440089-8E8B-40DF-84C4-B50D75FB863D}"/>
    <cellStyle name="Comma 8 3 5" xfId="20438" xr:uid="{7243D17A-3C70-4AC9-9100-4BB9DED0C90E}"/>
    <cellStyle name="Comma 8 3 5 2" xfId="21465" xr:uid="{28E35AD3-CC55-4279-B1B0-38971BCE67FB}"/>
    <cellStyle name="Comma 8 3 6" xfId="20439" xr:uid="{B2DFA798-9F99-4A9C-AE42-5BE4F9F6FE80}"/>
    <cellStyle name="Comma 8 3 6 2" xfId="22218" xr:uid="{52A9AB34-0D92-4A6A-A06D-8A626652DEA2}"/>
    <cellStyle name="Comma 8 3 7" xfId="20440" xr:uid="{D3C36046-7EE9-4BC5-8DF1-879882E0F85D}"/>
    <cellStyle name="Comma 8 3 7 2" xfId="22884" xr:uid="{21B63EA8-081A-40B1-BE38-B93CC325104E}"/>
    <cellStyle name="Comma 8 3 8" xfId="20776" xr:uid="{6C281BE1-8105-4E9B-B48C-B4BE49D73B68}"/>
    <cellStyle name="Comma 8 4" xfId="177" xr:uid="{77A7DF09-3C1E-47C3-A035-C9F4113A6A37}"/>
    <cellStyle name="Comma 8 4 2" xfId="178" xr:uid="{53C75983-A8D4-4A0B-ABC2-1473ED030BC6}"/>
    <cellStyle name="Comma 8 4 2 2" xfId="19812" xr:uid="{98B1F506-4F4B-43D8-BE69-29145FAD813E}"/>
    <cellStyle name="Comma 8 4 2 2 2" xfId="20888" xr:uid="{51900685-F92D-4944-8B0D-BB83BB818B7D}"/>
    <cellStyle name="Comma 8 4 2 3" xfId="20441" xr:uid="{BD205649-89C4-4D08-834F-7CBE460D0C1D}"/>
    <cellStyle name="Comma 8 4 2 3 2" xfId="21027" xr:uid="{BEBD05CC-2EE4-4D63-9A31-402A45FA7FC4}"/>
    <cellStyle name="Comma 8 4 2 4" xfId="20442" xr:uid="{FA1FCE99-7E0E-467F-BD42-81DF141EB263}"/>
    <cellStyle name="Comma 8 4 2 4 2" xfId="21141" xr:uid="{A3C3DE42-C12B-46E9-8290-7F243C7A6946}"/>
    <cellStyle name="Comma 8 4 2 5" xfId="20443" xr:uid="{EC9E60E5-9BAB-45CA-8B3E-AAAFDCEC88FA}"/>
    <cellStyle name="Comma 8 4 2 5 2" xfId="21467" xr:uid="{61F88FC4-AC4D-433D-9306-95D1AB5E5FC0}"/>
    <cellStyle name="Comma 8 4 2 6" xfId="20444" xr:uid="{1A8574D9-EC51-4C4B-ACC7-6B79E7490879}"/>
    <cellStyle name="Comma 8 4 2 6 2" xfId="22220" xr:uid="{A3B43D53-5EE4-4D40-BDE4-1AB929D8069B}"/>
    <cellStyle name="Comma 8 4 2 7" xfId="20445" xr:uid="{19DB5FDE-6427-45CB-A41E-2C87008B8E35}"/>
    <cellStyle name="Comma 8 4 2 7 2" xfId="22885" xr:uid="{E0534940-B8E4-4458-9700-B9D678E38415}"/>
    <cellStyle name="Comma 8 4 2 8" xfId="20778" xr:uid="{6E4F26F5-A9DD-448F-81D9-307859709210}"/>
    <cellStyle name="Comma 8 4 3" xfId="2661" xr:uid="{B3A7277E-E8A1-4AAE-B549-BCCD48E93D61}"/>
    <cellStyle name="Comma 8 4 3 2" xfId="20446" xr:uid="{71DA4DA3-AB1C-45AF-9589-B84F1C0DB52C}"/>
    <cellStyle name="Comma 8 4 3 2 2" xfId="22499" xr:uid="{A8F33951-10BB-42E4-98C3-C2997F25C157}"/>
    <cellStyle name="Comma 8 4 3 3" xfId="20447" xr:uid="{D55262EE-E8CB-4543-8684-BBF7E2B7C5C4}"/>
    <cellStyle name="Comma 8 4 3 3 2" xfId="22886" xr:uid="{7891CBC1-92F6-4E35-887E-52CBF06EE42C}"/>
    <cellStyle name="Comma 8 4 3 4" xfId="20887" xr:uid="{708FF10F-88C2-4C93-A87E-969B9D96B36B}"/>
    <cellStyle name="Comma 8 4 4" xfId="19811" xr:uid="{1ACE15B0-74C3-48B4-886D-2B6D50ED68F8}"/>
    <cellStyle name="Comma 8 4 4 2" xfId="21026" xr:uid="{D4FC45DC-EB0B-4B73-955F-B4D2A82BDEF9}"/>
    <cellStyle name="Comma 8 4 5" xfId="20448" xr:uid="{E11D9AA4-756D-4D26-9041-7122BF4D4A12}"/>
    <cellStyle name="Comma 8 4 5 2" xfId="21140" xr:uid="{380E3B93-0016-4882-8DDA-A623C4DB408C}"/>
    <cellStyle name="Comma 8 4 6" xfId="20449" xr:uid="{E150FA63-F0CD-499B-AA1C-909120FF4180}"/>
    <cellStyle name="Comma 8 4 6 2" xfId="21466" xr:uid="{2E927905-3658-440C-B6FD-D8DB55978D1F}"/>
    <cellStyle name="Comma 8 4 7" xfId="20450" xr:uid="{4DAFC943-C6D7-46DE-AE38-1BB57378A1B3}"/>
    <cellStyle name="Comma 8 4 7 2" xfId="22219" xr:uid="{99E6B1E4-06BB-45D7-B7B4-ECDFE86ADF13}"/>
    <cellStyle name="Comma 8 4 8" xfId="20451" xr:uid="{4B5ADA15-554A-484B-9ADB-98DEB5BF8A0B}"/>
    <cellStyle name="Comma 8 4 8 2" xfId="22887" xr:uid="{906F290A-FCB3-45C2-8668-30B060CB4E6A}"/>
    <cellStyle name="Comma 8 4 9" xfId="20777" xr:uid="{6DF11664-E7E6-48B2-900B-12EE151F7094}"/>
    <cellStyle name="Comma 8 5" xfId="179" xr:uid="{587DBD25-B129-48A6-8504-D470CB2E3DF7}"/>
    <cellStyle name="Comma 8 5 2" xfId="2662" xr:uid="{752A1792-AFEB-4D65-954A-D6EADA77141A}"/>
    <cellStyle name="Comma 8 5 2 2" xfId="20452" xr:uid="{6D565C7C-9D2B-4F80-805F-DE9FAC3E3BFD}"/>
    <cellStyle name="Comma 8 5 2 2 2" xfId="22500" xr:uid="{31534507-9BB2-4259-99A1-1BFA5125D77B}"/>
    <cellStyle name="Comma 8 5 2 3" xfId="20453" xr:uid="{3978B91A-356E-47C1-A65A-3A6D76AE76E2}"/>
    <cellStyle name="Comma 8 5 2 3 2" xfId="22888" xr:uid="{CCF4E3D7-5993-4B3C-9849-AC605D737650}"/>
    <cellStyle name="Comma 8 5 2 4" xfId="20889" xr:uid="{79E3EBED-EA22-4586-8227-9CBAE879582E}"/>
    <cellStyle name="Comma 8 5 3" xfId="19813" xr:uid="{2B9B560E-9FB1-422F-86F0-6B1AFFC396EB}"/>
    <cellStyle name="Comma 8 5 3 2" xfId="21028" xr:uid="{9BDD2F1D-DA5D-4222-89A9-1DB1247E347C}"/>
    <cellStyle name="Comma 8 5 4" xfId="20454" xr:uid="{784C8814-0640-4BD1-AD17-211E320B1D5F}"/>
    <cellStyle name="Comma 8 5 4 2" xfId="21142" xr:uid="{2308AE3C-DC60-4129-A51F-9441BA542919}"/>
    <cellStyle name="Comma 8 5 5" xfId="20455" xr:uid="{09198339-B935-44DD-8B8E-AD13E80E5AEB}"/>
    <cellStyle name="Comma 8 5 5 2" xfId="21468" xr:uid="{7DEE4021-A352-44F4-B6AD-E9263F9B60B8}"/>
    <cellStyle name="Comma 8 5 6" xfId="20456" xr:uid="{B4F947E5-DB0F-4B60-B0AB-CEB17A510047}"/>
    <cellStyle name="Comma 8 5 6 2" xfId="22221" xr:uid="{AC09C951-2F25-43CC-B0C2-2D4750F18437}"/>
    <cellStyle name="Comma 8 5 7" xfId="20457" xr:uid="{9C50433B-0EA1-420D-B784-CE4AFC91A557}"/>
    <cellStyle name="Comma 8 5 7 2" xfId="22889" xr:uid="{C237CB62-0529-459B-B99E-F4DE0A24CB34}"/>
    <cellStyle name="Comma 8 5 8" xfId="20779" xr:uid="{3EF80722-A5F2-4483-BB8B-0E7ED52A0BC8}"/>
    <cellStyle name="Comma 8 6" xfId="2657" xr:uid="{F5EC5838-6761-4EA1-AB75-3B11206710FD}"/>
    <cellStyle name="Comma 8 6 2" xfId="19814" xr:uid="{4EEC4854-2992-4DEA-9042-A7A8DA5D0BC0}"/>
    <cellStyle name="Comma 8 6 2 2" xfId="21469" xr:uid="{04A23DFB-21D4-4AE0-8F87-B4F9BFD6E3A9}"/>
    <cellStyle name="Comma 8 6 3" xfId="20458" xr:uid="{7A95ED76-615A-4EDC-AA59-2BE2E46B1219}"/>
    <cellStyle name="Comma 8 6 3 2" xfId="22495" xr:uid="{5695BBA1-61A5-41F6-AB2F-1A77B973CB77}"/>
    <cellStyle name="Comma 8 6 4" xfId="20459" xr:uid="{4C4E0906-583B-4AC9-908B-8F056B016002}"/>
    <cellStyle name="Comma 8 6 4 2" xfId="22890" xr:uid="{3B137696-114D-4387-9189-D0E15A763D19}"/>
    <cellStyle name="Comma 8 6 5" xfId="20883" xr:uid="{7036A723-E425-42CF-903E-76ADA3FB27AC}"/>
    <cellStyle name="Comma 8 7" xfId="19679" xr:uid="{C7CF7BA9-4D54-44B3-9495-21644E893230}"/>
    <cellStyle name="Comma 8 7 2" xfId="20460" xr:uid="{68E2175A-CA06-4CE8-9C24-6FE1F5D9FCD8}"/>
    <cellStyle name="Comma 8 7 2 2" xfId="21470" xr:uid="{DCC07FF1-468C-45A0-9739-839A47300A0F}"/>
    <cellStyle name="Comma 8 7 3" xfId="21022" xr:uid="{0AAE4787-E1A6-400D-98BB-2CC5C1BEFCAF}"/>
    <cellStyle name="Comma 8 8" xfId="19806" xr:uid="{86935E4C-5A6C-4843-9DC0-AB676EE49D22}"/>
    <cellStyle name="Comma 8 8 2" xfId="21136" xr:uid="{0648B47D-9391-4E3F-9871-223E28694F5B}"/>
    <cellStyle name="Comma 8 9" xfId="20461" xr:uid="{52747F4B-87C9-4402-9102-7B2862E557F3}"/>
    <cellStyle name="Comma 8 9 2" xfId="21460" xr:uid="{C70620F0-3076-46A6-B76D-EE71F8F2235E}"/>
    <cellStyle name="Comma 9" xfId="180" xr:uid="{A9C79B7D-48DD-4A39-988E-3E4F1D5FE99B}"/>
    <cellStyle name="Comma 9 2" xfId="181" xr:uid="{1DB3A378-95E3-403A-9210-B2C96171CFCB}"/>
    <cellStyle name="Comma 9 2 2" xfId="2664" xr:uid="{472DFA0D-6C9A-4AB6-8956-69526000CAAF}"/>
    <cellStyle name="Comma 9 2 2 2" xfId="20462" xr:uid="{03CF1035-378B-41E7-AA59-687CB69045FE}"/>
    <cellStyle name="Comma 9 2 2 2 2" xfId="22502" xr:uid="{59D26E44-612B-438F-A507-8F2C96BE77F1}"/>
    <cellStyle name="Comma 9 2 2 3" xfId="20463" xr:uid="{13F3644B-3445-4E6A-8A88-9ABE8984BFF7}"/>
    <cellStyle name="Comma 9 2 2 3 2" xfId="22891" xr:uid="{50C4C504-9505-4AEF-917E-1AA6BA09B06C}"/>
    <cellStyle name="Comma 9 2 2 4" xfId="20891" xr:uid="{C53A8E53-D649-4B63-AF26-DBF4F94E8FA2}"/>
    <cellStyle name="Comma 9 2 3" xfId="19816" xr:uid="{E9169FC0-A55F-428B-ADF9-2588B380B34F}"/>
    <cellStyle name="Comma 9 2 3 2" xfId="21030" xr:uid="{7B364E11-0DB4-4812-A1DA-4349E0CF5175}"/>
    <cellStyle name="Comma 9 2 4" xfId="20464" xr:uid="{6049EFB1-D359-43EC-B3B4-1ABC3452DBED}"/>
    <cellStyle name="Comma 9 2 4 2" xfId="21144" xr:uid="{536C51D2-EA20-412D-BEBC-87B548D1FFE4}"/>
    <cellStyle name="Comma 9 2 5" xfId="20465" xr:uid="{703BEDFE-3754-4BAB-9D2F-EFF3142296E1}"/>
    <cellStyle name="Comma 9 2 5 2" xfId="21472" xr:uid="{198E4598-F8A8-485A-971A-AC7375B6F444}"/>
    <cellStyle name="Comma 9 2 6" xfId="20466" xr:uid="{CAD9C05C-BEFB-4C1C-A283-6CA9AC236E5E}"/>
    <cellStyle name="Comma 9 2 6 2" xfId="22223" xr:uid="{29439E73-70FC-4F65-B063-C3C92E4ACEE3}"/>
    <cellStyle name="Comma 9 2 7" xfId="20467" xr:uid="{F329638B-6F61-4B07-8DC6-54A4B60F0FA5}"/>
    <cellStyle name="Comma 9 2 7 2" xfId="22892" xr:uid="{8502A6A9-AD97-4B43-A2E0-D5891EADAC35}"/>
    <cellStyle name="Comma 9 2 8" xfId="20781" xr:uid="{2F12C0DF-6B1E-4CDA-BC8A-17521991BB11}"/>
    <cellStyle name="Comma 9 3" xfId="2663" xr:uid="{3539C7D8-AEA0-4563-9B1B-43CA74F77AC5}"/>
    <cellStyle name="Comma 9 3 2" xfId="19817" xr:uid="{6B9B3E35-54CB-46FB-866E-79A1C87C42B1}"/>
    <cellStyle name="Comma 9 3 2 2" xfId="21473" xr:uid="{26B983EE-9E6B-43F2-9E3E-726BB3F5A7EA}"/>
    <cellStyle name="Comma 9 3 3" xfId="20468" xr:uid="{36DF6812-DB96-4289-BA85-64B1FAB565D3}"/>
    <cellStyle name="Comma 9 3 3 2" xfId="22501" xr:uid="{53096F87-706F-4045-920A-126F929F1B13}"/>
    <cellStyle name="Comma 9 3 4" xfId="20469" xr:uid="{F0B97995-4F4B-4D17-8CBA-6A6C95B60670}"/>
    <cellStyle name="Comma 9 3 4 2" xfId="22893" xr:uid="{28628231-B174-45C9-8256-14F6E7F3B71F}"/>
    <cellStyle name="Comma 9 3 5" xfId="20890" xr:uid="{CDE5CF8F-A00C-4031-86DE-712FC014A098}"/>
    <cellStyle name="Comma 9 4" xfId="19680" xr:uid="{EAEED238-12B7-4CDB-9D56-D58B2EEBF0D6}"/>
    <cellStyle name="Comma 9 4 2" xfId="20470" xr:uid="{4C734847-5FB4-429B-BB54-E078791BA558}"/>
    <cellStyle name="Comma 9 4 2 2" xfId="21474" xr:uid="{D2904598-43DB-41CE-8423-7508FB023958}"/>
    <cellStyle name="Comma 9 4 3" xfId="21029" xr:uid="{707BC248-2F77-4873-920D-01BA0C183434}"/>
    <cellStyle name="Comma 9 5" xfId="19815" xr:uid="{70931F25-C2DB-44E1-A282-D7981290F707}"/>
    <cellStyle name="Comma 9 5 2" xfId="21143" xr:uid="{1C5EAC1D-22F3-4975-8FBC-F54BB498D82B}"/>
    <cellStyle name="Comma 9 6" xfId="20471" xr:uid="{42F2030A-E127-4D9A-AE24-C6E19224AAF3}"/>
    <cellStyle name="Comma 9 6 2" xfId="21471" xr:uid="{669C4EA9-00E6-4F2C-BBD1-75E98F4C969F}"/>
    <cellStyle name="Comma 9 7" xfId="20472" xr:uid="{1EFBA71E-1F18-4825-ACCA-32F90C74C25D}"/>
    <cellStyle name="Comma 9 7 2" xfId="22222" xr:uid="{BC4F9CB5-2C05-4CF3-98B5-25FD0963C9AD}"/>
    <cellStyle name="Comma 9 8" xfId="20473" xr:uid="{C89A4AD3-BA43-4F26-BC5E-05D3613C4354}"/>
    <cellStyle name="Comma 9 8 2" xfId="22894" xr:uid="{12EFC6A6-8652-42B3-9851-3495A8FC6682}"/>
    <cellStyle name="Comma 9 9" xfId="20780" xr:uid="{F28DF8A9-9CCB-4A07-B1FF-EF44D443BC01}"/>
    <cellStyle name="Commentaire" xfId="182" xr:uid="{710E60FB-E47B-402F-875F-CBDFC8D7DA12}"/>
    <cellStyle name="Commentaire 2" xfId="3039" xr:uid="{45881050-3DDA-4A49-BB67-C627B2B3B926}"/>
    <cellStyle name="Commentaire 2 2" xfId="20554" xr:uid="{93D4B335-7C8A-4637-8B6C-D377EE1B6319}"/>
    <cellStyle name="Commentaire 3" xfId="20544" xr:uid="{56BBE831-DFB7-479F-9BE3-42ACB9CCBD0A}"/>
    <cellStyle name="CustomizationCells" xfId="183" xr:uid="{220B4160-69C0-44CF-92DF-3E1C4BE9F1D1}"/>
    <cellStyle name="Eingabe" xfId="184" xr:uid="{C1321DB3-B307-452E-AD9D-33FDBB4E9EAD}"/>
    <cellStyle name="Entrée" xfId="185" xr:uid="{FD4AC8A1-B841-480A-AA50-D3545B15E93A}"/>
    <cellStyle name="Ergebnis" xfId="186" xr:uid="{1684752B-B368-4F82-9066-2632D60E97D9}"/>
    <cellStyle name="Erklärender Text" xfId="187" xr:uid="{7101C09C-CFEE-4B6D-8468-2068B919E6B4}"/>
    <cellStyle name="Euro" xfId="188" xr:uid="{A3B4A60F-105D-4985-8E5B-5C39F6E6234D}"/>
    <cellStyle name="Euro 10" xfId="189" xr:uid="{2044E7FA-709B-48AD-8869-37DCFA93C611}"/>
    <cellStyle name="Euro 10 2" xfId="190" xr:uid="{CC269CF0-851D-443C-9A30-4B7604AA5B98}"/>
    <cellStyle name="Euro 10 2 2" xfId="3041" xr:uid="{C6C0C5D6-429B-4534-BF22-6E1BA2F28EAD}"/>
    <cellStyle name="Euro 10 3" xfId="3040" xr:uid="{6B43E141-FAC9-425B-8BDC-6B1B30739BE2}"/>
    <cellStyle name="Euro 11" xfId="191" xr:uid="{633292F6-14CF-4D81-9884-7AE650A7359F}"/>
    <cellStyle name="Euro 11 2" xfId="5792" xr:uid="{FDC0190B-F7A2-45B6-B22F-7DB99D3DB303}"/>
    <cellStyle name="Euro 11 3" xfId="5793" xr:uid="{DAF1CD53-037F-43A6-90F1-D1E1570561DB}"/>
    <cellStyle name="Euro 11 4" xfId="5794" xr:uid="{32375029-4FA9-4E5A-8532-A4C35B0AD992}"/>
    <cellStyle name="Euro 11 5" xfId="5795" xr:uid="{353616A9-E550-4084-9634-E73C0D4477CB}"/>
    <cellStyle name="Euro 11 6" xfId="5796" xr:uid="{B129D5DD-C5C9-4457-82F2-6D7785C738E4}"/>
    <cellStyle name="Euro 11 6 2" xfId="22895" xr:uid="{C390CF34-AAAB-493E-BB08-BD35EAC6E809}"/>
    <cellStyle name="Euro 12" xfId="5797" xr:uid="{1FA942F9-14C5-4E03-AD3D-CD27827761AC}"/>
    <cellStyle name="Euro 12 2" xfId="5798" xr:uid="{BBB0D1DE-B82D-49D7-A958-ABC7BABCC8F9}"/>
    <cellStyle name="Euro 12 3" xfId="5799" xr:uid="{48B19722-18E3-4514-B991-36C092996F2A}"/>
    <cellStyle name="Euro 13" xfId="5800" xr:uid="{F701E58E-0D25-47F7-8E14-E864F52073D5}"/>
    <cellStyle name="Euro 13 2" xfId="5801" xr:uid="{28D67536-B0A7-438A-A8FF-513245767F01}"/>
    <cellStyle name="Euro 14" xfId="5802" xr:uid="{565B9586-CF77-43FB-B87F-50F873E8ED37}"/>
    <cellStyle name="Euro 14 2" xfId="5803" xr:uid="{414ABBFE-607B-4A36-BAB5-CBD259C9C10F}"/>
    <cellStyle name="Euro 2 2" xfId="192" xr:uid="{95013E7A-DF4C-4BEB-85FC-FFB3F314D338}"/>
    <cellStyle name="Euro 2 2 2" xfId="193" xr:uid="{F392B459-406E-4A16-8D43-686865ABFE5E}"/>
    <cellStyle name="Euro 2 2 2 2" xfId="3042" xr:uid="{1BEF85D3-2D2D-4668-988F-24BB48F8D9D3}"/>
    <cellStyle name="Euro 2 2 3" xfId="2841" xr:uid="{E7BAA0B5-C853-45A0-8B78-035ADE8E5883}"/>
    <cellStyle name="Euro 2 3" xfId="194" xr:uid="{F27856EB-95AA-4C5A-BC73-B243FB1BB732}"/>
    <cellStyle name="Euro 2 3 2" xfId="195" xr:uid="{CC3A9109-5323-426C-BBDF-C84A4960474F}"/>
    <cellStyle name="Euro 2 3 2 2" xfId="3044" xr:uid="{6DF74DC7-77D2-44E3-BF18-751FBA583310}"/>
    <cellStyle name="Euro 2 3 3 2" xfId="196" xr:uid="{220C2E2C-E29B-4C51-85EE-7E236182534E}"/>
    <cellStyle name="Euro 2 3 3 2 2" xfId="3046" xr:uid="{822F843E-A9CE-4C85-AE8E-FC3292229BAB}"/>
    <cellStyle name="Euro 2 3 3 3" xfId="3047" xr:uid="{43EEF8C7-0545-4A62-9075-FB1E167493B9}"/>
    <cellStyle name="Euro 2 3 3 4" xfId="3048" xr:uid="{5816BE98-B227-47FF-97B3-285003001627}"/>
    <cellStyle name="Euro 2 3 3 5" xfId="3045" xr:uid="{6233C238-691B-4266-967C-7811E12180D5}"/>
    <cellStyle name="Euro 2 3 4" xfId="197" xr:uid="{834D4E0F-032E-49DF-B506-3F7D466E37A5}"/>
    <cellStyle name="Euro 2 3 4 2" xfId="198" xr:uid="{75732857-9879-4813-9E3C-64B7C2CD8187}"/>
    <cellStyle name="Euro 2 3 4 2 2" xfId="3050" xr:uid="{E5340631-BF68-4620-9496-6FFBFD4B0722}"/>
    <cellStyle name="Euro 2 3 4 3" xfId="3049" xr:uid="{1B9259EC-4917-4AAC-BB62-EBE8190F602A}"/>
    <cellStyle name="Euro 2 3 5" xfId="3051" xr:uid="{5FFB5ED9-C4C8-48A9-8398-C7DB13276ED5}"/>
    <cellStyle name="Euro 2 3 6" xfId="3043" xr:uid="{867457E6-2E08-40B8-BF13-A36EBDFA7AF1}"/>
    <cellStyle name="Euro 2 4" xfId="199" xr:uid="{33BAB5DA-EDCB-43CD-BD53-FA586C9479D5}"/>
    <cellStyle name="Euro 2 4 2" xfId="3053" xr:uid="{F4B98A00-A4D3-477E-B121-5FB5448B553B}"/>
    <cellStyle name="Euro 2 4 3" xfId="3054" xr:uid="{1D54329D-E8DF-46BD-A080-05DF4368A805}"/>
    <cellStyle name="Euro 2 4 4" xfId="3052" xr:uid="{CDEA0737-1042-49BE-8099-CACDE8C32F6D}"/>
    <cellStyle name="Euro 2 5" xfId="3055" xr:uid="{9E75FF6D-F386-48DB-B245-1EAD3A271C06}"/>
    <cellStyle name="Euro 2 5 2" xfId="5804" xr:uid="{FCCAE33F-B8B0-494B-8713-EC47BAF69651}"/>
    <cellStyle name="Euro 2 6" xfId="2840" xr:uid="{255BFAC1-B6BA-48F4-856F-05CFF3FA225C}"/>
    <cellStyle name="Euro 3" xfId="200" xr:uid="{D8B2D84A-59DC-48BF-9BE3-1856CA179C3F}"/>
    <cellStyle name="Euro 3 2" xfId="201" xr:uid="{38359850-EDE9-4319-8DB4-32183C64FE41}"/>
    <cellStyle name="Euro 3 2 2" xfId="202" xr:uid="{58D6C0E6-A325-48E2-8DA0-58AFE61376A1}"/>
    <cellStyle name="Euro 3 2 2 2" xfId="3056" xr:uid="{A63AD04B-F36C-40F7-A0E4-CF7C570DAD85}"/>
    <cellStyle name="Euro 3 2 3" xfId="2843" xr:uid="{DCB8EDF8-A919-49B9-95E8-32B59C36EA08}"/>
    <cellStyle name="Euro 3 3" xfId="203" xr:uid="{E2410CB9-1900-426D-87F5-2DC6E954D258}"/>
    <cellStyle name="Euro 3 3 2" xfId="204" xr:uid="{E1FEDD36-DC08-4787-9110-8692F2FEA35C}"/>
    <cellStyle name="Euro 3 3 2 2" xfId="3058" xr:uid="{1075D3E8-71B4-4F35-8457-46F1306F7842}"/>
    <cellStyle name="Euro 3 3 3" xfId="205" xr:uid="{2A77EC3A-4DEF-4101-B13D-EFFE02E85CC3}"/>
    <cellStyle name="Euro 3 3 3 2" xfId="206" xr:uid="{39CD0F0C-51A6-4BAD-9E3D-49F0D6BB60F1}"/>
    <cellStyle name="Euro 3 3 3 2 2" xfId="3060" xr:uid="{208B485B-FA5E-4D0F-94AC-0C5DC724571B}"/>
    <cellStyle name="Euro 3 3 3 3" xfId="3061" xr:uid="{FDC092FB-56CE-43C7-AD0A-638D4975F3A6}"/>
    <cellStyle name="Euro 3 3 3 4" xfId="3062" xr:uid="{7352DC5B-6A3C-467D-BED2-69981FFD9190}"/>
    <cellStyle name="Euro 3 3 3 5" xfId="3059" xr:uid="{4BE54E41-F0A4-4D29-9D55-EE08B0F320B8}"/>
    <cellStyle name="Euro 3 3 4" xfId="207" xr:uid="{C89018A8-8039-4795-979B-2FC5C7BC610F}"/>
    <cellStyle name="Euro 3 3 4 2" xfId="208" xr:uid="{DADBB227-6374-445E-9F93-EF46A769ECD9}"/>
    <cellStyle name="Euro 3 3 4 2 2" xfId="3064" xr:uid="{63AD0727-69FA-41EF-8CBB-F4BCDFC7FC76}"/>
    <cellStyle name="Euro 3 3 4 3" xfId="3063" xr:uid="{A89B2DCF-8A2E-4AD2-9522-852B4EEB0850}"/>
    <cellStyle name="Euro 3 3 5" xfId="3065" xr:uid="{66108139-4763-4CE8-B2E7-2C71C3F1ABDC}"/>
    <cellStyle name="Euro 3 3 6" xfId="3057" xr:uid="{1FCC26BF-78D1-41D2-8E11-AEE3055A9131}"/>
    <cellStyle name="Euro 3 4" xfId="2842" xr:uid="{BD5DE4A1-8687-40A3-8466-567B8384570D}"/>
    <cellStyle name="Euro 3 4 2" xfId="5805" xr:uid="{4756A190-44D2-4481-895D-6780695E6A5C}"/>
    <cellStyle name="Euro 4" xfId="209" xr:uid="{6B9395B5-4248-4F5A-97AE-BCFDD4E9BBD9}"/>
    <cellStyle name="Euro 4 2" xfId="210" xr:uid="{9CE533C7-0CA4-4464-A2F7-960383FBDD33}"/>
    <cellStyle name="Euro 4 2 2" xfId="211" xr:uid="{405FBF64-95B6-4750-9B06-A9D05144D70B}"/>
    <cellStyle name="Euro 4 2 2 2" xfId="3068" xr:uid="{177EFA1A-E9A4-41CC-9DAA-F9D3CF8EF933}"/>
    <cellStyle name="Euro 4 2 3" xfId="212" xr:uid="{5A49ACE1-75E2-41CF-93C4-79B3FCE0FA92}"/>
    <cellStyle name="Euro 4 2 3 2" xfId="213" xr:uid="{07C3DBA7-A289-40D5-86C9-52D90493C43B}"/>
    <cellStyle name="Euro 4 2 3 2 2" xfId="3070" xr:uid="{81F48F08-EF00-43F1-ACD1-EDCBDC2B8726}"/>
    <cellStyle name="Euro 4 2 3 3" xfId="3071" xr:uid="{2820CD7B-FB1D-41F7-BD19-D561794663FE}"/>
    <cellStyle name="Euro 4 2 3 4" xfId="3072" xr:uid="{505853F8-3E0F-4278-8D32-6791D63EB55F}"/>
    <cellStyle name="Euro 4 2 3 5" xfId="3069" xr:uid="{FA526921-51C6-42F2-B4D8-103D052B3E74}"/>
    <cellStyle name="Euro 4 2 4" xfId="214" xr:uid="{62F74B8C-9AAE-4C05-935B-575C554960B5}"/>
    <cellStyle name="Euro 4 2 4 2" xfId="215" xr:uid="{3D2B5D1A-DAFA-482B-B20B-08D8ECE04A11}"/>
    <cellStyle name="Euro 4 2 4 2 2" xfId="3074" xr:uid="{5D151B9F-67E4-46FE-90D9-64C56135EAA5}"/>
    <cellStyle name="Euro 4 2 4 3" xfId="3073" xr:uid="{3F18D4E9-4C92-46E1-A2C9-1CDFB2193EA1}"/>
    <cellStyle name="Euro 4 2 5" xfId="3075" xr:uid="{E8B5A50E-C63D-478E-A265-352AE48CBDDF}"/>
    <cellStyle name="Euro 4 2 6" xfId="3067" xr:uid="{7D205D6B-BE68-4789-B158-949B271C59A0}"/>
    <cellStyle name="Euro 4 3" xfId="216" xr:uid="{36CC8A83-163E-49A6-9F45-27A61F490451}"/>
    <cellStyle name="Euro 4 3 2" xfId="3076" xr:uid="{FDA95B05-4B12-49AB-B87F-E289ACA82788}"/>
    <cellStyle name="Euro 4 4" xfId="3077" xr:uid="{ECB799FC-4EB4-49A5-93E0-53916852C098}"/>
    <cellStyle name="Euro 4 4 2" xfId="3078" xr:uid="{C4B4C25E-9755-474C-B0ED-C0511818AD8D}"/>
    <cellStyle name="Euro 4 5" xfId="3066" xr:uid="{C814EB8E-0203-4559-BF76-11B37A7A5E69}"/>
    <cellStyle name="Euro 4 6" xfId="2844" xr:uid="{CD337984-AAA7-4BBA-9D55-85BE8E1B8941}"/>
    <cellStyle name="Euro 5" xfId="217" xr:uid="{E767AFC8-757F-4200-BD06-FB2620A5E394}"/>
    <cellStyle name="Euro 5 2" xfId="218" xr:uid="{33371004-93A1-4C9E-9202-9EE6B461273B}"/>
    <cellStyle name="Euro 5 2 2" xfId="3080" xr:uid="{36DB2695-6BB9-41AA-932F-66A25F9B0398}"/>
    <cellStyle name="Euro 5 3" xfId="219" xr:uid="{4DF7F515-4B27-4988-9726-682E84FCC261}"/>
    <cellStyle name="Euro 5 3 2" xfId="220" xr:uid="{582F58B8-A890-46AA-8339-30537033C536}"/>
    <cellStyle name="Euro 5 3 2 2" xfId="3082" xr:uid="{78E0C9C3-F96E-4E01-8E8E-F3CC83264162}"/>
    <cellStyle name="Euro 5 3 3" xfId="3083" xr:uid="{4D91CC36-A1BB-4CDC-BFE7-687461F7FD0A}"/>
    <cellStyle name="Euro 5 3 4" xfId="3084" xr:uid="{9FDFCE13-AFFA-425A-AF73-818846EFDBC4}"/>
    <cellStyle name="Euro 5 3 5" xfId="3081" xr:uid="{E1155048-FB5C-4F37-AD6D-FB3920495111}"/>
    <cellStyle name="Euro 5 4" xfId="221" xr:uid="{704B4BE8-768F-4B5A-8681-71C0FBD8D97E}"/>
    <cellStyle name="Euro 5 4 2" xfId="222" xr:uid="{B089364B-D6A8-4331-928E-03851EBA0E45}"/>
    <cellStyle name="Euro 5 4 2 2" xfId="3086" xr:uid="{4C5FE07C-5307-43F7-9FAB-DA3A2B459F40}"/>
    <cellStyle name="Euro 5 4 3" xfId="3085" xr:uid="{83FA0CE4-C836-40B8-9C93-3C72E3B939F2}"/>
    <cellStyle name="Euro 5 5" xfId="3087" xr:uid="{94C5B067-E832-4CE5-94DE-BA0510A73873}"/>
    <cellStyle name="Euro 5 6" xfId="3079" xr:uid="{D229B297-FB26-48C6-B071-F8361279EF58}"/>
    <cellStyle name="Euro 6" xfId="223" xr:uid="{852445AF-DF0C-454E-8462-B39AD65D78EE}"/>
    <cellStyle name="Euro 6 2" xfId="224" xr:uid="{542D7CFC-D0AF-4FF7-8417-1BA2292489E4}"/>
    <cellStyle name="Euro 6 2 2" xfId="3089" xr:uid="{30049B46-E7F2-43CC-9691-CF80D18AAF6D}"/>
    <cellStyle name="Euro 6 3" xfId="3090" xr:uid="{5792F60F-257E-4EFC-BCA3-855D4DB0E728}"/>
    <cellStyle name="Euro 6 4" xfId="3091" xr:uid="{C3E91448-F104-403C-8414-1D53EB883B91}"/>
    <cellStyle name="Euro 6 5" xfId="3088" xr:uid="{7E6CBDC7-C48D-4B40-AA7A-E64680961CAF}"/>
    <cellStyle name="Euro 7" xfId="225" xr:uid="{B2BB1012-77D0-4066-B50D-5A1843100485}"/>
    <cellStyle name="Euro 7 2" xfId="226" xr:uid="{430643DB-65A7-45C7-A78F-5AE78D3604BD}"/>
    <cellStyle name="Euro 7 2 2" xfId="3093" xr:uid="{8A594A2B-11E5-4542-AFEA-745E15815DA9}"/>
    <cellStyle name="Euro 7 3" xfId="3094" xr:uid="{8DFF38EA-CC3A-4032-91C5-62CDB013392D}"/>
    <cellStyle name="Euro 7 4" xfId="3095" xr:uid="{847A0E6A-AB78-41C5-9758-4308073A1259}"/>
    <cellStyle name="Euro 7 5" xfId="3092" xr:uid="{DA897655-D43A-4329-A11C-7DB7F9A690BE}"/>
    <cellStyle name="Euro 8" xfId="227" xr:uid="{257650DB-89EB-401C-A5BD-18138A2993D3}"/>
    <cellStyle name="Euro 8 2" xfId="228" xr:uid="{32148715-BE06-4213-B190-BB2C7F3E97A4}"/>
    <cellStyle name="Euro 8 2 2" xfId="3096" xr:uid="{79D3A4EF-69B1-45C9-8A37-BAB0B4D32A85}"/>
    <cellStyle name="Euro 8 3" xfId="2665" xr:uid="{BF335206-6AC0-4E90-9477-4F406C6DF0D7}"/>
    <cellStyle name="Euro 9" xfId="229" xr:uid="{04D61481-99B9-4424-9113-0BE320A46ADE}"/>
    <cellStyle name="Euro 9 2" xfId="230" xr:uid="{F551C345-0373-4692-A095-5DD09FB9C7E1}"/>
    <cellStyle name="Euro 9 2 2" xfId="3097" xr:uid="{F7FCBCFE-CA07-43EF-8BAA-66FDBE74FE2B}"/>
    <cellStyle name="Euro 9 3" xfId="2666" xr:uid="{422AFF1D-CAEA-4646-AA2D-2BCD24935692}"/>
    <cellStyle name="Explanatory Text 2" xfId="232" xr:uid="{8AE7D048-F214-4C28-9665-5A61E4C4F0AA}"/>
    <cellStyle name="Explanatory Text 3" xfId="231" xr:uid="{9956EE02-3CBF-463F-B9CD-01D17C30C554}"/>
    <cellStyle name="Float" xfId="233" xr:uid="{75A0C6CB-43CD-4080-BB28-476DF259C1BD}"/>
    <cellStyle name="Float 10" xfId="234" xr:uid="{DDB579DE-8CDD-402C-971A-2750E872EDED}"/>
    <cellStyle name="Float 10 2" xfId="235" xr:uid="{D4729CD7-CE42-4AA7-A988-366810BB127C}"/>
    <cellStyle name="Float 10 2 2" xfId="3098" xr:uid="{0B93168B-B13A-4CBF-8EBE-5BDE7998FF8B}"/>
    <cellStyle name="Float 10 3" xfId="2667" xr:uid="{1A9523E5-45F6-4BD1-963C-8F6AD86A3E62}"/>
    <cellStyle name="Float 11" xfId="236" xr:uid="{1D72ABC0-85D6-472B-8334-2D1F15B2F7C9}"/>
    <cellStyle name="Float 11 2 2" xfId="3099" xr:uid="{3DB86FFF-4762-449E-B495-ACD2E38F14A5}"/>
    <cellStyle name="Float 12" xfId="237" xr:uid="{F9032C90-BB41-4203-A468-A88DA64C692B}"/>
    <cellStyle name="Float 12 3" xfId="5806" xr:uid="{73B6F650-9D7F-45EA-888A-8C6CA7C37A8B}"/>
    <cellStyle name="Float 12 5" xfId="5807" xr:uid="{97CFB717-DA30-4198-AE31-5B82745164C2}"/>
    <cellStyle name="Float 12 6 2" xfId="22896" xr:uid="{550BC15F-ADBC-413A-A9D7-441730E16B26}"/>
    <cellStyle name="Float 13 2" xfId="5808" xr:uid="{BD2A4107-F525-4EF9-828D-0E9155CF7D72}"/>
    <cellStyle name="Float 14" xfId="5809" xr:uid="{A0D74662-9965-41CB-AE56-0E7E2DC3FD87}"/>
    <cellStyle name="Float 15" xfId="5810" xr:uid="{60BBCE45-B33B-4873-A2F7-1C00828A69F6}"/>
    <cellStyle name="Float 2" xfId="238" xr:uid="{3ABEE247-F703-425E-BB31-9D77F3DC4BE1}"/>
    <cellStyle name="Float 3" xfId="239" xr:uid="{2C9C1AE6-AA9F-4D60-9ECA-FA3C1F962C2E}"/>
    <cellStyle name="Float 3 2 2 2" xfId="3100" xr:uid="{545713CB-5DD3-4FCE-95DB-84E820409165}"/>
    <cellStyle name="Float 3 3 2 2" xfId="3102" xr:uid="{DB6F8962-8F44-4CEB-9518-7F0A280C5D3C}"/>
    <cellStyle name="Float 3 3 3 3" xfId="3103" xr:uid="{88C9FF3B-D0E4-453E-AF3C-E623D786832C}"/>
    <cellStyle name="Float 3 3 4 2" xfId="240" xr:uid="{46E8D0C8-CABE-420F-B37F-F97ABB15304D}"/>
    <cellStyle name="Float 3 3 6" xfId="3101" xr:uid="{567A5EBF-8A65-43DA-9A61-8C6CDCDA4DBA}"/>
    <cellStyle name="Float 3 4 4" xfId="3104" xr:uid="{71771D5D-925C-40F0-9598-10E47EAE09C9}"/>
    <cellStyle name="Float 4" xfId="241" xr:uid="{C9BE9048-2DBA-44AD-B664-EE32B833A85E}"/>
    <cellStyle name="Float 4 2 3" xfId="242" xr:uid="{8355FAA1-FEA0-4BB9-950D-CBEF915D6E21}"/>
    <cellStyle name="Float 4 2 3 4" xfId="3106" xr:uid="{AC7071D1-D921-432E-AF87-9D386A6C02BE}"/>
    <cellStyle name="Float 4 2 4 2 2" xfId="3107" xr:uid="{A4D60AD4-3983-4659-B6C7-83E0FD34B92F}"/>
    <cellStyle name="Float 4 3" xfId="243" xr:uid="{E78428B2-100C-4236-838F-657410E49211}"/>
    <cellStyle name="Float 4 5" xfId="3105" xr:uid="{98588588-510D-456B-B029-68DDE7F26D32}"/>
    <cellStyle name="Float 5 2 2" xfId="244" xr:uid="{4A401954-456C-475D-8B04-4B1CB7A4C27C}"/>
    <cellStyle name="Float 5 2 3 2 2" xfId="3108" xr:uid="{63E8A87B-68FD-4C20-8D82-B82E6FE49580}"/>
    <cellStyle name="Float 5 2 4" xfId="245" xr:uid="{B17AFB91-E787-4EB7-B804-8FE991D2F11C}"/>
    <cellStyle name="Float 5 2 5" xfId="3109" xr:uid="{4CEA248A-74F1-403A-96A4-6C7200261A06}"/>
    <cellStyle name="Float 5 4" xfId="3110" xr:uid="{FCE81BBF-2DA4-47B4-9AA1-233A2B4498EB}"/>
    <cellStyle name="Float 6" xfId="246" xr:uid="{47BC7F04-6588-4BDD-BC7C-EA323942CFBA}"/>
    <cellStyle name="Float 6 3 2" xfId="247" xr:uid="{D5D2F416-3213-44A0-900C-4E97531ACC7B}"/>
    <cellStyle name="Float 6 3 5" xfId="3111" xr:uid="{19F02E66-E27A-4D3C-B5D1-2ED2BA292BD8}"/>
    <cellStyle name="Float 6 4 3" xfId="3112" xr:uid="{B6B861E2-0B10-45A9-95DB-6ACD643459C8}"/>
    <cellStyle name="Float 7 2" xfId="248" xr:uid="{F44CEDE0-030B-4F43-AF1E-CF1742CDC32B}"/>
    <cellStyle name="Float 7 5" xfId="3113" xr:uid="{F9E48E93-83A7-4D55-A592-C858495899E9}"/>
    <cellStyle name="Float 8 3" xfId="3114" xr:uid="{E37113F0-B4E6-4C44-BBFF-F7A8A028A4B9}"/>
    <cellStyle name="Float 9 2" xfId="249" xr:uid="{27ADF0B0-77E1-47E7-B705-73C4983CA90A}"/>
    <cellStyle name="Heading 1 4 2" xfId="5811" xr:uid="{BA0469A9-C9D3-4E2B-887D-45FA78CB6C66}"/>
    <cellStyle name="Heading 1 4 5" xfId="5812" xr:uid="{CBDB2368-CC23-456D-897F-8CE43DBF81F9}"/>
    <cellStyle name="Heading 2 4 2" xfId="5813" xr:uid="{537F3501-3127-4F31-8E01-3E1E810FE590}"/>
    <cellStyle name="Heading 2 4 6" xfId="5814" xr:uid="{170CC2CB-25EB-4380-A0BF-6113E7352342}"/>
    <cellStyle name="Heading 3 4 3" xfId="5815" xr:uid="{25113491-572D-4E40-B2CD-9530AC3207B6}"/>
    <cellStyle name="Heading 3 4 7" xfId="5816" xr:uid="{0C3C50EB-887C-49E0-A79E-42E45DE54018}"/>
    <cellStyle name="Heading 4 4 2" xfId="5817" xr:uid="{9DE21B38-6A6C-4F75-99C4-1463D3AA63D8}"/>
    <cellStyle name="Heading 4 4 6" xfId="5818" xr:uid="{701BD772-D05D-48C4-A45A-2673082CD6CB}"/>
    <cellStyle name="Hyperlink 3" xfId="3115" xr:uid="{2DF47722-6EAD-4E5B-8F87-4008A6B08487}"/>
    <cellStyle name="Input 2" xfId="250" xr:uid="{59828193-DEE1-43A4-BE26-2ABD1F9D742D}"/>
    <cellStyle name="Input 3 2 3" xfId="3116" xr:uid="{8665FDC5-D631-42F2-BDB5-0DC9A6D44395}"/>
    <cellStyle name="Input 3 3 2" xfId="5819" xr:uid="{483703F4-C089-4F3C-8079-655EB18D0D56}"/>
    <cellStyle name="Input 6" xfId="5820" xr:uid="{A4217870-B79E-4341-A1EA-72E3C43C2511}"/>
    <cellStyle name="Insatisfaisant" xfId="251" xr:uid="{5264E3EB-79EE-41F9-937A-9D1AC92ED2FF}"/>
    <cellStyle name="Komma 5 2 2 2" xfId="21475" xr:uid="{BCA9E640-C724-4EC9-A1B0-98E9156BF4C8}"/>
    <cellStyle name="Komma 5 2 4 2" xfId="22897" xr:uid="{67C7D15C-C988-46E1-8165-410646F0EEAE}"/>
    <cellStyle name="Komma 5 4" xfId="20474" xr:uid="{E8C36892-333F-4554-9920-02C5E0E68952}"/>
    <cellStyle name="Komma 5 6" xfId="20475" xr:uid="{49ADCA85-DDA7-477D-B2A5-7200BB639759}"/>
    <cellStyle name="Komma 5 8" xfId="20476" xr:uid="{2B4E19D1-3CB2-4BDC-8C62-8FB5397BF547}"/>
    <cellStyle name="Neutre" xfId="252" xr:uid="{31D176A5-6E7E-4442-A236-E19E2D1AE62C}"/>
    <cellStyle name="Normal" xfId="0" builtinId="0"/>
    <cellStyle name="Normal 11 10" xfId="5584" xr:uid="{AF8558A4-1C0F-438F-8DE6-BC5D01C1F9B1}"/>
    <cellStyle name="Normal 11 11" xfId="5821" xr:uid="{9A73DE06-964A-4CC1-A859-3D8FB83F29AF}"/>
    <cellStyle name="Normal 11 2" xfId="253" xr:uid="{ED79D9E4-7DC7-4B25-B441-583F3650D8A2}"/>
    <cellStyle name="Normal 11 2 3 10" xfId="20556" xr:uid="{CAE20F0F-9CB3-413E-9E77-1F3AB2CB2903}"/>
    <cellStyle name="Normal 11 2 3 2 3" xfId="5822" xr:uid="{575C28FD-A83F-490F-887D-88058BBD7C1E}"/>
    <cellStyle name="Normal 11 2 3 3 2" xfId="21031" xr:uid="{D1579375-65D9-46ED-ADBE-22F67E17ACE9}"/>
    <cellStyle name="Normal 11 2 3 5 2" xfId="21477" xr:uid="{6991006E-A717-41EC-9F74-7AC6BF7E72BC}"/>
    <cellStyle name="Normal 11 2 3 7 2" xfId="22898" xr:uid="{E817E5F7-1CF7-4BB2-A7D1-432F6F55DB8E}"/>
    <cellStyle name="Normal 11 2 3 9 2" xfId="33690" xr:uid="{D72F1C7F-675B-4134-8A1D-D05D1DBD38AB}"/>
    <cellStyle name="Normal 11 3 2 10" xfId="20558" xr:uid="{60AE52D3-E10B-4A9E-892F-D7858304ED8D}"/>
    <cellStyle name="Normal 11 3 2 2 3" xfId="5823" xr:uid="{574AE658-33AC-4D44-BF84-E0FAA76CEA29}"/>
    <cellStyle name="Normal 11 3 2 2 4" xfId="20892" xr:uid="{CE8702F9-5556-47E8-B286-A95732191EDD}"/>
    <cellStyle name="Normal 11 3 2 3 2" xfId="21032" xr:uid="{D780681C-0288-4BF3-A85F-D1901D670256}"/>
    <cellStyle name="Normal 11 3 2 4" xfId="5824" xr:uid="{9DFF3E90-66CD-4B78-9F60-9EF112572E93}"/>
    <cellStyle name="Normal 11 3 2 4 2" xfId="21146" xr:uid="{FD0240FC-CC04-4C9C-86F6-A1FA6FC0CB86}"/>
    <cellStyle name="Normal 11 3 2 5" xfId="5825" xr:uid="{6939F799-3A7C-4CB9-8CFB-F006B3F27CBC}"/>
    <cellStyle name="Normal 11 3 2 5 2" xfId="21479" xr:uid="{5C846FC8-D5F1-4E3A-B129-A2347D781239}"/>
    <cellStyle name="Normal 11 3 2 6" xfId="5826" xr:uid="{D1EDA5A2-0F40-440F-84CF-DF43B4FE3CDE}"/>
    <cellStyle name="Normal 11 3 2 6 2" xfId="22224" xr:uid="{C64E9D7E-AA41-414D-9D64-17955DFD20B3}"/>
    <cellStyle name="Normal 11 3 2 7" xfId="5827" xr:uid="{E046AAFC-FB33-456E-90C9-DEAAAF51606C}"/>
    <cellStyle name="Normal 11 3 2 7 2" xfId="22899" xr:uid="{3430B223-70D1-4CDC-8D4C-51EB082E0220}"/>
    <cellStyle name="Normal 11 3 2 8" xfId="5828" xr:uid="{1AF8EFBC-B582-4DCC-B788-68F4E520F05C}"/>
    <cellStyle name="Normal 11 3 2 8 2" xfId="22900" xr:uid="{88178754-CCC4-46D3-914B-32DB73CEDE8A}"/>
    <cellStyle name="Normal 11 3 2 9" xfId="18034" xr:uid="{498036C9-9147-4F42-A7CC-920828A801E1}"/>
    <cellStyle name="Normal 11 3 2 9 2" xfId="33691" xr:uid="{82EC2418-3D49-4358-BB42-C3DD078DB030}"/>
    <cellStyle name="Normal 11 3 3" xfId="254" xr:uid="{37BA7A6A-2E0B-4754-BB2F-BEE4B9841EBD}"/>
    <cellStyle name="Normal 11 3 3 2" xfId="3119" xr:uid="{49A67208-F36E-4385-A85C-AAD12B7D1A2A}"/>
    <cellStyle name="Normal 11 3 4" xfId="3120" xr:uid="{E12342AA-0FA0-4AD3-BF04-6378C489F597}"/>
    <cellStyle name="Normal 11 3 5" xfId="3118" xr:uid="{8DC4AE6B-4852-4CC7-93B0-80AC3DE54C9D}"/>
    <cellStyle name="Normal 11 3 5 2" xfId="21478" xr:uid="{123DB71F-CB93-47FC-A0C9-C24E55DF22ED}"/>
    <cellStyle name="Normal 11 3 6" xfId="18033" xr:uid="{C237757C-C259-4009-B3E1-62AD7055001D}"/>
    <cellStyle name="Normal 11 3 6 2" xfId="33692" xr:uid="{433BCEDD-7C12-4BED-B7D0-C781583F95C2}"/>
    <cellStyle name="Normal 11 3 7" xfId="20557" xr:uid="{4D0D3EA5-E6FD-4EDB-9910-9F9CCB5518B7}"/>
    <cellStyle name="Normal 11 4" xfId="255" xr:uid="{83C4AAFB-D0C3-4D70-9751-1708EF41B2B4}"/>
    <cellStyle name="Normal 11 4 2" xfId="256" xr:uid="{B75E83ED-F81C-4A89-BA88-D642B993D48C}"/>
    <cellStyle name="Normal 11 4 2 2" xfId="3122" xr:uid="{9B64A387-2EB4-4837-AF52-5E7C638C05DB}"/>
    <cellStyle name="Normal 11 4 3" xfId="3123" xr:uid="{11542BB1-01EB-4137-A8BD-C8B0A4C803EC}"/>
    <cellStyle name="Normal 11 4 4" xfId="3124" xr:uid="{AE3CA37F-42CE-4703-9EB0-408704F7C5BF}"/>
    <cellStyle name="Normal 11 4 5" xfId="3121" xr:uid="{6153B716-22BB-44D9-AA25-31D552767E27}"/>
    <cellStyle name="Normal 11 5" xfId="257" xr:uid="{05CF52BC-8E19-4C12-AC5B-0BDED23530FD}"/>
    <cellStyle name="Normal 11 5 2" xfId="258" xr:uid="{D98E24AC-3F68-4013-983F-FA943466A24E}"/>
    <cellStyle name="Normal 11 5 2 2" xfId="3126" xr:uid="{F42063C0-2C35-4262-9586-443CBCA463AD}"/>
    <cellStyle name="Normal 11 5 3" xfId="3125" xr:uid="{B6330F12-1F6F-442F-A79A-676132B3036A}"/>
    <cellStyle name="Normal 11 6" xfId="2668" xr:uid="{CE8CD19C-658F-4787-850C-D8AA6B5DE838}"/>
    <cellStyle name="Normal 11 6 2" xfId="3127" xr:uid="{846AAAEA-2A74-4423-B70A-3260E2BAC4D3}"/>
    <cellStyle name="Normal 11 6 3" xfId="5829" xr:uid="{8458ED57-AE06-4D7D-B8B6-9CBDCB51FF33}"/>
    <cellStyle name="Normal 11 6 3 2" xfId="22503" xr:uid="{917CE964-1325-4DDA-B7E0-92DB91285BD9}"/>
    <cellStyle name="Normal 11 6 4" xfId="5830" xr:uid="{6EDED877-2E73-4A29-A67D-6AEE2A2B2431}"/>
    <cellStyle name="Normal 11 6 4 2" xfId="22901" xr:uid="{E5A71640-EABC-420E-BFCE-AE7D095D437F}"/>
    <cellStyle name="Normal 11 6 5" xfId="5831" xr:uid="{1781AE6D-C9E6-4499-95E3-5DA1281DC4C1}"/>
    <cellStyle name="Normal 11 6 5 2" xfId="22902" xr:uid="{963EDF8E-B678-4317-A6A1-E4F61A6EFAD8}"/>
    <cellStyle name="Normal 11 7" xfId="3117" xr:uid="{034C6DDD-E8B6-48E8-B4AC-1E92FC4BA8AD}"/>
    <cellStyle name="Normal 11 7 2" xfId="5832" xr:uid="{39315199-C490-40CE-ACBD-1463EBF56590}"/>
    <cellStyle name="Normal 11 7 2 2" xfId="21476" xr:uid="{6C232E72-E20D-47DB-A958-1F0AC0879583}"/>
    <cellStyle name="Normal 11 7 3" xfId="20555" xr:uid="{C0F0DDE4-5CA7-463D-AEE8-44B0D944ECBD}"/>
    <cellStyle name="Normal 11 8" xfId="2845" xr:uid="{BB0ECB7D-A971-49A5-ABFA-C99CCE5C3390}"/>
    <cellStyle name="Normal 11 8 2" xfId="21145" xr:uid="{46B32F55-DCF2-43EB-A7CC-69A4D33BAEE7}"/>
    <cellStyle name="Normal 11 9" xfId="5833" xr:uid="{53606E95-ABF2-45CC-9A57-C4B0C2116313}"/>
    <cellStyle name="Normal 11 9 2" xfId="21169" xr:uid="{209FB86F-5036-41C0-BA85-37984B82C97E}"/>
    <cellStyle name="Normal 12" xfId="259" xr:uid="{660DFD75-0EFE-40F6-B624-B74AB67910E5}"/>
    <cellStyle name="Normal 12 10" xfId="20545" xr:uid="{CD5EA565-AC2D-446B-A4E2-16A8CA6C8799}"/>
    <cellStyle name="Normal 12 2" xfId="2669" xr:uid="{89103697-DBAA-4D69-B1F2-097D4AB2F893}"/>
    <cellStyle name="Normal 12 2 2" xfId="3129" xr:uid="{FE1451BA-6FF6-43C9-8C80-683D26248062}"/>
    <cellStyle name="Normal 12 2 2 2" xfId="21480" xr:uid="{163C00FC-1AD5-4216-B8F9-0A06F4C2265C}"/>
    <cellStyle name="Normal 12 2 3" xfId="5834" xr:uid="{7FDE5190-2BA0-41DD-A024-B36E54620DAD}"/>
    <cellStyle name="Normal 12 2 4 2" xfId="22903" xr:uid="{634A6DA7-7760-42AB-A7AC-DCDEC073F265}"/>
    <cellStyle name="Normal 12 2 5" xfId="19330" xr:uid="{E4D67D2D-DBE3-4FD4-8734-A99FFB653802}"/>
    <cellStyle name="Normal 12 2 5 2" xfId="33693" xr:uid="{5B974FDD-CCD1-454C-B7CC-BE0B11025721}"/>
    <cellStyle name="Normal 12 2 6" xfId="20559" xr:uid="{F99A3765-1ACE-440E-8DD5-16D41F2744E6}"/>
    <cellStyle name="Normal 12 3" xfId="3128" xr:uid="{34C19BCF-2885-4333-B208-0E0C871E34A8}"/>
    <cellStyle name="Normal 12 3 2" xfId="5835" xr:uid="{05623D78-DDC1-48F8-A348-2BCAF74E2689}"/>
    <cellStyle name="Normal 12 4" xfId="2846" xr:uid="{50461F6B-7080-43B5-8AC3-D7A964F60A58}"/>
    <cellStyle name="Normal 12 4 2" xfId="21147" xr:uid="{B43507C1-AE31-41B8-B66E-3F99923FAE82}"/>
    <cellStyle name="Normal 12 5" xfId="5836" xr:uid="{3589C49A-B61D-4CBF-A798-1762347B7117}"/>
    <cellStyle name="Normal 12 5 2" xfId="21170" xr:uid="{EBE6F0CE-D96F-4D0C-8905-11A01ECF12D2}"/>
    <cellStyle name="Normal 12 6" xfId="5837" xr:uid="{98128EAB-AA64-4705-B92A-0E2383956893}"/>
    <cellStyle name="Normal 12 6 2" xfId="22225" xr:uid="{91BF7CD1-53B8-4D4A-A687-9892B084EFD4}"/>
    <cellStyle name="Normal 12 7" xfId="5838" xr:uid="{85509E9B-4C6E-4B83-B2A4-C418137123B4}"/>
    <cellStyle name="Normal 12 7 2" xfId="22904" xr:uid="{31D88FBD-033A-4E0C-A335-A823826D628C}"/>
    <cellStyle name="Normal 12 8" xfId="5839" xr:uid="{9F913C7D-7393-4817-8408-E2BDA1DDEC76}"/>
    <cellStyle name="Normal 12 8 2" xfId="22905" xr:uid="{B1EDBF03-527D-41E3-8C6A-E933D32185CE}"/>
    <cellStyle name="Normal 12 9" xfId="18035" xr:uid="{2F32B7D7-48BD-412C-AE19-8DFF7A1374EA}"/>
    <cellStyle name="Normal 12 9 2" xfId="33694" xr:uid="{2520642B-C0A4-46AA-A4D0-E3B1BCE9D2CB}"/>
    <cellStyle name="Normal 13" xfId="260" xr:uid="{2D70876C-E33B-4C2E-BBA5-7621E8CF1F17}"/>
    <cellStyle name="Normal 13 2" xfId="3131" xr:uid="{629A31E3-A986-4076-9D26-2AEBEA4C8542}"/>
    <cellStyle name="Normal 13 3" xfId="3132" xr:uid="{0AF5D17A-4E1D-4134-9D2C-6935304B4A95}"/>
    <cellStyle name="Normal 13 4" xfId="3130" xr:uid="{80DDF965-3437-4125-88FC-7165DD2346F6}"/>
    <cellStyle name="Normal 14" xfId="261" xr:uid="{0A289B71-93DB-4C7B-9F39-018D146716AA}"/>
    <cellStyle name="Normal 14 3" xfId="5840" xr:uid="{77DCDEDE-7C81-4CEA-9615-CBB3395347C5}"/>
    <cellStyle name="Normal 15" xfId="3133" xr:uid="{CFAFB449-16B4-464F-B53B-881D129A79D5}"/>
    <cellStyle name="Normal 15 2" xfId="5841" xr:uid="{1EAB5693-6496-4BEE-B70B-EF24369DD83F}"/>
    <cellStyle name="Normal 16 2" xfId="5842" xr:uid="{56301BDC-A005-4265-8C57-BDB8F2A8643E}"/>
    <cellStyle name="Normal 17" xfId="5583" xr:uid="{095BAA3F-595E-45CD-85FD-39AFC9E7703C}"/>
    <cellStyle name="Normal 17 2" xfId="20667" xr:uid="{DCCB7D43-A5A3-49C1-B905-59268BA14794}"/>
    <cellStyle name="Normal 18" xfId="18030" xr:uid="{51638E35-F277-4CF1-9BEF-729BE0E902E8}"/>
    <cellStyle name="Normal 18 2" xfId="20668" xr:uid="{81481E61-BF8B-476D-82D6-8543FFDC3484}"/>
    <cellStyle name="Normal 19" xfId="18031" xr:uid="{A10E1AE4-8436-494D-8CF1-1DD1D5F9BD02}"/>
    <cellStyle name="Normal 19 2" xfId="20543" xr:uid="{4B8DED56-729A-4E6B-BC89-899C3332CA61}"/>
    <cellStyle name="Normal 2" xfId="262" xr:uid="{DEFC8E3E-014A-49A3-97B3-A2A3DA948052}"/>
    <cellStyle name="Normal 2 2" xfId="263" xr:uid="{13E67A42-D045-4276-A600-97CBECF9FAC7}"/>
    <cellStyle name="Normal 2 2 2" xfId="3135" xr:uid="{4A6CD5AD-D820-46EC-8E64-2597469EE182}"/>
    <cellStyle name="Normal 2 2 3" xfId="2848" xr:uid="{52F297F4-5F55-4B2B-8BAD-7F554BCA26B1}"/>
    <cellStyle name="Normal 2 3" xfId="3136" xr:uid="{1338D46B-7979-42A2-819D-67CDF8D1232C}"/>
    <cellStyle name="Normal 2 4" xfId="3137" xr:uid="{95ABC4EF-19B9-48C1-B717-1F3B2D5E655A}"/>
    <cellStyle name="Normal 2 5" xfId="3134" xr:uid="{2B795A8D-25E5-4B55-88BF-115F5C58534A}"/>
    <cellStyle name="Normal 2 6" xfId="2847" xr:uid="{097F4086-C520-4783-AE9B-5D52D9169E7F}"/>
    <cellStyle name="Normal 2 7" xfId="20477" xr:uid="{13F0DB56-3233-4DF3-B80F-9BE0D12AA325}"/>
    <cellStyle name="Normal 2_T_NewVehicles" xfId="264" xr:uid="{03289C6C-4BA6-4AC7-9070-25A40800ADFA}"/>
    <cellStyle name="Normal 20" xfId="20484" xr:uid="{758E814D-73AF-463F-94E2-67FE9132BCC3}"/>
    <cellStyle name="Normal 21" xfId="20479" xr:uid="{C8AF01CD-2F4C-4873-8FC7-12570C30401D}"/>
    <cellStyle name="Normal 22" xfId="20541" xr:uid="{FC95311A-1EAC-4359-AB7E-F0F1F6B6CB86}"/>
    <cellStyle name="Normal 23" xfId="2" xr:uid="{729BA085-CCE1-40EC-AFA0-FF25D1A03E94}"/>
    <cellStyle name="Normal 3" xfId="2670" xr:uid="{19EDE53C-987C-4AC6-8127-1B25BA2AECD3}"/>
    <cellStyle name="Normal 3 2" xfId="265" xr:uid="{6A6E1041-96A4-449C-8BBC-CC90BCF67184}"/>
    <cellStyle name="Normal 3 2 2" xfId="2850" xr:uid="{BF18F76C-9048-4650-97F0-443D85B9022E}"/>
    <cellStyle name="Normal 3 3" xfId="266" xr:uid="{FDF63107-A3ED-4929-AF96-FF2B5391D6C2}"/>
    <cellStyle name="Normal 3 3 2" xfId="2851" xr:uid="{3BEEBBB9-E450-497F-B76F-1459E75D411A}"/>
    <cellStyle name="Normal 3 4" xfId="267" xr:uid="{4D924D00-417B-43C0-9028-7C9BE10A59A5}"/>
    <cellStyle name="Normal 3 4 2" xfId="2852" xr:uid="{20E82026-FFC4-477B-BB53-D13E4D5C6B27}"/>
    <cellStyle name="Normal 3 5" xfId="3139" xr:uid="{55CEBFB3-FB6A-4D0B-8F9F-CDAAB48ABBAB}"/>
    <cellStyle name="Normal 3 5 2" xfId="5843" xr:uid="{0629BC4C-842C-44DB-B64B-B99CD4598E3C}"/>
    <cellStyle name="Normal 3 5 3" xfId="5844" xr:uid="{FAC1AF59-032C-4602-A1B0-A7A7AB210CF3}"/>
    <cellStyle name="Normal 3 5 3 2" xfId="22906" xr:uid="{22E1694E-3BD0-4960-9E36-EA2DA6E0CFC5}"/>
    <cellStyle name="Normal 3 6" xfId="3140" xr:uid="{396498FF-836F-4319-8A14-28EF8A6A9CAE}"/>
    <cellStyle name="Normal 3 7" xfId="3138" xr:uid="{5D78A7D3-C63E-4AC2-A4EC-F0320B61BD9A}"/>
    <cellStyle name="Normal 3 8" xfId="2849" xr:uid="{BFAAD774-C71A-4A1D-9B0C-B44A1D1F808E}"/>
    <cellStyle name="Normal 3_Car cost for GMM" xfId="2671" xr:uid="{1A5480CB-17BD-439F-873C-BBD5F7883523}"/>
    <cellStyle name="Normal 4" xfId="2672" xr:uid="{7E46D4D9-AEC2-4804-9E7E-58CF1B8BD0C1}"/>
    <cellStyle name="Normal 4 2" xfId="268" xr:uid="{E10FB009-BD16-486A-8AB2-442EBD70DD25}"/>
    <cellStyle name="Normal 4 2 2" xfId="2853" xr:uid="{7AB99A6E-2FFF-43E4-8BCA-7A4B4F933E99}"/>
    <cellStyle name="Normal 4 3" xfId="269" xr:uid="{8858A7B4-0A69-4D14-A3C3-8EFEBF22A9B7}"/>
    <cellStyle name="Normal 4 3 2" xfId="2854" xr:uid="{AAFFD8B3-F2EE-42C3-B36A-4F773496ED48}"/>
    <cellStyle name="Normal 4 4" xfId="270" xr:uid="{25243BB5-A218-4E62-80F1-E3DFA222D6CF}"/>
    <cellStyle name="Normal 4 4 2" xfId="2855" xr:uid="{5F6FCAC2-ACC0-44B1-9BFE-53F244B76E91}"/>
    <cellStyle name="Normal 4 5" xfId="2980" xr:uid="{FE609FC8-2131-439E-AA00-B12B5913FC96}"/>
    <cellStyle name="Normal 4_AFs" xfId="2673" xr:uid="{EDA63A67-A162-40FC-BB62-4381B4AF1806}"/>
    <cellStyle name="Normal 5" xfId="2674" xr:uid="{989632CE-97ED-4005-A7B6-F91ABE4AD7B5}"/>
    <cellStyle name="Normal 5 2" xfId="271" xr:uid="{47323F18-0821-4BC7-ABDC-8CC6E765FA80}"/>
    <cellStyle name="Normal 5 2 2" xfId="2856" xr:uid="{D7D2EE55-21DE-4470-B851-98502A0E61A1}"/>
    <cellStyle name="Normal 5 3" xfId="3141" xr:uid="{E2F4BB44-EA2A-4F40-922F-608F9A0D8018}"/>
    <cellStyle name="Normal 5_ELC" xfId="5581" xr:uid="{F0FB2EBF-05E1-48F9-8C0F-EE84FD14D282}"/>
    <cellStyle name="Normal 6" xfId="2675" xr:uid="{B6005625-2450-49ED-B837-72B69E9DFFCC}"/>
    <cellStyle name="Normal 6 2" xfId="272" xr:uid="{C98680EA-C29A-4B0C-AB90-3ED3D1188FD6}"/>
    <cellStyle name="Normal 6 2 2" xfId="2857" xr:uid="{015E1047-D844-4292-8F3A-49CB2D0A422D}"/>
    <cellStyle name="Normal 6 3" xfId="273" xr:uid="{846170A0-AC48-46D0-B865-758E4E9A6707}"/>
    <cellStyle name="Normal 6 3 2" xfId="2858" xr:uid="{D8258472-A9D6-4F48-86AC-8BE135798B0E}"/>
    <cellStyle name="Normal 6 4" xfId="274" xr:uid="{ADCD7161-E6D0-40C1-816F-448F2EF2CC1C}"/>
    <cellStyle name="Normal 6 4 2" xfId="5845" xr:uid="{D537C875-7D12-4CD0-B183-50329630E035}"/>
    <cellStyle name="Normal 6 5" xfId="3142" xr:uid="{ED72A415-856F-4716-B5FE-AED94A71777C}"/>
    <cellStyle name="Normal 6 6" xfId="19328" xr:uid="{E1BAD97F-9C4C-486F-8609-75B8E5236FF3}"/>
    <cellStyle name="Normal 7" xfId="2676" xr:uid="{3A6BAA0B-CB05-4DC0-80DE-DC4338EFCE79}"/>
    <cellStyle name="Normal 7 2" xfId="275" xr:uid="{CAF2A695-1422-4D51-B98A-3C6DDBEA7734}"/>
    <cellStyle name="Normal 7 2 2" xfId="2859" xr:uid="{163B0571-91AF-4A44-BB8F-DFF32030410C}"/>
    <cellStyle name="Normal 7 3" xfId="276" xr:uid="{6BB4991F-879F-49F8-BD34-A28555E8D7E6}"/>
    <cellStyle name="Normal 7 3 2" xfId="2860" xr:uid="{C422798F-EDFB-49F7-959E-3A10EB86DF51}"/>
    <cellStyle name="Normal 7 4" xfId="277" xr:uid="{DCFFD885-094A-41D1-94F1-A8EF12225425}"/>
    <cellStyle name="Normal 7 4 2" xfId="5846" xr:uid="{8FF10419-A2CB-47B8-998C-61C56886EFE5}"/>
    <cellStyle name="Normal 7 5" xfId="3143" xr:uid="{8C4CACA5-D92E-4256-96BA-5F245ACB8DCF}"/>
    <cellStyle name="Normal 8" xfId="2677" xr:uid="{580F4CA6-50E2-45BD-B471-590A922E9BDC}"/>
    <cellStyle name="Normal 8 2" xfId="278" xr:uid="{4660C8E1-9D69-4D77-B390-30367B91D776}"/>
    <cellStyle name="Normal 8 2 2" xfId="2861" xr:uid="{A0759BFD-E05F-406E-A4F6-62FAF9ED5CFA}"/>
    <cellStyle name="Normal 8 3" xfId="279" xr:uid="{1D64DB57-EFC6-4308-AAF7-EBD4BF7F55BC}"/>
    <cellStyle name="Normal 8 3 2" xfId="2862" xr:uid="{5C14D65F-C4B1-42F4-AD01-0841DB2C91E8}"/>
    <cellStyle name="Normal 8 4" xfId="280" xr:uid="{71D6F823-D507-4732-ADA0-13587DBE3CC3}"/>
    <cellStyle name="Normal 8 4 2" xfId="5847" xr:uid="{86043A77-8B57-45CF-B167-1502724C0B19}"/>
    <cellStyle name="Normal 8 5" xfId="3144" xr:uid="{45BA3E9E-DAB9-4DCF-AED9-C0A0B44DCC8C}"/>
    <cellStyle name="Normal 9" xfId="281" xr:uid="{80C37DF5-82CC-469E-8A7A-3C884E7BBEE0}"/>
    <cellStyle name="Normal 9 10" xfId="3145" xr:uid="{88F2CB6A-9C94-48A9-B0A6-7E1F3B34865D}"/>
    <cellStyle name="Normal 9 10 2" xfId="20560" xr:uid="{35D8127D-0439-4650-8588-60B7A8A729A3}"/>
    <cellStyle name="Normal 9 11" xfId="2863" xr:uid="{282784A9-282F-468A-98B4-970B1B51DB0C}"/>
    <cellStyle name="Normal 9 12" xfId="5848" xr:uid="{98F195AC-68A8-4625-853E-4EBD7E9CF8A7}"/>
    <cellStyle name="Normal 9 12 2" xfId="22226" xr:uid="{A01586DC-08A8-4F41-B432-2F70DAF8B679}"/>
    <cellStyle name="Normal 9 13" xfId="5849" xr:uid="{2DA0CA45-15CC-4BEC-BE9C-5FBF8429CC7D}"/>
    <cellStyle name="Normal 9 13 2" xfId="22907" xr:uid="{7D5AA2AA-BE33-4C1C-97EB-A3E48EB634C7}"/>
    <cellStyle name="Normal 9 2" xfId="282" xr:uid="{14D20935-C517-4B32-872D-39AA05F94585}"/>
    <cellStyle name="Normal 9 2 2" xfId="283" xr:uid="{3A09380F-98BE-41E2-934A-0492F36C829A}"/>
    <cellStyle name="Normal 9 2 2 2" xfId="284" xr:uid="{431023E6-A45F-4DEC-9819-D13EACE83FD0}"/>
    <cellStyle name="Normal 9 2 2 2 2" xfId="3148" xr:uid="{79303872-E326-45D4-89BD-1279E8445EEB}"/>
    <cellStyle name="Normal 9 2 2 3" xfId="3147" xr:uid="{6801281E-C58C-4AA0-B62B-3A2E9DD20D0C}"/>
    <cellStyle name="Normal 9 2 3" xfId="285" xr:uid="{4B79F5C2-6195-48D1-99F4-0902C46E98F5}"/>
    <cellStyle name="Normal 9 2 3 2" xfId="3150" xr:uid="{8B7BF9F5-20ED-41CE-9E52-A70CF8A9EB1B}"/>
    <cellStyle name="Normal 9 2 3 3" xfId="3151" xr:uid="{0C3E630A-F073-48E8-BEAE-14909CF66217}"/>
    <cellStyle name="Normal 9 2 3 4" xfId="3149" xr:uid="{706BA2BC-7717-4943-8130-1517122C22C7}"/>
    <cellStyle name="Normal 9 2 4" xfId="286" xr:uid="{43F0352D-9D4A-46BF-81A6-C34C405BC596}"/>
    <cellStyle name="Normal 9 2 4 10" xfId="20561" xr:uid="{5713E4A1-D4B3-473C-A00F-282FC9ADB8C6}"/>
    <cellStyle name="Normal 9 2 4 2" xfId="2679" xr:uid="{6E99C084-C9C7-489F-93DC-ED765E643004}"/>
    <cellStyle name="Normal 9 2 4 2 2" xfId="5850" xr:uid="{0FE0BFA8-4FC3-4755-9FDC-81A462C41E8C}"/>
    <cellStyle name="Normal 9 2 4 2 2 2" xfId="22505" xr:uid="{B2A90F43-955D-49E4-8031-BE894C3A1E5B}"/>
    <cellStyle name="Normal 9 2 4 2 3" xfId="5851" xr:uid="{4C78639C-97A6-43FE-BA61-B2FEF9B39173}"/>
    <cellStyle name="Normal 9 2 4 2 3 2" xfId="22908" xr:uid="{4A6431AF-1749-4976-9A49-546CDF71BC52}"/>
    <cellStyle name="Normal 9 2 4 2 4" xfId="20893" xr:uid="{3CEA8E40-A909-452C-8E51-BF502F5AE386}"/>
    <cellStyle name="Normal 9 2 4 3" xfId="3152" xr:uid="{9813ECF8-B9AD-4748-A910-221D3847FDC4}"/>
    <cellStyle name="Normal 9 2 4 3 2" xfId="21033" xr:uid="{B5AEA171-68D7-4B99-930C-80D0C2507709}"/>
    <cellStyle name="Normal 9 2 4 4" xfId="5852" xr:uid="{03826495-9D82-4D4E-BBB7-946EEBA24361}"/>
    <cellStyle name="Normal 9 2 4 4 2" xfId="21148" xr:uid="{56F59994-BD79-487C-AB7A-466603E8820F}"/>
    <cellStyle name="Normal 9 2 4 5" xfId="5853" xr:uid="{1E221688-F6A8-4174-94F5-EEEA3D5C1138}"/>
    <cellStyle name="Normal 9 2 4 5 2" xfId="21481" xr:uid="{A12A7FF0-3582-4E41-8C07-E24B1C036276}"/>
    <cellStyle name="Normal 9 2 4 6" xfId="5854" xr:uid="{CF2BC154-7520-4A7C-A31A-72EE2B78CD21}"/>
    <cellStyle name="Normal 9 2 4 6 2" xfId="22227" xr:uid="{32C06055-79A0-4235-A8EB-F48E50C42CF0}"/>
    <cellStyle name="Normal 9 2 4 7" xfId="5855" xr:uid="{C35D9EF4-F30A-4201-9D37-B8EBF566BD79}"/>
    <cellStyle name="Normal 9 2 4 7 2" xfId="22909" xr:uid="{EDCE68D9-B10E-4C89-8562-DACE0AF5793C}"/>
    <cellStyle name="Normal 9 2 4 8" xfId="5856" xr:uid="{F58C9A4B-6B2B-4557-BEFC-EB40659D70CE}"/>
    <cellStyle name="Normal 9 2 4 8 2" xfId="22910" xr:uid="{5853A1CF-148C-4808-A47E-4FBFEBC721D7}"/>
    <cellStyle name="Normal 9 2 4 9" xfId="18036" xr:uid="{2C9F56CF-34C9-42D2-B78E-0C24A9506BCF}"/>
    <cellStyle name="Normal 9 2 4 9 2" xfId="33695" xr:uid="{229F58E1-16DB-4E83-A55E-563CB43F013A}"/>
    <cellStyle name="Normal 9 2 5" xfId="3146" xr:uid="{EF26F818-A6F3-4B19-A770-E1B5E808D0E4}"/>
    <cellStyle name="Normal 9 2 6" xfId="2864" xr:uid="{33533896-2D97-45DF-9262-A10925F98B8D}"/>
    <cellStyle name="Normal 9 3" xfId="287" xr:uid="{7D95763C-3646-41A5-A15F-CA5EA68D8EB5}"/>
    <cellStyle name="Normal 9 3 10" xfId="20546" xr:uid="{1492C703-FE7B-4BFB-A864-D8D9ED519D88}"/>
    <cellStyle name="Normal 9 3 2" xfId="2680" xr:uid="{CBDCAA80-AE7F-4C2B-A9C8-18F0BC3A28AD}"/>
    <cellStyle name="Normal 9 3 2 2" xfId="3153" xr:uid="{22536823-3BF2-4020-9923-226FC4E40CF6}"/>
    <cellStyle name="Normal 9 3 2 2 2" xfId="21482" xr:uid="{FE6BA8AA-B7F0-4315-946C-562E76F0E85A}"/>
    <cellStyle name="Normal 9 3 2 3" xfId="5857" xr:uid="{F54F6C32-A47A-4F22-8F4A-990F15338883}"/>
    <cellStyle name="Normal 9 3 2 3 2" xfId="22506" xr:uid="{6B2AD709-2777-4466-9D33-DEA3F395EB72}"/>
    <cellStyle name="Normal 9 3 2 4" xfId="5858" xr:uid="{C619303C-9FC7-4EB4-BC83-27421E4E6282}"/>
    <cellStyle name="Normal 9 3 2 4 2" xfId="22911" xr:uid="{C31AD399-19DC-4581-A53D-5D5F8DC86C5B}"/>
    <cellStyle name="Normal 9 3 2 5" xfId="20562" xr:uid="{316186D9-0B16-40BE-8E39-7E843B0AC4D7}"/>
    <cellStyle name="Normal 9 3 3" xfId="2865" xr:uid="{1B8F0CB0-9871-4CA8-8CDF-77DDDC2B8A8E}"/>
    <cellStyle name="Normal 9 3 3 2" xfId="21034" xr:uid="{0DD2A526-032C-4F36-84E1-F11E3568F78D}"/>
    <cellStyle name="Normal 9 3 4" xfId="5859" xr:uid="{4A7B34CA-9CFF-49B3-B117-85539D27214D}"/>
    <cellStyle name="Normal 9 3 4 2" xfId="21149" xr:uid="{2CC43C3A-B922-408A-8336-9BA667A473BC}"/>
    <cellStyle name="Normal 9 3 5" xfId="5860" xr:uid="{D38878E8-C21C-42C9-9F9D-575DE7DC7A5B}"/>
    <cellStyle name="Normal 9 3 5 2" xfId="21171" xr:uid="{739AA7CC-C875-4EB0-8A8E-FCF2A0027017}"/>
    <cellStyle name="Normal 9 3 6" xfId="5861" xr:uid="{42AFD294-684A-445A-9797-BEE70977214C}"/>
    <cellStyle name="Normal 9 3 6 2" xfId="22228" xr:uid="{AC4C4A8C-B529-4E3C-9684-8AB45A35020F}"/>
    <cellStyle name="Normal 9 3 7" xfId="5862" xr:uid="{7094C5A6-FB03-45A7-933E-0BCA02BB8C47}"/>
    <cellStyle name="Normal 9 3 7 2" xfId="22912" xr:uid="{3D5FC28B-9FDD-456B-80D1-C5BF4F0FD300}"/>
    <cellStyle name="Normal 9 3 8" xfId="5863" xr:uid="{FE8A7A21-ABD2-485E-A351-6453524BD856}"/>
    <cellStyle name="Normal 9 3 8 2" xfId="22913" xr:uid="{C3DB9238-0BEB-4D5E-896F-C1B440EFADF5}"/>
    <cellStyle name="Normal 9 3 9" xfId="18037" xr:uid="{2F6261E3-BC7B-468A-B63D-9E9D48D48796}"/>
    <cellStyle name="Normal 9 3 9 2" xfId="33696" xr:uid="{72C9A548-4B4B-49B4-8178-7A11B8705764}"/>
    <cellStyle name="Normal 9 4" xfId="288" xr:uid="{A643CD17-1A4C-4AB8-9C2F-0371D8E1F5AB}"/>
    <cellStyle name="Normal 9 4 2" xfId="289" xr:uid="{EB81532B-8177-45EC-8976-15D095C64041}"/>
    <cellStyle name="Normal 9 4 2 10" xfId="20564" xr:uid="{4F726B1C-F8B5-424C-AD84-AD1B8ADCB231}"/>
    <cellStyle name="Normal 9 4 2 2" xfId="2681" xr:uid="{26D74E8A-622B-4DD1-BBFB-4BF409F0EF71}"/>
    <cellStyle name="Normal 9 4 2 2 2" xfId="5864" xr:uid="{B9F9BBA4-B10B-417F-BF9D-7BF130ECF042}"/>
    <cellStyle name="Normal 9 4 2 2 2 2" xfId="22507" xr:uid="{D4140AA4-C7DF-43A1-8F27-1BDF2937EFDE}"/>
    <cellStyle name="Normal 9 4 2 2 3" xfId="5865" xr:uid="{6A1FEBD7-2427-45A9-AD1E-46000A23FBC7}"/>
    <cellStyle name="Normal 9 4 2 2 3 2" xfId="22914" xr:uid="{2DE9ECE7-3AAE-4D8D-A1F8-D0B9348F1DBF}"/>
    <cellStyle name="Normal 9 4 2 2 4" xfId="5866" xr:uid="{CAF37F8D-4052-4520-8AF1-FCA02B69513B}"/>
    <cellStyle name="Normal 9 4 2 2 4 2" xfId="22915" xr:uid="{C0E990DB-CCBA-48A8-ADFF-5847A4B58711}"/>
    <cellStyle name="Normal 9 4 2 2 5" xfId="20894" xr:uid="{DB8FFB94-FB95-45D7-A023-CEE05CC5B467}"/>
    <cellStyle name="Normal 9 4 2 3" xfId="3155" xr:uid="{F0E6CEE4-E527-4E80-8B35-BC6636C796ED}"/>
    <cellStyle name="Normal 9 4 2 3 2" xfId="5867" xr:uid="{48C03D6B-BCDB-44D2-9B90-A1EE5720FA81}"/>
    <cellStyle name="Normal 9 4 2 3 3" xfId="21035" xr:uid="{A89E5A1C-1A7C-4984-934B-8F62131AF387}"/>
    <cellStyle name="Normal 9 4 2 4" xfId="5868" xr:uid="{18CC52EB-585C-4125-B9D7-92C24EED05B8}"/>
    <cellStyle name="Normal 9 4 2 4 2" xfId="21150" xr:uid="{F56DA8A8-7F6D-4F61-BC3B-C1229785102D}"/>
    <cellStyle name="Normal 9 4 2 5" xfId="5869" xr:uid="{0E54A4AE-740A-4160-8DC6-D87F92094D30}"/>
    <cellStyle name="Normal 9 4 2 5 2" xfId="21484" xr:uid="{53D64240-B8E1-4676-A9E0-09A6B276B57F}"/>
    <cellStyle name="Normal 9 4 2 6" xfId="5870" xr:uid="{124C78EB-D473-4023-876B-A90C5AE30E5D}"/>
    <cellStyle name="Normal 9 4 2 6 2" xfId="22229" xr:uid="{1ED94A7A-94A1-4D25-93F1-DDB6295EA570}"/>
    <cellStyle name="Normal 9 4 2 7" xfId="5871" xr:uid="{19EACF9E-489B-4502-9405-106B2DB23615}"/>
    <cellStyle name="Normal 9 4 2 7 2" xfId="22916" xr:uid="{79D80F57-491F-4D2D-B83A-214AC9BF8C7E}"/>
    <cellStyle name="Normal 9 4 2 8" xfId="5872" xr:uid="{AD1B0594-3BFC-4994-B300-FE1EE7BA1765}"/>
    <cellStyle name="Normal 9 4 2 8 2" xfId="22917" xr:uid="{2568EE8C-4163-4C8B-9F19-352A90FE4506}"/>
    <cellStyle name="Normal 9 4 2 9" xfId="18039" xr:uid="{07ABE600-F0DD-48DB-9FE4-163CA553161D}"/>
    <cellStyle name="Normal 9 4 2 9 2" xfId="33697" xr:uid="{D1546EEC-1BD6-4185-840A-512485913A2C}"/>
    <cellStyle name="Normal 9 4 3" xfId="290" xr:uid="{1B45CD0C-FFE4-4C4F-A302-B982BABB5697}"/>
    <cellStyle name="Normal 9 4 3 2" xfId="3156" xr:uid="{D1146FFE-D7BE-4074-B640-E4FBD9EC8C67}"/>
    <cellStyle name="Normal 9 4 4" xfId="3157" xr:uid="{AD31F05F-B2EB-4E9B-89D8-E05081748FDD}"/>
    <cellStyle name="Normal 9 4 5" xfId="3154" xr:uid="{9534A266-026E-4982-B279-EB1F13ED0779}"/>
    <cellStyle name="Normal 9 4 5 2" xfId="21483" xr:uid="{4EBF66EE-CE5A-4F85-B6FB-DFC1455FFFD0}"/>
    <cellStyle name="Normal 9 4 6" xfId="18038" xr:uid="{4D4D2460-6ECB-487D-AF0F-07E02CD67B2F}"/>
    <cellStyle name="Normal 9 4 6 2" xfId="33698" xr:uid="{69C1C5C3-7935-4F60-A811-6D097D5611E9}"/>
    <cellStyle name="Normal 9 4 7" xfId="20563" xr:uid="{833C842C-2CD4-45E5-A880-0FF83E213937}"/>
    <cellStyle name="Normal 9 5" xfId="291" xr:uid="{576BAEBC-4974-4F7E-A78D-59AC6001506A}"/>
    <cellStyle name="Normal 9 5 2" xfId="292" xr:uid="{711DDE23-2E57-4F99-BDE6-EDDB0F40E4AF}"/>
    <cellStyle name="Normal 9 5 2 2" xfId="3159" xr:uid="{9633D390-7A6D-470A-A548-BD12B55F6467}"/>
    <cellStyle name="Normal 9 5 3" xfId="3160" xr:uid="{11674517-962F-47E0-9AF3-94197E1F1169}"/>
    <cellStyle name="Normal 9 5 4" xfId="3161" xr:uid="{1913770A-42D1-406A-BD85-810FE72ED3E8}"/>
    <cellStyle name="Normal 9 5 5" xfId="3158" xr:uid="{DB876EF3-63E0-4A0D-BC2C-4896D0DB2FC3}"/>
    <cellStyle name="Normal 9 6" xfId="293" xr:uid="{C6EA0BA1-B319-4ECE-8378-2E11888060B0}"/>
    <cellStyle name="Normal 9 6 2" xfId="294" xr:uid="{BEC3127D-A391-44E5-B5FB-132DC8DBD27C}"/>
    <cellStyle name="Normal 9 6 2 2" xfId="3163" xr:uid="{8201C62A-B08A-48A6-BD3F-ADB81D977D5A}"/>
    <cellStyle name="Normal 9 6 3" xfId="3162" xr:uid="{EADB6B08-FAB1-4C9E-949B-93B56AAD5D8D}"/>
    <cellStyle name="Normal 9 7" xfId="2678" xr:uid="{A1781173-CC6A-4D00-81AA-6E27BE65F395}"/>
    <cellStyle name="Normal 9 7 2" xfId="3164" xr:uid="{5E92EF24-B42C-488A-A4AB-5C293545A3F2}"/>
    <cellStyle name="Normal 9 7 3" xfId="5873" xr:uid="{7FC625C4-F9E3-4AD3-A0F8-EB0B9A5BC26F}"/>
    <cellStyle name="Normal 9 7 3 2" xfId="22504" xr:uid="{AFC5C960-38E6-48FF-A9E6-4D17B2FFE56C}"/>
    <cellStyle name="Normal 9 7 4" xfId="5874" xr:uid="{FF43055F-A8C1-4341-9727-853DEAF1000F}"/>
    <cellStyle name="Normal 9 7 4 2" xfId="22918" xr:uid="{9BD8404E-DF8E-4149-9721-73AC3EB43736}"/>
    <cellStyle name="Normal 9 8" xfId="3165" xr:uid="{A9C9372C-2CB9-4AC3-A560-275A35A35667}"/>
    <cellStyle name="Normal 9 8 2" xfId="5875" xr:uid="{A93AC403-2ED7-4E56-A38D-F3C1AACF5E64}"/>
    <cellStyle name="Normal 9 8 2 2" xfId="21485" xr:uid="{2B26AA60-B3A5-4905-8050-00A92EC52946}"/>
    <cellStyle name="Normal 9 8 3" xfId="18040" xr:uid="{AEF0C118-0164-45C1-A1A4-BDB03F4B5F4A}"/>
    <cellStyle name="Normal 9 8 3 2" xfId="33699" xr:uid="{05B130E3-2327-45B4-8F89-763946719D61}"/>
    <cellStyle name="Normal 9 8 4" xfId="20565" xr:uid="{D4066A4E-A7DF-42CC-94F3-869B4B9345EE}"/>
    <cellStyle name="Normal 9 9" xfId="3166" xr:uid="{0808DDDC-B1D4-4F95-9B21-7BBE6EEE6F5C}"/>
    <cellStyle name="Normal 9 9 2" xfId="5876" xr:uid="{71B5F114-F7B3-4765-ADF8-A9B5ED0D7B41}"/>
    <cellStyle name="Normal GHG Textfiels Bold" xfId="295" xr:uid="{7A18BFA3-15BE-4403-BFC2-597E09A53E51}"/>
    <cellStyle name="Normal GHG-Shade 2" xfId="296" xr:uid="{B4749B00-B8C4-47B0-91BF-FF2A676B8641}"/>
    <cellStyle name="Normal GHG-Shade 2 2" xfId="2866" xr:uid="{7C0CF91D-7087-4972-873E-89A323E47B80}"/>
    <cellStyle name="Normale_B2020" xfId="297" xr:uid="{2766040E-DA56-4CC7-B228-6BAB66615341}"/>
    <cellStyle name="Note 2" xfId="298" xr:uid="{57F15A01-16B8-482F-A23E-14991B1B69B0}"/>
    <cellStyle name="Note 2 2" xfId="3167" xr:uid="{E379C76C-0ABE-4870-B9D3-0CC8AE8852B5}"/>
    <cellStyle name="Note 2 2 2" xfId="20566" xr:uid="{9AF6C312-2139-4642-ADB1-74A59E3CA34D}"/>
    <cellStyle name="Note 2 3" xfId="20547" xr:uid="{AE35C3A7-F33A-4DD9-B21C-0E75E92C49F3}"/>
    <cellStyle name="Note 3" xfId="299" xr:uid="{288656B9-AECC-40AF-8DD7-FF2BAFFC7BF8}"/>
    <cellStyle name="Note 3 10" xfId="5877" xr:uid="{3409627A-733D-4C10-B3FA-90B53ED41BEF}"/>
    <cellStyle name="Note 3 11" xfId="5878" xr:uid="{E8E7DD87-5EDA-402E-9385-65AC543BE72F}"/>
    <cellStyle name="Note 3 12" xfId="20567" xr:uid="{4883B223-DE4C-4487-BCE5-A6E1C4DD86FC}"/>
    <cellStyle name="Note 3 2" xfId="3168" xr:uid="{D4C81E44-799C-40EE-9F90-264709B837CF}"/>
    <cellStyle name="Note 3 2 10" xfId="21486" xr:uid="{A43E7041-FD06-4C9C-A3D1-1A38CE77FBED}"/>
    <cellStyle name="Note 3 2 2" xfId="5879" xr:uid="{552D8A2D-0342-415A-8926-CB6DA6A6CD1B}"/>
    <cellStyle name="Note 3 2 3" xfId="5880" xr:uid="{A3A07F94-5D8D-4622-B0EE-693396C52275}"/>
    <cellStyle name="Note 3 2 4" xfId="5881" xr:uid="{B840DDD3-E933-4DCB-99F1-FADDFF538846}"/>
    <cellStyle name="Note 3 2 5" xfId="5882" xr:uid="{B1ED31AB-DB3A-438C-99A6-9EA0F846E65C}"/>
    <cellStyle name="Note 3 2 6" xfId="5883" xr:uid="{983C41D2-36F3-4429-9ED8-A4E3F02DE718}"/>
    <cellStyle name="Note 3 2 7" xfId="5884" xr:uid="{D4F81014-FFB4-420F-8894-4A1E06B25F2F}"/>
    <cellStyle name="Note 3 2 8" xfId="5885" xr:uid="{95620944-8F6F-49A7-A505-8FA635AD1722}"/>
    <cellStyle name="Note 3 2 9" xfId="5886" xr:uid="{23951D82-DB2F-4C6D-844E-513E36C3ADC0}"/>
    <cellStyle name="Note 3 3" xfId="5887" xr:uid="{73AC03C9-0209-44A3-8022-3A6DC17DECE8}"/>
    <cellStyle name="Note 3 3 2" xfId="5888" xr:uid="{ABF47925-7F26-4AA2-AE14-FAB1148A990E}"/>
    <cellStyle name="Note 3 3 3" xfId="5889" xr:uid="{F4127397-13E3-42DA-AECE-DF07CA97FEA1}"/>
    <cellStyle name="Note 3 3 4" xfId="5890" xr:uid="{9811BEA3-4476-40A9-9EF3-56EF4BF58283}"/>
    <cellStyle name="Note 3 3 5" xfId="5891" xr:uid="{C0E3AD61-25F6-45D0-8EC7-17E4CCD31505}"/>
    <cellStyle name="Note 3 3 6" xfId="5892" xr:uid="{1DD11E50-840F-417C-B152-261F707E501C}"/>
    <cellStyle name="Note 3 3 7" xfId="5893" xr:uid="{C9BE3DB4-1B8B-4D72-BE5C-316B50564C0B}"/>
    <cellStyle name="Note 3 3 8" xfId="5894" xr:uid="{8B8C02D6-A10A-4056-B5D7-CC46458F4ACB}"/>
    <cellStyle name="Note 3 4" xfId="5895" xr:uid="{4FB146CC-00C8-43CE-A1EA-8DC55EC653D6}"/>
    <cellStyle name="Note 3 4 2" xfId="5896" xr:uid="{A2FA429C-7E7E-4744-92D3-7A3A7A3BB676}"/>
    <cellStyle name="Note 3 4 3" xfId="5897" xr:uid="{7C02B472-AFA9-4760-AC87-CFEFEEAD662C}"/>
    <cellStyle name="Note 3 4 4" xfId="5898" xr:uid="{1D0AC5BF-37F9-42A9-944A-18C3823148A7}"/>
    <cellStyle name="Note 3 4 5" xfId="5899" xr:uid="{D23F99A8-96C2-4181-880F-18EEFC18A882}"/>
    <cellStyle name="Note 3 4 6" xfId="5900" xr:uid="{1CC394CA-B533-4591-ACBB-3C732FD0AC78}"/>
    <cellStyle name="Note 3 5" xfId="5901" xr:uid="{3271FBE4-C7FA-4FF1-BADC-2130D382C7C8}"/>
    <cellStyle name="Note 3 6" xfId="5902" xr:uid="{62E62A6B-6900-49AB-A9E5-863DDDDF0399}"/>
    <cellStyle name="Note 3 7" xfId="5903" xr:uid="{EDAA90A9-242B-487F-872D-6D4DC3C89BFD}"/>
    <cellStyle name="Note 3 8" xfId="5904" xr:uid="{BFB423CF-B06F-49FA-BD04-AA3DA3EAF066}"/>
    <cellStyle name="Note 3 9" xfId="5905" xr:uid="{E67CD53D-EDF9-425C-BA44-EAF6FF237B5A}"/>
    <cellStyle name="Note 4" xfId="5906" xr:uid="{1A6D50F8-55BB-4BA9-B921-E6E363401F75}"/>
    <cellStyle name="Note 4 10" xfId="21153" xr:uid="{F825BB95-9C80-4F8A-B1C6-E6F8F5793E21}"/>
    <cellStyle name="Note 4 2" xfId="5907" xr:uid="{F333F06D-64C5-4E23-88D1-A624AB55B154}"/>
    <cellStyle name="Note 4 3" xfId="5908" xr:uid="{3F341861-507D-4BBC-9A21-01ACC5F3F820}"/>
    <cellStyle name="Note 4 4" xfId="5909" xr:uid="{650CACBA-0089-4D42-AA79-8C0F59472388}"/>
    <cellStyle name="Note 4 5" xfId="5910" xr:uid="{366C1076-3F0C-4AE0-A700-34BAFF73C60E}"/>
    <cellStyle name="Note 4 6" xfId="5911" xr:uid="{FCFA071D-64FF-4E9F-A66F-F7BD646CF1DF}"/>
    <cellStyle name="Note 4 7" xfId="5912" xr:uid="{530D9887-D510-4658-963C-287C920AF717}"/>
    <cellStyle name="Note 4 8" xfId="5913" xr:uid="{F4E28A9B-6F44-4A59-AB62-2EE347EE2AB0}"/>
    <cellStyle name="Note 4 9" xfId="5914" xr:uid="{F99C07FF-8A82-49F3-8E33-D4FDAF63DA94}"/>
    <cellStyle name="Notiz" xfId="300" xr:uid="{3EFAEFC9-7307-4D8C-A062-ED85422B9883}"/>
    <cellStyle name="Notiz 10" xfId="301" xr:uid="{9AC7E8D1-392F-400C-9237-C9DEC9360E05}"/>
    <cellStyle name="Notiz 10 2" xfId="302" xr:uid="{3D97735B-202E-4A81-A6FA-4EF97AF11F09}"/>
    <cellStyle name="Notiz 10 2 2" xfId="3169" xr:uid="{82B7BF08-EEC3-47C7-8419-4DE042A0556E}"/>
    <cellStyle name="Notiz 10 2 2 2" xfId="21488" xr:uid="{AA3E6BA4-A453-40F7-88CF-12BB979B7B4C}"/>
    <cellStyle name="Notiz 10 2 3" xfId="20569" xr:uid="{1CEE4744-B0FD-4C06-B6B2-AAEA8354F8A5}"/>
    <cellStyle name="Notiz 10 3" xfId="2682" xr:uid="{1DADCDA1-FB95-4A05-AFD7-CDE4DE0CAF63}"/>
    <cellStyle name="Notiz 10 3 2" xfId="21487" xr:uid="{C827241D-154B-4D63-9809-B9240ED56E2D}"/>
    <cellStyle name="Notiz 10 4" xfId="20568" xr:uid="{482EC56D-63E6-4D14-B9C9-71173848E957}"/>
    <cellStyle name="Notiz 11" xfId="303" xr:uid="{1BDDDE0B-1013-4E44-87AE-EBC2E4AF18B3}"/>
    <cellStyle name="Notiz 11 2" xfId="304" xr:uid="{BCADA508-71FE-4126-811C-93400A0B8EB0}"/>
    <cellStyle name="Notiz 11 2 2" xfId="3171" xr:uid="{F2AB7C69-8711-4924-8635-92BD36D1FC0B}"/>
    <cellStyle name="Notiz 11 2 2 2" xfId="21490" xr:uid="{D5B4B34C-24FF-43FE-B256-60E3C387F1A3}"/>
    <cellStyle name="Notiz 11 2 3" xfId="20571" xr:uid="{CE8E9F7D-917B-4884-815A-49EA002C6552}"/>
    <cellStyle name="Notiz 11 3" xfId="3170" xr:uid="{3EC1BEBC-37C6-48D9-8AE8-01FCE235F913}"/>
    <cellStyle name="Notiz 11 3 2" xfId="21489" xr:uid="{2A86C3EA-47E9-4718-BABB-37C7B80BE442}"/>
    <cellStyle name="Notiz 11 4" xfId="20570" xr:uid="{614CC3CF-B281-420E-AEDA-00434D29AE2F}"/>
    <cellStyle name="Notiz 12" xfId="305" xr:uid="{B0C19482-3143-404B-92EB-25D2A1E9A418}"/>
    <cellStyle name="Notiz 12 2" xfId="3172" xr:uid="{466E3ADD-4692-49D1-9578-FA14B764D6A0}"/>
    <cellStyle name="Notiz 12 2 2" xfId="21491" xr:uid="{63031800-461C-4FDF-94A0-923FF2CC6CE2}"/>
    <cellStyle name="Notiz 12 3" xfId="5915" xr:uid="{B5E3B960-470D-4835-BCB4-269127FB0721}"/>
    <cellStyle name="Notiz 12 3 2" xfId="22919" xr:uid="{A48230D7-D1D0-4F64-84BC-347033EBFF75}"/>
    <cellStyle name="Notiz 12 4" xfId="5916" xr:uid="{4E3FDA35-4B53-4A1D-A88C-F0DFEA731591}"/>
    <cellStyle name="Notiz 12 4 2" xfId="22920" xr:uid="{D4F1E407-FA56-452D-804D-ACF046048249}"/>
    <cellStyle name="Notiz 12 5" xfId="5917" xr:uid="{1002B616-5B21-4349-908B-12A860AC7826}"/>
    <cellStyle name="Notiz 12 5 2" xfId="22921" xr:uid="{4CF3B7DB-2161-41E0-AC26-6D62B14F0C56}"/>
    <cellStyle name="Notiz 12 6" xfId="5918" xr:uid="{82919BCD-303F-4005-9867-7E00B60E5C31}"/>
    <cellStyle name="Notiz 12 6 2" xfId="22922" xr:uid="{089693D4-06A5-4B3A-9643-CEA1B7718C15}"/>
    <cellStyle name="Notiz 12 7" xfId="20572" xr:uid="{17EC6010-CBF2-444A-99FC-131C35E89292}"/>
    <cellStyle name="Notiz 13" xfId="5919" xr:uid="{C526C072-EED8-4422-8DD0-CCC90068F3ED}"/>
    <cellStyle name="Notiz 13 2" xfId="5920" xr:uid="{C89E3B75-EA1E-4CEB-82D1-EF070C0B3E79}"/>
    <cellStyle name="Notiz 13 2 2" xfId="22923" xr:uid="{D7F377E0-C316-42F0-BEBF-0D7D30B286AD}"/>
    <cellStyle name="Notiz 13 3" xfId="5921" xr:uid="{DB8D59D7-3E83-48D6-AB32-974052F8AAA8}"/>
    <cellStyle name="Notiz 13 3 2" xfId="22924" xr:uid="{AFD99A61-457C-4F0E-BE6D-21F3591BD7E1}"/>
    <cellStyle name="Notiz 13 4" xfId="21172" xr:uid="{5B667EE3-C031-45B9-831C-DDF934B23448}"/>
    <cellStyle name="Notiz 14" xfId="5922" xr:uid="{19641906-CE59-4AFF-9AF3-68D34F33AB83}"/>
    <cellStyle name="Notiz 14 2" xfId="5923" xr:uid="{F8624103-F278-43FE-B69A-078F2FFD44B2}"/>
    <cellStyle name="Notiz 14 2 2" xfId="22926" xr:uid="{B615E697-F449-4503-8881-3B4B543648FD}"/>
    <cellStyle name="Notiz 14 3" xfId="22925" xr:uid="{DF47D7B8-2AD3-48BC-BA6F-F18CE2A7FC05}"/>
    <cellStyle name="Notiz 15" xfId="5924" xr:uid="{B32BCB85-8B5F-4DAA-B19E-FC24B6CF82C5}"/>
    <cellStyle name="Notiz 15 2" xfId="5925" xr:uid="{023AF4A7-E32C-4DEB-B2C2-17CBADDEE780}"/>
    <cellStyle name="Notiz 15 2 2" xfId="22928" xr:uid="{0F9F8603-F563-4833-B1FA-F8735A4B7D64}"/>
    <cellStyle name="Notiz 15 3" xfId="22927" xr:uid="{E9109D76-964F-4EB4-8EC5-C1CA9D6E59DC}"/>
    <cellStyle name="Notiz 16" xfId="20548" xr:uid="{892F9DFB-7705-4294-B4C5-2A9FD66E6873}"/>
    <cellStyle name="Notiz 2" xfId="306" xr:uid="{29DB2B8F-6680-4923-B098-FA0D41466DB6}"/>
    <cellStyle name="Notiz 2 2" xfId="2867" xr:uid="{CF891E3B-EB54-4D86-B77D-16B723D59570}"/>
    <cellStyle name="Notiz 2 2 2" xfId="21173" xr:uid="{E36E50AF-E5BB-4480-9B5D-F1C121ED1C14}"/>
    <cellStyle name="Notiz 2 3" xfId="20549" xr:uid="{BD6E4583-41D0-4100-9D9B-12F3475DFA45}"/>
    <cellStyle name="Notiz 3" xfId="307" xr:uid="{A91E3230-267D-49A9-A0D2-C65E7DCD1420}"/>
    <cellStyle name="Notiz 3 2" xfId="308" xr:uid="{6DAEFC07-3D86-4283-B87F-DA7A8B2933DA}"/>
    <cellStyle name="Notiz 3 2 2" xfId="309" xr:uid="{7CAD78E3-6D28-41CA-842A-230AD161B113}"/>
    <cellStyle name="Notiz 3 2 2 2" xfId="3173" xr:uid="{9278E664-B88D-48E7-AF45-8E373E22EA5E}"/>
    <cellStyle name="Notiz 3 2 2 2 2" xfId="21492" xr:uid="{0494E573-ED89-4066-AEAA-98215368012A}"/>
    <cellStyle name="Notiz 3 2 2 3" xfId="20573" xr:uid="{BE824498-BFFE-4FE5-85B2-7C2E12BE1085}"/>
    <cellStyle name="Notiz 3 2 3" xfId="2869" xr:uid="{AA0050FE-24C3-4422-A195-55F969A05905}"/>
    <cellStyle name="Notiz 3 2 3 2" xfId="21175" xr:uid="{CD2349FE-1F9A-472A-ADE6-2741B724AB15}"/>
    <cellStyle name="Notiz 3 2 4" xfId="20551" xr:uid="{0FFF702A-702D-461F-A7E8-455CB5EFA828}"/>
    <cellStyle name="Notiz 3 3" xfId="310" xr:uid="{52C08C22-4F62-4C7B-B175-F87B6C73AF99}"/>
    <cellStyle name="Notiz 3 3 2" xfId="311" xr:uid="{696D2122-4BB0-4AA2-971C-12731EFCDDBA}"/>
    <cellStyle name="Notiz 3 3 2 2" xfId="3175" xr:uid="{73F99578-3DC0-434B-A131-0FBFFF30D90C}"/>
    <cellStyle name="Notiz 3 3 2 2 2" xfId="21494" xr:uid="{5A9ABCBD-EE4B-46AE-AE73-068B238D5E0C}"/>
    <cellStyle name="Notiz 3 3 2 3" xfId="20575" xr:uid="{6637B5D4-150B-408F-BB91-C9BC1D424AE9}"/>
    <cellStyle name="Notiz 3 3 3" xfId="312" xr:uid="{E340E60E-0CAC-422E-912E-2A82CAB24BE7}"/>
    <cellStyle name="Notiz 3 3 3 2" xfId="313" xr:uid="{A48B970C-ED61-4761-8231-C18D1B97F5D4}"/>
    <cellStyle name="Notiz 3 3 3 2 2" xfId="3177" xr:uid="{E484E912-BCF5-4DDD-AFB2-B32AFFC9AFAE}"/>
    <cellStyle name="Notiz 3 3 3 2 2 2" xfId="21496" xr:uid="{7EE6E50D-681F-4156-A32D-D19D69DD3A96}"/>
    <cellStyle name="Notiz 3 3 3 2 3" xfId="20577" xr:uid="{C54B1FD9-7F35-4E76-A2E6-33F2560E4E55}"/>
    <cellStyle name="Notiz 3 3 3 3" xfId="3178" xr:uid="{440821D0-DCA2-4898-B1EC-B55C5A97BE67}"/>
    <cellStyle name="Notiz 3 3 3 3 2" xfId="20578" xr:uid="{341595CC-23EE-476A-B640-08FF34292F11}"/>
    <cellStyle name="Notiz 3 3 3 4" xfId="3179" xr:uid="{D9F4B075-E965-4CEF-9A13-B46606C78474}"/>
    <cellStyle name="Notiz 3 3 3 4 2" xfId="20579" xr:uid="{C315CF4C-9639-43F8-A9E2-2B94864EECD6}"/>
    <cellStyle name="Notiz 3 3 3 5" xfId="3176" xr:uid="{13322D65-8C04-41C8-B6E8-C637C2464C32}"/>
    <cellStyle name="Notiz 3 3 3 5 2" xfId="21495" xr:uid="{AD411223-EB12-4A30-AF3E-502F4CCDD26C}"/>
    <cellStyle name="Notiz 3 3 3 6" xfId="20576" xr:uid="{1D6DD1DF-368E-47FA-B859-99FCA3ADBC41}"/>
    <cellStyle name="Notiz 3 3 4" xfId="314" xr:uid="{4744B731-A437-4D9C-8710-7D00BCCA57EA}"/>
    <cellStyle name="Notiz 3 3 4 2" xfId="315" xr:uid="{EE817CD4-31EA-49DC-B671-6E0FB52F99CC}"/>
    <cellStyle name="Notiz 3 3 4 2 2" xfId="3181" xr:uid="{94FB5C14-3691-4D78-B4C9-BC89A35D6FDB}"/>
    <cellStyle name="Notiz 3 3 4 2 2 2" xfId="21498" xr:uid="{FE7128D2-6828-4720-BC6E-A8941DB2D3C2}"/>
    <cellStyle name="Notiz 3 3 4 2 3" xfId="20581" xr:uid="{C1B7EEC6-595F-4558-A951-A2057181257B}"/>
    <cellStyle name="Notiz 3 3 4 3" xfId="3180" xr:uid="{708CCBA1-C7A8-467E-8B36-35704740F0FC}"/>
    <cellStyle name="Notiz 3 3 4 3 2" xfId="21497" xr:uid="{0C1D48DE-FF52-4A3D-BE52-77D6F280878B}"/>
    <cellStyle name="Notiz 3 3 4 4" xfId="20580" xr:uid="{E0C09F5A-C7A7-42BC-B502-E47F2AFB4558}"/>
    <cellStyle name="Notiz 3 3 5" xfId="3182" xr:uid="{ABD5176C-3D39-4F30-B920-7A7B8B084742}"/>
    <cellStyle name="Notiz 3 3 5 2" xfId="20582" xr:uid="{E79DE156-A8F0-46AC-B339-6285D7AEBB52}"/>
    <cellStyle name="Notiz 3 3 6" xfId="3174" xr:uid="{7186297E-AAA8-4BA9-B47A-5851A5FEF153}"/>
    <cellStyle name="Notiz 3 3 6 2" xfId="21493" xr:uid="{B5610EFC-ADB9-41CD-9109-9DF677B0B65B}"/>
    <cellStyle name="Notiz 3 3 7" xfId="20574" xr:uid="{7E9A81F0-956F-4A14-85C4-8906A83BFFBD}"/>
    <cellStyle name="Notiz 3 4" xfId="316" xr:uid="{ABCAE0F0-575D-41B9-8E3C-D6509D701718}"/>
    <cellStyle name="Notiz 3 4 2" xfId="3184" xr:uid="{47674DEE-C22D-4B69-A391-0A9EE5A356A9}"/>
    <cellStyle name="Notiz 3 4 2 2" xfId="20584" xr:uid="{43AA5BFD-AD6B-4870-A3B2-2DF947E31371}"/>
    <cellStyle name="Notiz 3 4 3" xfId="3185" xr:uid="{EE27ED78-E373-4102-BDF0-407A898434D2}"/>
    <cellStyle name="Notiz 3 4 3 2" xfId="20585" xr:uid="{71F1FA54-5F96-46B4-B0AD-428BF5CE61F0}"/>
    <cellStyle name="Notiz 3 4 4" xfId="3183" xr:uid="{AFE28A73-BA8B-4498-8547-54C98CE2E796}"/>
    <cellStyle name="Notiz 3 4 4 2" xfId="21499" xr:uid="{B16D69E2-BDEB-4CB2-BEA9-3D67419D5593}"/>
    <cellStyle name="Notiz 3 4 5" xfId="20583" xr:uid="{1DF63160-4064-45C7-8DA4-B53CCA8E89D7}"/>
    <cellStyle name="Notiz 3 5" xfId="3186" xr:uid="{185A18A2-CCE9-4C63-856E-CAE314D72143}"/>
    <cellStyle name="Notiz 3 5 2" xfId="5926" xr:uid="{1A24B89B-C00C-403E-8C0C-B1428E66D9BF}"/>
    <cellStyle name="Notiz 3 5 2 2" xfId="21500" xr:uid="{94B9DD55-AD9D-4538-8872-8EFCA9D47A37}"/>
    <cellStyle name="Notiz 3 5 3" xfId="20586" xr:uid="{A88C5994-BACD-45F2-B6CA-EFA67F8CBDAF}"/>
    <cellStyle name="Notiz 3 6" xfId="2868" xr:uid="{72A11372-84BC-4CCE-8A75-3F3F5D6F8DE5}"/>
    <cellStyle name="Notiz 3 6 2" xfId="21174" xr:uid="{97C4B4B9-8300-4E17-9926-3C061DD03D39}"/>
    <cellStyle name="Notiz 3 7" xfId="20550" xr:uid="{5B7606DE-C9DF-4BFF-9B5A-ED01A4C6C0B4}"/>
    <cellStyle name="Notiz 4" xfId="317" xr:uid="{B4F1BD07-976A-4380-BE17-C42BE9FBED7F}"/>
    <cellStyle name="Notiz 4 2" xfId="318" xr:uid="{A0A711BF-4080-491F-A105-919F8C2395A2}"/>
    <cellStyle name="Notiz 4 2 2" xfId="319" xr:uid="{43F785A5-7F74-4BA6-B7EE-5E0E04967D25}"/>
    <cellStyle name="Notiz 4 2 2 2" xfId="3189" xr:uid="{EAA98909-B759-4139-B0A4-1AE8CC0C4CC0}"/>
    <cellStyle name="Notiz 4 2 2 2 2" xfId="21502" xr:uid="{46480239-A055-4BB6-B2F2-AEF77A28B064}"/>
    <cellStyle name="Notiz 4 2 2 3" xfId="20589" xr:uid="{86C3FAA7-AC3D-43F8-8287-458DA2D0E9E5}"/>
    <cellStyle name="Notiz 4 2 3" xfId="320" xr:uid="{18574B26-4510-45BE-A073-353297BE75A3}"/>
    <cellStyle name="Notiz 4 2 3 2" xfId="321" xr:uid="{2C5495CC-E61B-4141-B168-3723F7767A23}"/>
    <cellStyle name="Notiz 4 2 3 2 2" xfId="3191" xr:uid="{9C1F9D1F-1002-4208-BA80-7C7C39A5F12C}"/>
    <cellStyle name="Notiz 4 2 3 2 2 2" xfId="21504" xr:uid="{4A0EA872-CEDB-4D55-9AF8-84AB60C4F21C}"/>
    <cellStyle name="Notiz 4 2 3 2 3" xfId="20591" xr:uid="{AD913D2B-0792-42BE-8E76-AE5E06A26DAE}"/>
    <cellStyle name="Notiz 4 2 3 3" xfId="3192" xr:uid="{55C07F54-ECB7-4DFF-B053-C3BE606A714D}"/>
    <cellStyle name="Notiz 4 2 3 3 2" xfId="20592" xr:uid="{815210DB-339F-44E8-877E-2797BADF3C15}"/>
    <cellStyle name="Notiz 4 2 3 4" xfId="3193" xr:uid="{99637CC3-9316-43FE-B372-115E61299184}"/>
    <cellStyle name="Notiz 4 2 3 4 2" xfId="20593" xr:uid="{189E669E-0EDA-4491-A743-848939105A22}"/>
    <cellStyle name="Notiz 4 2 3 5" xfId="3190" xr:uid="{6CFE4D2E-AC59-47C5-91C9-A4E5D16B74D6}"/>
    <cellStyle name="Notiz 4 2 3 5 2" xfId="21503" xr:uid="{45551FB9-D59F-45FC-83A9-7D8D225DFEC0}"/>
    <cellStyle name="Notiz 4 2 3 6" xfId="20590" xr:uid="{71B3BE38-31D9-436F-A1B9-0A08605FA0DD}"/>
    <cellStyle name="Notiz 4 2 4" xfId="322" xr:uid="{D36F2402-A73B-4415-B023-36638AABC2D8}"/>
    <cellStyle name="Notiz 4 2 4 2" xfId="323" xr:uid="{D85C254E-01DC-4AEC-90F1-AE9C72CD32E2}"/>
    <cellStyle name="Notiz 4 2 4 2 2" xfId="3195" xr:uid="{561BF673-B2F2-4D72-B506-481A103C7FE9}"/>
    <cellStyle name="Notiz 4 2 4 2 2 2" xfId="21506" xr:uid="{A254E622-C200-4ADA-B7BA-5BA6157816BD}"/>
    <cellStyle name="Notiz 4 2 4 2 3" xfId="20595" xr:uid="{8C8A04FE-72D2-4CEE-BDD6-CBB2F3AE1E21}"/>
    <cellStyle name="Notiz 4 2 4 3" xfId="3194" xr:uid="{211993C5-1C34-48AA-88D2-ED3C7745F6B9}"/>
    <cellStyle name="Notiz 4 2 4 3 2" xfId="21505" xr:uid="{2E1AD46D-553F-4B52-9190-065C7101B5B3}"/>
    <cellStyle name="Notiz 4 2 4 4" xfId="20594" xr:uid="{07D965F0-34CB-4018-A7DE-28CDA21EFFF4}"/>
    <cellStyle name="Notiz 4 2 5" xfId="3196" xr:uid="{62F431A7-AE7F-4889-8774-B78C4A68AADC}"/>
    <cellStyle name="Notiz 4 2 5 2" xfId="20596" xr:uid="{7A20E3CD-8113-4DC1-84AA-FE88C20CAD5B}"/>
    <cellStyle name="Notiz 4 2 6" xfId="3188" xr:uid="{20E3E044-4846-4591-A9C6-8812AD4DB545}"/>
    <cellStyle name="Notiz 4 2 6 2" xfId="21501" xr:uid="{3C22EDC8-C4CB-432A-9556-47385F95D201}"/>
    <cellStyle name="Notiz 4 2 7" xfId="20588" xr:uid="{16021AE1-F87B-41E4-ACFB-5C602ED2B21A}"/>
    <cellStyle name="Notiz 4 3" xfId="324" xr:uid="{F3D3F760-72BE-40EF-8121-09A79A486B2D}"/>
    <cellStyle name="Notiz 4 3 2" xfId="3197" xr:uid="{A5411654-4ABB-4EF4-A55E-E61FB8E1F6DE}"/>
    <cellStyle name="Notiz 4 3 2 2" xfId="21507" xr:uid="{E98B401B-808A-4969-8A19-CC39CC3249BA}"/>
    <cellStyle name="Notiz 4 3 3" xfId="20597" xr:uid="{F4C3F915-42CB-4A99-99FE-D57266AC0485}"/>
    <cellStyle name="Notiz 4 4" xfId="3198" xr:uid="{A6406E2B-7FFC-4366-992B-7ADB8F8F3CF1}"/>
    <cellStyle name="Notiz 4 4 2" xfId="3199" xr:uid="{264B3D8D-2EF1-442A-A364-4EA4A44B0594}"/>
    <cellStyle name="Notiz 4 4 2 2" xfId="20599" xr:uid="{D62322A6-5B10-49F8-80A4-885C26AE0D1B}"/>
    <cellStyle name="Notiz 4 4 3" xfId="20598" xr:uid="{070693C6-E663-430B-9308-23E6D598E684}"/>
    <cellStyle name="Notiz 4 5" xfId="3187" xr:uid="{0DA99B4D-6ECD-46C3-A865-4E48B7582C0B}"/>
    <cellStyle name="Notiz 4 5 2" xfId="20587" xr:uid="{4FB2522D-FCC7-4044-A9C0-B691C4A7D7FF}"/>
    <cellStyle name="Notiz 4 6" xfId="2870" xr:uid="{B9EC3DFC-5979-4A17-8EEA-BB29BBC45675}"/>
    <cellStyle name="Notiz 4 6 2" xfId="21176" xr:uid="{820B03EF-F8BC-4FBF-8486-9421B3E35195}"/>
    <cellStyle name="Notiz 4 7" xfId="20552" xr:uid="{8FABFEAF-CF8E-43FE-816C-EED6F8886203}"/>
    <cellStyle name="Notiz 5" xfId="325" xr:uid="{64B103C1-CA68-4B62-8988-4A5EB5A76270}"/>
    <cellStyle name="Notiz 5 2" xfId="326" xr:uid="{31992844-C14B-4412-B18B-FC1795B92E4A}"/>
    <cellStyle name="Notiz 5 2 2" xfId="327" xr:uid="{169D9860-3F02-4244-A0C2-4E84E498F1F3}"/>
    <cellStyle name="Notiz 5 2 2 2" xfId="3202" xr:uid="{714F842E-B4B0-4D48-8414-E3C5B9A8D234}"/>
    <cellStyle name="Notiz 5 2 2 2 2" xfId="21509" xr:uid="{90A84AE3-0760-49ED-BC65-C7B11748240E}"/>
    <cellStyle name="Notiz 5 2 2 3" xfId="20602" xr:uid="{1368A766-23E7-44A9-B0D6-206E04B59ECC}"/>
    <cellStyle name="Notiz 5 2 3" xfId="328" xr:uid="{10183EE0-B3DD-4251-8A84-1ED927041C2F}"/>
    <cellStyle name="Notiz 5 2 3 2" xfId="329" xr:uid="{806DF40C-3719-417B-92FB-FB46A1B3530D}"/>
    <cellStyle name="Notiz 5 2 3 2 2" xfId="3204" xr:uid="{B397E8AD-DA6A-44D4-8170-EE0C7D537DDF}"/>
    <cellStyle name="Notiz 5 2 3 2 2 2" xfId="21511" xr:uid="{8091FEA7-70C1-40B9-B204-CBE157A40645}"/>
    <cellStyle name="Notiz 5 2 3 2 3" xfId="20604" xr:uid="{ABD0EA2B-39C4-472E-9891-02CAA20D83EA}"/>
    <cellStyle name="Notiz 5 2 3 3" xfId="3205" xr:uid="{C7C41BDE-5CEE-4D18-89C3-5565CE92752F}"/>
    <cellStyle name="Notiz 5 2 3 3 2" xfId="20605" xr:uid="{4A72A32F-7D13-4C9A-A1C6-2DD566DFE7D8}"/>
    <cellStyle name="Notiz 5 2 3 4" xfId="3206" xr:uid="{150DB8AA-2C00-4610-80D6-39107CF5BB51}"/>
    <cellStyle name="Notiz 5 2 3 4 2" xfId="20606" xr:uid="{89E6D5C1-2171-4A0F-BA8F-8C18D4FA9F75}"/>
    <cellStyle name="Notiz 5 2 3 5" xfId="3203" xr:uid="{73DD22D2-23DB-4966-BC3E-58EEEDCA5527}"/>
    <cellStyle name="Notiz 5 2 3 5 2" xfId="21510" xr:uid="{4F427374-B6CD-416D-8A05-C7D80165CBF8}"/>
    <cellStyle name="Notiz 5 2 3 6" xfId="20603" xr:uid="{4AC34C91-CD49-4883-B920-7141C314D7EB}"/>
    <cellStyle name="Notiz 5 2 4" xfId="330" xr:uid="{CBA3AAB0-A9B0-4D58-93D3-7B23F16A9ECD}"/>
    <cellStyle name="Notiz 5 2 4 2" xfId="331" xr:uid="{39905D77-8238-4DE2-A7CD-01F726D6492D}"/>
    <cellStyle name="Notiz 5 2 4 2 2" xfId="3208" xr:uid="{5D896546-8E4B-402A-8FCB-C72CF827F4AD}"/>
    <cellStyle name="Notiz 5 2 4 2 2 2" xfId="21513" xr:uid="{FD2CFA5D-6D6D-414E-AA50-7ECDE1C4BC36}"/>
    <cellStyle name="Notiz 5 2 4 2 3" xfId="20608" xr:uid="{296CB7EC-27E4-42E3-B32F-62A704681421}"/>
    <cellStyle name="Notiz 5 2 4 3" xfId="3207" xr:uid="{ABF5B45C-2EAB-4E36-BAD5-D3D4ED27F9BB}"/>
    <cellStyle name="Notiz 5 2 4 3 2" xfId="21512" xr:uid="{29FA3B72-52EC-4322-963E-52B98BDF9EF9}"/>
    <cellStyle name="Notiz 5 2 4 4" xfId="20607" xr:uid="{C7A8E8BB-5607-478A-AF59-F97B65AC65A1}"/>
    <cellStyle name="Notiz 5 2 5" xfId="3209" xr:uid="{60CD90CC-94BF-4112-AE9E-1C2A6F12881C}"/>
    <cellStyle name="Notiz 5 2 5 2" xfId="20609" xr:uid="{754EF5A3-0E89-406B-AF0A-3638DA8D609F}"/>
    <cellStyle name="Notiz 5 2 6" xfId="3201" xr:uid="{CE0A6C13-1201-482F-83DC-B527AB620C7F}"/>
    <cellStyle name="Notiz 5 2 6 2" xfId="21508" xr:uid="{4AFD8686-1050-449A-9963-E45ED04913C3}"/>
    <cellStyle name="Notiz 5 2 7" xfId="20601" xr:uid="{86E8BA7C-A4C0-480F-9F3C-F902C4E9828F}"/>
    <cellStyle name="Notiz 5 3" xfId="332" xr:uid="{F4CF29A9-FC2D-488F-9CA3-47BC048E24DF}"/>
    <cellStyle name="Notiz 5 3 2" xfId="3210" xr:uid="{98A85D63-4E9D-412F-9895-C2C7DFA9B78C}"/>
    <cellStyle name="Notiz 5 3 2 2" xfId="21514" xr:uid="{5E6B3C15-3AFC-40E2-8CD6-055CD7C21085}"/>
    <cellStyle name="Notiz 5 3 3" xfId="20610" xr:uid="{F0238571-3268-469A-A45D-0313C1BBB492}"/>
    <cellStyle name="Notiz 5 4" xfId="3211" xr:uid="{454DDCA7-2FB7-42BC-B428-892072EF5B7F}"/>
    <cellStyle name="Notiz 5 4 2" xfId="3212" xr:uid="{5DD3A954-B5E8-4B68-9E71-BA085337EC70}"/>
    <cellStyle name="Notiz 5 4 2 2" xfId="20612" xr:uid="{3B2714F1-6852-4CAB-B61E-9662242CA241}"/>
    <cellStyle name="Notiz 5 4 3" xfId="20611" xr:uid="{17C3DF76-3677-4649-8ADB-2FEA7CA0CE3A}"/>
    <cellStyle name="Notiz 5 5" xfId="3200" xr:uid="{D33E3251-4AF1-46C1-A55A-54EAF87CA538}"/>
    <cellStyle name="Notiz 5 5 2" xfId="20600" xr:uid="{852FF2B1-9FF8-4D27-976E-42DD9296FD5B}"/>
    <cellStyle name="Notiz 5 6" xfId="2871" xr:uid="{0956576C-834A-49A7-B8EA-C0262272AE2A}"/>
    <cellStyle name="Notiz 5 6 2" xfId="21177" xr:uid="{CAF5A7AB-166B-4CA5-853E-C34CCB519761}"/>
    <cellStyle name="Notiz 5 7" xfId="20553" xr:uid="{06416F44-DDC3-4C95-B538-61F89D25DADF}"/>
    <cellStyle name="Notiz 6" xfId="333" xr:uid="{FFC38343-0FB9-46E7-A8E2-D34CBC19D786}"/>
    <cellStyle name="Notiz 6 2" xfId="334" xr:uid="{0EDAA238-FA48-404D-9717-102CA14E4C99}"/>
    <cellStyle name="Notiz 6 2 2" xfId="3214" xr:uid="{A3BB952A-3A49-4C42-BA7B-D6BBD01C9335}"/>
    <cellStyle name="Notiz 6 2 2 2" xfId="21516" xr:uid="{C325F680-70AB-4BD2-B75E-EAA996007E28}"/>
    <cellStyle name="Notiz 6 2 3" xfId="20614" xr:uid="{96F295AA-8F4C-4479-AE6B-E87DDAE2BF3F}"/>
    <cellStyle name="Notiz 6 3" xfId="335" xr:uid="{010557C8-4A97-4024-9CEB-2640ECC479BC}"/>
    <cellStyle name="Notiz 6 3 2" xfId="336" xr:uid="{FBD099A8-0F37-4AB6-8A92-D814A9F91FB6}"/>
    <cellStyle name="Notiz 6 3 2 2" xfId="3216" xr:uid="{BC80FBE6-D62F-40D3-931B-0BCD5DE4A427}"/>
    <cellStyle name="Notiz 6 3 2 2 2" xfId="21518" xr:uid="{B1B8A4AB-A588-42C5-A01C-8C2D2F0BD1EC}"/>
    <cellStyle name="Notiz 6 3 2 3" xfId="20616" xr:uid="{95D060FA-8517-41F3-AA31-623EC6F78956}"/>
    <cellStyle name="Notiz 6 3 3" xfId="3217" xr:uid="{7FD16E27-ECC3-41C2-A20B-42F65493B988}"/>
    <cellStyle name="Notiz 6 3 3 2" xfId="20617" xr:uid="{75981238-9457-4882-A516-B1D91679E432}"/>
    <cellStyle name="Notiz 6 3 4" xfId="3218" xr:uid="{56BD67BE-0393-44FF-BCFF-4E81FA2E402E}"/>
    <cellStyle name="Notiz 6 3 4 2" xfId="20618" xr:uid="{BB3DCA4C-BD72-4C21-AC3B-A3584FBEBDEF}"/>
    <cellStyle name="Notiz 6 3 5" xfId="3215" xr:uid="{A500B188-B28F-4266-A956-6AC4FF073EAD}"/>
    <cellStyle name="Notiz 6 3 5 2" xfId="21517" xr:uid="{844B5B85-104E-41C5-B66D-EDD4EC971FB5}"/>
    <cellStyle name="Notiz 6 3 6" xfId="20615" xr:uid="{51ADB9CB-4AF0-408B-A7F9-A5968421D5E9}"/>
    <cellStyle name="Notiz 6 4" xfId="337" xr:uid="{6DAB5BCA-8F89-4108-88A5-6BF0C859220B}"/>
    <cellStyle name="Notiz 6 4 2" xfId="338" xr:uid="{8C04E7A0-7FE6-4936-9B1E-758B07EBCF39}"/>
    <cellStyle name="Notiz 6 4 2 2" xfId="3220" xr:uid="{BF0C8AC5-EFA6-42AD-BEEC-40DD40D204AC}"/>
    <cellStyle name="Notiz 6 4 2 2 2" xfId="21520" xr:uid="{4030E0FF-40A5-48C7-BA84-BCB157C2B6C4}"/>
    <cellStyle name="Notiz 6 4 2 3" xfId="20620" xr:uid="{6B265A76-26E6-4433-A622-F6CE0AFDD72D}"/>
    <cellStyle name="Notiz 6 4 3" xfId="3219" xr:uid="{E9A0FE6E-F1B0-4E2C-8924-36AFDE010291}"/>
    <cellStyle name="Notiz 6 4 3 2" xfId="21519" xr:uid="{0428895E-C98E-48B9-8EC8-C938876FE97B}"/>
    <cellStyle name="Notiz 6 4 4" xfId="20619" xr:uid="{84F0D7E4-B577-4946-86E6-37C41DD962F5}"/>
    <cellStyle name="Notiz 6 5" xfId="3221" xr:uid="{D39C7F6C-4E7E-44BF-A6E5-AE49247A5E9F}"/>
    <cellStyle name="Notiz 6 5 2" xfId="20621" xr:uid="{A20AFECB-9788-4B3D-AE61-7831D3BC9203}"/>
    <cellStyle name="Notiz 6 6" xfId="3213" xr:uid="{4D368CA4-148C-4010-AC50-6103FBC0CD7B}"/>
    <cellStyle name="Notiz 6 6 2" xfId="21515" xr:uid="{A94570F0-19F6-486B-82CA-CF7D107EF381}"/>
    <cellStyle name="Notiz 6 7" xfId="20613" xr:uid="{43B4A76C-BB8E-48E4-BEBB-8E1F3052B7F9}"/>
    <cellStyle name="Notiz 7" xfId="339" xr:uid="{62EB8CF5-C4F3-4E46-B893-E9C621DD9EAC}"/>
    <cellStyle name="Notiz 7 2" xfId="340" xr:uid="{4D714A06-A487-42BB-B642-E196047851A3}"/>
    <cellStyle name="Notiz 7 2 2" xfId="3223" xr:uid="{F6A8B538-F89C-4339-8093-372AE87D5204}"/>
    <cellStyle name="Notiz 7 2 2 2" xfId="21522" xr:uid="{435E1BBB-E581-4D5C-A82E-D7E996D71F6B}"/>
    <cellStyle name="Notiz 7 2 3" xfId="20623" xr:uid="{39ED16F9-9AC4-4A2E-A7BF-B451DFBF56B2}"/>
    <cellStyle name="Notiz 7 3" xfId="3224" xr:uid="{86850F43-8FC2-4F2E-B9CC-1104F771A7A9}"/>
    <cellStyle name="Notiz 7 3 2" xfId="20624" xr:uid="{39F3BE8D-0515-4245-909B-9BA9565AE571}"/>
    <cellStyle name="Notiz 7 4" xfId="3225" xr:uid="{9A6213BF-5D76-4E21-8233-2EAF88A64C66}"/>
    <cellStyle name="Notiz 7 4 2" xfId="20625" xr:uid="{942A7A33-F8E5-483E-978C-11C5C637965A}"/>
    <cellStyle name="Notiz 7 5" xfId="3222" xr:uid="{0F37A639-4EC3-417E-8ED3-8D7E2FBBF352}"/>
    <cellStyle name="Notiz 7 5 2" xfId="21521" xr:uid="{DD32B868-B30E-4129-A513-82888216054F}"/>
    <cellStyle name="Notiz 7 6" xfId="20622" xr:uid="{F56FF4D9-7A33-449D-B8FF-C8820F5E12AE}"/>
    <cellStyle name="Notiz 8" xfId="341" xr:uid="{34CA9204-1BFB-463C-B1DB-B5C56D6E5CB9}"/>
    <cellStyle name="Notiz 8 2" xfId="342" xr:uid="{8A4B61B3-2769-449F-8E53-E17435CA4C15}"/>
    <cellStyle name="Notiz 8 2 2" xfId="3227" xr:uid="{0B67BBD5-4552-482B-8192-D89E542C3998}"/>
    <cellStyle name="Notiz 8 2 2 2" xfId="21524" xr:uid="{6C23A64D-F6D1-4C98-B369-58FC24E4C628}"/>
    <cellStyle name="Notiz 8 2 3" xfId="20627" xr:uid="{365AD899-E4D7-4C99-A074-ADCD2ACE1AD1}"/>
    <cellStyle name="Notiz 8 3" xfId="3228" xr:uid="{EDCDF2A9-11B8-40DF-B56B-82DB13F2A707}"/>
    <cellStyle name="Notiz 8 3 2" xfId="20628" xr:uid="{00F81788-8ADD-4EE6-A0B0-97E307FF7352}"/>
    <cellStyle name="Notiz 8 4" xfId="3229" xr:uid="{20B692CE-858A-436D-B2A3-2C852964EC73}"/>
    <cellStyle name="Notiz 8 4 2" xfId="20629" xr:uid="{1DC0B0FD-EAB1-4F35-9119-794F042B4F7F}"/>
    <cellStyle name="Notiz 8 5" xfId="3226" xr:uid="{F3715BB1-0126-4B93-842E-2C530D2D2F54}"/>
    <cellStyle name="Notiz 8 5 2" xfId="21523" xr:uid="{30DBC8EE-D6F7-4053-875C-5893F3AF5DA6}"/>
    <cellStyle name="Notiz 8 6" xfId="20626" xr:uid="{BD9C5A12-48BC-49D4-B8D0-BD958BE5E0CD}"/>
    <cellStyle name="Notiz 9" xfId="343" xr:uid="{506B921A-6B7A-46D8-92AC-5965B58E6D4F}"/>
    <cellStyle name="Notiz 9 2" xfId="344" xr:uid="{AC0C4025-2D8A-4580-A594-D07182E0D8C9}"/>
    <cellStyle name="Notiz 9 2 2" xfId="3230" xr:uid="{A6996BDC-E560-4E35-97C2-16439F777D36}"/>
    <cellStyle name="Notiz 9 2 2 2" xfId="21526" xr:uid="{B0209E86-4EC5-455B-BF4D-75D8235B494D}"/>
    <cellStyle name="Notiz 9 2 3" xfId="20631" xr:uid="{9B2AA2F7-40AA-463A-8A1B-F0491C9E425C}"/>
    <cellStyle name="Notiz 9 3" xfId="2683" xr:uid="{028CEFAD-89C7-4B64-80A5-7356158EACF3}"/>
    <cellStyle name="Notiz 9 3 2" xfId="21525" xr:uid="{A2368B28-4DDD-4F65-8B0B-2B4E22E7A5FB}"/>
    <cellStyle name="Notiz 9 4" xfId="20630" xr:uid="{57AB8E7B-E723-419D-9397-2BD7D4041C49}"/>
    <cellStyle name="Notiz_ADDON" xfId="19652" xr:uid="{CC45001D-54BD-4E90-B159-0A1E47C9EFC7}"/>
    <cellStyle name="Output 2" xfId="345" xr:uid="{4C10F151-B6E2-4241-ABBB-CE17E3ADB755}"/>
    <cellStyle name="Output 3" xfId="346" xr:uid="{D9B15191-894F-482A-976A-F81EF33FB7EE}"/>
    <cellStyle name="Output 3 10" xfId="5927" xr:uid="{5EF15B47-1A4C-4A4B-BB66-7BA92BB780B8}"/>
    <cellStyle name="Output 3 10 2" xfId="22929" xr:uid="{CB37AC9E-6938-462D-9350-49FE4B3E1191}"/>
    <cellStyle name="Output 3 2" xfId="5928" xr:uid="{D3D2296C-6480-44DB-BAF1-F3A16FCF5F4F}"/>
    <cellStyle name="Output 3 2 2" xfId="5929" xr:uid="{9FA0DA7F-D14D-4D4A-B59D-62CB86AB122C}"/>
    <cellStyle name="Output 3 2 2 2" xfId="22931" xr:uid="{BCFB893A-5E1B-412B-B910-EB791AC89F1B}"/>
    <cellStyle name="Output 3 2 3" xfId="22930" xr:uid="{76495E5B-20AB-481A-A556-452389C43EC1}"/>
    <cellStyle name="Output 3 3" xfId="5930" xr:uid="{CD5EB547-04FB-48D2-8032-09CEEFDFC49F}"/>
    <cellStyle name="Output 3 3 2" xfId="22932" xr:uid="{2A0AC5E4-3E96-4230-80CE-BB054241AFB3}"/>
    <cellStyle name="Output 3 4" xfId="5931" xr:uid="{407DEA6E-6929-4310-AC41-1494FD87D73C}"/>
    <cellStyle name="Output 3 4 2" xfId="22933" xr:uid="{48CB6A65-BBF1-4CA3-B72C-9ABEFA7B670E}"/>
    <cellStyle name="Output 3 5" xfId="5932" xr:uid="{703C557A-49BE-4914-92DD-68A19EEB8009}"/>
    <cellStyle name="Output 3 5 2" xfId="22934" xr:uid="{0A2CD286-4C87-4441-B98F-EC8133D5A15F}"/>
    <cellStyle name="Output 3 6" xfId="5933" xr:uid="{C760B3F7-E6C8-4A8F-BA05-CC8ADA8148B7}"/>
    <cellStyle name="Output 3 6 2" xfId="22935" xr:uid="{5E9A136C-A567-4344-8BC1-5453EEF52F30}"/>
    <cellStyle name="Output 3 7" xfId="5934" xr:uid="{F80CD6E0-4B23-40F9-8236-244DE14E6CC7}"/>
    <cellStyle name="Output 3 7 2" xfId="22936" xr:uid="{35435F09-10CA-489E-8FAE-669C0DFFF86C}"/>
    <cellStyle name="Output 3 8" xfId="5935" xr:uid="{AB38C2C4-4DFB-4381-B64F-3E9A72FBAC5A}"/>
    <cellStyle name="Output 3 9" xfId="5936" xr:uid="{035F5897-A4B8-4DA4-A81C-E296A16201BD}"/>
    <cellStyle name="Output 3 9 2" xfId="22937" xr:uid="{D49C2F76-69D8-4DC8-AA6E-E3813C08D6A2}"/>
    <cellStyle name="Output 4" xfId="5937" xr:uid="{5969A7ED-399F-402D-B27B-8F7126131B02}"/>
    <cellStyle name="Output 4 10" xfId="22938" xr:uid="{0CBC27E7-0D5E-4E80-84A1-D2C8C1B933DD}"/>
    <cellStyle name="Output 4 2" xfId="5938" xr:uid="{2477E32F-C39C-45C3-8CCE-64FAA41053F9}"/>
    <cellStyle name="Output 4 2 2" xfId="5939" xr:uid="{FF1308C9-F0A6-4B1B-B23C-06E098EA6221}"/>
    <cellStyle name="Output 4 2 2 2" xfId="22940" xr:uid="{D3E605C9-AB72-442D-B7D8-4C5B946C1BE3}"/>
    <cellStyle name="Output 4 2 3" xfId="22939" xr:uid="{A68A31D6-738D-46C6-8B17-7AB92137A9C0}"/>
    <cellStyle name="Output 4 3" xfId="5940" xr:uid="{7F9868F1-816C-4440-8EEC-81A7D01C0491}"/>
    <cellStyle name="Output 4 3 2" xfId="22941" xr:uid="{C81940C4-A0A7-4CDE-B602-E0754D1D7363}"/>
    <cellStyle name="Output 4 4" xfId="5941" xr:uid="{9030D9AA-5F79-4112-ABDD-15A91A57A52F}"/>
    <cellStyle name="Output 4 4 2" xfId="22942" xr:uid="{F3106630-C32A-4A14-898D-B4138A5F952D}"/>
    <cellStyle name="Output 4 5" xfId="5942" xr:uid="{25F46AFC-8E19-42F2-8369-4499A25D6571}"/>
    <cellStyle name="Output 4 5 2" xfId="22943" xr:uid="{0A1929CC-23AB-46E6-8C75-D04FAFA8C818}"/>
    <cellStyle name="Output 4 6" xfId="5943" xr:uid="{C09B7CDB-7FB5-4532-9A54-58812085262E}"/>
    <cellStyle name="Output 4 6 2" xfId="22944" xr:uid="{54DAD629-FD9E-4391-80FD-4B0BE3C082D0}"/>
    <cellStyle name="Output 4 7" xfId="5944" xr:uid="{0E07B5DF-6691-4839-A1BD-BA90119E0793}"/>
    <cellStyle name="Output 4 7 2" xfId="22945" xr:uid="{A723A3D4-A1B0-44AD-8FF2-587A5BC635B8}"/>
    <cellStyle name="Output 4 8" xfId="5945" xr:uid="{B562E662-D5D1-4CF6-850C-8A7D00C14394}"/>
    <cellStyle name="Output 4 8 2" xfId="22946" xr:uid="{812F4AD8-82AB-4F8D-9D50-115387BD8E3D}"/>
    <cellStyle name="Output 4 9" xfId="5946" xr:uid="{C6B7934B-7DB9-4376-9D1A-2FBC221F4907}"/>
    <cellStyle name="Output 4 9 2" xfId="22947" xr:uid="{62D0E39E-D841-4DCB-9250-8F0C150ACF25}"/>
    <cellStyle name="Percent" xfId="1" builtinId="5"/>
    <cellStyle name="Percent 10" xfId="348" xr:uid="{D2CB2BB2-F93B-4B1A-8202-59F0CF712E57}"/>
    <cellStyle name="Percent 10 2" xfId="349" xr:uid="{37A71B7D-C80B-4A11-9DF1-CB3CDDFD9F84}"/>
    <cellStyle name="Percent 10 3" xfId="3231" xr:uid="{4E4782A7-EC0D-450F-8FC2-2303042DD02B}"/>
    <cellStyle name="Percent 10 4" xfId="5947" xr:uid="{C13C99B7-CF11-4844-9FCE-C3350AD0B396}"/>
    <cellStyle name="Percent 10 4 2" xfId="5948" xr:uid="{219F5B9D-5709-4A11-B0A0-7861B65A50F5}"/>
    <cellStyle name="Percent 11" xfId="350" xr:uid="{588FD0A1-9D61-4DE0-B477-89AC647237E3}"/>
    <cellStyle name="Percent 11 2" xfId="351" xr:uid="{F67FA97B-17CB-4695-9DEE-181F84A13984}"/>
    <cellStyle name="Percent 11 2 2" xfId="3232" xr:uid="{879FF532-5F42-429F-B986-7D1BA46048A4}"/>
    <cellStyle name="Percent 11 3" xfId="2684" xr:uid="{DF606B6E-0EA0-4445-A952-3FDA587F9E5A}"/>
    <cellStyle name="Percent 12" xfId="352" xr:uid="{0BE0B380-019B-489A-B5B2-22E07111716A}"/>
    <cellStyle name="Percent 12 2" xfId="353" xr:uid="{896187D1-7133-4367-AFF9-39D9F042DB08}"/>
    <cellStyle name="Percent 12 2 2" xfId="3233" xr:uid="{8D93D6AC-5977-47EB-B9DB-2F32968904F0}"/>
    <cellStyle name="Percent 12 3" xfId="2685" xr:uid="{77099FAD-82A7-4642-A4C6-B3F6BDC95B2D}"/>
    <cellStyle name="Percent 13" xfId="354" xr:uid="{D6AC175E-F4D9-4101-8C17-812928A3A630}"/>
    <cellStyle name="Percent 13 2" xfId="355" xr:uid="{34F06566-7658-4153-9C6C-7D430173137C}"/>
    <cellStyle name="Percent 13 2 2" xfId="3235" xr:uid="{46A575FE-7296-4655-895C-02893E2607A7}"/>
    <cellStyle name="Percent 13 3" xfId="3234" xr:uid="{7860CA8E-6319-417A-AE26-44A201062BDE}"/>
    <cellStyle name="Percent 14" xfId="356" xr:uid="{DA1124E3-BAD4-4DF2-BB6A-C2DFEFEFDE55}"/>
    <cellStyle name="Percent 14 2" xfId="3236" xr:uid="{DEC577F4-CD5E-412A-B1E7-FE7551AB4FB3}"/>
    <cellStyle name="Percent 14 2 2" xfId="5949" xr:uid="{25A1C286-9122-4193-9F34-422716603FAF}"/>
    <cellStyle name="Percent 14 3" xfId="5950" xr:uid="{CEDEED72-814B-4C0D-A3DE-EFEB6EBA1748}"/>
    <cellStyle name="Percent 14 4" xfId="5951" xr:uid="{C2F27958-8B82-4FAF-A42F-636316747ABF}"/>
    <cellStyle name="Percent 14 5" xfId="5952" xr:uid="{512161FC-28CC-4321-8008-7D41093CFE1E}"/>
    <cellStyle name="Percent 14 6" xfId="5953" xr:uid="{71C3481E-D769-41FD-8F62-0340F924F4B6}"/>
    <cellStyle name="Percent 14 6 2" xfId="22948" xr:uid="{10C9884B-E9BA-4B37-A46C-BD6DF1FE9F3D}"/>
    <cellStyle name="Percent 16" xfId="5578" xr:uid="{BBF90EF4-3A46-4C4A-A481-84980A02A4DA}"/>
    <cellStyle name="Percent 17" xfId="5582" xr:uid="{61D7AC8F-8920-481A-A5FC-D7449C1C91C4}"/>
    <cellStyle name="Percent 17 2" xfId="20666" xr:uid="{DFD65B8C-A8D1-403D-A201-48C796739BB5}"/>
    <cellStyle name="Percent 18" xfId="5954" xr:uid="{A157E982-CA3A-470C-872A-0A10E04FFE95}"/>
    <cellStyle name="Percent 18 2" xfId="33670" xr:uid="{15885233-71FF-444C-8729-90C50A33AD46}"/>
    <cellStyle name="Percent 19" xfId="18032" xr:uid="{6C4FAC73-C3B8-4D1D-8F4D-D6DF2BF4CF45}"/>
    <cellStyle name="Percent 19 2" xfId="33680" xr:uid="{CDDE3302-D6A3-43CF-BDCB-BB17473FE99D}"/>
    <cellStyle name="Percent 2" xfId="2686" xr:uid="{365F14FE-DE31-43BD-B7F7-5004068B8443}"/>
    <cellStyle name="Percent 2 2" xfId="357" xr:uid="{22736F9A-A239-486C-A287-76D21B2DB729}"/>
    <cellStyle name="Percent 2 2 2" xfId="2872" xr:uid="{822754F6-E044-47A5-9E43-8559F92D3897}"/>
    <cellStyle name="Percent 2 3" xfId="358" xr:uid="{BDD43E31-E688-4518-A87C-B1ABB10D7C55}"/>
    <cellStyle name="Percent 2 3 2" xfId="2873" xr:uid="{641AE487-D368-4302-80AA-88F0EF6BA1BD}"/>
    <cellStyle name="Percent 2 4 2" xfId="5955" xr:uid="{654104BC-A874-4D00-8403-4062677C1447}"/>
    <cellStyle name="Percent 2 5" xfId="3237" xr:uid="{7401889C-93EA-4FB6-95AC-A819E5A41718}"/>
    <cellStyle name="Percent 2 6" xfId="19329" xr:uid="{80DFF632-9D72-4B8A-A4DB-51A5581A6572}"/>
    <cellStyle name="Percent 20" xfId="20480" xr:uid="{579D936D-8374-4AC8-ABCB-10CE6289DBB2}"/>
    <cellStyle name="Percent 21" xfId="20542" xr:uid="{7811FCDE-B39E-4BE1-8318-456277BD5CCC}"/>
    <cellStyle name="Percent 22" xfId="347" xr:uid="{2D14CA67-9600-4770-AA52-89CE10C8975C}"/>
    <cellStyle name="Percent 3" xfId="359" xr:uid="{42856755-BD2A-450F-A5E8-7E31F2E4809F}"/>
    <cellStyle name="Percent 3 10 2" xfId="360" xr:uid="{69E372AF-DD0E-4D67-837D-D922D64140D2}"/>
    <cellStyle name="Percent 3 10 2 2" xfId="3239" xr:uid="{B6FCD815-C73E-45CD-9841-12913AC91475}"/>
    <cellStyle name="Percent 3 10 3" xfId="3238" xr:uid="{FD33DB3F-44CC-49A1-9B81-954F34FA7FE5}"/>
    <cellStyle name="Percent 3 11" xfId="361" xr:uid="{2C48B64A-AF5C-4267-998B-F44E5DA45940}"/>
    <cellStyle name="Percent 3 11 2" xfId="5956" xr:uid="{3C1AB098-45BF-4712-8AFF-2C038A28D4DB}"/>
    <cellStyle name="Percent 3 11 3" xfId="5957" xr:uid="{D28DF084-7D36-4E50-AEF9-267B19581806}"/>
    <cellStyle name="Percent 3 11 4" xfId="5958" xr:uid="{AF38FBAC-2F02-42FE-8EE8-D41D5652E7B8}"/>
    <cellStyle name="Percent 3 11 5" xfId="5959" xr:uid="{707A39E6-7598-45E2-A15D-0A9749CEFEF1}"/>
    <cellStyle name="Percent 3 11 6" xfId="5960" xr:uid="{1F025331-99F5-4823-9B4D-452491FF1849}"/>
    <cellStyle name="Percent 3 11 6 2" xfId="22949" xr:uid="{AF66654D-4C18-41A7-B460-DA54FE2598B3}"/>
    <cellStyle name="Percent 3 12" xfId="5961" xr:uid="{531057A5-0356-453B-B9C0-C2F1250029ED}"/>
    <cellStyle name="Percent 3 12 2" xfId="5962" xr:uid="{A458C2FD-DCD4-4ED3-9EF2-0AC2F4E795C7}"/>
    <cellStyle name="Percent 3 12 3" xfId="5963" xr:uid="{29958694-1DDE-4CDA-B19E-86B0D0DD9B85}"/>
    <cellStyle name="Percent 3 13" xfId="5964" xr:uid="{93B8FE27-ED5C-49AC-A368-03A6FB1964EB}"/>
    <cellStyle name="Percent 3 13 2" xfId="5965" xr:uid="{66B23D2B-1FA0-41B9-AE73-32141C895F67}"/>
    <cellStyle name="Percent 3 14" xfId="5966" xr:uid="{B22EE324-1340-4D35-B47B-EB87BB04194F}"/>
    <cellStyle name="Percent 3 14 2" xfId="5967" xr:uid="{D13E38EB-AAAE-4A06-A442-86A5E25434A2}"/>
    <cellStyle name="Percent 3 2" xfId="362" xr:uid="{7EC4CED8-EC68-457A-945C-74AAFFFF7A42}"/>
    <cellStyle name="Percent 3 2 2" xfId="363" xr:uid="{4318CD39-6138-405F-9B6D-BD9A9DA4DB80}"/>
    <cellStyle name="Percent 3 2 2 2" xfId="364" xr:uid="{595E0293-3FC7-436A-B7C2-5A4EA79D8201}"/>
    <cellStyle name="Percent 3 2 2 3" xfId="2875" xr:uid="{4F0C9CAA-A32E-4E45-A739-FDB3EC5CE8C3}"/>
    <cellStyle name="Percent 3 2 3" xfId="365" xr:uid="{FDA9AB83-CD85-43A2-8906-E00F5DD9EF4C}"/>
    <cellStyle name="Percent 3 2 3 2" xfId="366" xr:uid="{298B3024-06A0-4FF6-A4C8-A3FC01E5DE1E}"/>
    <cellStyle name="Percent 3 2 3 2 2" xfId="3242" xr:uid="{0DCDBF88-ED5D-4F9F-945F-CE13B119DB98}"/>
    <cellStyle name="Percent 3 2 3 3" xfId="367" xr:uid="{379B9CDC-2EAE-41D6-8C32-398738EFE047}"/>
    <cellStyle name="Percent 3 2 3 3 2" xfId="368" xr:uid="{D52C62D7-D18B-40DD-B422-76293CC07C93}"/>
    <cellStyle name="Percent 3 2 3 3 2 2" xfId="3244" xr:uid="{8AAD65C2-AD99-4F5A-AA88-184E32F594DF}"/>
    <cellStyle name="Percent 3 2 3 3 3" xfId="3245" xr:uid="{D195162A-423F-4E7F-951A-9C3AB07851A3}"/>
    <cellStyle name="Percent 3 2 3 3 4" xfId="3246" xr:uid="{E2349FDB-A99A-4835-B114-32B62BC3C3D3}"/>
    <cellStyle name="Percent 3 2 3 3 5" xfId="3243" xr:uid="{E793F495-10F2-4437-83D1-3D72118E3AF6}"/>
    <cellStyle name="Percent 3 2 3 4" xfId="369" xr:uid="{88DD6568-6259-43D5-8FA3-DBA5A12F9EBD}"/>
    <cellStyle name="Percent 3 2 3 4 2" xfId="370" xr:uid="{D5893F67-345A-497F-A228-A4E8A7F32971}"/>
    <cellStyle name="Percent 3 2 3 4 2 2" xfId="3248" xr:uid="{2B67BF36-A4D5-47A3-BA72-8F8400652C80}"/>
    <cellStyle name="Percent 3 2 3 4 3" xfId="3247" xr:uid="{A2F3C0E5-18D4-4255-888D-177B92C03CBA}"/>
    <cellStyle name="Percent 3 2 3 5" xfId="3249" xr:uid="{E8FEC020-9A64-496B-8270-3E68A89EDE88}"/>
    <cellStyle name="Percent 3 2 3 6" xfId="3241" xr:uid="{688B2558-8DAF-4102-B367-DBBC5E335B7A}"/>
    <cellStyle name="Percent 3 2 4" xfId="371" xr:uid="{05D8F362-42AD-4A81-8325-C766732A0CA9}"/>
    <cellStyle name="Percent 3 2 4 2" xfId="3251" xr:uid="{C3CFD781-7A09-4AE6-ADF6-B59DBDB33792}"/>
    <cellStyle name="Percent 3 2 4 3" xfId="3252" xr:uid="{774B83F5-2D94-4E54-B705-16741490C96F}"/>
    <cellStyle name="Percent 3 2 4 4" xfId="3250" xr:uid="{7261C6AA-670B-405A-8B2E-8418870A4C1A}"/>
    <cellStyle name="Percent 3 2 5" xfId="3253" xr:uid="{1F734642-DE44-4562-96D0-8A9307E2325F}"/>
    <cellStyle name="Percent 3 2 5 2" xfId="5968" xr:uid="{0678F6A5-98B4-41C6-A2D3-A0B7D06FF0FA}"/>
    <cellStyle name="Percent 3 2 6" xfId="3254" xr:uid="{B1A193DC-7BDD-4464-BE9E-89B873FAB840}"/>
    <cellStyle name="Percent 3 2 7" xfId="3240" xr:uid="{7E8C0DE6-3ACC-444B-98E5-BD3230E2C6A1}"/>
    <cellStyle name="Percent 3 2 8" xfId="2874" xr:uid="{07A2F79E-B96B-4470-8AD4-BC5E074DA4A0}"/>
    <cellStyle name="Percent 3 3" xfId="372" xr:uid="{E000A651-5752-496E-B1E6-3629B24983D4}"/>
    <cellStyle name="Percent 3 3 2" xfId="373" xr:uid="{0B768391-D6D7-4D40-8F7E-E8DE5BC0EE9C}"/>
    <cellStyle name="Percent 3 3 2 2" xfId="374" xr:uid="{21B68889-289A-4758-8741-B1DB8DEF170C}"/>
    <cellStyle name="Percent 3 3 2 2 2" xfId="3255" xr:uid="{7B7CCE42-8088-4362-B165-DBF61AD64CA0}"/>
    <cellStyle name="Percent 3 3 2 3" xfId="2877" xr:uid="{4BEE69C1-0ED2-4EFA-8C1A-DCF8E1A347DD}"/>
    <cellStyle name="Percent 3 3 3" xfId="375" xr:uid="{D94EB08D-04B0-441E-9B30-C62965D2C2BF}"/>
    <cellStyle name="Percent 3 3 3 2" xfId="376" xr:uid="{B6CFC357-B9BC-4554-9BDF-0A8CFC78A04D}"/>
    <cellStyle name="Percent 3 3 3 2 2" xfId="3257" xr:uid="{65BAA884-2463-469B-8D51-68F19882606C}"/>
    <cellStyle name="Percent 3 3 3 3" xfId="377" xr:uid="{CD871453-6FD2-4D44-A62A-2728DFD96DEB}"/>
    <cellStyle name="Percent 3 3 3 3 2" xfId="378" xr:uid="{7D51A23B-6382-4D55-8B83-15027603D229}"/>
    <cellStyle name="Percent 3 3 3 3 2 2" xfId="3259" xr:uid="{5E61C2FD-25D1-4ADC-A4A7-0454CFB48DDA}"/>
    <cellStyle name="Percent 3 3 3 3 3" xfId="3260" xr:uid="{35DB7E32-464F-48A0-9BB8-4CFE493F5A4B}"/>
    <cellStyle name="Percent 3 3 3 3 4" xfId="3261" xr:uid="{D96E4250-3AEE-49B6-877D-F3E8D67E3876}"/>
    <cellStyle name="Percent 3 3 3 3 5" xfId="3258" xr:uid="{D85DF9D2-8D96-48DF-8C77-6B1F27B7412C}"/>
    <cellStyle name="Percent 3 3 3 4" xfId="379" xr:uid="{A75B9350-EF91-4FF6-8A32-6B9944E9E93A}"/>
    <cellStyle name="Percent 3 3 3 4 2" xfId="380" xr:uid="{779AE2FE-CE00-4F5D-B29E-9236FFCFFA48}"/>
    <cellStyle name="Percent 3 3 3 4 2 2" xfId="3263" xr:uid="{852C8894-9A70-4D71-9BF6-DA14D1C6CC56}"/>
    <cellStyle name="Percent 3 3 3 4 3" xfId="3262" xr:uid="{935791F9-94A6-439D-BFD0-CFB762DF6E03}"/>
    <cellStyle name="Percent 3 3 3 5" xfId="3264" xr:uid="{0CF76A40-636C-4D73-B245-CB10E4BAA339}"/>
    <cellStyle name="Percent 3 3 3 6" xfId="3256" xr:uid="{64E06328-409C-4EAD-B49D-00955D242B96}"/>
    <cellStyle name="Percent 3 3 4" xfId="2876" xr:uid="{2F5FC2C6-2E60-49C3-88A3-90E64559D0DD}"/>
    <cellStyle name="Percent 3 3 4 2" xfId="5969" xr:uid="{27ED3F89-35A3-4A91-8E63-75F9A8142D45}"/>
    <cellStyle name="Percent 3 4" xfId="381" xr:uid="{D13E4CD6-9882-46B1-B1FF-C1A89D0C4694}"/>
    <cellStyle name="Percent 3 4 2" xfId="382" xr:uid="{8CCB34D8-AB5A-48ED-A1F2-E173B58E8CDE}"/>
    <cellStyle name="Percent 3 4 2 2" xfId="383" xr:uid="{D2D969D6-CD44-4FCD-9EF6-21D5EEECC114}"/>
    <cellStyle name="Percent 3 4 2 2 2" xfId="3267" xr:uid="{57509C71-FBD8-4021-88A4-1E0AE969FC07}"/>
    <cellStyle name="Percent 3 4 2 3" xfId="384" xr:uid="{73945213-E508-46E0-905B-8CB6AC0D60A0}"/>
    <cellStyle name="Percent 3 4 2 3 2" xfId="385" xr:uid="{B8B4D827-DBEC-4C6B-A315-6B3CBEFCB259}"/>
    <cellStyle name="Percent 3 4 2 3 2 2" xfId="3269" xr:uid="{83A13F07-4910-47F0-B2E8-485139FA9311}"/>
    <cellStyle name="Percent 3 4 2 3 3" xfId="3270" xr:uid="{A1223032-9CDA-4FBB-8811-20804C4B4A23}"/>
    <cellStyle name="Percent 3 4 2 3 4" xfId="3271" xr:uid="{A801E45F-0C36-4741-93AF-9FDF3EC0FCA0}"/>
    <cellStyle name="Percent 3 4 2 3 5" xfId="3268" xr:uid="{3F8A55FF-9FA5-44B3-8B22-62A78A91EB82}"/>
    <cellStyle name="Percent 3 4 2 4" xfId="386" xr:uid="{EDB8428B-E1E3-4A6F-95D7-5DECA583037A}"/>
    <cellStyle name="Percent 3 4 2 4 2" xfId="387" xr:uid="{017575EE-FDAB-416B-A7AE-76F82B30042C}"/>
    <cellStyle name="Percent 3 4 2 4 2 2" xfId="3273" xr:uid="{1A8B10D9-1465-4A71-92EB-F219DC57192A}"/>
    <cellStyle name="Percent 3 4 2 4 3" xfId="3272" xr:uid="{E53A5C8F-4322-4C6B-8283-07F81761899B}"/>
    <cellStyle name="Percent 3 4 2 5" xfId="3274" xr:uid="{9C9D7ED4-9259-4836-AC60-364707D6E09B}"/>
    <cellStyle name="Percent 3 4 2 6" xfId="3266" xr:uid="{265B743B-D5D7-49D7-ABDE-3FB7EB465442}"/>
    <cellStyle name="Percent 3 4 3" xfId="388" xr:uid="{1A4524DC-C845-4597-891B-0B8C47254DD7}"/>
    <cellStyle name="Percent 3 4 3 2" xfId="3275" xr:uid="{BE5D68B8-51AF-46F1-8265-ACC2ADDB21E1}"/>
    <cellStyle name="Percent 3 4 4" xfId="3276" xr:uid="{29765E01-5D4E-4B2F-9F83-191E6BDFAFD1}"/>
    <cellStyle name="Percent 3 4 4 2" xfId="3277" xr:uid="{7166F135-3882-42E6-AD8E-DF17F4859085}"/>
    <cellStyle name="Percent 3 4 5" xfId="3265" xr:uid="{718C7EA8-C1C1-4F87-9AA6-2019C1B8DD73}"/>
    <cellStyle name="Percent 3 4 6" xfId="2878" xr:uid="{71501BC7-95E4-48E5-A986-958DCD9BBD54}"/>
    <cellStyle name="Percent 3 5" xfId="389" xr:uid="{2722F895-5C18-4EBE-8477-13F5776DCB5F}"/>
    <cellStyle name="Percent 3 5 2" xfId="390" xr:uid="{639DB57B-03CB-4792-A354-FAA65EED1769}"/>
    <cellStyle name="Percent 3 5 2 2" xfId="3279" xr:uid="{2A129923-4CBB-4F8F-99A4-FBD6C14CF3E8}"/>
    <cellStyle name="Percent 3 5 3" xfId="391" xr:uid="{6705D10D-8B68-44AC-AE02-745FDB5C969A}"/>
    <cellStyle name="Percent 3 5 3 2" xfId="392" xr:uid="{0BBBDF0A-BE0F-4201-AE2E-8CDDB6B0347E}"/>
    <cellStyle name="Percent 3 5 3 2 2" xfId="3281" xr:uid="{F8CC4C28-999C-4B6E-8F0C-1327F00EB8E4}"/>
    <cellStyle name="Percent 3 5 3 3" xfId="3282" xr:uid="{B59E7138-2EAC-4806-9854-2BFC81F38A77}"/>
    <cellStyle name="Percent 3 5 3 4" xfId="3283" xr:uid="{0EBF7A49-2947-48BF-85F0-A8A305B0A1AC}"/>
    <cellStyle name="Percent 3 5 3 5" xfId="3280" xr:uid="{53E9C91A-E2F0-4229-A64B-BEEE8208201A}"/>
    <cellStyle name="Percent 3 5 4" xfId="393" xr:uid="{504F1676-8D11-4EA8-9EDB-09AA81645489}"/>
    <cellStyle name="Percent 3 5 4 2" xfId="394" xr:uid="{13468E42-B0F5-47CA-B0D8-97203164F1E8}"/>
    <cellStyle name="Percent 3 5 4 2 2" xfId="3285" xr:uid="{DCF08E4B-D914-4C08-956D-46069C3720D3}"/>
    <cellStyle name="Percent 3 5 4 3" xfId="3284" xr:uid="{53D22298-B52D-41C4-8230-4A5D1BF20DEF}"/>
    <cellStyle name="Percent 3 5 5" xfId="3286" xr:uid="{7BDBDEEC-EBAC-4419-9D7A-CE2591871CA9}"/>
    <cellStyle name="Percent 3 5 6" xfId="3278" xr:uid="{BED94C59-50D4-443E-B921-7B8D8CBE29AD}"/>
    <cellStyle name="Percent 3 6" xfId="395" xr:uid="{43326008-B2F2-4484-9619-8996DDE2810F}"/>
    <cellStyle name="Percent 3 6 2" xfId="396" xr:uid="{C68D1790-8D79-40A0-A8F3-D55921B45658}"/>
    <cellStyle name="Percent 3 6 2 2" xfId="3288" xr:uid="{8DB935E4-9EFA-4DE0-B2D8-1878C1DED597}"/>
    <cellStyle name="Percent 3 6 3" xfId="3289" xr:uid="{536F9BC1-ABCF-456D-8D6D-9BE631D8157D}"/>
    <cellStyle name="Percent 3 6 4" xfId="3290" xr:uid="{EBDD2753-CD47-4653-B864-1F367446F1B8}"/>
    <cellStyle name="Percent 3 6 5" xfId="3287" xr:uid="{01B6D897-D311-40ED-B708-8F1C0C44E191}"/>
    <cellStyle name="Percent 3 7" xfId="397" xr:uid="{84ED9C0B-08E0-4962-83FC-7BFEC0478AF3}"/>
    <cellStyle name="Percent 3 7 2" xfId="398" xr:uid="{2670C8D0-34FA-4780-8E35-EA68725EE8C8}"/>
    <cellStyle name="Percent 3 7 2 2" xfId="3292" xr:uid="{356A359E-FC74-4C20-83C5-B65A31D3FFEE}"/>
    <cellStyle name="Percent 3 7 3" xfId="3293" xr:uid="{FC8EA017-27E4-443B-9226-EADADBE96595}"/>
    <cellStyle name="Percent 3 7 4" xfId="3294" xr:uid="{5F0D4552-19E1-48A9-AC02-AA7CFFA51688}"/>
    <cellStyle name="Percent 3 7 5" xfId="3291" xr:uid="{BD66BAEF-F4EB-40FF-9D17-3B46A8F950BB}"/>
    <cellStyle name="Percent 3 8" xfId="399" xr:uid="{41E06C4B-AC05-4457-8F73-E5C79A9E61AA}"/>
    <cellStyle name="Percent 3 8 2" xfId="400" xr:uid="{A28D7573-7E95-4463-AE09-DE08C9A6F029}"/>
    <cellStyle name="Percent 3 8 3" xfId="2687" xr:uid="{67CCB973-6495-413C-B313-0F988D5B17BD}"/>
    <cellStyle name="Percent 3 9 2" xfId="401" xr:uid="{F6B9F240-60A6-4B40-BB8D-D886622AC267}"/>
    <cellStyle name="Percent 3 9 3" xfId="2688" xr:uid="{D09E4BE0-22E1-4569-93DF-24CC08722D83}"/>
    <cellStyle name="Percent 4 2" xfId="402" xr:uid="{E64A3B7F-6394-4840-8D96-B0154E47C550}"/>
    <cellStyle name="Percent 4 2 2 2" xfId="2880" xr:uid="{7211B7D7-D51D-4A93-A9A2-8D9B389CB926}"/>
    <cellStyle name="Percent 4 2 4" xfId="2879" xr:uid="{E220F318-84E2-4241-A0C1-75BD81093233}"/>
    <cellStyle name="Percent 4 3 2" xfId="403" xr:uid="{5B908159-BDF9-4DA5-8420-A13B07E1D97F}"/>
    <cellStyle name="Percent 4 3 3 2" xfId="3295" xr:uid="{7E287E6E-9D0B-4B40-B027-1D7DE5D4367A}"/>
    <cellStyle name="Percent 4 4 2" xfId="404" xr:uid="{911D9E7F-4C70-4820-8F02-A118E7168F60}"/>
    <cellStyle name="Percent 4 4 3" xfId="405" xr:uid="{1243F3FC-A1B5-44F2-8767-52A267808A4F}"/>
    <cellStyle name="Percent 4 4 3 2 2" xfId="3297" xr:uid="{81136676-BDB4-4DCD-8597-DCD8192D42B7}"/>
    <cellStyle name="Percent 4 4 3 4" xfId="3298" xr:uid="{F1AD79AC-C075-4512-A3DA-E341F28915DB}"/>
    <cellStyle name="Percent 4 4 4" xfId="406" xr:uid="{5C8E81B6-0EE5-4777-9B06-1DEA2653D6EC}"/>
    <cellStyle name="Percent 4 4 4 2 2" xfId="3299" xr:uid="{7F8F3F66-FA38-4833-8DAC-97424B1DDC6C}"/>
    <cellStyle name="Percent 4 4 5" xfId="3296" xr:uid="{C858C2D9-8928-46BE-91CA-262B128B42DD}"/>
    <cellStyle name="Percent 4 5 2" xfId="3300" xr:uid="{250BE955-A407-4916-9FCA-F533BA677C8F}"/>
    <cellStyle name="Percent 4 6 2" xfId="3301" xr:uid="{44D7136F-04DD-4236-AE2B-25F7D6C7EED2}"/>
    <cellStyle name="Percent 4 7" xfId="3302" xr:uid="{D8433018-7EF0-4CDF-9ED1-4FD9158053B0}"/>
    <cellStyle name="Percent 5" xfId="407" xr:uid="{1CC3E006-C574-4DBF-9A9D-D22330E996D1}"/>
    <cellStyle name="Percent 5 2 2" xfId="408" xr:uid="{2A825829-7B3A-48FB-BB1F-F706D7B6FBF3}"/>
    <cellStyle name="Percent 5 2 3" xfId="3304" xr:uid="{11F3DF80-65B4-4044-94A9-D3B8AC402851}"/>
    <cellStyle name="Percent 5 3" xfId="409" xr:uid="{34E4DC7E-C7A0-4E31-BCFB-C99C55BD9F38}"/>
    <cellStyle name="Percent 5 4" xfId="410" xr:uid="{F23A95A0-B799-48E7-900B-5D290B863627}"/>
    <cellStyle name="Percent 5 4 2 2" xfId="3306" xr:uid="{5283BA8D-63F7-4EC7-80D6-E4413E2556CB}"/>
    <cellStyle name="Percent 5 4 4" xfId="3305" xr:uid="{A2EB6FBA-5D6D-4251-9F66-3F294F8A9E75}"/>
    <cellStyle name="Percent 5 5 2" xfId="5970" xr:uid="{7A74E6E9-79EB-47A6-824E-AB6B2E2F3181}"/>
    <cellStyle name="Percent 5 6" xfId="3307" xr:uid="{DA21F3D9-857D-49C9-AC77-6113755DFA54}"/>
    <cellStyle name="Percent 5 6 3" xfId="5971" xr:uid="{448FC88B-FAEF-43F0-BD77-CB96584AF441}"/>
    <cellStyle name="Percent 5 8" xfId="3303" xr:uid="{83F5CE77-E39E-4418-8AFF-1B90B25DBE46}"/>
    <cellStyle name="Percent 6" xfId="411" xr:uid="{0109DAFD-0D8A-459B-BB69-F622B1C51971}"/>
    <cellStyle name="Percent 6 2 2" xfId="412" xr:uid="{C6D615BC-B126-495A-A439-7AAC3B959EAC}"/>
    <cellStyle name="Percent 6 2 3 2" xfId="3308" xr:uid="{C388EF59-6686-4F3F-AF00-0AB6500C0376}"/>
    <cellStyle name="Percent 6 3 2" xfId="413" xr:uid="{05675F29-FF49-4067-87A7-AD875949C0BB}"/>
    <cellStyle name="Percent 6 3 3" xfId="414" xr:uid="{60801B13-4DA0-424F-AC10-31AFB03162F9}"/>
    <cellStyle name="Percent 6 3 3 2 2" xfId="3310" xr:uid="{9AAC52DC-D198-4525-A257-217DF1C153C0}"/>
    <cellStyle name="Percent 6 3 3 4" xfId="3311" xr:uid="{7A96DC0C-8205-4551-9677-EFC7F5D3E77D}"/>
    <cellStyle name="Percent 6 3 4" xfId="415" xr:uid="{79F593FF-B032-4CA9-B9A0-CEB8BD2D9DDE}"/>
    <cellStyle name="Percent 6 3 4 2 2" xfId="3312" xr:uid="{A4BD84A7-FBA1-4464-B286-D9A54042EDA2}"/>
    <cellStyle name="Percent 6 3 5" xfId="3309" xr:uid="{905DCD92-8A15-4192-9DFC-8B9CEB2B50F3}"/>
    <cellStyle name="Percent 6 4 2" xfId="3313" xr:uid="{7AC98255-4694-4594-82D0-46D388DC5618}"/>
    <cellStyle name="Percent 6 5" xfId="2881" xr:uid="{947A5003-63ED-4D8B-8B2D-B0F3D477D6EB}"/>
    <cellStyle name="Percent 6 5 2" xfId="5972" xr:uid="{3BCEBD89-988B-47FB-9892-8B9D90707585}"/>
    <cellStyle name="Percent 7" xfId="416" xr:uid="{E9580BCE-9359-4E63-BA20-C87F5B0E79D7}"/>
    <cellStyle name="Percent 7 2" xfId="417" xr:uid="{355E208E-CDD3-433B-8931-BBE666CB244F}"/>
    <cellStyle name="Percent 7 2 2" xfId="418" xr:uid="{1D73D5DB-6978-42EF-879E-9B7C99EBF5E5}"/>
    <cellStyle name="Percent 7 2 2 2" xfId="3316" xr:uid="{C6452EEB-5E22-4F94-91DD-38FB62686FE6}"/>
    <cellStyle name="Percent 7 2 3" xfId="419" xr:uid="{4670C489-90BF-4B7E-AA9A-B7170710D75B}"/>
    <cellStyle name="Percent 7 2 3 2" xfId="420" xr:uid="{C94AD375-C587-4AA6-81DB-58BA278FF2D0}"/>
    <cellStyle name="Percent 7 2 3 2 2" xfId="3318" xr:uid="{105BF267-7889-4281-90C5-A56FB63C5469}"/>
    <cellStyle name="Percent 7 2 3 3" xfId="3319" xr:uid="{959B702E-216A-4F8A-BFE1-1C653D91413A}"/>
    <cellStyle name="Percent 7 2 3 4" xfId="3320" xr:uid="{8C1CB0A9-2FA8-4D64-80EE-B499A6BC7B1C}"/>
    <cellStyle name="Percent 7 2 3 5" xfId="3317" xr:uid="{26930A3A-1CEB-4462-A973-70D5C06E2B94}"/>
    <cellStyle name="Percent 7 2 4" xfId="421" xr:uid="{34284283-09AD-44F9-9FC0-B0A8592BFE49}"/>
    <cellStyle name="Percent 7 2 4 2" xfId="422" xr:uid="{49AD691C-6AB4-45DF-B647-C13BA34C9281}"/>
    <cellStyle name="Percent 7 2 4 2 2" xfId="3322" xr:uid="{0C469E9B-4BF8-49FE-A98C-B8C347070CFB}"/>
    <cellStyle name="Percent 7 2 4 3" xfId="3321" xr:uid="{B119AD8B-3C97-414D-AA9F-A3C401020955}"/>
    <cellStyle name="Percent 7 2 5" xfId="3323" xr:uid="{93F63487-3BBA-407F-925D-E3A45F684D8C}"/>
    <cellStyle name="Percent 7 2 6" xfId="3315" xr:uid="{7F9CDCC5-8670-4695-8BE9-5D4D661E403E}"/>
    <cellStyle name="Percent 7 3" xfId="423" xr:uid="{B0B7AACB-B84B-4B6E-9033-50BBE978DFFF}"/>
    <cellStyle name="Percent 7 3 2" xfId="424" xr:uid="{F83A3F52-6F5F-4C1F-9DC9-3FDBD96D0BDC}"/>
    <cellStyle name="Percent 7 3 3" xfId="3324" xr:uid="{8D3A8009-E954-42C6-91C5-324261DB2318}"/>
    <cellStyle name="Percent 7 3 4" xfId="5973" xr:uid="{58698D06-BDDC-48A4-BED2-C62C343E38CA}"/>
    <cellStyle name="Percent 7 3 4 2" xfId="5974" xr:uid="{AD7607E2-09CE-4273-8D96-1FA6A0901D4C}"/>
    <cellStyle name="Percent 7 4" xfId="425" xr:uid="{B79CFCB6-5E0D-467C-95B7-489841E5BAD3}"/>
    <cellStyle name="Percent 7 4 2" xfId="3326" xr:uid="{D642CE95-8642-43F7-9180-797DC78CD190}"/>
    <cellStyle name="Percent 7 4 3" xfId="3325" xr:uid="{CA9C4323-E627-42DF-B907-70E0A933C600}"/>
    <cellStyle name="Percent 7 5" xfId="3327" xr:uid="{AB78FAB6-465D-4069-AC97-255135EE6226}"/>
    <cellStyle name="Percent 7 6" xfId="3314" xr:uid="{4ACA5204-E10D-47FC-8713-78B4D463566E}"/>
    <cellStyle name="Percent 8" xfId="426" xr:uid="{143AF3AA-3A99-4F31-94A7-3CEB1347B721}"/>
    <cellStyle name="Percent 8 2" xfId="5975" xr:uid="{5DCC3DFA-B37B-4396-B386-6C514247C83C}"/>
    <cellStyle name="Percent 8 3" xfId="5976" xr:uid="{76385CE6-A80A-4084-8A8C-4DC3D3517515}"/>
    <cellStyle name="Percent 8 4" xfId="5977" xr:uid="{67BFF47D-2647-43C7-9073-8BEE0C458B75}"/>
    <cellStyle name="Percent 9" xfId="427" xr:uid="{2002B44B-6092-487B-980C-2F4B3D5900AB}"/>
    <cellStyle name="Percent 9 2" xfId="428" xr:uid="{B68988AA-3C98-4A08-99A7-EDA269BF4EE9}"/>
    <cellStyle name="Percent 9 2 2" xfId="3329" xr:uid="{1ADA1657-11B2-4578-AAD0-F6BE09230DFA}"/>
    <cellStyle name="Percent 9 3" xfId="429" xr:uid="{A1D957D2-0B8D-45E1-BA53-7AAC5E73FAC4}"/>
    <cellStyle name="Percent 9 3 2" xfId="430" xr:uid="{12B35084-6C37-4849-81C1-161255FAF371}"/>
    <cellStyle name="Percent 9 3 2 2" xfId="3331" xr:uid="{C62954C5-0B5A-4BB7-81B7-DD8823ECBB8F}"/>
    <cellStyle name="Percent 9 3 3" xfId="3332" xr:uid="{E5CCF66D-4D85-4281-AF50-77B64F457C50}"/>
    <cellStyle name="Percent 9 3 4" xfId="3333" xr:uid="{FDF3643F-079C-47E8-8C97-30752E65A9CF}"/>
    <cellStyle name="Percent 9 3 5" xfId="3330" xr:uid="{F043F0AB-E496-4A27-9CBB-470945DC784A}"/>
    <cellStyle name="Percent 9 4" xfId="431" xr:uid="{143F4F61-8015-4A22-A2E0-AD4B23816D73}"/>
    <cellStyle name="Percent 9 4 2" xfId="432" xr:uid="{298E4A83-E0CB-4529-A81C-FA306436B95D}"/>
    <cellStyle name="Percent 9 4 2 2" xfId="3335" xr:uid="{7996EC9C-1C37-4D57-8139-6CF9548FD0F7}"/>
    <cellStyle name="Percent 9 4 3" xfId="3334" xr:uid="{DEC3D7B1-E635-41F4-A8CD-6B0EABEF9576}"/>
    <cellStyle name="Percent 9 5" xfId="3336" xr:uid="{FACA4301-E7BB-4D12-8A51-F3CE03D6CE49}"/>
    <cellStyle name="Percent 9 6" xfId="3328" xr:uid="{B008856A-2657-4EB1-8876-34FEFCCD94BF}"/>
    <cellStyle name="Satisfaisant" xfId="433" xr:uid="{4389B37A-AE4F-4742-A1BC-C78866A24F67}"/>
    <cellStyle name="Sortie" xfId="434" xr:uid="{984C6753-AE80-4934-9C95-D7E66D0E51BA}"/>
    <cellStyle name="Standard 2" xfId="435" xr:uid="{F5D5920B-50AC-47E4-A054-63FA22C8BF4A}"/>
    <cellStyle name="Standard 2 2" xfId="2882" xr:uid="{5AD454E1-F1DC-4DEF-AFFF-4ABB09FD1717}"/>
    <cellStyle name="Standard_Sce_D_Extraction" xfId="436" xr:uid="{96011FCD-AB1F-4331-9C14-C5BFBC3980D1}"/>
    <cellStyle name="Style 103" xfId="437" xr:uid="{726E835B-6D30-4057-A6CD-EA6832B3940F}"/>
    <cellStyle name="Style 103 10" xfId="438" xr:uid="{B842B674-7F4F-4AF1-BB4D-E18E922DD2F6}"/>
    <cellStyle name="Style 103 10 2" xfId="439" xr:uid="{A3B93FE3-EBDD-4CAA-950B-9E3E0BCD2BD4}"/>
    <cellStyle name="Style 103 10 2 2" xfId="3337" xr:uid="{6443090F-F04B-45B1-AEC5-E84F3CEE03C5}"/>
    <cellStyle name="Style 103 10 2 2 2" xfId="21528" xr:uid="{CD5D4E72-AC9A-4826-928D-B67BC4ED8913}"/>
    <cellStyle name="Style 103 10 2 3" xfId="19331" xr:uid="{0D2D9D66-3293-4EF8-BE90-C80ABD56862E}"/>
    <cellStyle name="Style 103 10 3" xfId="2689" xr:uid="{49339A10-CFF2-48CA-A39E-A3227695B30F}"/>
    <cellStyle name="Style 103 10 3 2" xfId="21527" xr:uid="{B5B160F2-4E44-4E63-A685-6F262638A957}"/>
    <cellStyle name="Style 103 10 4" xfId="18042" xr:uid="{718FE062-21A9-4D74-B2FA-8BBA3B7A6567}"/>
    <cellStyle name="Style 103 11" xfId="440" xr:uid="{A720F654-0855-433E-AEF8-8FE33D896C42}"/>
    <cellStyle name="Style 103 11 2" xfId="441" xr:uid="{CEEF8C9D-EC6A-45CA-AF8D-B9FFA9D57AC1}"/>
    <cellStyle name="Style 103 11 2 2" xfId="3339" xr:uid="{2BBA5A9E-181E-4471-B51D-729039560D4E}"/>
    <cellStyle name="Style 103 11 2 2 2" xfId="21530" xr:uid="{1E083B13-017C-4B44-9708-D7F3ADDB0F11}"/>
    <cellStyle name="Style 103 11 2 3" xfId="19332" xr:uid="{93E021C4-83FE-41DE-863C-29AED0EC1C37}"/>
    <cellStyle name="Style 103 11 3" xfId="3338" xr:uid="{B9F3A441-8C93-4793-89D2-BD2ECC401778}"/>
    <cellStyle name="Style 103 11 3 2" xfId="21529" xr:uid="{C8DCB58B-B335-45B8-8147-DD00D0F3F724}"/>
    <cellStyle name="Style 103 11 4" xfId="18043" xr:uid="{B3936815-A90F-480D-ACA8-3C0FCD99E28A}"/>
    <cellStyle name="Style 103 12" xfId="442" xr:uid="{06A5BD19-A9B9-4E38-8170-763C43DEAD10}"/>
    <cellStyle name="Style 103 12 2" xfId="3340" xr:uid="{FFD3C901-3C4A-4AB5-8773-7C0C29210984}"/>
    <cellStyle name="Style 103 12 2 2" xfId="21531" xr:uid="{04C6A5DE-AE1B-4DF7-A972-CD556FC3FE1D}"/>
    <cellStyle name="Style 103 12 3" xfId="5978" xr:uid="{320452BA-BA69-4EF0-B34E-6FBC970E847C}"/>
    <cellStyle name="Style 103 12 3 2" xfId="22950" xr:uid="{141ED355-2C3A-4378-B206-49EBF5EB3660}"/>
    <cellStyle name="Style 103 12 4" xfId="5979" xr:uid="{D40C8705-C2E9-495A-8EDF-906821D25FD9}"/>
    <cellStyle name="Style 103 12 4 2" xfId="22951" xr:uid="{FECFD3A6-EA5F-410A-B6BC-5F24F6870665}"/>
    <cellStyle name="Style 103 12 5" xfId="5980" xr:uid="{9B3568C1-911D-477E-9359-BD381446BA90}"/>
    <cellStyle name="Style 103 12 5 2" xfId="22952" xr:uid="{DBC97B5C-961B-4464-87A4-097FDC69B6AD}"/>
    <cellStyle name="Style 103 12 6" xfId="5981" xr:uid="{2BB2D326-FF15-4537-A8B3-41831D36FB79}"/>
    <cellStyle name="Style 103 12 6 2" xfId="22953" xr:uid="{2224E53E-2154-4F6E-A977-8256A3783D99}"/>
    <cellStyle name="Style 103 12 7" xfId="19333" xr:uid="{4DF959B5-BDA4-42EA-B839-4EE4A84FFC7F}"/>
    <cellStyle name="Style 103 13" xfId="5982" xr:uid="{13267867-1692-47F6-A858-9D1D5A4F8C68}"/>
    <cellStyle name="Style 103 13 2" xfId="5983" xr:uid="{CE79A440-E03F-4E29-BF2E-72CE29546D7F}"/>
    <cellStyle name="Style 103 13 2 2" xfId="22954" xr:uid="{BB40A1B3-5E4E-4CEB-A2E7-8E0ADEB1FE2B}"/>
    <cellStyle name="Style 103 13 3" xfId="5984" xr:uid="{0C8D61A9-5470-4B10-BFD6-A694F1FEDD0D}"/>
    <cellStyle name="Style 103 13 3 2" xfId="22955" xr:uid="{C33E6412-04F7-4069-A864-DA9E21D7249A}"/>
    <cellStyle name="Style 103 13 4" xfId="21178" xr:uid="{1056BAAD-4E98-4A9C-86ED-DBA56096BFFD}"/>
    <cellStyle name="Style 103 14" xfId="5985" xr:uid="{1246628B-4C47-4AEC-969D-941341B7A90E}"/>
    <cellStyle name="Style 103 14 2" xfId="5986" xr:uid="{CCC1693E-8269-4750-A551-F5ADA690EC34}"/>
    <cellStyle name="Style 103 14 2 2" xfId="22957" xr:uid="{76890292-134E-4970-A08E-836F8DD30116}"/>
    <cellStyle name="Style 103 14 3" xfId="22956" xr:uid="{CCD7500B-AA1A-4584-B95E-27EE61F102BC}"/>
    <cellStyle name="Style 103 15" xfId="5987" xr:uid="{AEA7B722-6CDE-4665-B379-21A1C16E35BC}"/>
    <cellStyle name="Style 103 15 2" xfId="5988" xr:uid="{8834E1A7-3CD5-42DF-A187-D46F055135B0}"/>
    <cellStyle name="Style 103 15 2 2" xfId="22959" xr:uid="{F8DEA5AB-A77F-431C-8083-B8407DCBFD70}"/>
    <cellStyle name="Style 103 15 3" xfId="22958" xr:uid="{86AB6957-DF75-471E-8BBE-660650BA8376}"/>
    <cellStyle name="Style 103 16" xfId="18041" xr:uid="{7562E1F3-9DD1-49C8-A3A1-4605C8C663E2}"/>
    <cellStyle name="Style 103 2" xfId="443" xr:uid="{59EDD8C3-CB3F-4089-BE4F-9A86F15AF908}"/>
    <cellStyle name="Style 103 2 2" xfId="2883" xr:uid="{C2D1A916-F7BC-4EC8-9A00-332F9836D722}"/>
    <cellStyle name="Style 103 2 2 2" xfId="21179" xr:uid="{BB25F382-895B-450F-A4C1-12BF8BFDE76B}"/>
    <cellStyle name="Style 103 2 3" xfId="18044" xr:uid="{CD970F14-6256-4E4D-B48A-44A08B007CF3}"/>
    <cellStyle name="Style 103 3" xfId="444" xr:uid="{7B0138FB-237C-47E4-8828-28F5412EF21A}"/>
    <cellStyle name="Style 103 3 2" xfId="445" xr:uid="{DAAB352A-480F-4EFC-87B4-16B4CA108F66}"/>
    <cellStyle name="Style 103 3 2 2" xfId="446" xr:uid="{110ADAE5-3982-4563-BAA0-8E887A517B0E}"/>
    <cellStyle name="Style 103 3 2 2 2" xfId="3341" xr:uid="{7F5C5E90-1861-465B-8124-819AAADD59E9}"/>
    <cellStyle name="Style 103 3 2 2 2 2" xfId="21532" xr:uid="{45873B78-AA99-49E2-AB2D-DEF7A687B49F}"/>
    <cellStyle name="Style 103 3 2 2 3" xfId="18047" xr:uid="{EE49EFF3-1147-4824-8496-1DFD1F4AAB63}"/>
    <cellStyle name="Style 103 3 2 3" xfId="2885" xr:uid="{6898ED6C-A9A4-44CD-8E31-639014E139DE}"/>
    <cellStyle name="Style 103 3 2 3 2" xfId="21181" xr:uid="{76462BAC-B9C2-4BF1-875D-7A8A7DA6512E}"/>
    <cellStyle name="Style 103 3 2 4" xfId="18046" xr:uid="{7C21B027-A947-4FB9-8F80-C6274FA4667E}"/>
    <cellStyle name="Style 103 3 3" xfId="447" xr:uid="{C1E4376F-7CC1-46E3-A36A-044B384836D6}"/>
    <cellStyle name="Style 103 3 3 2" xfId="448" xr:uid="{2A6914C8-F2CE-4260-B3F2-BD322C61B65B}"/>
    <cellStyle name="Style 103 3 3 2 2" xfId="3343" xr:uid="{4AAFCDC1-FB8C-4F25-9631-2D0D45AF2BC2}"/>
    <cellStyle name="Style 103 3 3 2 2 2" xfId="21534" xr:uid="{F8C97909-35AA-41BD-B7B1-72A79C35A258}"/>
    <cellStyle name="Style 103 3 3 2 3" xfId="18049" xr:uid="{C12B962E-61CE-4591-9E4E-69C8002CFD48}"/>
    <cellStyle name="Style 103 3 3 3" xfId="449" xr:uid="{191341BA-610A-4E6F-9719-FFC194ED5079}"/>
    <cellStyle name="Style 103 3 3 3 2" xfId="450" xr:uid="{484C9F48-683A-42F7-BA25-A24450AB3BAF}"/>
    <cellStyle name="Style 103 3 3 3 2 2" xfId="3345" xr:uid="{BBDFA4AE-4F07-4439-ABD4-6B8DA5A6A0C7}"/>
    <cellStyle name="Style 103 3 3 3 2 2 2" xfId="21536" xr:uid="{22936DEE-1978-449E-8754-E4F41A96302E}"/>
    <cellStyle name="Style 103 3 3 3 2 3" xfId="18051" xr:uid="{8CA7D42B-C82F-4485-AE32-E6E66190C73A}"/>
    <cellStyle name="Style 103 3 3 3 3" xfId="3346" xr:uid="{519F1934-BA1C-438D-9E35-B8B7F891159F}"/>
    <cellStyle name="Style 103 3 3 3 3 2" xfId="18052" xr:uid="{C70929C4-8821-4B4F-AA23-C22F0348EA53}"/>
    <cellStyle name="Style 103 3 3 3 4" xfId="3347" xr:uid="{B653459C-67B5-4365-9DE9-3D290ECC1C14}"/>
    <cellStyle name="Style 103 3 3 3 4 2" xfId="19334" xr:uid="{4419B7E6-7911-4808-9483-47D7A0F1CACE}"/>
    <cellStyle name="Style 103 3 3 3 5" xfId="3344" xr:uid="{8D46A82E-839A-4EA0-974F-5C3E416E8430}"/>
    <cellStyle name="Style 103 3 3 3 5 2" xfId="21535" xr:uid="{EEC02779-4CC9-4A29-AFE1-B5F37111CDA1}"/>
    <cellStyle name="Style 103 3 3 3 6" xfId="18050" xr:uid="{DCB6CDBA-783A-4192-A454-94C126871E47}"/>
    <cellStyle name="Style 103 3 3 4" xfId="451" xr:uid="{AB0C2D01-0C13-4457-8B5D-2D55F1099E73}"/>
    <cellStyle name="Style 103 3 3 4 2" xfId="452" xr:uid="{CC8F3B90-945B-48E4-B3A4-DAFA4AD01D20}"/>
    <cellStyle name="Style 103 3 3 4 2 2" xfId="3349" xr:uid="{1C83E475-E0F0-4573-A0DB-8C3F4E0190B1}"/>
    <cellStyle name="Style 103 3 3 4 2 2 2" xfId="21538" xr:uid="{54652256-C22A-4A56-976B-CA56975B6A0F}"/>
    <cellStyle name="Style 103 3 3 4 2 3" xfId="18054" xr:uid="{32AE0CBB-3BD8-4835-B69C-32D50F20DE44}"/>
    <cellStyle name="Style 103 3 3 4 3" xfId="3348" xr:uid="{05174FB3-4E44-45E5-871D-60F305699341}"/>
    <cellStyle name="Style 103 3 3 4 3 2" xfId="21537" xr:uid="{45376081-3557-4FDE-9BE7-0D620D7627F1}"/>
    <cellStyle name="Style 103 3 3 4 4" xfId="18053" xr:uid="{2E71D2AE-7AC9-4DE8-A94A-E8599C2C8360}"/>
    <cellStyle name="Style 103 3 3 5" xfId="3350" xr:uid="{604EC27C-67B9-435C-9290-1C82A0B0EE43}"/>
    <cellStyle name="Style 103 3 3 5 2" xfId="19335" xr:uid="{4FA12886-A394-47F9-978D-DEB1FD26A91F}"/>
    <cellStyle name="Style 103 3 3 6" xfId="3342" xr:uid="{2A4A5E34-24CA-491A-B26C-543CE49CA9FB}"/>
    <cellStyle name="Style 103 3 3 6 2" xfId="21533" xr:uid="{A284BD33-4BF3-437D-B580-F900C2A06B76}"/>
    <cellStyle name="Style 103 3 3 7" xfId="18048" xr:uid="{A84192FF-B40F-4896-B7EE-88FFA6C55D52}"/>
    <cellStyle name="Style 103 3 4" xfId="453" xr:uid="{B7E3EB55-7A1B-4FF6-9D6D-C2E24D943A14}"/>
    <cellStyle name="Style 103 3 4 2" xfId="3352" xr:uid="{FAA5D1DE-927D-4598-9164-24DB0D886951}"/>
    <cellStyle name="Style 103 3 4 2 2" xfId="18056" xr:uid="{C52CB494-945A-4977-A6A0-67A7E313CF67}"/>
    <cellStyle name="Style 103 3 4 3" xfId="3353" xr:uid="{5357C5F4-7414-4ECA-902A-99C79A873F61}"/>
    <cellStyle name="Style 103 3 4 3 2" xfId="19336" xr:uid="{0846D0FA-EA57-4103-B0FD-0D658EA6D7BE}"/>
    <cellStyle name="Style 103 3 4 4" xfId="3351" xr:uid="{285FC451-57BB-4D97-95F9-88A7F0D3F2F2}"/>
    <cellStyle name="Style 103 3 4 4 2" xfId="21539" xr:uid="{F556FBFD-517C-4F74-8BA4-D3A254B4BC1E}"/>
    <cellStyle name="Style 103 3 4 5" xfId="18055" xr:uid="{8DF8B268-6AEA-4A37-A34A-B24E0EAB5C25}"/>
    <cellStyle name="Style 103 3 5" xfId="3354" xr:uid="{04054E24-2CFF-49EE-BB7D-200345545D79}"/>
    <cellStyle name="Style 103 3 5 2" xfId="5989" xr:uid="{C4E1EE3D-154D-43E8-944C-77F45A46AF9B}"/>
    <cellStyle name="Style 103 3 5 2 2" xfId="21540" xr:uid="{1E552128-AC4F-448E-96CF-F2831C05B6FC}"/>
    <cellStyle name="Style 103 3 5 3" xfId="18057" xr:uid="{C9064B31-5F21-41D6-B27F-360267FB14EB}"/>
    <cellStyle name="Style 103 3 6" xfId="2884" xr:uid="{E9585B98-1475-4D56-B048-84565AEBA47A}"/>
    <cellStyle name="Style 103 3 6 2" xfId="21180" xr:uid="{BE4C8011-9F69-4733-A86C-35CFBB9089CC}"/>
    <cellStyle name="Style 103 3 7" xfId="18045" xr:uid="{C50B1821-3AD4-4E5D-8210-BF578F03CB61}"/>
    <cellStyle name="Style 103 4" xfId="454" xr:uid="{AFD34A12-5D3E-40EE-8EC7-75D1C2DB5F60}"/>
    <cellStyle name="Style 103 4 2" xfId="455" xr:uid="{243F3082-F17D-4B40-BF7D-E3C107237BE1}"/>
    <cellStyle name="Style 103 4 2 2" xfId="456" xr:uid="{85B5AE1E-B5EE-4F7F-BD1D-7B4F8B58E705}"/>
    <cellStyle name="Style 103 4 2 2 2" xfId="3357" xr:uid="{C871F0CF-32D9-42E9-9D9D-D62D44D353BF}"/>
    <cellStyle name="Style 103 4 2 2 2 2" xfId="21542" xr:uid="{C2147CC8-1425-4065-930E-F1D92EBB7547}"/>
    <cellStyle name="Style 103 4 2 2 3" xfId="18060" xr:uid="{73C4A29C-13C3-4507-8E15-7668B045D95D}"/>
    <cellStyle name="Style 103 4 2 3" xfId="457" xr:uid="{4F4FF4E7-73F7-420C-B43B-E79187F1FA04}"/>
    <cellStyle name="Style 103 4 2 3 2" xfId="458" xr:uid="{1564F522-419F-456B-8480-B15CDC09A768}"/>
    <cellStyle name="Style 103 4 2 3 2 2" xfId="3359" xr:uid="{F6C1A401-6A4F-4086-BA17-CFEA32C3919A}"/>
    <cellStyle name="Style 103 4 2 3 2 2 2" xfId="21544" xr:uid="{85CD8419-8EB9-433B-B189-F755197B292E}"/>
    <cellStyle name="Style 103 4 2 3 2 3" xfId="18062" xr:uid="{82FBFBDA-7168-4BBC-A4D5-01821413BCF8}"/>
    <cellStyle name="Style 103 4 2 3 3" xfId="3360" xr:uid="{D9F40064-CFCF-475D-A9A9-4A8876FC04F0}"/>
    <cellStyle name="Style 103 4 2 3 3 2" xfId="18063" xr:uid="{4BF06428-634C-4F5E-9D53-0EA00D630755}"/>
    <cellStyle name="Style 103 4 2 3 4" xfId="3361" xr:uid="{ECB367AC-B328-401C-8A64-975FE207524D}"/>
    <cellStyle name="Style 103 4 2 3 4 2" xfId="19337" xr:uid="{1FC6E70C-835A-4672-A6E4-30FA6C15AE95}"/>
    <cellStyle name="Style 103 4 2 3 5" xfId="3358" xr:uid="{45C2670F-F82E-481C-8851-4ECFC8A1AC14}"/>
    <cellStyle name="Style 103 4 2 3 5 2" xfId="21543" xr:uid="{5F4C86D0-493F-4708-88A2-56F0A1194D25}"/>
    <cellStyle name="Style 103 4 2 3 6" xfId="18061" xr:uid="{736F5F29-699E-4651-B2F5-8A2305FE7802}"/>
    <cellStyle name="Style 103 4 2 4" xfId="459" xr:uid="{F755ED28-5A6B-422A-BE01-B203CBDD1CC5}"/>
    <cellStyle name="Style 103 4 2 4 2" xfId="460" xr:uid="{5320BC6D-EF51-44F2-AC5E-4B8149ABD50E}"/>
    <cellStyle name="Style 103 4 2 4 2 2" xfId="3363" xr:uid="{12077EAA-127F-4B33-9099-AD644AF96241}"/>
    <cellStyle name="Style 103 4 2 4 2 2 2" xfId="21546" xr:uid="{218EC0B8-4F5E-4250-91CC-A63FFF4E83F0}"/>
    <cellStyle name="Style 103 4 2 4 2 3" xfId="18065" xr:uid="{92E2670A-A91D-4FC7-B1A9-08EB4B3A26EA}"/>
    <cellStyle name="Style 103 4 2 4 3" xfId="3362" xr:uid="{52E90EBA-3076-435D-831D-EB1BF82B28DF}"/>
    <cellStyle name="Style 103 4 2 4 3 2" xfId="21545" xr:uid="{70F48673-50BE-4F7E-90EA-5760A2F34412}"/>
    <cellStyle name="Style 103 4 2 4 4" xfId="18064" xr:uid="{3232AE17-DBC1-4ED8-AB0D-1369116CE75B}"/>
    <cellStyle name="Style 103 4 2 5" xfId="3364" xr:uid="{DCD3D174-BF33-43E2-94F5-E8199C77D6C2}"/>
    <cellStyle name="Style 103 4 2 5 2" xfId="19338" xr:uid="{F6295B4E-1B8F-4269-9FF6-536F2723FF46}"/>
    <cellStyle name="Style 103 4 2 6" xfId="3356" xr:uid="{6B31E041-9C2B-4A5B-B493-B94BD5197440}"/>
    <cellStyle name="Style 103 4 2 6 2" xfId="21541" xr:uid="{AD8CAE86-8309-487F-A44D-F303D5FABC90}"/>
    <cellStyle name="Style 103 4 2 7" xfId="18059" xr:uid="{98BD0CF4-D097-4AED-81C3-6CE85B13CD23}"/>
    <cellStyle name="Style 103 4 3" xfId="461" xr:uid="{043C9A30-CB51-448A-A4DB-9421810A0DE5}"/>
    <cellStyle name="Style 103 4 3 2" xfId="3365" xr:uid="{2FDD03F3-3E66-4FEE-B1B1-477D865CC22B}"/>
    <cellStyle name="Style 103 4 3 2 2" xfId="21547" xr:uid="{74D554D5-75EC-44C6-94A9-C5DA18B97838}"/>
    <cellStyle name="Style 103 4 3 3" xfId="18066" xr:uid="{36788627-02C7-43ED-B7F0-795B157EA97C}"/>
    <cellStyle name="Style 103 4 4" xfId="3366" xr:uid="{2BB6FBC3-CA5B-4A5B-B4A3-B58E086E27BD}"/>
    <cellStyle name="Style 103 4 4 2" xfId="3367" xr:uid="{0258E5C9-D400-4637-BB1D-B5441B7A8D52}"/>
    <cellStyle name="Style 103 4 4 2 2" xfId="19339" xr:uid="{8B49829B-E886-4DCC-93C4-C2E90A7FA4A0}"/>
    <cellStyle name="Style 103 4 4 3" xfId="18067" xr:uid="{1E88EE97-0453-46DC-B004-879863104AD7}"/>
    <cellStyle name="Style 103 4 5" xfId="3355" xr:uid="{05152C5A-5D24-4933-BF47-6AED2FD37909}"/>
    <cellStyle name="Style 103 4 5 2" xfId="20632" xr:uid="{3036AC88-7273-4ACA-AB03-6CC351866463}"/>
    <cellStyle name="Style 103 4 6" xfId="2886" xr:uid="{1AAB9DD7-EB04-498B-8CE6-9C5400FF8330}"/>
    <cellStyle name="Style 103 4 6 2" xfId="21182" xr:uid="{5910ADD2-F5C5-406D-8C51-1493532393A4}"/>
    <cellStyle name="Style 103 4 7" xfId="18058" xr:uid="{1448C05E-097F-4C0D-872F-4FD60E4393D0}"/>
    <cellStyle name="Style 103 5" xfId="462" xr:uid="{1A9F30F0-A037-47DE-8C3D-195D05B90F4E}"/>
    <cellStyle name="Style 103 5 2" xfId="463" xr:uid="{B3F06214-F78D-4CD4-8AE2-4991429A507D}"/>
    <cellStyle name="Style 103 5 2 2" xfId="464" xr:uid="{0DCEB154-2076-40CD-AF5D-DCAE5FC9C6AD}"/>
    <cellStyle name="Style 103 5 2 2 2" xfId="3370" xr:uid="{7318C858-2600-4BDC-8803-036A724337DF}"/>
    <cellStyle name="Style 103 5 2 2 2 2" xfId="21549" xr:uid="{41A6EA65-69B4-479A-933C-E5C53C55BC98}"/>
    <cellStyle name="Style 103 5 2 2 3" xfId="18070" xr:uid="{AAAF13D1-1524-4713-8100-BA84AD592B4C}"/>
    <cellStyle name="Style 103 5 2 3" xfId="465" xr:uid="{8780C5EB-5EA7-4D85-BA5F-A18013086117}"/>
    <cellStyle name="Style 103 5 2 3 2" xfId="466" xr:uid="{1C1EE29B-1DB9-4A6F-B493-56696C4DDB13}"/>
    <cellStyle name="Style 103 5 2 3 2 2" xfId="3371" xr:uid="{18BA015A-BA90-4E95-98FF-963C3BF7BA9F}"/>
    <cellStyle name="Style 103 5 2 3 2 2 2" xfId="21551" xr:uid="{0857DC2E-363E-4F17-A1EA-19CC3252B017}"/>
    <cellStyle name="Style 103 5 2 3 2 3" xfId="18072" xr:uid="{FE501C5C-E893-4242-B1D5-B929BA74D105}"/>
    <cellStyle name="Style 103 5 2 3 3" xfId="3372" xr:uid="{1B4094D3-1939-457D-A832-BB59A5A40BEF}"/>
    <cellStyle name="Style 103 5 2 3 3 2" xfId="18073" xr:uid="{E7BC9710-D9C2-4AF9-BD9B-88619151C233}"/>
    <cellStyle name="Style 103 5 2 3 4" xfId="3373" xr:uid="{C4EE00F6-D7D7-4F36-8E06-0C8C6C08B3D3}"/>
    <cellStyle name="Style 103 5 2 3 4 2" xfId="19340" xr:uid="{5B08D225-038A-41AE-88C3-9B467C7F3C94}"/>
    <cellStyle name="Style 103 5 2 3 5 2" xfId="21550" xr:uid="{28794B66-F4A4-463F-9786-09821CEBCFB0}"/>
    <cellStyle name="Style 103 5 2 3 6" xfId="18071" xr:uid="{DD03EFBD-4DD2-44A4-9ECC-B75C920CB0C7}"/>
    <cellStyle name="Style 103 5 2 4" xfId="467" xr:uid="{7B867565-E3E6-4429-B82F-7AB3A975AACA}"/>
    <cellStyle name="Style 103 5 2 4 2" xfId="468" xr:uid="{AE7C2F5E-0567-40A5-8226-8AF6F8A74F90}"/>
    <cellStyle name="Style 103 5 2 4 2 2" xfId="3375" xr:uid="{7B366F87-36EC-4889-8636-A00703B27E07}"/>
    <cellStyle name="Style 103 5 2 4 2 2 2" xfId="21553" xr:uid="{679D26E8-DD76-4A83-AD71-3A0CFC403E3D}"/>
    <cellStyle name="Style 103 5 2 4 2 3" xfId="18075" xr:uid="{E6E74A43-971F-4C6B-9176-2A0727CEF73A}"/>
    <cellStyle name="Style 103 5 2 4 3" xfId="3374" xr:uid="{43927E40-EC41-4891-B40A-F6AA1DDD0967}"/>
    <cellStyle name="Style 103 5 2 4 3 2" xfId="21552" xr:uid="{BE56BDF0-DBE5-4ADF-95AC-4689FAAA764E}"/>
    <cellStyle name="Style 103 5 2 4 4" xfId="18074" xr:uid="{AFB20A70-3AA0-46D9-ACBB-B6F45E9002FC}"/>
    <cellStyle name="Style 103 5 2 5" xfId="3376" xr:uid="{7838B624-74F3-4EC0-90C6-F3936C847885}"/>
    <cellStyle name="Style 103 5 2 5 2" xfId="19341" xr:uid="{6E3FAFAB-B7A6-4BC0-98AE-21A1BC5DBE49}"/>
    <cellStyle name="Style 103 5 2 6" xfId="3369" xr:uid="{ED501A28-9EF1-4E3A-BFC2-064C9A26709E}"/>
    <cellStyle name="Style 103 5 2 6 2" xfId="21548" xr:uid="{6022A268-8E42-4D29-A79A-EEBEF3612F23}"/>
    <cellStyle name="Style 103 5 2 7" xfId="18069" xr:uid="{927C4ABB-C3EC-4275-96A6-614A57CF35A6}"/>
    <cellStyle name="Style 103 5 3" xfId="469" xr:uid="{F1AA1137-D5F1-4821-B467-BCED44370C2B}"/>
    <cellStyle name="Style 103 5 3 2" xfId="3377" xr:uid="{85B0C8D9-DDC9-4CF5-8BDE-00DDAEFBECE8}"/>
    <cellStyle name="Style 103 5 3 2 2" xfId="21554" xr:uid="{E8CA4A91-9132-4F99-9FAA-3877FE3B7BAE}"/>
    <cellStyle name="Style 103 5 3 3" xfId="18076" xr:uid="{B79050D9-C876-4D6A-A5EE-14588F652DF8}"/>
    <cellStyle name="Style 103 5 4" xfId="3378" xr:uid="{04711645-D2F9-4641-8D2D-CF753F6B6585}"/>
    <cellStyle name="Style 103 5 4 2" xfId="3379" xr:uid="{EEA5FC3E-39AC-49D3-A2F9-7B84B177DF7F}"/>
    <cellStyle name="Style 103 5 4 2 2" xfId="19342" xr:uid="{A92C8E45-B0EC-476A-85FF-157AAA1BD5B6}"/>
    <cellStyle name="Style 103 5 4 3" xfId="18077" xr:uid="{DFC7C66E-29D8-4FE7-A355-93927F3A8F4C}"/>
    <cellStyle name="Style 103 5 5" xfId="3368" xr:uid="{CD87A4AA-5DF6-4D15-8B66-F45670BB5760}"/>
    <cellStyle name="Style 103 5 5 2" xfId="20633" xr:uid="{A412190A-F2D7-47B4-9BE7-790FB02837D1}"/>
    <cellStyle name="Style 103 5 6" xfId="2887" xr:uid="{7C7C11A9-A713-4193-8ACA-C43A96451184}"/>
    <cellStyle name="Style 103 5 6 2" xfId="21183" xr:uid="{4C898401-979D-4B4E-B6B7-822B3265F611}"/>
    <cellStyle name="Style 103 5 7" xfId="18068" xr:uid="{2592E363-FB0A-42B0-8CCF-5111064E93C9}"/>
    <cellStyle name="Style 103 6" xfId="470" xr:uid="{2ADB90EE-F26F-4C4D-9A7D-E2CC60F1CA01}"/>
    <cellStyle name="Style 103 6 2" xfId="471" xr:uid="{DDE4DD2A-0C09-40E3-A67A-46C523C4C70C}"/>
    <cellStyle name="Style 103 6 2 2" xfId="3381" xr:uid="{5CEDE9B0-B67E-4844-B111-FAAACF9C915B}"/>
    <cellStyle name="Style 103 6 2 2 2" xfId="21556" xr:uid="{DE45699C-F409-4E85-AA2B-32A27C8C1971}"/>
    <cellStyle name="Style 103 6 2 3" xfId="18079" xr:uid="{F6F0B93F-A4A6-4D1F-9A2C-12DC5DD4CA72}"/>
    <cellStyle name="Style 103 6 3" xfId="472" xr:uid="{E69FCFBE-E422-4D29-8FBB-55F1C5263DEB}"/>
    <cellStyle name="Style 103 6 3 2" xfId="473" xr:uid="{AD23683C-AE37-4D83-A700-F6D11DC7D4B8}"/>
    <cellStyle name="Style 103 6 3 2 2" xfId="3383" xr:uid="{BACCD021-201F-4BC8-8743-F9109D9A4BED}"/>
    <cellStyle name="Style 103 6 3 2 2 2" xfId="21558" xr:uid="{0CCE932E-8281-4E89-A8F0-B7810F579668}"/>
    <cellStyle name="Style 103 6 3 2 3" xfId="18081" xr:uid="{D1426158-9F83-4241-AB9D-3540ED967669}"/>
    <cellStyle name="Style 103 6 3 3" xfId="3384" xr:uid="{B521FA90-8521-4DAD-B3D1-605A0DC86296}"/>
    <cellStyle name="Style 103 6 3 3 2" xfId="18082" xr:uid="{38AACC71-982A-4935-A458-B5E584A2DC91}"/>
    <cellStyle name="Style 103 6 3 4" xfId="3385" xr:uid="{DD9978DB-B0D0-497B-8828-7E982EC0F722}"/>
    <cellStyle name="Style 103 6 3 4 2" xfId="19343" xr:uid="{4743F458-F346-4A10-93B1-30FB2C62AE4D}"/>
    <cellStyle name="Style 103 6 3 5" xfId="3382" xr:uid="{70D097AB-743E-47CA-918A-8938975C3798}"/>
    <cellStyle name="Style 103 6 3 5 2" xfId="21557" xr:uid="{4F4A76F4-D2C6-43C1-81B3-CA39FE56DEFC}"/>
    <cellStyle name="Style 103 6 3 6" xfId="18080" xr:uid="{C9FD24B0-F348-4F5D-98E5-25BE304BAA83}"/>
    <cellStyle name="Style 103 6 4" xfId="474" xr:uid="{FD72074F-ACB6-4DAC-A0BF-B53535F06331}"/>
    <cellStyle name="Style 103 6 4 2" xfId="475" xr:uid="{A2452424-33B0-4A33-B00A-9D5FDAF3388A}"/>
    <cellStyle name="Style 103 6 4 2 2" xfId="3387" xr:uid="{AAAC2C6A-6EA1-4D52-BB01-96204CE370FC}"/>
    <cellStyle name="Style 103 6 4 2 2 2" xfId="21560" xr:uid="{DDAEED19-E4CA-49E9-9D44-EC1455A38E63}"/>
    <cellStyle name="Style 103 6 4 2 3" xfId="18084" xr:uid="{189B657D-B8A4-4EED-9CD7-41D0A7E45884}"/>
    <cellStyle name="Style 103 6 4 3" xfId="3386" xr:uid="{8DE12DDD-CD10-493D-8CE2-9CF68AD0B27B}"/>
    <cellStyle name="Style 103 6 4 3 2" xfId="21559" xr:uid="{8BC1915E-BF4D-40D2-B31B-F7264E388A11}"/>
    <cellStyle name="Style 103 6 4 4" xfId="18083" xr:uid="{D1DF419B-0876-4443-AC3E-AA35B2169A6C}"/>
    <cellStyle name="Style 103 6 5" xfId="3388" xr:uid="{760E99E9-172D-4A34-A650-93A10F13911C}"/>
    <cellStyle name="Style 103 6 5 2" xfId="19344" xr:uid="{9C23B394-487D-4861-A2A2-B3A328B51E93}"/>
    <cellStyle name="Style 103 6 6" xfId="3380" xr:uid="{05611A3C-FB14-437D-91F6-525538E77D78}"/>
    <cellStyle name="Style 103 6 6 2" xfId="21555" xr:uid="{107864A5-8C15-4134-B119-20DE6A525464}"/>
    <cellStyle name="Style 103 6 7" xfId="18078" xr:uid="{CB7F4268-8401-4737-9012-3D1D90F0F56E}"/>
    <cellStyle name="Style 103 7" xfId="476" xr:uid="{3ACFB4BF-5E9B-4717-AFD9-5E98F9D5A223}"/>
    <cellStyle name="Style 103 7 2" xfId="477" xr:uid="{319FC97B-A685-47CD-B24C-CA1E7749F58D}"/>
    <cellStyle name="Style 103 7 2 2" xfId="3390" xr:uid="{19CC8788-8DF1-4AD3-9A45-C6FB64A54AA1}"/>
    <cellStyle name="Style 103 7 2 2 2" xfId="21562" xr:uid="{4B1C19BE-0637-442B-8278-D357861C7091}"/>
    <cellStyle name="Style 103 7 2 3" xfId="18086" xr:uid="{8DA3D0D0-6651-4B7D-83C3-8DD1084422DC}"/>
    <cellStyle name="Style 103 7 3" xfId="3391" xr:uid="{08CC8F47-8799-4DFD-9A40-C86D09633C9B}"/>
    <cellStyle name="Style 103 7 3 2" xfId="18087" xr:uid="{CA05C9EE-D85C-4F28-942F-D4C395460C65}"/>
    <cellStyle name="Style 103 7 4" xfId="3392" xr:uid="{FE0C5B68-DA57-48D3-BFAB-394D59310B56}"/>
    <cellStyle name="Style 103 7 4 2" xfId="19345" xr:uid="{8F120928-C768-4FAA-8A54-888DE9AEAB45}"/>
    <cellStyle name="Style 103 7 5" xfId="3389" xr:uid="{4123CC84-74FA-4829-895F-1526897D4F99}"/>
    <cellStyle name="Style 103 7 5 2" xfId="21561" xr:uid="{3797BABB-EA4F-4C0E-A177-E90E959D6520}"/>
    <cellStyle name="Style 103 7 6" xfId="18085" xr:uid="{42A5C65F-819E-466F-B633-A8E3103EDA95}"/>
    <cellStyle name="Style 103 8" xfId="478" xr:uid="{1065A7BC-C619-4E34-8796-C9D02B263A92}"/>
    <cellStyle name="Style 103 8 2" xfId="479" xr:uid="{8A366B41-54D4-49A1-A30C-EA2C701C3291}"/>
    <cellStyle name="Style 103 8 2 2" xfId="3394" xr:uid="{3BC75BC1-E9C9-4FB8-BA8A-BC1DE1437EB0}"/>
    <cellStyle name="Style 103 8 2 2 2" xfId="21564" xr:uid="{A84C9730-5D50-4D3E-82CF-ABE125858BEA}"/>
    <cellStyle name="Style 103 8 2 3" xfId="18089" xr:uid="{F621471A-E988-40C9-95B6-D9007BF9D3FE}"/>
    <cellStyle name="Style 103 8 3" xfId="3395" xr:uid="{13D71F4F-2177-4568-B1AF-D047584C7500}"/>
    <cellStyle name="Style 103 8 3 2" xfId="18090" xr:uid="{1C153E04-ACF7-4454-9F84-4FA3FF15368C}"/>
    <cellStyle name="Style 103 8 4" xfId="3396" xr:uid="{FA22132B-9E1A-416B-8F4C-3A092E926CA8}"/>
    <cellStyle name="Style 103 8 4 2" xfId="19346" xr:uid="{329DE55B-A3F4-4308-893F-4AA91286F30D}"/>
    <cellStyle name="Style 103 8 5" xfId="3393" xr:uid="{C6AD3BE5-1B6D-4F61-8281-9319DD7B7750}"/>
    <cellStyle name="Style 103 8 5 2" xfId="21563" xr:uid="{8841C611-66CD-4387-8971-AC2CCEC82D32}"/>
    <cellStyle name="Style 103 8 6" xfId="18088" xr:uid="{BB744751-1FA5-497C-9CCC-E76C5C6835DD}"/>
    <cellStyle name="Style 103 9" xfId="480" xr:uid="{096BCEBA-E46F-4503-9A65-988F0EB0BCB5}"/>
    <cellStyle name="Style 103 9 2" xfId="481" xr:uid="{9F22DDBD-EC35-4EF0-B326-E06297A9D451}"/>
    <cellStyle name="Style 103 9 2 2" xfId="3397" xr:uid="{77E26D36-A4DE-4669-A2A7-6080F093288E}"/>
    <cellStyle name="Style 103 9 2 2 2" xfId="21566" xr:uid="{5689895E-9D01-4647-ADE1-E0B60BF6CDCD}"/>
    <cellStyle name="Style 103 9 2 3" xfId="19347" xr:uid="{B99EFEF5-1281-4DB9-BA21-F70C3412FBD2}"/>
    <cellStyle name="Style 103 9 3" xfId="2690" xr:uid="{E8A3F661-0419-4938-8661-63F90123D65B}"/>
    <cellStyle name="Style 103 9 3 2" xfId="21565" xr:uid="{865D3374-55DF-4652-B516-0BE2121AB111}"/>
    <cellStyle name="Style 103 9 4" xfId="18091" xr:uid="{41A699A7-B484-4B48-A62B-5DBD0256E4C7}"/>
    <cellStyle name="Style 103_ADDON" xfId="20505" xr:uid="{C0660E97-C31F-4194-8C78-F2919C698C3A}"/>
    <cellStyle name="Style 104" xfId="482" xr:uid="{3D0E3D71-6E3F-47C5-8BCA-F94276BE0C79}"/>
    <cellStyle name="Style 104 10" xfId="483" xr:uid="{1BAD97F1-C66E-4EED-926A-AE6880943508}"/>
    <cellStyle name="Style 104 10 2" xfId="484" xr:uid="{E10568E9-12ED-4AA5-93D2-E82A32886739}"/>
    <cellStyle name="Style 104 10 2 2" xfId="3398" xr:uid="{DE76BFC0-A7C2-4540-B4FE-C164CF23739E}"/>
    <cellStyle name="Style 104 10 2 2 2" xfId="21568" xr:uid="{1680AB71-8320-4BC5-9A17-C1FC729F1897}"/>
    <cellStyle name="Style 104 10 2 3" xfId="19348" xr:uid="{FF977666-6155-41EF-B1E2-04E708F3FC83}"/>
    <cellStyle name="Style 104 10 3" xfId="2691" xr:uid="{76D29B70-723B-40E4-B32D-9C1BD2AD30C2}"/>
    <cellStyle name="Style 104 10 3 2" xfId="21567" xr:uid="{A8C8D8FA-F4DD-42DD-A83C-7FD6740ACD6C}"/>
    <cellStyle name="Style 104 10 4" xfId="18093" xr:uid="{4B6BA5E4-CBBE-46F8-B93C-04EB395FAF34}"/>
    <cellStyle name="Style 104 11" xfId="485" xr:uid="{10ACF993-90E1-4AE4-84F3-A75F3D744F45}"/>
    <cellStyle name="Style 104 11 2" xfId="486" xr:uid="{6A3737FA-EC3B-4674-99BF-5CAA8EBB62C8}"/>
    <cellStyle name="Style 104 11 2 2" xfId="3400" xr:uid="{9A504E59-F590-4522-9D0C-002CD058125D}"/>
    <cellStyle name="Style 104 11 2 2 2" xfId="21570" xr:uid="{6E25219E-D050-4801-ACA0-D6672DD82F52}"/>
    <cellStyle name="Style 104 11 2 3" xfId="19349" xr:uid="{DDED64D0-08EE-4BF1-88D7-D7DD846B121C}"/>
    <cellStyle name="Style 104 11 3" xfId="3399" xr:uid="{CD554198-B222-4869-8279-0CC98C1EC371}"/>
    <cellStyle name="Style 104 11 3 2" xfId="21569" xr:uid="{6646BA24-3B9B-49C6-83C1-E7D6F87C04C6}"/>
    <cellStyle name="Style 104 11 4" xfId="18094" xr:uid="{3B7D957B-FB53-46DC-8EF4-705295F86581}"/>
    <cellStyle name="Style 104 12" xfId="487" xr:uid="{71AF7B2C-8D15-4199-847B-83B791EF9FDD}"/>
    <cellStyle name="Style 104 12 2" xfId="3401" xr:uid="{62E641C8-EF47-4E6F-86AF-65B03D5FFE6E}"/>
    <cellStyle name="Style 104 12 2 2" xfId="21571" xr:uid="{C3668B1D-27D0-4CA5-ACFD-34F87FA4EF2F}"/>
    <cellStyle name="Style 104 12 3" xfId="5990" xr:uid="{10B96D5B-004C-4E65-B85C-4774A48F3399}"/>
    <cellStyle name="Style 104 12 3 2" xfId="22960" xr:uid="{97D0B523-496D-4024-982E-FCA3196FC3EA}"/>
    <cellStyle name="Style 104 12 4" xfId="5991" xr:uid="{81FD32F0-B59B-4113-AA4C-3B469BCAC386}"/>
    <cellStyle name="Style 104 12 4 2" xfId="22961" xr:uid="{A8DE4464-A599-4222-A9FB-A2886CB17C38}"/>
    <cellStyle name="Style 104 12 5" xfId="5992" xr:uid="{61FC9C85-568C-4265-BE77-D2DDB81BF69A}"/>
    <cellStyle name="Style 104 12 5 2" xfId="22962" xr:uid="{57BF810A-941D-49E5-B5E7-96B2C5FDED50}"/>
    <cellStyle name="Style 104 12 6" xfId="5993" xr:uid="{C6EA474C-DD7F-4593-A1D6-3765423A3E8D}"/>
    <cellStyle name="Style 104 12 6 2" xfId="22963" xr:uid="{DC929B6E-3F56-43BD-AE55-3E635067E80B}"/>
    <cellStyle name="Style 104 12 7" xfId="19350" xr:uid="{68D6B38E-2EE7-42E6-957E-5F7D26170094}"/>
    <cellStyle name="Style 104 13" xfId="5994" xr:uid="{4021C94C-7F2B-43E6-A424-910EADC2330E}"/>
    <cellStyle name="Style 104 13 2" xfId="5995" xr:uid="{F3542018-756D-4470-B123-471D5BC671AE}"/>
    <cellStyle name="Style 104 13 2 2" xfId="22964" xr:uid="{8EC7B541-4A06-4C2F-9E48-B61F80A643AD}"/>
    <cellStyle name="Style 104 13 3" xfId="5996" xr:uid="{0FB5762C-2DD0-44DB-AA3D-2E0AEDA57AE5}"/>
    <cellStyle name="Style 104 13 3 2" xfId="22965" xr:uid="{8773C580-FA15-4EC4-8817-CDF3472F16C4}"/>
    <cellStyle name="Style 104 13 4" xfId="21184" xr:uid="{7B9AE1E5-1E06-4862-BEDF-7EEF694D6D00}"/>
    <cellStyle name="Style 104 14" xfId="5997" xr:uid="{3174C5BD-33CD-42B4-86C7-74793118E995}"/>
    <cellStyle name="Style 104 14 2" xfId="5998" xr:uid="{EFCC4852-C0CF-4414-BD39-643ED0068049}"/>
    <cellStyle name="Style 104 14 2 2" xfId="22967" xr:uid="{7C4EDE0B-FF3B-4476-BF93-DDD41F40A592}"/>
    <cellStyle name="Style 104 14 3" xfId="22966" xr:uid="{87C94309-2B2E-4BE3-B9E9-8ED5CC750DDC}"/>
    <cellStyle name="Style 104 15" xfId="5999" xr:uid="{EC1FCAB8-74E1-441C-B2A6-F917D2B1FAB4}"/>
    <cellStyle name="Style 104 15 2" xfId="6000" xr:uid="{3C2AECD7-13FB-4097-BD87-BE07FBBC2D14}"/>
    <cellStyle name="Style 104 15 2 2" xfId="22969" xr:uid="{2B760E8B-C89C-4094-B8AD-260A704449E4}"/>
    <cellStyle name="Style 104 15 3" xfId="22968" xr:uid="{7F707514-E65E-4F65-B94D-82B27349AEC8}"/>
    <cellStyle name="Style 104 16" xfId="18092" xr:uid="{5E724ECB-9A36-4BE8-97D7-92FF6CCE2E87}"/>
    <cellStyle name="Style 104 2" xfId="488" xr:uid="{E0CA0B3F-7CDF-4DA8-BEB4-00C286A90364}"/>
    <cellStyle name="Style 104 2 2" xfId="2888" xr:uid="{A252C143-AC1C-4D83-A177-6F82F9B9FC2B}"/>
    <cellStyle name="Style 104 2 2 2" xfId="21185" xr:uid="{78ABE614-CCC7-485B-ADDE-985DDD826A18}"/>
    <cellStyle name="Style 104 2 3" xfId="18095" xr:uid="{CE4BF20E-C2D2-492C-B977-1EB11C0A653C}"/>
    <cellStyle name="Style 104 3" xfId="489" xr:uid="{C1F0F02F-FA82-4A3B-85D7-39D433C1C7A7}"/>
    <cellStyle name="Style 104 3 2" xfId="490" xr:uid="{870E15EF-2845-4980-B3C3-AE08AFDE49FA}"/>
    <cellStyle name="Style 104 3 2 2" xfId="491" xr:uid="{AF2BA16A-14AB-46D2-8961-BF38D38835F2}"/>
    <cellStyle name="Style 104 3 2 2 2" xfId="3402" xr:uid="{EFB5FD4F-032D-4540-8A60-F19F2F9668E7}"/>
    <cellStyle name="Style 104 3 2 2 2 2" xfId="21572" xr:uid="{49730C6E-1DBC-4671-9525-F4AF6CDCAFC9}"/>
    <cellStyle name="Style 104 3 2 2 3" xfId="18098" xr:uid="{531EBF55-73AD-4A4A-A8F9-5EB965009DCF}"/>
    <cellStyle name="Style 104 3 2 3" xfId="2890" xr:uid="{5692B119-90DC-4AF4-A039-41F44D1004A8}"/>
    <cellStyle name="Style 104 3 2 3 2" xfId="21187" xr:uid="{C563B8FC-5878-486C-9E1E-F135067D35A5}"/>
    <cellStyle name="Style 104 3 2 4" xfId="18097" xr:uid="{34FC605A-8D34-4FE8-8DD5-4BF6D5B52D3B}"/>
    <cellStyle name="Style 104 3 3" xfId="492" xr:uid="{3842A00E-EF5D-442E-AFD0-98DAE9BC639C}"/>
    <cellStyle name="Style 104 3 3 2" xfId="493" xr:uid="{01F8C8EE-8646-4C80-B703-855A93717968}"/>
    <cellStyle name="Style 104 3 3 2 2" xfId="3404" xr:uid="{16DEF7A8-CE19-4BC2-B2CC-F296AA27A40E}"/>
    <cellStyle name="Style 104 3 3 2 2 2" xfId="21574" xr:uid="{BCADC313-FEFB-4FC9-9A60-AB58F935EBFC}"/>
    <cellStyle name="Style 104 3 3 2 3" xfId="18100" xr:uid="{B3166544-E3C8-4303-891A-7B7C1B11AFA4}"/>
    <cellStyle name="Style 104 3 3 3" xfId="494" xr:uid="{5458EE0E-D56E-4416-AD7A-6BFAFD69480F}"/>
    <cellStyle name="Style 104 3 3 3 2" xfId="495" xr:uid="{F8428126-AD40-4A80-9656-BB3E400B5C13}"/>
    <cellStyle name="Style 104 3 3 3 2 2" xfId="3406" xr:uid="{1A845F57-B8EC-4501-91D3-CB2F2A2EF507}"/>
    <cellStyle name="Style 104 3 3 3 2 2 2" xfId="21576" xr:uid="{A09BF296-6DF8-491A-AFA0-E426E03C7C0A}"/>
    <cellStyle name="Style 104 3 3 3 2 3" xfId="18102" xr:uid="{BC82AE86-9D42-470A-99F3-E7F14BCA87C6}"/>
    <cellStyle name="Style 104 3 3 3 3" xfId="3407" xr:uid="{397A7308-1F19-4266-8FFD-389D1F321384}"/>
    <cellStyle name="Style 104 3 3 3 3 2" xfId="18103" xr:uid="{C2599D41-A9EF-4E0F-A336-F093646D9376}"/>
    <cellStyle name="Style 104 3 3 3 4" xfId="3408" xr:uid="{8E164877-D095-48DA-AA7D-A1AF4DE0400F}"/>
    <cellStyle name="Style 104 3 3 3 4 2" xfId="19351" xr:uid="{0CD4CC1A-20AC-4BC9-BA75-7DE680A3881F}"/>
    <cellStyle name="Style 104 3 3 3 5" xfId="3405" xr:uid="{5CCEF4B6-813A-40A4-B549-3D54202F4306}"/>
    <cellStyle name="Style 104 3 3 3 5 2" xfId="21575" xr:uid="{C92D0A85-E4A9-42F5-BF1F-C8D7455792FB}"/>
    <cellStyle name="Style 104 3 3 3 6" xfId="18101" xr:uid="{5613EB0E-0122-44C1-9904-F8CA11E26D90}"/>
    <cellStyle name="Style 104 3 3 4" xfId="496" xr:uid="{0377F4E2-945D-42D0-BFB7-523B0C4A9BEB}"/>
    <cellStyle name="Style 104 3 3 4 2" xfId="497" xr:uid="{8413FDA8-5FE9-4585-960F-E01D74F6885C}"/>
    <cellStyle name="Style 104 3 3 4 2 2" xfId="3410" xr:uid="{77164726-9CE4-4045-A15C-EC4D9AA95D5F}"/>
    <cellStyle name="Style 104 3 3 4 2 2 2" xfId="21578" xr:uid="{C73086F8-EBE4-4009-8A18-3FF8375002A5}"/>
    <cellStyle name="Style 104 3 3 4 2 3" xfId="18105" xr:uid="{11CCE070-AF0A-4253-8AD4-15324FDF280D}"/>
    <cellStyle name="Style 104 3 3 4 3" xfId="3409" xr:uid="{F8AFE2CD-A9CF-4A23-B94F-8DCB02CC5E47}"/>
    <cellStyle name="Style 104 3 3 4 3 2" xfId="21577" xr:uid="{C687FD80-D0A4-4F9A-8994-0564C46B5C3E}"/>
    <cellStyle name="Style 104 3 3 4 4" xfId="18104" xr:uid="{2256B6A8-1A2C-46FE-8131-3CDA0BF1A780}"/>
    <cellStyle name="Style 104 3 3 5" xfId="3411" xr:uid="{D061FFB6-EB4D-4592-9ED4-C74006D695B4}"/>
    <cellStyle name="Style 104 3 3 5 2" xfId="19352" xr:uid="{630A567C-2ADE-4467-AFEA-636F1AF94D3F}"/>
    <cellStyle name="Style 104 3 3 6" xfId="3403" xr:uid="{026FE8D2-BAE7-4DBF-908F-CECD0D396305}"/>
    <cellStyle name="Style 104 3 3 6 2" xfId="21573" xr:uid="{4C98C4AC-E25A-4C39-879C-5E93EFEB73A5}"/>
    <cellStyle name="Style 104 3 3 7" xfId="18099" xr:uid="{F1E795D0-BAD5-47E7-ACC4-F02E8EE71DF3}"/>
    <cellStyle name="Style 104 3 4" xfId="498" xr:uid="{54B8FA1C-DC89-4AB1-A64A-948704FA32D8}"/>
    <cellStyle name="Style 104 3 4 2" xfId="3413" xr:uid="{6D266FF3-62AD-41D6-8374-3425E7F805E6}"/>
    <cellStyle name="Style 104 3 4 2 2" xfId="18107" xr:uid="{E7CA669E-2E12-464C-9650-202446752C42}"/>
    <cellStyle name="Style 104 3 4 3" xfId="3414" xr:uid="{C2ACE558-E3E9-483E-94D2-518586D75B7C}"/>
    <cellStyle name="Style 104 3 4 3 2" xfId="19353" xr:uid="{9275AF70-47FF-4042-922A-4ED8337B8117}"/>
    <cellStyle name="Style 104 3 4 4" xfId="3412" xr:uid="{5B85CA52-081E-4914-8CF0-261BEFC69D65}"/>
    <cellStyle name="Style 104 3 4 4 2" xfId="21579" xr:uid="{20BF6C30-960A-4675-869E-63A22FC5DA4D}"/>
    <cellStyle name="Style 104 3 4 5" xfId="18106" xr:uid="{7AAA4662-8639-476B-A982-C5281D3E7A9F}"/>
    <cellStyle name="Style 104 3 5" xfId="3415" xr:uid="{28639F25-8E3F-462B-8454-880BC3FF289A}"/>
    <cellStyle name="Style 104 3 5 2" xfId="6001" xr:uid="{527F1AD6-49F1-4F01-8F4F-50494F1BB408}"/>
    <cellStyle name="Style 104 3 5 2 2" xfId="21580" xr:uid="{4CE8624D-6840-488E-9B8F-0B3C001517A8}"/>
    <cellStyle name="Style 104 3 5 3" xfId="18108" xr:uid="{2C5653B5-F5A1-457F-A64C-E88740CC548E}"/>
    <cellStyle name="Style 104 3 6" xfId="2889" xr:uid="{27BB5C85-7D52-4C03-8036-18BF92109A39}"/>
    <cellStyle name="Style 104 3 6 2" xfId="21186" xr:uid="{F08FBE2D-395F-41C2-97AC-0EA6C8840919}"/>
    <cellStyle name="Style 104 3 7" xfId="18096" xr:uid="{D6538DFF-057C-48C3-B526-CC3063EA4C27}"/>
    <cellStyle name="Style 104 4" xfId="499" xr:uid="{1F2E3C99-5D68-41E7-8894-B2B0A8406747}"/>
    <cellStyle name="Style 104 4 2" xfId="500" xr:uid="{FCB1BE50-39DD-4796-8BA4-B9BCBF071061}"/>
    <cellStyle name="Style 104 4 2 2" xfId="501" xr:uid="{77C67158-E00C-4D28-B625-756D3DF0C9AC}"/>
    <cellStyle name="Style 104 4 2 2 2" xfId="3418" xr:uid="{4833CB78-AA04-4C7F-A0B5-D48B16B32896}"/>
    <cellStyle name="Style 104 4 2 2 2 2" xfId="21582" xr:uid="{AA16B5D5-BD8B-4B91-99D2-ABB2890D9861}"/>
    <cellStyle name="Style 104 4 2 2 3" xfId="18111" xr:uid="{D6A246D6-22FA-45EE-B795-632FB96C3756}"/>
    <cellStyle name="Style 104 4 2 3" xfId="502" xr:uid="{0872EFB0-68B6-45D5-A068-A82616EE125E}"/>
    <cellStyle name="Style 104 4 2 3 2" xfId="503" xr:uid="{8D1D9B95-F0E9-4B2C-9143-AF4B0733B27A}"/>
    <cellStyle name="Style 104 4 2 3 2 2" xfId="3420" xr:uid="{593B382F-9828-48FA-B658-2563198EB3E8}"/>
    <cellStyle name="Style 104 4 2 3 2 2 2" xfId="21584" xr:uid="{89D46314-AF55-4F06-B9F4-22A143995F70}"/>
    <cellStyle name="Style 104 4 2 3 2 3" xfId="18113" xr:uid="{FBDD61B8-67C2-41C5-939B-F0C4FDCA8F59}"/>
    <cellStyle name="Style 104 4 2 3 3" xfId="3421" xr:uid="{D91313B2-F1DE-4DF6-80C9-E2B3C1D762EB}"/>
    <cellStyle name="Style 104 4 2 3 3 2" xfId="18114" xr:uid="{C924865A-301E-4B43-8451-15D238A52252}"/>
    <cellStyle name="Style 104 4 2 3 4" xfId="3422" xr:uid="{1ED7BEC1-9D87-437A-86D8-5ED584F5DFD8}"/>
    <cellStyle name="Style 104 4 2 3 4 2" xfId="19354" xr:uid="{F2ABB58D-848D-484F-A59B-3CA44CAF78A9}"/>
    <cellStyle name="Style 104 4 2 3 5" xfId="3419" xr:uid="{500897C8-7C98-494F-8C1E-4BB8343FE9BB}"/>
    <cellStyle name="Style 104 4 2 3 5 2" xfId="21583" xr:uid="{CA8B201F-2915-495A-8272-E502EE5A31B0}"/>
    <cellStyle name="Style 104 4 2 3 6" xfId="18112" xr:uid="{D96B4BE2-249D-40E5-834E-D484193987CE}"/>
    <cellStyle name="Style 104 4 2 4" xfId="504" xr:uid="{2A1A03A7-AE59-4AD2-9E5B-06476ED59233}"/>
    <cellStyle name="Style 104 4 2 4 2" xfId="505" xr:uid="{EF662F7F-89A3-47A3-B678-5379D9463275}"/>
    <cellStyle name="Style 104 4 2 4 2 2" xfId="3424" xr:uid="{54694A1F-5D5B-4667-B033-1C63B72CABD6}"/>
    <cellStyle name="Style 104 4 2 4 2 2 2" xfId="21586" xr:uid="{82D70B87-0C10-4F71-9FB0-FBEAE859EF1B}"/>
    <cellStyle name="Style 104 4 2 4 2 3" xfId="18116" xr:uid="{8041FC36-619A-408D-9720-54EEEB88D331}"/>
    <cellStyle name="Style 104 4 2 4 3" xfId="3423" xr:uid="{908B8EF4-CC0F-4ABF-9C15-D132E82EDDA5}"/>
    <cellStyle name="Style 104 4 2 4 3 2" xfId="21585" xr:uid="{6F7967F3-5AB9-400B-9F48-7C829114CD89}"/>
    <cellStyle name="Style 104 4 2 4 4" xfId="18115" xr:uid="{6C7854A0-8917-4255-B2E0-941EE8750844}"/>
    <cellStyle name="Style 104 4 2 5" xfId="3425" xr:uid="{3384CEF9-7995-422A-9E3E-E89789F3CA99}"/>
    <cellStyle name="Style 104 4 2 5 2" xfId="19355" xr:uid="{55D7D939-BFBE-41A4-B9E1-CD86B5A37CE2}"/>
    <cellStyle name="Style 104 4 2 6" xfId="3417" xr:uid="{2D155ED2-69C9-4020-A0E5-A33A96E513C4}"/>
    <cellStyle name="Style 104 4 2 6 2" xfId="21581" xr:uid="{212FDF44-FB24-431D-97C3-23F0B5DEA506}"/>
    <cellStyle name="Style 104 4 2 7" xfId="18110" xr:uid="{6526C6E8-733A-4C71-B6F4-965E43245401}"/>
    <cellStyle name="Style 104 4 3" xfId="506" xr:uid="{5E3C64AD-C972-493E-9200-717109E5BA43}"/>
    <cellStyle name="Style 104 4 3 2" xfId="3426" xr:uid="{69C5C624-2C3F-4676-84B7-443D3CBA09CD}"/>
    <cellStyle name="Style 104 4 3 2 2" xfId="21587" xr:uid="{2930C0A0-B184-4CB6-A000-B21716F158B7}"/>
    <cellStyle name="Style 104 4 3 3" xfId="18117" xr:uid="{B1C33983-028D-4B7F-9A74-CC9DD05648F2}"/>
    <cellStyle name="Style 104 4 4" xfId="3427" xr:uid="{5FD211B9-794D-46D2-B897-E5382CF47205}"/>
    <cellStyle name="Style 104 4 4 2" xfId="3428" xr:uid="{CC3DD635-0B87-4AA2-94A6-2579732AE525}"/>
    <cellStyle name="Style 104 4 4 2 2" xfId="19356" xr:uid="{06799187-720C-4E53-87BF-569C7F25A46A}"/>
    <cellStyle name="Style 104 4 4 3" xfId="18118" xr:uid="{6A5BB822-0DC7-40C8-9B2D-92C97E184C77}"/>
    <cellStyle name="Style 104 4 5" xfId="3416" xr:uid="{E15B0F9C-7576-4EBB-99A4-9BFF6EF57FA8}"/>
    <cellStyle name="Style 104 4 5 2" xfId="20634" xr:uid="{47D8CD65-F01A-4B63-99DC-D2BA6C720D8C}"/>
    <cellStyle name="Style 104 4 6" xfId="2891" xr:uid="{5F375BEA-128E-431F-A0A8-88DBCF2C2851}"/>
    <cellStyle name="Style 104 4 6 2" xfId="21188" xr:uid="{5C58BCBB-9B91-44A5-AB6C-FE0C7255AF12}"/>
    <cellStyle name="Style 104 4 7" xfId="18109" xr:uid="{6055E486-04DE-41E4-9899-B34A1839CD5F}"/>
    <cellStyle name="Style 104 5" xfId="507" xr:uid="{55865443-00D2-4AAF-99D1-A71FD40456FE}"/>
    <cellStyle name="Style 104 5 2" xfId="508" xr:uid="{6E9D4B48-4434-45A1-9B30-14EEDD5C80C5}"/>
    <cellStyle name="Style 104 5 2 2" xfId="509" xr:uid="{ED3BA4C5-BA8F-4F25-8FB7-7AD05BF5FBE7}"/>
    <cellStyle name="Style 104 5 2 2 2" xfId="3431" xr:uid="{7FDF4E88-6028-46A6-BD5E-6DB4AC501E56}"/>
    <cellStyle name="Style 104 5 2 2 2 2" xfId="21589" xr:uid="{9BD4CBF1-5A42-4F9F-B926-443E427BA7D6}"/>
    <cellStyle name="Style 104 5 2 2 3" xfId="18121" xr:uid="{C258577E-9FA4-43C1-A53F-0AEE167522E2}"/>
    <cellStyle name="Style 104 5 2 3" xfId="510" xr:uid="{0EDFE177-06BF-467A-B773-3DBC52D9E3B9}"/>
    <cellStyle name="Style 104 5 2 3 2" xfId="511" xr:uid="{55A05C4A-8BE9-4F71-B274-5F80F2252EE9}"/>
    <cellStyle name="Style 104 5 2 3 2 2" xfId="3433" xr:uid="{2E547FB2-2BA1-48CD-8AE8-8C12E09BD0BE}"/>
    <cellStyle name="Style 104 5 2 3 2 2 2" xfId="21591" xr:uid="{3137D7B6-D42D-4119-B416-C683F10FBCB2}"/>
    <cellStyle name="Style 104 5 2 3 2 3" xfId="18123" xr:uid="{E9918309-40E8-4B9B-A31A-D417C486C301}"/>
    <cellStyle name="Style 104 5 2 3 3" xfId="3434" xr:uid="{5B7872A4-C4D8-45DE-8A17-53B771CF798A}"/>
    <cellStyle name="Style 104 5 2 3 3 2" xfId="18124" xr:uid="{CFE37AE6-D485-454B-956E-4E116A693A26}"/>
    <cellStyle name="Style 104 5 2 3 4" xfId="3435" xr:uid="{1955296B-4161-45B1-91E7-C89DC040CA99}"/>
    <cellStyle name="Style 104 5 2 3 4 2" xfId="19357" xr:uid="{3DE52353-23D4-4861-BE19-0F488233D6A9}"/>
    <cellStyle name="Style 104 5 2 3 5" xfId="3432" xr:uid="{46EBF2FE-1A55-48B3-83A3-B8D5D0C97454}"/>
    <cellStyle name="Style 104 5 2 3 5 2" xfId="21590" xr:uid="{4965F015-0F9E-4FB9-9DEA-74949F4D8D78}"/>
    <cellStyle name="Style 104 5 2 3 6" xfId="18122" xr:uid="{EC4A8C44-7CE9-4BEC-B9B2-A877CB91FCB1}"/>
    <cellStyle name="Style 104 5 2 4" xfId="512" xr:uid="{0509796C-3EC7-4F1E-915A-3833F7022DC3}"/>
    <cellStyle name="Style 104 5 2 4 2" xfId="513" xr:uid="{D8FA7954-C068-44BE-AD9C-14C3A7727034}"/>
    <cellStyle name="Style 104 5 2 4 2 2" xfId="3437" xr:uid="{6712C8E2-C4A8-4BB2-A445-C944CEDFC3F6}"/>
    <cellStyle name="Style 104 5 2 4 2 2 2" xfId="21593" xr:uid="{47341DA2-839B-4FDA-85CE-5A5D73DE869A}"/>
    <cellStyle name="Style 104 5 2 4 2 3" xfId="18126" xr:uid="{A9B42CF6-EFC6-4EBD-A68F-01308ED9B7A6}"/>
    <cellStyle name="Style 104 5 2 4 3" xfId="3436" xr:uid="{9CA5CA96-C005-44E2-B3CF-FAFC065CF722}"/>
    <cellStyle name="Style 104 5 2 4 3 2" xfId="21592" xr:uid="{A4C15F56-3549-4E90-A86A-378500898E9C}"/>
    <cellStyle name="Style 104 5 2 4 4" xfId="18125" xr:uid="{EF305582-B56B-4417-93CE-A225E6E98FE9}"/>
    <cellStyle name="Style 104 5 2 5" xfId="3438" xr:uid="{5944E9B4-9A7C-43F6-A92E-8FEA10226D73}"/>
    <cellStyle name="Style 104 5 2 5 2" xfId="19358" xr:uid="{6AC817C0-58BD-4BC2-8250-E8FA942A8CF4}"/>
    <cellStyle name="Style 104 5 2 6" xfId="3430" xr:uid="{7E74E189-F947-44EB-AA0E-10510F07BE33}"/>
    <cellStyle name="Style 104 5 2 6 2" xfId="21588" xr:uid="{57A80A19-B0A8-4648-9424-A33191A4D463}"/>
    <cellStyle name="Style 104 5 2 7" xfId="18120" xr:uid="{A392CB87-2E77-490A-92CF-A84B117766E9}"/>
    <cellStyle name="Style 104 5 3" xfId="514" xr:uid="{E012A4C7-8B02-468B-891E-1841154039E1}"/>
    <cellStyle name="Style 104 5 3 2" xfId="3439" xr:uid="{DE3BD376-31DF-47AA-A8AE-E002094B08CC}"/>
    <cellStyle name="Style 104 5 3 2 2" xfId="21594" xr:uid="{22960470-143D-4D50-A6C4-6D4B7E148C08}"/>
    <cellStyle name="Style 104 5 3 3" xfId="18127" xr:uid="{3A4F6307-A7B1-451F-961A-33C8EA3564A0}"/>
    <cellStyle name="Style 104 5 4" xfId="3440" xr:uid="{C7059D69-D713-4199-8F9D-BE0FCB094884}"/>
    <cellStyle name="Style 104 5 4 2" xfId="3441" xr:uid="{16D7874E-5C70-41DA-AB9E-3676E9F23850}"/>
    <cellStyle name="Style 104 5 4 2 2" xfId="19359" xr:uid="{C425D0B1-CF68-4018-B6FD-268415507A30}"/>
    <cellStyle name="Style 104 5 4 3" xfId="18128" xr:uid="{E12E995F-90BD-43F0-B74A-3F431D170DDF}"/>
    <cellStyle name="Style 104 5 5" xfId="3429" xr:uid="{BE66D1E8-CC9B-4E24-B494-0844015FCC44}"/>
    <cellStyle name="Style 104 5 5 2" xfId="20635" xr:uid="{32E6BA12-8C7C-4D88-999C-1E42BBF7DE40}"/>
    <cellStyle name="Style 104 5 6" xfId="2892" xr:uid="{3890A108-BF1D-4FB8-A36A-BDE19C09DC88}"/>
    <cellStyle name="Style 104 5 6 2" xfId="21189" xr:uid="{A066E703-D168-4DC5-9205-2EEB482910EE}"/>
    <cellStyle name="Style 104 5 7" xfId="18119" xr:uid="{D37A8DDE-0D53-4832-85CA-7CBF6E6563D0}"/>
    <cellStyle name="Style 104 6" xfId="515" xr:uid="{CD52F698-6CAA-4727-9BD7-E31E13D3DDFA}"/>
    <cellStyle name="Style 104 6 2" xfId="516" xr:uid="{00C859A4-1A84-46BD-ACCC-363C8721C799}"/>
    <cellStyle name="Style 104 6 2 2" xfId="3443" xr:uid="{65287B9A-D385-4158-AE41-030631B6C142}"/>
    <cellStyle name="Style 104 6 2 2 2" xfId="21596" xr:uid="{AF7F84E2-676A-48E0-A010-F2664ED2B5C4}"/>
    <cellStyle name="Style 104 6 2 3" xfId="18130" xr:uid="{364992B7-0571-4D89-B9CE-B77C83521C96}"/>
    <cellStyle name="Style 104 6 3" xfId="517" xr:uid="{57D11C9E-9356-4605-B048-9761463BC18B}"/>
    <cellStyle name="Style 104 6 3 2" xfId="518" xr:uid="{5FA9A0A6-7E36-4660-AB30-482F8E657A0B}"/>
    <cellStyle name="Style 104 6 3 2 2" xfId="3445" xr:uid="{D10D0041-759F-4B44-8551-6124330FC549}"/>
    <cellStyle name="Style 104 6 3 2 2 2" xfId="21598" xr:uid="{84E08901-DC72-4462-8D29-94E663A36EA0}"/>
    <cellStyle name="Style 104 6 3 2 3" xfId="18132" xr:uid="{28EB709A-2007-4C4F-87D5-BC990793252E}"/>
    <cellStyle name="Style 104 6 3 3" xfId="3446" xr:uid="{2EB19636-2C87-43E9-B477-1C1D98FE5D7C}"/>
    <cellStyle name="Style 104 6 3 3 2" xfId="18133" xr:uid="{A41182FC-1C98-458E-95D9-FD76206E580E}"/>
    <cellStyle name="Style 104 6 3 4" xfId="3447" xr:uid="{FD41C67B-5759-451F-96CB-0A7F220797FD}"/>
    <cellStyle name="Style 104 6 3 4 2" xfId="19360" xr:uid="{89902329-3A5D-473D-B092-2DD38EE77462}"/>
    <cellStyle name="Style 104 6 3 5" xfId="3444" xr:uid="{085FC370-65C8-40BC-9215-68AED96B525A}"/>
    <cellStyle name="Style 104 6 3 5 2" xfId="21597" xr:uid="{A7F3FDF1-FA4D-4542-A252-96965CCBED78}"/>
    <cellStyle name="Style 104 6 3 6" xfId="18131" xr:uid="{ECF9E0E6-D29E-4DE1-A559-683F0A17E3E2}"/>
    <cellStyle name="Style 104 6 4" xfId="519" xr:uid="{89D1AC42-5EDD-427F-9530-7A411CC4226A}"/>
    <cellStyle name="Style 104 6 4 2" xfId="520" xr:uid="{2E7E5C5A-B686-4B58-A0BE-758D00BEE89B}"/>
    <cellStyle name="Style 104 6 4 2 2" xfId="3449" xr:uid="{DE4AB301-E5DD-4481-AD0C-954862C84707}"/>
    <cellStyle name="Style 104 6 4 2 2 2" xfId="21600" xr:uid="{25753F22-0937-4B43-8A2A-D8E158C7C575}"/>
    <cellStyle name="Style 104 6 4 2 3" xfId="18135" xr:uid="{5BB05047-04D7-43CB-86EA-597F843C7440}"/>
    <cellStyle name="Style 104 6 4 3" xfId="3448" xr:uid="{3F1B2849-6C32-48B2-96B3-65BE1408CCED}"/>
    <cellStyle name="Style 104 6 4 3 2" xfId="21599" xr:uid="{21B53033-892E-4A8B-9ECF-4F6B9082F6B6}"/>
    <cellStyle name="Style 104 6 4 4" xfId="18134" xr:uid="{9042CD1C-68F5-4951-97F4-F65E9A16073D}"/>
    <cellStyle name="Style 104 6 5" xfId="3450" xr:uid="{E3A4BE33-6090-4B1C-AC91-3459F53C484F}"/>
    <cellStyle name="Style 104 6 5 2" xfId="19361" xr:uid="{882754A1-FABB-40F6-8FDF-74839F606433}"/>
    <cellStyle name="Style 104 6 6" xfId="3442" xr:uid="{D0DC1962-45C9-4512-AB26-C1733AF627F3}"/>
    <cellStyle name="Style 104 6 6 2" xfId="21595" xr:uid="{FF87981C-6E58-4D1A-80F0-AA034515B253}"/>
    <cellStyle name="Style 104 6 7" xfId="18129" xr:uid="{593E21C5-F3F5-4A8D-B2DA-8FBDBEF33CDD}"/>
    <cellStyle name="Style 104 7" xfId="521" xr:uid="{62205B81-5DCB-444D-A554-4E4530DDF294}"/>
    <cellStyle name="Style 104 7 2" xfId="522" xr:uid="{4F3BB90E-0CE5-4A72-AF42-37BFCA98D7EA}"/>
    <cellStyle name="Style 104 7 2 2" xfId="3452" xr:uid="{E89FEE1C-4BEA-43C0-8C70-2915543BE5BE}"/>
    <cellStyle name="Style 104 7 2 2 2" xfId="21602" xr:uid="{B5229DFA-0675-430E-801F-E4183C0FFDF2}"/>
    <cellStyle name="Style 104 7 2 3" xfId="18137" xr:uid="{B4A62E95-0150-4877-BC2E-3E3332F9DD4A}"/>
    <cellStyle name="Style 104 7 3" xfId="3453" xr:uid="{B08139F6-B2BB-47FE-ACDF-64A4DF86FF26}"/>
    <cellStyle name="Style 104 7 3 2" xfId="18138" xr:uid="{4A273F3F-000B-4684-A094-DED5381EF39D}"/>
    <cellStyle name="Style 104 7 4" xfId="3454" xr:uid="{DA6D3176-B090-4565-9E2E-1C930DE81D86}"/>
    <cellStyle name="Style 104 7 4 2" xfId="19362" xr:uid="{A4233E6D-1222-4A92-8589-34EEB71A68BE}"/>
    <cellStyle name="Style 104 7 5" xfId="3451" xr:uid="{81642588-4CDA-4452-ACDA-D85A41E5345D}"/>
    <cellStyle name="Style 104 7 5 2" xfId="21601" xr:uid="{67D4A0C3-701B-4C7F-A8D6-17D0D02925DF}"/>
    <cellStyle name="Style 104 7 6" xfId="18136" xr:uid="{AF43B755-266C-43D8-991B-D274E8D504E6}"/>
    <cellStyle name="Style 104 8" xfId="523" xr:uid="{121E7D59-EA62-42DB-99C8-066066FC9A6C}"/>
    <cellStyle name="Style 104 8 2" xfId="524" xr:uid="{05A5792C-A204-4750-BF3B-95838AE34E72}"/>
    <cellStyle name="Style 104 8 2 2" xfId="3456" xr:uid="{032585F0-6A5A-40BA-8F30-74647AC1A443}"/>
    <cellStyle name="Style 104 8 2 2 2" xfId="21604" xr:uid="{9FFA8AC5-9023-48BA-8EC5-6C5DB16EE825}"/>
    <cellStyle name="Style 104 8 2 3" xfId="18140" xr:uid="{2590C90B-8B33-4936-99CF-92EC327D4155}"/>
    <cellStyle name="Style 104 8 3" xfId="3457" xr:uid="{BF5E35F3-95E1-4681-99BA-5BA223FB821D}"/>
    <cellStyle name="Style 104 8 3 2" xfId="18141" xr:uid="{6917BFD0-9D8A-475B-A26C-901BE73BD82E}"/>
    <cellStyle name="Style 104 8 4" xfId="3458" xr:uid="{CF97B860-B841-4A26-844D-9199EC778A75}"/>
    <cellStyle name="Style 104 8 4 2" xfId="19363" xr:uid="{B39FBA53-C8B2-4C13-B628-D0E4C7E76FC7}"/>
    <cellStyle name="Style 104 8 5" xfId="3455" xr:uid="{A6295ED5-8EE0-4EDB-BD2D-A11DE6B45599}"/>
    <cellStyle name="Style 104 8 5 2" xfId="21603" xr:uid="{185C8491-C588-46EB-94E2-C98F99E39A58}"/>
    <cellStyle name="Style 104 8 6" xfId="18139" xr:uid="{482A69BB-05F6-49C0-A2AB-AA2D8E8DB232}"/>
    <cellStyle name="Style 104 9" xfId="525" xr:uid="{E392EB77-CADB-4E69-88BC-A6D646C7E721}"/>
    <cellStyle name="Style 104 9 2" xfId="526" xr:uid="{8F1262D8-393B-49C5-B45C-D8039147B56E}"/>
    <cellStyle name="Style 104 9 2 2" xfId="3459" xr:uid="{7393B6DD-A21D-4230-932C-D3889B1A2B6C}"/>
    <cellStyle name="Style 104 9 2 2 2" xfId="21606" xr:uid="{6DB2E1C4-4E10-4213-9FF7-06FF786E4F3E}"/>
    <cellStyle name="Style 104 9 2 3" xfId="19364" xr:uid="{08F119CB-80A8-4505-8FB9-6E5DCB70E644}"/>
    <cellStyle name="Style 104 9 3" xfId="2692" xr:uid="{2284AE03-2676-439E-BFAA-D82D1353E144}"/>
    <cellStyle name="Style 104 9 3 2" xfId="21605" xr:uid="{288D607A-DF0A-4382-A4CA-6133F0A2680C}"/>
    <cellStyle name="Style 104 9 4" xfId="18142" xr:uid="{218FC448-191D-4930-8091-8ED0FB8EC077}"/>
    <cellStyle name="Style 104_ADDON" xfId="20506" xr:uid="{2D13C9EF-057D-4388-BFE5-EC5D9D3C0C22}"/>
    <cellStyle name="Style 105" xfId="527" xr:uid="{E056E0D3-5ED0-4EFD-ACCF-C095ADDD3BF5}"/>
    <cellStyle name="Style 105 10" xfId="18143" xr:uid="{5A7C8D61-863F-4BB3-8130-9A63EBB0AA64}"/>
    <cellStyle name="Style 105 2" xfId="528" xr:uid="{E66ECB05-F4B8-4B8E-908E-E8A9281A61FD}"/>
    <cellStyle name="Style 105 2 2" xfId="6002" xr:uid="{B971A8A8-089D-4FAD-9A60-C19DE2E4B53B}"/>
    <cellStyle name="Style 105 2 2 2" xfId="22970" xr:uid="{33F1A367-83D4-48E7-B938-BE0D74DFF69A}"/>
    <cellStyle name="Style 105 2 3" xfId="18144" xr:uid="{A3339E9E-38CC-4509-A13C-9026CEA380BF}"/>
    <cellStyle name="Style 105 3" xfId="529" xr:uid="{CD16FCC9-4671-4863-BE4E-8BDFBC5ECFDB}"/>
    <cellStyle name="Style 105 3 2" xfId="530" xr:uid="{4971E5F9-7040-4789-83A9-CD04848DDF41}"/>
    <cellStyle name="Style 105 3 2 2" xfId="18146" xr:uid="{81F5E57C-DC34-4E5B-9D18-44F010965EB4}"/>
    <cellStyle name="Style 105 3 3" xfId="531" xr:uid="{705F2D32-CB44-40CF-A0C6-F92C8946339E}"/>
    <cellStyle name="Style 105 3 3 2" xfId="532" xr:uid="{7CE1B790-7207-41AE-864D-6FCA6332DED3}"/>
    <cellStyle name="Style 105 3 3 2 2" xfId="18148" xr:uid="{1A7401B9-E496-4714-A704-64A7C166924B}"/>
    <cellStyle name="Style 105 3 3 3" xfId="3460" xr:uid="{299AAF30-EF7E-45BF-AE00-E5EBD590AA72}"/>
    <cellStyle name="Style 105 3 3 3 2" xfId="18149" xr:uid="{47C1EBA7-610A-469B-8863-9F36411939C1}"/>
    <cellStyle name="Style 105 3 3 4" xfId="3461" xr:uid="{786F2A56-1B5B-4A11-A988-1EEF47139325}"/>
    <cellStyle name="Style 105 3 3 4 2" xfId="19365" xr:uid="{FC4835B8-8ABE-45F5-A764-6E1418C0458F}"/>
    <cellStyle name="Style 105 3 3 5" xfId="18147" xr:uid="{989B0A90-F30C-459A-9C1E-85697604F876}"/>
    <cellStyle name="Style 105 3 4" xfId="533" xr:uid="{5B4D3B0A-96A9-46D3-929E-6848A7342155}"/>
    <cellStyle name="Style 105 3 4 2" xfId="534" xr:uid="{F781048C-6586-4A92-A56D-664469A9559C}"/>
    <cellStyle name="Style 105 3 4 2 2" xfId="18151" xr:uid="{E7AD30D5-7B3A-4267-B41F-F97D42C8C1E1}"/>
    <cellStyle name="Style 105 3 4 3" xfId="18150" xr:uid="{430A90B0-9C1C-421B-AE04-775E77E2FA5E}"/>
    <cellStyle name="Style 105 3 5" xfId="3462" xr:uid="{FB3D40B5-B432-4D36-B2A8-BF550FC750EF}"/>
    <cellStyle name="Style 105 3 5 2" xfId="19366" xr:uid="{01762DA0-116C-4CD4-9136-9841F4CCC246}"/>
    <cellStyle name="Style 105 3 6" xfId="18145" xr:uid="{2DD97EFC-8DC5-4C06-AC2C-621CE3FD2F93}"/>
    <cellStyle name="Style 105 4" xfId="535" xr:uid="{878F98D7-8BA5-49CA-A823-6883DF7F45CA}"/>
    <cellStyle name="Style 105 4 2" xfId="536" xr:uid="{BCD562B0-2A77-4F5D-AD48-A46C6ECD3B4A}"/>
    <cellStyle name="Style 105 4 2 2" xfId="18153" xr:uid="{DF959665-8E25-4E76-94CC-A8DD28352D78}"/>
    <cellStyle name="Style 105 4 3" xfId="3463" xr:uid="{9FE6740C-DFA5-4284-A597-A700FE693DA6}"/>
    <cellStyle name="Style 105 4 3 2" xfId="18154" xr:uid="{2BDF90B5-AD23-4D0E-92B9-AF467E251C8F}"/>
    <cellStyle name="Style 105 4 4" xfId="3464" xr:uid="{A12002DA-B274-4ACA-BE99-1896B17CB330}"/>
    <cellStyle name="Style 105 4 4 2" xfId="19367" xr:uid="{2BC1BB7F-2758-40ED-A4DA-DD4D4A4E7F87}"/>
    <cellStyle name="Style 105 4 5" xfId="18152" xr:uid="{C050B940-510E-4514-8B06-D7552BFA3641}"/>
    <cellStyle name="Style 105 5" xfId="537" xr:uid="{95E253B6-5384-474A-B8AA-47DAE2433B8C}"/>
    <cellStyle name="Style 105 5 2" xfId="538" xr:uid="{08B737B9-5980-4FFD-B57B-B1B1FCBA5412}"/>
    <cellStyle name="Style 105 5 2 2" xfId="18156" xr:uid="{E70288CB-D8C5-4CA9-B644-4AC31211D700}"/>
    <cellStyle name="Style 105 5 3" xfId="18155" xr:uid="{880C3483-C8A2-4DBF-A595-69145CAD24C4}"/>
    <cellStyle name="Style 105 6" xfId="539" xr:uid="{182FB5DC-D493-440C-A854-2FF00C5EDAEE}"/>
    <cellStyle name="Style 105 6 2" xfId="540" xr:uid="{0F275F21-5FE6-4512-9391-F06181E63618}"/>
    <cellStyle name="Style 105 6 2 2" xfId="19368" xr:uid="{3DBEA76B-72BA-41E3-84E8-8404A630D321}"/>
    <cellStyle name="Style 105 6 3" xfId="2694" xr:uid="{7CE4003B-78B4-41FA-BF77-08872C4BA5A2}"/>
    <cellStyle name="Style 105 6 3 2" xfId="22508" xr:uid="{02EDAEB6-178A-4F86-BA5D-259227D8EA19}"/>
    <cellStyle name="Style 105 6 4" xfId="18157" xr:uid="{4642FE9A-63AC-4007-BC35-6A6A46237041}"/>
    <cellStyle name="Style 105 7" xfId="2693" xr:uid="{082B5704-214E-486E-8BC0-1CAD3508781A}"/>
    <cellStyle name="Style 105 7 2" xfId="3466" xr:uid="{08BCBF0A-1C89-4B1F-AA0C-DECC1B09DD76}"/>
    <cellStyle name="Style 105 7 2 2" xfId="19369" xr:uid="{460EE4E5-FBAA-4536-8A84-C1FB755C70FC}"/>
    <cellStyle name="Style 105 7 3" xfId="3465" xr:uid="{341DC5D6-7AAD-473E-8B45-88BB9CBFD51D}"/>
    <cellStyle name="Style 105 7 3 2" xfId="33671" xr:uid="{E57075AD-1D43-48EB-B2A5-364C420D7FF3}"/>
    <cellStyle name="Style 105 7 4" xfId="18158" xr:uid="{0A71174F-2FD1-4107-A9B0-0C00A9957F6B}"/>
    <cellStyle name="Style 105 8" xfId="3467" xr:uid="{E52984C7-B2D6-45B3-B3CB-6EE626CCE5D3}"/>
    <cellStyle name="Style 105 8 2" xfId="19370" xr:uid="{D73F5F49-C955-42A8-9971-8596EE0ABB89}"/>
    <cellStyle name="Style 105 9" xfId="6003" xr:uid="{ED0A92FA-1AFD-455A-A76D-C016BC2E8EFB}"/>
    <cellStyle name="Style 105 9 2" xfId="21190" xr:uid="{EE855B62-1355-4688-B788-D218186C8F9C}"/>
    <cellStyle name="Style 105_ADDON" xfId="20488" xr:uid="{35806AB8-0620-47CD-BB15-83E39397E34F}"/>
    <cellStyle name="Style 106" xfId="541" xr:uid="{AFDBDEA1-A064-4DBC-9CCA-197CA3F8F3E5}"/>
    <cellStyle name="Style 106 2" xfId="542" xr:uid="{1AEADD31-4B5D-49FB-948B-DFF209C4F8B4}"/>
    <cellStyle name="Style 106 2 2" xfId="543" xr:uid="{39FE2D50-ED6F-4603-B4F3-DEC1CBDBCC86}"/>
    <cellStyle name="Style 106 2 2 2" xfId="544" xr:uid="{AFCBD344-5DD0-42C2-A324-5DC9650F7AF7}"/>
    <cellStyle name="Style 106 2 2 2 2" xfId="545" xr:uid="{EB911540-166C-4A56-B87F-16B0E6FE9EBD}"/>
    <cellStyle name="Style 106 2 2 2 2 2" xfId="546" xr:uid="{D5D705D2-368F-4CE8-BEE4-29B95EA36D3B}"/>
    <cellStyle name="Style 106 2 2 2 2 2 2" xfId="6004" xr:uid="{CB40F37F-17DD-4B6D-A177-492AF7EF1AD1}"/>
    <cellStyle name="Style 106 2 2 2 2 3" xfId="6005" xr:uid="{EFD71122-140B-4140-9311-AEA4FD4640C3}"/>
    <cellStyle name="Style 106 2 2 2 3" xfId="547" xr:uid="{DD7D08C7-1570-44C5-85D7-C80D58AE3BA2}"/>
    <cellStyle name="Style 106 2 2 2 3 2" xfId="6006" xr:uid="{5A13CB51-2A13-45D9-87BA-A72D183FCE21}"/>
    <cellStyle name="Style 106 2 2 2 4" xfId="6007" xr:uid="{C6CB4091-3805-407C-86EE-26E5B9972466}"/>
    <cellStyle name="Style 106 2 2 3" xfId="548" xr:uid="{F78A0B4D-144A-4843-8554-A52036951F5F}"/>
    <cellStyle name="Style 106 2 2 3 2" xfId="549" xr:uid="{64F26610-9427-4481-B9C1-62C967C6017E}"/>
    <cellStyle name="Style 106 2 2 3 2 2" xfId="6008" xr:uid="{D1CF1194-5CF5-4C50-9AA2-A5B229AD5F88}"/>
    <cellStyle name="Style 106 2 2 3 3" xfId="6009" xr:uid="{1878FCE3-79F7-484F-ADC7-4C81B31D1AD7}"/>
    <cellStyle name="Style 106 2 2 4" xfId="550" xr:uid="{080B10E8-9FCC-41F0-8D3C-6C5028A97A9D}"/>
    <cellStyle name="Style 106 2 2 4 2" xfId="6010" xr:uid="{12F7195D-03A2-415C-8EBB-7CC86732465D}"/>
    <cellStyle name="Style 106 2 2 5" xfId="6011" xr:uid="{82AB89B3-98D6-4E43-B9A3-B11EECB5C514}"/>
    <cellStyle name="Style 106 2 3" xfId="551" xr:uid="{2A58D466-D93D-4F2E-9EB7-F7873A030033}"/>
    <cellStyle name="Style 106 2 3 2" xfId="552" xr:uid="{1F46813D-5E09-4F80-AA43-F84C15BC2CEA}"/>
    <cellStyle name="Style 106 2 3 2 2" xfId="553" xr:uid="{E5700A7D-6532-4EAD-B8EB-DC2184840620}"/>
    <cellStyle name="Style 106 2 3 2 2 2" xfId="6012" xr:uid="{B3AB17DA-8BC6-42DC-A2A2-D0C817FFBF72}"/>
    <cellStyle name="Style 106 2 3 2 3" xfId="6013" xr:uid="{5823FF9F-DD4D-404C-87DB-53A5043DD16C}"/>
    <cellStyle name="Style 106 2 3 3" xfId="554" xr:uid="{FBADAF30-DC12-4E2D-AAAD-8B8D5859FFAB}"/>
    <cellStyle name="Style 106 2 3 3 2" xfId="6014" xr:uid="{7A9CC0D7-B67D-447C-A487-C91FDEA17E01}"/>
    <cellStyle name="Style 106 2 3 4" xfId="6015" xr:uid="{5691F075-FF2B-494B-85AD-8B3111632809}"/>
    <cellStyle name="Style 106 2 4" xfId="555" xr:uid="{C9E60561-D8A3-48C6-8B52-8740DB81140F}"/>
    <cellStyle name="Style 106 2 4 2" xfId="556" xr:uid="{F8E59BBE-3213-47BD-B6A4-C47721A270A2}"/>
    <cellStyle name="Style 106 2 4 2 2" xfId="6016" xr:uid="{F4677E98-89D4-43EF-9BBF-EE9C0D530810}"/>
    <cellStyle name="Style 106 2 4 3" xfId="6017" xr:uid="{42037B5F-1AC0-4183-A075-1C89195CEF20}"/>
    <cellStyle name="Style 106 2 5" xfId="557" xr:uid="{D1B6F330-B8C9-4073-AD90-FEC6CCFA929D}"/>
    <cellStyle name="Style 106 2 5 2" xfId="6018" xr:uid="{980E5CB4-885E-4BE1-B4D2-9D3EE9A4F4E2}"/>
    <cellStyle name="Style 106 2 6" xfId="6019" xr:uid="{E9CA48C8-DEC8-4FD7-9924-C76D4CAE4E9C}"/>
    <cellStyle name="Style 106 3" xfId="558" xr:uid="{0990A86B-E8F3-4A1B-A83F-E94C714AD8D3}"/>
    <cellStyle name="Style 106 3 2" xfId="559" xr:uid="{3B9C4F7A-B82B-472E-8B54-80AA4C0F59A3}"/>
    <cellStyle name="Style 106 3 2 2" xfId="560" xr:uid="{AFCD6E3E-9AA2-4F85-9B45-DE5FA670ABE9}"/>
    <cellStyle name="Style 106 3 2 2 2" xfId="561" xr:uid="{FBB37CA0-4A33-4B04-A8F4-01F4122EACED}"/>
    <cellStyle name="Style 106 3 2 2 2 2" xfId="562" xr:uid="{AEA13FC9-E3BD-4009-8223-454295109214}"/>
    <cellStyle name="Style 106 3 2 2 2 2 2" xfId="6020" xr:uid="{3620003E-FB02-49AF-BAA7-BC9F347C1F6F}"/>
    <cellStyle name="Style 106 3 2 2 2 3" xfId="6021" xr:uid="{01BEB1F9-9D2B-4C95-AC62-36481EDCAFDB}"/>
    <cellStyle name="Style 106 3 2 2 3" xfId="563" xr:uid="{A7B53A88-BDE7-4849-B1D1-B140918D7A9A}"/>
    <cellStyle name="Style 106 3 2 2 3 2" xfId="6022" xr:uid="{38AE2E48-2D41-4BC1-B10C-40ADF32D06F6}"/>
    <cellStyle name="Style 106 3 2 2 4" xfId="6023" xr:uid="{5726A34E-B593-4395-86C1-EF3C8E229BE2}"/>
    <cellStyle name="Style 106 3 2 3" xfId="564" xr:uid="{DAC43BDD-D592-44BB-A08E-F32370817E84}"/>
    <cellStyle name="Style 106 3 2 3 2" xfId="565" xr:uid="{D9BD59B1-451F-4ECB-9833-8364F03C01BA}"/>
    <cellStyle name="Style 106 3 2 3 2 2" xfId="6024" xr:uid="{A1A80428-DEB5-4246-94FD-9649371D7C7B}"/>
    <cellStyle name="Style 106 3 2 3 3" xfId="6025" xr:uid="{16182DE9-B241-4BBE-8037-BA05C59800E5}"/>
    <cellStyle name="Style 106 3 2 4" xfId="566" xr:uid="{E54BD47B-834A-4721-B92B-7E91E0CFC441}"/>
    <cellStyle name="Style 106 3 2 4 2" xfId="6026" xr:uid="{E1AD1654-626C-4E85-861C-1635B918804F}"/>
    <cellStyle name="Style 106 3 2 5" xfId="6027" xr:uid="{A468C1B6-E041-453C-8CC3-5299244BAC3E}"/>
    <cellStyle name="Style 106 3 3" xfId="567" xr:uid="{EE35995F-3250-4D52-8A0B-D32DA01B3D4E}"/>
    <cellStyle name="Style 106 3 3 2" xfId="568" xr:uid="{AE1000C5-802F-4771-A6DB-EF36995FD7D5}"/>
    <cellStyle name="Style 106 3 3 2 2" xfId="569" xr:uid="{3C8AC317-9EBC-43B9-9BA3-A071D2383BE1}"/>
    <cellStyle name="Style 106 3 3 2 2 2" xfId="570" xr:uid="{F404090C-D076-4291-AE2F-61A553CDF341}"/>
    <cellStyle name="Style 106 3 3 2 2 2 2" xfId="6028" xr:uid="{74F1F132-252D-48A2-A114-DC66A39BAC39}"/>
    <cellStyle name="Style 106 3 3 2 2 3" xfId="6029" xr:uid="{7AF621F6-3DF3-4E63-9896-2C7498871B7F}"/>
    <cellStyle name="Style 106 3 3 2 3" xfId="571" xr:uid="{C5D3BDCB-5F17-403C-8448-5C8F97890828}"/>
    <cellStyle name="Style 106 3 3 2 3 2" xfId="6030" xr:uid="{C465C7E9-5D62-4801-A772-8487A01C223B}"/>
    <cellStyle name="Style 106 3 3 2 4" xfId="6031" xr:uid="{0F53BC84-602B-46A3-A89C-992BC01608E6}"/>
    <cellStyle name="Style 106 3 3 3" xfId="572" xr:uid="{7F30F5DC-D048-45BA-9326-EAF82EB2EF3A}"/>
    <cellStyle name="Style 106 3 3 3 2" xfId="6032" xr:uid="{44E471CA-2F47-46D4-B5C3-6B9896278D69}"/>
    <cellStyle name="Style 106 3 3 4" xfId="3468" xr:uid="{1E4A0E3B-093C-4580-8853-18C329334BAB}"/>
    <cellStyle name="Style 106 3 3 5" xfId="6033" xr:uid="{89FEEBEA-AAAE-4FF7-B352-B033DACF4044}"/>
    <cellStyle name="Style 106 3 4" xfId="573" xr:uid="{4E72869C-6C4E-42BB-9E97-220BA4DA5AA9}"/>
    <cellStyle name="Style 106 3 4 2" xfId="574" xr:uid="{5B1DFCA3-4670-4B6A-9838-D08295052DFA}"/>
    <cellStyle name="Style 106 3 4 2 2" xfId="6034" xr:uid="{833AD910-38DB-4ECF-9FDC-46EEABE24890}"/>
    <cellStyle name="Style 106 3 4 3" xfId="6035" xr:uid="{B34CB5C0-5FA1-4D16-91CE-AE612B7E35A6}"/>
    <cellStyle name="Style 106 3 5" xfId="575" xr:uid="{532A70C5-200F-4840-BC0D-0B046EB69E49}"/>
    <cellStyle name="Style 106 3 5 2" xfId="6036" xr:uid="{339E0710-2F4E-442C-93C8-B4069AAE803D}"/>
    <cellStyle name="Style 106 3 6" xfId="6037" xr:uid="{1CF7471D-E7EA-49F9-8B79-96D75423F59A}"/>
    <cellStyle name="Style 106 4" xfId="576" xr:uid="{31A80103-B6EC-4BB9-85DB-58560D2923D3}"/>
    <cellStyle name="Style 106 4 2" xfId="577" xr:uid="{EBAC5E62-ECB3-405B-858F-02C892A2B5D5}"/>
    <cellStyle name="Style 106 4 2 2" xfId="578" xr:uid="{53186F54-8CA8-4E8D-9BD4-36D71E33971B}"/>
    <cellStyle name="Style 106 4 2 2 2" xfId="579" xr:uid="{FEED5841-9595-4321-ACD9-BA57D8907AB0}"/>
    <cellStyle name="Style 106 4 2 2 2 2" xfId="6038" xr:uid="{65F0AFD5-08F1-4840-8384-FAEC17DC4853}"/>
    <cellStyle name="Style 106 4 2 2 3" xfId="6039" xr:uid="{0C481268-B12A-4159-B028-6934DA5BABF8}"/>
    <cellStyle name="Style 106 4 2 3" xfId="580" xr:uid="{ED96B61C-3840-42E8-9951-4865C3346F0C}"/>
    <cellStyle name="Style 106 4 2 3 2" xfId="6040" xr:uid="{32F211F0-4E12-447F-B4FE-E78970267291}"/>
    <cellStyle name="Style 106 4 2 4" xfId="6041" xr:uid="{E537C7CD-BBA1-4851-A4CA-863205AFA1B3}"/>
    <cellStyle name="Style 106 4 3" xfId="581" xr:uid="{12ADF94D-F495-4715-8182-911569396A9B}"/>
    <cellStyle name="Style 106 4 3 2" xfId="6042" xr:uid="{AA4490A1-1F2B-4E5E-B0B2-FE77BA08A87F}"/>
    <cellStyle name="Style 106 4 4" xfId="3469" xr:uid="{89A67198-443C-41A4-98F3-29E8498A35E3}"/>
    <cellStyle name="Style 106 4 5" xfId="6043" xr:uid="{B454B63A-3B31-42D1-A129-0B490F97AAAB}"/>
    <cellStyle name="Style 106 5" xfId="582" xr:uid="{B3CB6411-A181-4D73-9CE8-70F5587729D5}"/>
    <cellStyle name="Style 106 5 2" xfId="583" xr:uid="{2B56AB7E-2F51-44F8-A863-DF6455623963}"/>
    <cellStyle name="Style 106 5 2 2" xfId="6044" xr:uid="{BB70BDC5-391F-4400-BC51-81A60347BAAA}"/>
    <cellStyle name="Style 106 5 3" xfId="6045" xr:uid="{781FB3C5-941F-4268-BF4D-F9549A23CE61}"/>
    <cellStyle name="Style 106 6" xfId="584" xr:uid="{F6957081-9517-424A-83AE-D9A08D1EE44B}"/>
    <cellStyle name="Style 106 6 2" xfId="2696" xr:uid="{068CF923-FBEA-4100-8CB3-7CB5D2F7FB21}"/>
    <cellStyle name="Style 106 6 2 2" xfId="3470" xr:uid="{E1596A98-F8F3-4E73-A74B-992AC9839385}"/>
    <cellStyle name="Style 106 6 3" xfId="6046" xr:uid="{20F85F49-7F99-46C1-95D4-3E278E8E066B}"/>
    <cellStyle name="Style 106 7" xfId="2695" xr:uid="{79435B28-4590-42A9-9202-B2A926A1A582}"/>
    <cellStyle name="Style 106 7 2" xfId="3472" xr:uid="{427C9F43-9782-413A-9F5F-3364AC4643BB}"/>
    <cellStyle name="Style 106 7 3" xfId="3471" xr:uid="{EC4EE554-6C8F-418D-8192-5D4C2409EB63}"/>
    <cellStyle name="Style 106 8" xfId="3473" xr:uid="{2F351CAB-E0D4-4C38-92C4-1500700BEDAE}"/>
    <cellStyle name="Style 106 9" xfId="6047" xr:uid="{4DE22ACD-BB77-430E-AE20-8C36BE9FDABF}"/>
    <cellStyle name="Style 106 9 2" xfId="21191" xr:uid="{88F89B59-503A-4706-BB6C-D72E1CB09743}"/>
    <cellStyle name="Style 106_ADDON" xfId="5579" xr:uid="{C552B1A1-DF6A-425F-B80C-A8B2ABBB117D}"/>
    <cellStyle name="Style 107" xfId="585" xr:uid="{F4A940F3-9F9F-466F-B3DA-425B7BCB38FD}"/>
    <cellStyle name="Style 107 10" xfId="18159" xr:uid="{E6B2B68C-D85E-4D9A-801C-6944924BC65D}"/>
    <cellStyle name="Style 107 2" xfId="586" xr:uid="{550F720E-77C5-47CD-A106-74CDC13FC2CF}"/>
    <cellStyle name="Style 107 2 2" xfId="6048" xr:uid="{DEA8D0F3-A935-4C25-A660-A32705C88265}"/>
    <cellStyle name="Style 107 2 2 2" xfId="22971" xr:uid="{06222332-C524-4842-898D-B13D9869B9FD}"/>
    <cellStyle name="Style 107 2 3" xfId="18160" xr:uid="{6F9E4F46-C7D6-44A4-84D7-7A0C314C8502}"/>
    <cellStyle name="Style 107 3" xfId="587" xr:uid="{FF2084C6-DF30-44B9-8F4D-8DAA9401F188}"/>
    <cellStyle name="Style 107 3 2" xfId="588" xr:uid="{D0D5C627-AD29-4658-AFB8-5FC0962558D5}"/>
    <cellStyle name="Style 107 3 2 2" xfId="18162" xr:uid="{B63BD0F0-2B6D-493F-863E-93840F42EF66}"/>
    <cellStyle name="Style 107 3 3" xfId="589" xr:uid="{6D21D125-1C3E-44C5-A0CA-5942CA4AEB85}"/>
    <cellStyle name="Style 107 3 3 2" xfId="590" xr:uid="{FE7FFE22-03AE-4A76-9DFE-F8571EAB966B}"/>
    <cellStyle name="Style 107 3 3 2 2" xfId="18164" xr:uid="{2BC9C7AC-AB3E-4206-ADEA-EB94CCF740C5}"/>
    <cellStyle name="Style 107 3 3 3" xfId="3474" xr:uid="{88C32FB4-B0E9-478E-A89B-D0104748D1C4}"/>
    <cellStyle name="Style 107 3 3 3 2" xfId="18165" xr:uid="{BE703D7C-1342-4657-90C1-C38E1E56BE14}"/>
    <cellStyle name="Style 107 3 3 4" xfId="3475" xr:uid="{57C35070-63A5-4370-9B20-95CD3BEC2D1C}"/>
    <cellStyle name="Style 107 3 3 4 2" xfId="19371" xr:uid="{1F71D313-B004-4C4E-840C-4B1D5E26D296}"/>
    <cellStyle name="Style 107 3 3 5" xfId="18163" xr:uid="{064D504E-4BAB-4E00-ADB5-EF5BBCCF0F4C}"/>
    <cellStyle name="Style 107 3 4" xfId="591" xr:uid="{29529D29-6C4A-4D49-AC48-D6BA2B020515}"/>
    <cellStyle name="Style 107 3 4 2" xfId="592" xr:uid="{564AA8B7-C0EA-4907-9CAE-A19FE50740FE}"/>
    <cellStyle name="Style 107 3 4 2 2" xfId="18167" xr:uid="{AF2C2C2A-C6BF-4868-95C0-063F3CF9DAFE}"/>
    <cellStyle name="Style 107 3 4 3" xfId="18166" xr:uid="{3BBA400E-D5AE-43B2-B1E3-0A73ECFBD4A5}"/>
    <cellStyle name="Style 107 3 5" xfId="3476" xr:uid="{43998DE7-97CC-43FC-8D39-0F26C3819A06}"/>
    <cellStyle name="Style 107 3 5 2" xfId="19372" xr:uid="{998EFE7D-0456-4D33-A9F1-BC36887FCB82}"/>
    <cellStyle name="Style 107 3 6" xfId="18161" xr:uid="{5714A7E1-3570-4A83-9476-A73BB62AFBB9}"/>
    <cellStyle name="Style 107 4" xfId="593" xr:uid="{0E4D10AC-33D7-4F2D-BAEE-C53A073F606B}"/>
    <cellStyle name="Style 107 4 2" xfId="594" xr:uid="{EC8C1ED0-CC9B-4152-A6D5-B3733911AD4F}"/>
    <cellStyle name="Style 107 4 2 2" xfId="18169" xr:uid="{B8F02629-1935-48E6-80AA-1D908A2E44C7}"/>
    <cellStyle name="Style 107 4 3" xfId="3477" xr:uid="{2A787192-F749-42B3-ACC1-1225A6B1FF6F}"/>
    <cellStyle name="Style 107 4 3 2" xfId="18170" xr:uid="{6D509CA6-35E9-4ECE-B417-664E2445A38B}"/>
    <cellStyle name="Style 107 4 4" xfId="3478" xr:uid="{8489D547-7D08-45E6-B992-6C72995387AD}"/>
    <cellStyle name="Style 107 4 4 2" xfId="19373" xr:uid="{D511C192-F3EC-4006-99EC-AAB3AD553C6D}"/>
    <cellStyle name="Style 107 4 5" xfId="18168" xr:uid="{54DF1634-FBE6-4EA3-B77A-9636E01C6342}"/>
    <cellStyle name="Style 107 5" xfId="595" xr:uid="{E34B6E0F-9FC1-4384-A91E-8ABA7F1102D2}"/>
    <cellStyle name="Style 107 5 2" xfId="596" xr:uid="{1D000E64-1AE6-4435-BA1E-CFA0BBED6DEF}"/>
    <cellStyle name="Style 107 5 2 2" xfId="18172" xr:uid="{362555D6-2883-4A8D-BE55-D6E98B1C2C65}"/>
    <cellStyle name="Style 107 5 3" xfId="18171" xr:uid="{5AE08624-F2FF-4418-A587-DA962EBCEA7C}"/>
    <cellStyle name="Style 107 6" xfId="597" xr:uid="{56E24654-81F2-4D00-A3E3-DD40659A0C67}"/>
    <cellStyle name="Style 107 6 2" xfId="598" xr:uid="{A3C2C3E4-17D1-4FE1-B893-B0E9A81ED76D}"/>
    <cellStyle name="Style 107 6 2 2" xfId="19374" xr:uid="{F20D8EDD-2CAB-4000-AAA1-1A97DB01E96D}"/>
    <cellStyle name="Style 107 6 3" xfId="2698" xr:uid="{7775DF8B-9E0B-4998-B8D4-D6D7EF9F2400}"/>
    <cellStyle name="Style 107 6 3 2" xfId="22509" xr:uid="{91418864-5A48-4E74-A1A6-B8F7D4BBE076}"/>
    <cellStyle name="Style 107 6 4" xfId="18173" xr:uid="{4676EE49-8A0C-476C-9FA4-557182731B74}"/>
    <cellStyle name="Style 107 7" xfId="2697" xr:uid="{30454AE5-E9B2-40BE-A3B2-A107C4D53FBE}"/>
    <cellStyle name="Style 107 7 2" xfId="3480" xr:uid="{7355249A-3D67-4532-8FF6-29D5769E76E2}"/>
    <cellStyle name="Style 107 7 2 2" xfId="19375" xr:uid="{AB7BAE5F-9CBB-43E9-A89E-305F0902140B}"/>
    <cellStyle name="Style 107 7 3" xfId="3479" xr:uid="{5D29676F-AFC6-4C6E-B13E-5350F16DA66A}"/>
    <cellStyle name="Style 107 7 3 2" xfId="33672" xr:uid="{58F58BC0-10BF-4C3F-9BF4-0A988EBEA580}"/>
    <cellStyle name="Style 107 7 4" xfId="18174" xr:uid="{6ACD0E7D-F5D2-4AF2-A9A5-33855906874D}"/>
    <cellStyle name="Style 107 8" xfId="3481" xr:uid="{A96D427D-3085-4DFD-B7B4-3F4233C496CC}"/>
    <cellStyle name="Style 107 9" xfId="6049" xr:uid="{B3F43386-51A7-4D57-9C71-E432F3275488}"/>
    <cellStyle name="Style 107_ADDON" xfId="20489" xr:uid="{B632FBE7-6190-4057-A4F2-8C71EB48D81D}"/>
    <cellStyle name="Style 108 10" xfId="599" xr:uid="{C449CD8A-77E2-4A3C-A789-776CF8939228}"/>
    <cellStyle name="Style 108 10 2 3" xfId="19376" xr:uid="{6775847E-2597-4EF6-9DAE-C073840931F7}"/>
    <cellStyle name="Style 108 11" xfId="600" xr:uid="{7DAEDEEA-9FCA-45E6-AA18-8218CB2F769C}"/>
    <cellStyle name="Style 108 11 2 3" xfId="19377" xr:uid="{232E7DE1-35E4-46B2-9434-6AF08D78DD64}"/>
    <cellStyle name="Style 108 12" xfId="601" xr:uid="{C5498088-CEAA-41F6-BAE6-821475746441}"/>
    <cellStyle name="Style 108 12 3 2" xfId="22972" xr:uid="{AAAEB34C-E45D-4CCE-8ED4-CB0C54B6EC7B}"/>
    <cellStyle name="Style 108 12 5 2" xfId="22973" xr:uid="{9D009880-9F2A-487C-855B-B5017852B854}"/>
    <cellStyle name="Style 108 13" xfId="6050" xr:uid="{C133F09D-3455-48BF-BF32-01B489A9A98F}"/>
    <cellStyle name="Style 108 14" xfId="6051" xr:uid="{98259B08-D8FA-4653-A59C-B8596C8FEB44}"/>
    <cellStyle name="Style 108 16" xfId="18175" xr:uid="{3B6FFEB8-DE4C-4614-A3B7-1DADE1CDAC61}"/>
    <cellStyle name="Style 108 3 2 2 2" xfId="3482" xr:uid="{B5631AE6-5927-4382-91D2-BBC31EFBFF8D}"/>
    <cellStyle name="Style 108 3 3 2 2" xfId="3483" xr:uid="{B2B0B1EE-2BDC-4E20-9B9A-7F65B9DF0823}"/>
    <cellStyle name="Style 108 3 3 3 3" xfId="3484" xr:uid="{8AD19A38-DCD1-493F-B0CF-BDED08C2B5C3}"/>
    <cellStyle name="Style 108 3 3 4 2" xfId="602" xr:uid="{46E09035-65A9-4AE7-8310-5E6E024BCB72}"/>
    <cellStyle name="Style 108 3 3 5 2" xfId="19378" xr:uid="{1A9FC3BE-E83E-446D-8A4A-9D5A71AA52A4}"/>
    <cellStyle name="Style 108 3 4 3 2" xfId="19379" xr:uid="{0EB0759A-AAD7-454A-9FBC-E78F62660D7C}"/>
    <cellStyle name="Style 108 3 6" xfId="2893" xr:uid="{68874E91-8156-4AB3-9196-A1CDF87D4806}"/>
    <cellStyle name="Style 108 4 2 2 3" xfId="18176" xr:uid="{5E4468EB-E267-4044-9B83-91AFF4F71F54}"/>
    <cellStyle name="Style 108 4 2 3 4" xfId="3485" xr:uid="{31440943-6C8D-4D0E-B57E-0CC84FC21836}"/>
    <cellStyle name="Style 108 4 2 4 2 2 2" xfId="21608" xr:uid="{380BF206-139E-4C5F-8545-00CEC19703A6}"/>
    <cellStyle name="Style 108 4 2 6 2" xfId="21607" xr:uid="{AF1878E4-4A1C-4D05-ACDA-D1BAFC740FA6}"/>
    <cellStyle name="Style 108 4 4 2 2" xfId="19380" xr:uid="{F6FABBA9-E710-4EB9-9F9F-185C6D7E9E0E}"/>
    <cellStyle name="Style 108 5 2" xfId="603" xr:uid="{98654D79-F54C-4882-BED7-AECBC9E1F8BF}"/>
    <cellStyle name="Style 108 5 2 3 2 2 2" xfId="21609" xr:uid="{92D3B939-D9AB-4B84-BF15-FE9F492FCFF2}"/>
    <cellStyle name="Style 108 5 2 3 6" xfId="18177" xr:uid="{09D8E1C6-06CB-4920-90D1-0FE217F4081B}"/>
    <cellStyle name="Style 108 5 2 4 4" xfId="18178" xr:uid="{36C6FECB-F2C8-4A23-B381-E2701D94FE33}"/>
    <cellStyle name="Style 108 5 3 2 2" xfId="21610" xr:uid="{1C9CF5C5-1A60-4FD3-AE1E-57FCE14A6B39}"/>
    <cellStyle name="Style 108 5 6" xfId="2894" xr:uid="{F0E4D17A-9D36-4C6F-9454-B83975A78195}"/>
    <cellStyle name="Style 108 6 3" xfId="604" xr:uid="{2A87E613-F139-4F86-8A5D-DECF29A6DE29}"/>
    <cellStyle name="Style 108 6 3 4 2" xfId="19381" xr:uid="{D1962D88-B30C-4EC0-AB8A-0B5AC0FFD277}"/>
    <cellStyle name="Style 108 6 4 2 3" xfId="18180" xr:uid="{2FC7E8B7-6AEF-4DD6-8877-C7F8C138D0D0}"/>
    <cellStyle name="Style 108 6 7" xfId="18179" xr:uid="{94A7BA1E-69FC-4FD5-A43B-66E2055629AC}"/>
    <cellStyle name="Style 108 7 4" xfId="3486" xr:uid="{5DF83D7E-C01D-46BB-86B1-7CFFA05B5560}"/>
    <cellStyle name="Style 108 8 2 2 2" xfId="21611" xr:uid="{28041A9A-3A10-4F02-A938-0EA848288F32}"/>
    <cellStyle name="Style 108 8 6" xfId="18181" xr:uid="{5DFFEB6B-9440-431C-A1B3-2AD51803FAF1}"/>
    <cellStyle name="Style 108 9 4" xfId="18182" xr:uid="{AAD8AD6A-DA5E-453F-B453-9BC50C58FB4B}"/>
    <cellStyle name="Style 109 2 2 2 2 2 2" xfId="6052" xr:uid="{22EFD5B6-90FD-4FDE-A901-C4601A20CFF6}"/>
    <cellStyle name="Style 109 2 2 3 3" xfId="6053" xr:uid="{C3148CE6-51B9-442E-95B2-DE2BF79E149A}"/>
    <cellStyle name="Style 109 2 3 2 3" xfId="6054" xr:uid="{5A2ED52A-B898-4DEC-A6C3-27F8EBE99A8D}"/>
    <cellStyle name="Style 109 2 5" xfId="605" xr:uid="{97AE9CFB-CC16-48E5-9091-CF93F931E6C1}"/>
    <cellStyle name="Style 109 3 2 2 2 2 2" xfId="6055" xr:uid="{30F384A3-E99E-4612-A944-EFCBDA3A6BB3}"/>
    <cellStyle name="Style 109 3 2 3 3" xfId="6056" xr:uid="{D9EFEE8B-F0AC-4C2D-AB53-7AE41AF28AB0}"/>
    <cellStyle name="Style 109 3 3 2 2 2 2" xfId="6057" xr:uid="{BEE30DF7-D9C9-48AE-B45F-7B216D7C7CA5}"/>
    <cellStyle name="Style 109 3 3 5" xfId="6058" xr:uid="{86CEF44F-74DB-4C83-9AF4-642F58B9BBF5}"/>
    <cellStyle name="Style 109 4" xfId="606" xr:uid="{2D2054A7-F684-44FF-B3A5-1D2F2292CC55}"/>
    <cellStyle name="Style 109 4 2 4" xfId="6059" xr:uid="{E2861F8A-7EC9-43BB-8639-BC61E9AE388C}"/>
    <cellStyle name="Style 109 5 3" xfId="6060" xr:uid="{9402C531-61F8-41CE-894A-DBC6C50253B1}"/>
    <cellStyle name="Style 109 8" xfId="3487" xr:uid="{A316DF8E-4457-40BF-86DC-BD440BED70F3}"/>
    <cellStyle name="Style 110 2 2 2 2" xfId="607" xr:uid="{B1B8B0A9-FDEE-43C3-AB61-200B1E9D1701}"/>
    <cellStyle name="Style 110 2 2 3 2" xfId="608" xr:uid="{36F13744-F94A-48A6-8A47-7E77AC22B1EB}"/>
    <cellStyle name="Style 110 2 3 2 2" xfId="609" xr:uid="{21DE93D2-04B1-4273-A7B1-FFD6D0AA9B7D}"/>
    <cellStyle name="Style 110 2 4 2 2" xfId="6061" xr:uid="{4A20055F-531B-4EEA-9685-9F6DD3AFE00E}"/>
    <cellStyle name="Style 110 3 2 2 2" xfId="610" xr:uid="{59EDF0A8-E4E5-419E-B675-EE847E07FED2}"/>
    <cellStyle name="Style 110 3 2 3 2" xfId="611" xr:uid="{BF106D5C-3687-455D-8A06-8D6F81D2957E}"/>
    <cellStyle name="Style 110 3 3 2 2" xfId="612" xr:uid="{130F3C51-D3B6-4BAD-A7C9-7F68EA874773}"/>
    <cellStyle name="Style 110 3 3 3 2" xfId="6062" xr:uid="{7079A70F-140B-4FC0-A765-386AD9A5C9CA}"/>
    <cellStyle name="Style 110 3 5 2" xfId="6063" xr:uid="{01C45062-EED5-4E35-A698-913F6FF559E6}"/>
    <cellStyle name="Style 110 4 2 3" xfId="613" xr:uid="{B06547C2-1E9B-4877-9688-EE8434FEE172}"/>
    <cellStyle name="Style 110 5 2" xfId="614" xr:uid="{1172F1A2-BED7-441F-A1BC-3527FB09A20C}"/>
    <cellStyle name="Style 110 7 2" xfId="3488" xr:uid="{9B76D1CB-C571-4301-9158-CFDED1D0C281}"/>
    <cellStyle name="Style 114 10 2" xfId="615" xr:uid="{8A9E59AB-87C7-4D4B-9A24-F304166C819A}"/>
    <cellStyle name="Style 114 11 2" xfId="616" xr:uid="{4D52BA22-685A-479B-BC95-2B40574781B9}"/>
    <cellStyle name="Style 114 12 2" xfId="3489" xr:uid="{B2A182EC-A610-42D7-8CF9-806A840F77FC}"/>
    <cellStyle name="Style 114 12 6" xfId="6064" xr:uid="{298357E1-AE4F-4248-967B-ADDF663B300E}"/>
    <cellStyle name="Style 114 13 4" xfId="21192" xr:uid="{3855167D-5A7E-4F57-9DC2-35AE9630494C}"/>
    <cellStyle name="Style 114 15 3" xfId="22974" xr:uid="{99843791-2FD9-4078-9F7E-D42C45EB5CE9}"/>
    <cellStyle name="Style 114 3 2 2" xfId="617" xr:uid="{4C4398A1-F5A6-48F6-AF1F-940E03A4F6C9}"/>
    <cellStyle name="Style 114 3 3 2" xfId="618" xr:uid="{22D25F2D-4E12-4B9D-AE37-4ACC0B3FFEEA}"/>
    <cellStyle name="Style 114 3 3 3 2 3" xfId="18183" xr:uid="{C2059F6B-3E26-4C00-B577-84FA238189E1}"/>
    <cellStyle name="Style 114 3 3 4" xfId="619" xr:uid="{BB83DBCF-A3A2-4816-A10A-6D403DB1E57B}"/>
    <cellStyle name="Style 114 3 3 5" xfId="3490" xr:uid="{66B26421-B851-453D-ADCE-D197443223FD}"/>
    <cellStyle name="Style 114 3 4 2" xfId="3492" xr:uid="{74A87A76-9D3F-4BB5-938A-64FEAC109B5E}"/>
    <cellStyle name="Style 114 3 4 3" xfId="3493" xr:uid="{0DBB5DFF-2DB5-4960-924A-151238C96829}"/>
    <cellStyle name="Style 114 3 4 4" xfId="3491" xr:uid="{391FC33F-DCAF-4676-9CB5-940D6A5458C9}"/>
    <cellStyle name="Style 114 3 4 5" xfId="18184" xr:uid="{41C581D3-17D3-4586-A01F-140F5D2728A8}"/>
    <cellStyle name="Style 114 3 5 2" xfId="6065" xr:uid="{CACFD2AA-1956-43A8-8F26-4F634CDFECC6}"/>
    <cellStyle name="Style 114 3 5 3" xfId="18185" xr:uid="{1C1A3FAF-D429-49AC-82F8-406185772258}"/>
    <cellStyle name="Style 114 3 6 2" xfId="21193" xr:uid="{ABEB87FC-D298-49E4-A82B-23E575CCCE9E}"/>
    <cellStyle name="Style 114 4" xfId="620" xr:uid="{C213EB01-87B1-420A-9465-B973BADE031C}"/>
    <cellStyle name="Style 114 4 2 2" xfId="621" xr:uid="{C25E5285-FF83-4D3E-8EF6-FE89DD3F03DD}"/>
    <cellStyle name="Style 114 4 2 2 2 2" xfId="21612" xr:uid="{6BCA41AE-4660-49FA-8C16-62CCACC26BB0}"/>
    <cellStyle name="Style 114 4 2 3" xfId="622" xr:uid="{640A173D-7A15-4CD7-A900-6069690FE46A}"/>
    <cellStyle name="Style 114 4 2 3 2 2" xfId="3496" xr:uid="{F24D0B8C-72E8-4CAA-BFCA-F758E8E777C5}"/>
    <cellStyle name="Style 114 4 2 3 2 3" xfId="18188" xr:uid="{3043467A-07CE-4291-ACFD-A99D9533537B}"/>
    <cellStyle name="Style 114 4 2 3 3 2" xfId="18189" xr:uid="{7EE40D29-6522-42D1-A89E-95BF7327D42E}"/>
    <cellStyle name="Style 114 4 2 3 4 2" xfId="19382" xr:uid="{EFF03F12-15FC-4F78-A730-0EE41E69E93B}"/>
    <cellStyle name="Style 114 4 2 3 5 2" xfId="21613" xr:uid="{04879E2E-12C0-4D01-82B0-238A066D6CB5}"/>
    <cellStyle name="Style 114 4 2 4" xfId="623" xr:uid="{01887BF4-00A5-4514-86A9-79757322A18E}"/>
    <cellStyle name="Style 114 4 2 4 2 2" xfId="3497" xr:uid="{8FD20C2E-002B-4A6C-89A1-4CB8903AFEC5}"/>
    <cellStyle name="Style 114 4 2 4 2 3" xfId="18190" xr:uid="{387C126E-8818-4024-82D3-3A74EA0ABB8B}"/>
    <cellStyle name="Style 114 4 2 4 3 2" xfId="21614" xr:uid="{0E412210-48DB-43CF-A19C-8B8FF1DB418E}"/>
    <cellStyle name="Style 114 4 2 5" xfId="3498" xr:uid="{DDD98920-3C42-455A-B78A-B95888208EA6}"/>
    <cellStyle name="Style 114 4 2 6" xfId="3495" xr:uid="{4F3C311B-97E9-44DB-80ED-AD8B680C37F6}"/>
    <cellStyle name="Style 114 4 2 7" xfId="18187" xr:uid="{36539672-9946-4A20-A87E-6FF74AE81302}"/>
    <cellStyle name="Style 114 4 3 2" xfId="3499" xr:uid="{1AF95915-40C2-497C-B166-BE5C38860C0A}"/>
    <cellStyle name="Style 114 4 3 2 2" xfId="21615" xr:uid="{13E855BF-CBBB-4A1D-9C3B-7AF55E8A1E83}"/>
    <cellStyle name="Style 114 4 3 3" xfId="18191" xr:uid="{E49176EF-17EE-4880-AD52-CF78C89E99EF}"/>
    <cellStyle name="Style 114 4 4" xfId="3500" xr:uid="{898C16BC-DD99-423B-BA81-0525BC1CC84D}"/>
    <cellStyle name="Style 114 4 4 2" xfId="3501" xr:uid="{E99F376D-1342-4A12-B3BA-A7ACADF5A38A}"/>
    <cellStyle name="Style 114 4 4 2 2" xfId="19383" xr:uid="{BD9466E6-8DB5-41C0-AB06-A081BF5EEFEF}"/>
    <cellStyle name="Style 114 4 4 3" xfId="18192" xr:uid="{D408416D-7142-4222-B63E-0F4EFC9BF62C}"/>
    <cellStyle name="Style 114 4 5" xfId="3494" xr:uid="{C4E1C9CC-1183-43BC-BF90-319539FA460F}"/>
    <cellStyle name="Style 114 4 5 2" xfId="20636" xr:uid="{B8EF729E-3AA7-4898-8D3D-A08FB1E2FBC0}"/>
    <cellStyle name="Style 114 4 6" xfId="2895" xr:uid="{F60C6BF0-82DC-40DC-B7FA-BF2FFADFE792}"/>
    <cellStyle name="Style 114 4 6 2" xfId="21194" xr:uid="{6E5C870E-35FB-4B9B-97C5-A0C133F7972E}"/>
    <cellStyle name="Style 114 4 7" xfId="18186" xr:uid="{4B8FB048-0C3A-4192-859E-7ECE660AEA13}"/>
    <cellStyle name="Style 114 5" xfId="624" xr:uid="{6C86508C-657F-42F8-97D0-243B72C16106}"/>
    <cellStyle name="Style 114 5 2" xfId="625" xr:uid="{04D6CB92-FD56-425B-AAC8-9D20EF65D1CE}"/>
    <cellStyle name="Style 114 5 2 2" xfId="626" xr:uid="{426C4EFE-9F99-4869-B3D1-6942509A83BD}"/>
    <cellStyle name="Style 114 5 2 2 2" xfId="3504" xr:uid="{B8A8106D-5A37-4C2F-AD9B-5CC5AD5A13CC}"/>
    <cellStyle name="Style 114 5 2 2 2 2" xfId="21617" xr:uid="{E0C171AA-2794-4CCE-9F61-3DE95667384C}"/>
    <cellStyle name="Style 114 5 2 2 3" xfId="18195" xr:uid="{5F4AC3B4-835B-4303-89F4-D89669D4A442}"/>
    <cellStyle name="Style 114 5 2 3" xfId="627" xr:uid="{4B75D31D-8F60-4E2E-8CC5-222176399618}"/>
    <cellStyle name="Style 114 5 2 3 2" xfId="628" xr:uid="{46125FBF-9C5B-4B3E-9BF5-9E89481A1D01}"/>
    <cellStyle name="Style 114 5 2 3 2 2" xfId="3506" xr:uid="{45BEEA04-E857-4D3A-8965-F73A42A91348}"/>
    <cellStyle name="Style 114 5 2 3 2 2 2" xfId="21619" xr:uid="{E5EA113F-6044-4420-B246-ABE73698C7F6}"/>
    <cellStyle name="Style 114 5 2 3 2 3" xfId="18197" xr:uid="{81004E06-BDF7-4451-8F0A-E1837D5F5FA6}"/>
    <cellStyle name="Style 114 5 2 3 3" xfId="3507" xr:uid="{836F0249-EFE0-4DEA-A019-DC9F1F260A0B}"/>
    <cellStyle name="Style 114 5 2 3 3 2" xfId="18198" xr:uid="{745247D3-1179-4201-867E-BFCA8E4DD512}"/>
    <cellStyle name="Style 114 5 2 3 4" xfId="3508" xr:uid="{9D015555-AA91-43E8-A1DB-6BD5F9664CF1}"/>
    <cellStyle name="Style 114 5 2 3 4 2" xfId="19384" xr:uid="{0A7A8F54-34FF-4B74-94DD-BE49690249B5}"/>
    <cellStyle name="Style 114 5 2 3 5" xfId="3505" xr:uid="{3EA04566-58C7-4234-82E2-11B9FC3C3B23}"/>
    <cellStyle name="Style 114 5 2 3 5 2" xfId="21618" xr:uid="{A0FCFA19-FC61-49B1-A036-4B7A12C2626E}"/>
    <cellStyle name="Style 114 5 2 3 6" xfId="18196" xr:uid="{97C17783-2EB5-4646-9488-D8D00E4AF7C5}"/>
    <cellStyle name="Style 114 5 2 4" xfId="629" xr:uid="{10658862-E6B7-4525-8D6B-3AF9519AD282}"/>
    <cellStyle name="Style 114 5 2 4 2" xfId="630" xr:uid="{CF87C876-E063-45CE-9B13-52852EDACFDC}"/>
    <cellStyle name="Style 114 5 2 4 2 2" xfId="3510" xr:uid="{49B9AC3C-E871-4C22-9061-8F4772D20712}"/>
    <cellStyle name="Style 114 5 2 4 2 2 2" xfId="21621" xr:uid="{82ED104A-5AB9-4655-977A-538126A33DC9}"/>
    <cellStyle name="Style 114 5 2 4 2 3" xfId="18200" xr:uid="{5F618B3D-45DF-44EF-A3CF-DD2B1F58A3D2}"/>
    <cellStyle name="Style 114 5 2 4 3" xfId="3509" xr:uid="{0DC4BF31-35F6-4267-BB4F-46758C718F45}"/>
    <cellStyle name="Style 114 5 2 4 3 2" xfId="21620" xr:uid="{D8E07EC5-9FDC-45AB-8FB8-8FC9774F8991}"/>
    <cellStyle name="Style 114 5 2 4 4" xfId="18199" xr:uid="{432E121E-16C9-4D4A-B4FB-01E707F736AB}"/>
    <cellStyle name="Style 114 5 2 5" xfId="3511" xr:uid="{051B8C1A-0939-4A97-81C3-45A28342CBD9}"/>
    <cellStyle name="Style 114 5 2 5 2" xfId="19385" xr:uid="{2DC1D0BB-5811-4BD4-A2E6-5D5189A9E0C3}"/>
    <cellStyle name="Style 114 5 2 6" xfId="3503" xr:uid="{21B33C94-E50C-4F35-9701-037EF413CEC0}"/>
    <cellStyle name="Style 114 5 2 6 2" xfId="21616" xr:uid="{D9A965B7-C272-4D3B-9EC8-A67A909FAF76}"/>
    <cellStyle name="Style 114 5 2 7" xfId="18194" xr:uid="{5A60153C-47B5-4E76-BFA8-405910D758DB}"/>
    <cellStyle name="Style 114 5 3" xfId="631" xr:uid="{E486EAA6-BEF7-4709-823A-CC7D7937C632}"/>
    <cellStyle name="Style 114 5 3 2" xfId="3512" xr:uid="{A621848E-8860-4862-8D3A-639FEE60490A}"/>
    <cellStyle name="Style 114 5 3 2 2" xfId="21622" xr:uid="{A101E2C5-0BF1-41AA-8346-72214465F9B6}"/>
    <cellStyle name="Style 114 5 3 3" xfId="18201" xr:uid="{F19A48F0-4B36-4B54-A8E2-69439935D23B}"/>
    <cellStyle name="Style 114 5 4" xfId="3513" xr:uid="{7111F5F3-6C7E-41E0-A5EE-DB815E8807D8}"/>
    <cellStyle name="Style 114 5 4 2" xfId="3514" xr:uid="{EB06B1C6-FCD2-444D-9B15-CB3D118BE617}"/>
    <cellStyle name="Style 114 5 4 2 2" xfId="19386" xr:uid="{88F12210-87BA-4D38-A834-C63DC841917E}"/>
    <cellStyle name="Style 114 5 4 3" xfId="18202" xr:uid="{5F331A69-AACA-4F80-8ADB-47E875578F6F}"/>
    <cellStyle name="Style 114 5 5" xfId="3502" xr:uid="{CC581A1B-A958-415C-A3A5-80F47631E184}"/>
    <cellStyle name="Style 114 5 5 2" xfId="20637" xr:uid="{FA63D291-F53E-4EE5-94DD-594628C59E86}"/>
    <cellStyle name="Style 114 5 6" xfId="2896" xr:uid="{C0DBD9AB-0686-49C8-9A67-83BA1A79004A}"/>
    <cellStyle name="Style 114 5 6 2" xfId="21195" xr:uid="{1BF733ED-6EE1-4654-AAA8-7AFBB719A6FB}"/>
    <cellStyle name="Style 114 5 7" xfId="18193" xr:uid="{592BFC96-E60E-461B-82AD-A8580268979C}"/>
    <cellStyle name="Style 114 6" xfId="632" xr:uid="{88362363-FA0A-4B36-9ABA-52C9D162CA1F}"/>
    <cellStyle name="Style 114 6 2" xfId="633" xr:uid="{D6492224-CD4D-4958-92DD-4E067E44C562}"/>
    <cellStyle name="Style 114 6 2 2" xfId="3516" xr:uid="{C725CB38-A1EF-4620-AA58-F0DEEE8CCA0F}"/>
    <cellStyle name="Style 114 6 2 2 2" xfId="21624" xr:uid="{66E58BBC-3528-467A-8F6C-957805192324}"/>
    <cellStyle name="Style 114 6 2 3" xfId="18204" xr:uid="{67707554-E7F5-4CE7-BEB1-4CD303EA865D}"/>
    <cellStyle name="Style 114 6 3" xfId="634" xr:uid="{E7D57690-338B-40D7-83C4-8C97E8440220}"/>
    <cellStyle name="Style 114 6 3 2" xfId="635" xr:uid="{21271A37-8290-4E96-B260-3E4EC7243414}"/>
    <cellStyle name="Style 114 6 3 2 2" xfId="3518" xr:uid="{45055DD7-13D1-4012-B63A-16771523CA46}"/>
    <cellStyle name="Style 114 6 3 2 2 2" xfId="21626" xr:uid="{67E6E822-3999-43CB-874D-CC65A4584015}"/>
    <cellStyle name="Style 114 6 3 2 3" xfId="18206" xr:uid="{FB3AD9B2-0A3B-448D-A28F-12D94ED4D3D2}"/>
    <cellStyle name="Style 114 6 3 3" xfId="3519" xr:uid="{BDAB630A-9856-4BF9-8BF1-9E5CB6DB099B}"/>
    <cellStyle name="Style 114 6 3 3 2" xfId="18207" xr:uid="{330DA2D4-18D4-4AA8-96EA-727A406EDB3D}"/>
    <cellStyle name="Style 114 6 3 4" xfId="3520" xr:uid="{095C5639-AB6E-44B9-93B6-4127A407794A}"/>
    <cellStyle name="Style 114 6 3 4 2" xfId="19387" xr:uid="{0B765B3F-9832-4ABE-9910-B6833593B23C}"/>
    <cellStyle name="Style 114 6 3 5" xfId="3517" xr:uid="{E212B6CD-DC29-437D-9767-75EED5943A3F}"/>
    <cellStyle name="Style 114 6 3 5 2" xfId="21625" xr:uid="{E029A927-31EE-4457-8C78-09C37E68B8AF}"/>
    <cellStyle name="Style 114 6 3 6" xfId="18205" xr:uid="{24376E4B-4BF6-4D70-B54F-455C8B7B1B9B}"/>
    <cellStyle name="Style 114 6 4" xfId="636" xr:uid="{D7D727C4-7D8F-40A8-A73D-840DBCDF9DAC}"/>
    <cellStyle name="Style 114 6 4 2" xfId="637" xr:uid="{3684B351-8717-42A8-992E-4C2A38F6A94F}"/>
    <cellStyle name="Style 114 6 4 2 2" xfId="3522" xr:uid="{933DD9B7-98AB-4E87-81DA-40BF823B4480}"/>
    <cellStyle name="Style 114 6 4 2 2 2" xfId="21628" xr:uid="{CD70B5C9-1E73-499B-996F-753C037DED71}"/>
    <cellStyle name="Style 114 6 4 2 3" xfId="18209" xr:uid="{19DDEE11-A2EA-439D-802F-72156E5A72C3}"/>
    <cellStyle name="Style 114 6 4 3" xfId="3521" xr:uid="{873DD67A-2A15-4AB8-BBC8-3623B3D61125}"/>
    <cellStyle name="Style 114 6 4 3 2" xfId="21627" xr:uid="{FE50ABCD-C91A-4541-8CE3-98EC4754F96A}"/>
    <cellStyle name="Style 114 6 4 4" xfId="18208" xr:uid="{CBB0D692-23E2-4430-AA33-7C6DC62E1A35}"/>
    <cellStyle name="Style 114 6 5" xfId="3523" xr:uid="{D955B7F6-176F-4F28-B907-926514780019}"/>
    <cellStyle name="Style 114 6 5 2" xfId="19388" xr:uid="{13C7E8A5-576F-42A0-B050-CDC81934EF78}"/>
    <cellStyle name="Style 114 6 6" xfId="3515" xr:uid="{24FCC7D6-0FE8-42BA-8EB7-DB07CAACE60C}"/>
    <cellStyle name="Style 114 6 6 2" xfId="21623" xr:uid="{158502DF-7783-49CC-8B4D-59FCAAB00442}"/>
    <cellStyle name="Style 114 6 7" xfId="18203" xr:uid="{817D59F1-E5F1-4BF4-8E1C-233A8ED979B8}"/>
    <cellStyle name="Style 114 7" xfId="638" xr:uid="{324B4FF2-1840-4AAA-805D-64B14A255DD1}"/>
    <cellStyle name="Style 114 7 2" xfId="639" xr:uid="{F76C45B3-FEF2-49BC-9149-251F379D604A}"/>
    <cellStyle name="Style 114 7 2 2" xfId="3525" xr:uid="{C178F2DD-F1C2-429C-851F-70A5559E5413}"/>
    <cellStyle name="Style 114 7 2 2 2" xfId="21630" xr:uid="{0379C87B-2F14-4657-8FDC-09B940A08F14}"/>
    <cellStyle name="Style 114 7 2 3" xfId="18211" xr:uid="{4925C94D-89F5-4B84-8F7D-4E779D895BE8}"/>
    <cellStyle name="Style 114 7 3" xfId="3526" xr:uid="{9E46AA42-491A-4B3A-9AF0-C4E81348D461}"/>
    <cellStyle name="Style 114 7 3 2" xfId="18212" xr:uid="{15F37F7E-8A67-4E82-9D1C-67D94A875602}"/>
    <cellStyle name="Style 114 7 4" xfId="3527" xr:uid="{43C161C7-20D2-45A2-A09E-60CDA8C33593}"/>
    <cellStyle name="Style 114 7 4 2" xfId="19389" xr:uid="{81B42498-C983-46B9-BD29-204B118E2024}"/>
    <cellStyle name="Style 114 7 5" xfId="3524" xr:uid="{2EB3696F-96A9-4567-A741-73F1D48C62BC}"/>
    <cellStyle name="Style 114 7 5 2" xfId="21629" xr:uid="{7ACDE82F-FAAD-485C-86F3-12F7A86B090E}"/>
    <cellStyle name="Style 114 7 6" xfId="18210" xr:uid="{7F49BAA4-9271-432A-92C6-5A280091AB1A}"/>
    <cellStyle name="Style 114 8" xfId="640" xr:uid="{9B76C953-BF89-4161-B1D5-F380F7B113B5}"/>
    <cellStyle name="Style 114 8 2" xfId="641" xr:uid="{93D39B8E-E404-46F0-A64E-899B07C6BDB4}"/>
    <cellStyle name="Style 114 8 2 2" xfId="3529" xr:uid="{99B6160F-F679-40EF-8B8A-9599877B079D}"/>
    <cellStyle name="Style 114 8 2 2 2" xfId="21632" xr:uid="{6CF3ABF7-0859-4FAE-866C-85BA4A44C305}"/>
    <cellStyle name="Style 114 8 2 3" xfId="18214" xr:uid="{B0494FA0-3C45-4189-B255-3425E8BC17A8}"/>
    <cellStyle name="Style 114 8 3" xfId="3530" xr:uid="{E0FC3467-0085-4B4E-8CB8-6E991C581C0C}"/>
    <cellStyle name="Style 114 8 3 2" xfId="18215" xr:uid="{0C951DA1-5CC4-4455-81E4-B1C78CA683FC}"/>
    <cellStyle name="Style 114 8 4" xfId="3531" xr:uid="{E6CA39E1-0A00-49F4-B75F-AE1D4F0C9E63}"/>
    <cellStyle name="Style 114 8 4 2" xfId="19390" xr:uid="{47252437-190C-494F-A851-F35F08A0EA07}"/>
    <cellStyle name="Style 114 8 5" xfId="3528" xr:uid="{459DB347-3BCB-4F1C-8BA6-CFD4A6382561}"/>
    <cellStyle name="Style 114 8 5 2" xfId="21631" xr:uid="{2604714B-339E-4364-8303-D7FFE208F198}"/>
    <cellStyle name="Style 114 8 6" xfId="18213" xr:uid="{780132AC-8C98-41BC-9AEF-7BCF64EDEFD9}"/>
    <cellStyle name="Style 114 9" xfId="642" xr:uid="{6307457C-0BD0-49C1-AC74-5EE7B85D04F7}"/>
    <cellStyle name="Style 114 9 2" xfId="643" xr:uid="{2D670A4D-6824-4EFB-91CE-F52C1A68B155}"/>
    <cellStyle name="Style 114 9 2 2" xfId="3532" xr:uid="{AA96A36A-45C9-41E5-B14D-D3DE2393481B}"/>
    <cellStyle name="Style 114 9 2 2 2" xfId="21634" xr:uid="{32FF3899-921B-4D24-BDC5-803B65ED4B97}"/>
    <cellStyle name="Style 114 9 2 3" xfId="19391" xr:uid="{920A06B6-FA81-426A-8AE6-1F328FA4A50C}"/>
    <cellStyle name="Style 114 9 3" xfId="2699" xr:uid="{C5A8D5AB-C3DA-49E1-A9B5-4B645FAFCE3D}"/>
    <cellStyle name="Style 114 9 3 2" xfId="21633" xr:uid="{FC5FD7EF-E92C-4D92-8CAF-E2CCDDDA644C}"/>
    <cellStyle name="Style 114 9 4" xfId="18216" xr:uid="{7BDAC8FA-48A2-4E08-B786-50CB58706FCC}"/>
    <cellStyle name="Style 114_ADDON" xfId="20507" xr:uid="{9E03238F-02EB-4919-AF9E-3C04340C8E4F}"/>
    <cellStyle name="Style 115" xfId="644" xr:uid="{51446D9B-CE56-46D1-87CC-D247E7923CDA}"/>
    <cellStyle name="Style 115 10" xfId="645" xr:uid="{EC0D3AE8-1203-4BC3-9BE7-A2F9CF8E3A4C}"/>
    <cellStyle name="Style 115 10 2" xfId="646" xr:uid="{81F41792-D73C-4BB2-B97E-69A563849373}"/>
    <cellStyle name="Style 115 10 2 2" xfId="3533" xr:uid="{16A3000D-275C-48EE-BAEC-94B5366B3AB9}"/>
    <cellStyle name="Style 115 10 2 2 2" xfId="21636" xr:uid="{71E78667-CA27-4F6D-B450-6A06AE7F4B9C}"/>
    <cellStyle name="Style 115 10 2 3" xfId="19392" xr:uid="{F8C76E3F-5CD5-4DA0-B637-323676208223}"/>
    <cellStyle name="Style 115 10 3" xfId="2700" xr:uid="{FC2F2674-0E3C-4941-9DD6-EB8F1AAC3E6A}"/>
    <cellStyle name="Style 115 10 3 2" xfId="21635" xr:uid="{6E816E74-8509-47ED-B868-D3298623B8AB}"/>
    <cellStyle name="Style 115 10 4" xfId="18218" xr:uid="{92FFE06F-0B3A-474F-B79F-DFBEC5CCC42B}"/>
    <cellStyle name="Style 115 11" xfId="647" xr:uid="{373B71A7-F89B-4D77-B9D7-D971150D8063}"/>
    <cellStyle name="Style 115 11 2" xfId="648" xr:uid="{BB04CAF4-DE26-4E9F-BDEB-66D16D06095D}"/>
    <cellStyle name="Style 115 11 2 2" xfId="3535" xr:uid="{3F58A772-7646-442F-828A-F1856978B9E1}"/>
    <cellStyle name="Style 115 11 2 2 2" xfId="21638" xr:uid="{08789558-6C83-4B07-A008-47A8D14A7610}"/>
    <cellStyle name="Style 115 11 2 3" xfId="19393" xr:uid="{96B14C56-947B-4D72-B25B-1F49E708A5B9}"/>
    <cellStyle name="Style 115 11 3" xfId="3534" xr:uid="{F80898B2-5C49-44DC-97E1-0A0C9BC3C023}"/>
    <cellStyle name="Style 115 11 3 2" xfId="21637" xr:uid="{EE9914DD-78B6-4FFE-AE69-D49EFF8078F1}"/>
    <cellStyle name="Style 115 11 4" xfId="18219" xr:uid="{2860213A-63D8-4EB2-8574-F323C5AAD564}"/>
    <cellStyle name="Style 115 12" xfId="649" xr:uid="{9DD8970D-ADA2-4640-BA3C-E6168F1168B0}"/>
    <cellStyle name="Style 115 12 2" xfId="3536" xr:uid="{26E4A6BA-8998-4C8D-A2B8-02ECAF45D1A0}"/>
    <cellStyle name="Style 115 12 2 2" xfId="21639" xr:uid="{D76AA314-CC47-44C7-8649-CCEEEF39FD06}"/>
    <cellStyle name="Style 115 12 3" xfId="6066" xr:uid="{B12F51B8-176B-45D4-8DAE-3B8852F661D3}"/>
    <cellStyle name="Style 115 12 3 2" xfId="22975" xr:uid="{7FB657BF-ACB4-4A5E-A1E3-7EB26FB88BD4}"/>
    <cellStyle name="Style 115 12 4" xfId="6067" xr:uid="{2568C02C-95B3-42FA-9422-BA018524B024}"/>
    <cellStyle name="Style 115 12 4 2" xfId="22976" xr:uid="{BFE3C25D-CA0C-4607-A09C-2BBD6193627E}"/>
    <cellStyle name="Style 115 12 5" xfId="6068" xr:uid="{D9CD1DF7-E10E-48A0-87A0-639D04F78083}"/>
    <cellStyle name="Style 115 12 5 2" xfId="22977" xr:uid="{AA422E76-4201-4CC7-A3C1-41F436DE289F}"/>
    <cellStyle name="Style 115 12 6" xfId="6069" xr:uid="{3E1370A9-FE25-4EE5-B175-2BD267F91EB3}"/>
    <cellStyle name="Style 115 12 6 2" xfId="22978" xr:uid="{6376FAFE-867E-44DC-AF07-86CE28D7A6CB}"/>
    <cellStyle name="Style 115 12 7" xfId="19394" xr:uid="{6B830BE4-8DE1-4AB2-A3A4-DD19DFF0C97A}"/>
    <cellStyle name="Style 115 13" xfId="6070" xr:uid="{A0F77A4D-DA5B-4283-A333-2D85FE9EADA1}"/>
    <cellStyle name="Style 115 13 2" xfId="6071" xr:uid="{05F60B0F-F67C-4F8B-96EE-6AE07A845C50}"/>
    <cellStyle name="Style 115 13 2 2" xfId="22979" xr:uid="{CEF6A9AC-2A8F-4498-9D27-BAF14A83EE83}"/>
    <cellStyle name="Style 115 13 3" xfId="6072" xr:uid="{F9EBDF93-882F-40F7-BF89-A652A84507DB}"/>
    <cellStyle name="Style 115 13 3 2" xfId="22980" xr:uid="{CC061AF5-F9ED-49C4-AC93-8E0E4F3082BC}"/>
    <cellStyle name="Style 115 13 4" xfId="21196" xr:uid="{33F0AB0E-A7CE-4E4C-94E4-2C1997FB80C9}"/>
    <cellStyle name="Style 115 14" xfId="6073" xr:uid="{E49D2ADE-4252-4468-8E63-3C97BDBDD3E2}"/>
    <cellStyle name="Style 115 14 2" xfId="6074" xr:uid="{F2ADB80A-9B42-4124-BBF3-0C8498BA1A45}"/>
    <cellStyle name="Style 115 14 2 2" xfId="22982" xr:uid="{795EA6C8-0DAA-4F57-BE61-CB1D4DE1F407}"/>
    <cellStyle name="Style 115 14 3" xfId="22981" xr:uid="{F9D28449-D198-4A36-A779-4756DFBDE404}"/>
    <cellStyle name="Style 115 15" xfId="6075" xr:uid="{D02BDE51-AE48-43E9-B0D6-ED5A8BEFCFDD}"/>
    <cellStyle name="Style 115 15 2" xfId="6076" xr:uid="{3F302F43-0A3A-4D5D-9148-1460DB37B670}"/>
    <cellStyle name="Style 115 15 2 2" xfId="22984" xr:uid="{D584E684-0EB8-4039-A383-7F4C990F6979}"/>
    <cellStyle name="Style 115 15 3" xfId="22983" xr:uid="{522D80FA-A3B0-4EDF-A6C8-5380BAA6D181}"/>
    <cellStyle name="Style 115 16" xfId="18217" xr:uid="{B30CE798-E191-4E56-A1B0-BFD34ADCD4F8}"/>
    <cellStyle name="Style 115 2" xfId="650" xr:uid="{6FC22043-254F-4BB0-BE92-95CE4BD42BB6}"/>
    <cellStyle name="Style 115 2 2" xfId="2897" xr:uid="{BF30C3F1-37E9-4FD4-9911-789E8404F96F}"/>
    <cellStyle name="Style 115 2 2 2" xfId="21197" xr:uid="{EA2B9ADD-7A3F-485A-BE05-6E5DAEA1BB56}"/>
    <cellStyle name="Style 115 2 3" xfId="18220" xr:uid="{F8841B51-A5E6-437C-802F-5FDC06F67254}"/>
    <cellStyle name="Style 115 3" xfId="651" xr:uid="{1ECD9A02-10FF-4CB3-96E9-0DA8F5BCC992}"/>
    <cellStyle name="Style 115 3 2" xfId="652" xr:uid="{C7222D4A-79C9-4D77-8950-D013206ACF36}"/>
    <cellStyle name="Style 115 3 2 2" xfId="653" xr:uid="{F2E19360-9785-46B8-8CEB-BA0298C12C5B}"/>
    <cellStyle name="Style 115 3 2 2 2" xfId="3537" xr:uid="{F7310D0B-2B3C-4549-9950-6FAD0D23375C}"/>
    <cellStyle name="Style 115 3 2 2 2 2" xfId="21640" xr:uid="{19A694DA-17A8-425E-A10E-8135E970F947}"/>
    <cellStyle name="Style 115 3 2 2 3" xfId="18223" xr:uid="{8418EE8C-FCA6-45B8-B7D9-AD146F9D6328}"/>
    <cellStyle name="Style 115 3 2 3" xfId="2899" xr:uid="{67E47B92-40F7-452D-B50C-D22A26047317}"/>
    <cellStyle name="Style 115 3 2 3 2" xfId="21199" xr:uid="{DD33D470-9BC9-40F9-9357-FE7DBFADE161}"/>
    <cellStyle name="Style 115 3 2 4" xfId="18222" xr:uid="{0F7892B8-92B5-4A3D-A951-D771E101C6B5}"/>
    <cellStyle name="Style 115 3 3" xfId="654" xr:uid="{A88D2A43-28BE-47C9-BBE8-36CFDC1D3A82}"/>
    <cellStyle name="Style 115 3 3 2" xfId="655" xr:uid="{8EA6DE4A-B19C-4878-8968-1EC58BDB738E}"/>
    <cellStyle name="Style 115 3 3 2 2" xfId="3539" xr:uid="{C3219D56-9E21-4C4C-B11E-717F9092C314}"/>
    <cellStyle name="Style 115 3 3 2 2 2" xfId="21642" xr:uid="{9D0514D0-803C-4D4F-BB46-047FD1680049}"/>
    <cellStyle name="Style 115 3 3 2 3" xfId="18225" xr:uid="{5EC8523C-2C8B-43A1-B937-DE82BE20FF57}"/>
    <cellStyle name="Style 115 3 3 3" xfId="656" xr:uid="{986394A7-9350-4C0B-80F2-B265AF8D611D}"/>
    <cellStyle name="Style 115 3 3 3 2" xfId="657" xr:uid="{5B55492A-540E-4C6B-82F6-CD7D9DE1A72A}"/>
    <cellStyle name="Style 115 3 3 3 2 2" xfId="3541" xr:uid="{D8A77B75-D6DE-4720-8C6E-695471824498}"/>
    <cellStyle name="Style 115 3 3 3 2 2 2" xfId="21644" xr:uid="{9FA4DE7B-FE1B-4F01-A9BE-03CBCD6297A8}"/>
    <cellStyle name="Style 115 3 3 3 2 3" xfId="18227" xr:uid="{82D63A42-7E06-412A-B53B-8C66CC05029B}"/>
    <cellStyle name="Style 115 3 3 3 3" xfId="3542" xr:uid="{F0F90998-8374-4754-86D0-4630793704F8}"/>
    <cellStyle name="Style 115 3 3 3 3 2" xfId="18228" xr:uid="{21840AAE-2F47-453D-8A77-27E0437CEBAC}"/>
    <cellStyle name="Style 115 3 3 3 4" xfId="3543" xr:uid="{50339CA7-0F27-4C5F-8F97-67549FE70E33}"/>
    <cellStyle name="Style 115 3 3 3 4 2" xfId="19395" xr:uid="{94E4B693-9739-452A-B30C-0DB22C2A1B4E}"/>
    <cellStyle name="Style 115 3 3 3 5" xfId="3540" xr:uid="{2239352A-0822-4C64-BEA1-54B48793E95E}"/>
    <cellStyle name="Style 115 3 3 3 5 2" xfId="21643" xr:uid="{7E07409F-4A37-4436-8A87-EF673FF89ECC}"/>
    <cellStyle name="Style 115 3 3 3 6" xfId="18226" xr:uid="{52E35FDE-B6C3-48FF-8491-980890F3A52E}"/>
    <cellStyle name="Style 115 3 3 4" xfId="658" xr:uid="{696A39D0-52DC-4939-8829-A9C6F418F1D0}"/>
    <cellStyle name="Style 115 3 3 4 2" xfId="659" xr:uid="{9207999C-7A8D-4555-BB1F-C8C629E8A18E}"/>
    <cellStyle name="Style 115 3 3 4 2 2" xfId="3545" xr:uid="{42172C91-BC71-4255-8CDA-F90B8F38163E}"/>
    <cellStyle name="Style 115 3 3 4 2 2 2" xfId="21646" xr:uid="{BCAF740D-39B3-4EED-8149-9B3ACC383D98}"/>
    <cellStyle name="Style 115 3 3 4 2 3" xfId="18230" xr:uid="{A3D0B0FB-CF1E-4F25-9AAC-7E38D1C6864E}"/>
    <cellStyle name="Style 115 3 3 4 3" xfId="3544" xr:uid="{34AE89D6-EA55-45A9-97A5-15DEBED7A249}"/>
    <cellStyle name="Style 115 3 3 4 3 2" xfId="21645" xr:uid="{220FD2F0-F899-4CA3-AE06-0B904F4A17BB}"/>
    <cellStyle name="Style 115 3 3 4 4" xfId="18229" xr:uid="{BF90F47A-9320-4AA3-9976-B7ED9B5A42DB}"/>
    <cellStyle name="Style 115 3 3 5" xfId="3546" xr:uid="{DDDFECEA-451F-4C33-99E2-729425669C8E}"/>
    <cellStyle name="Style 115 3 3 5 2" xfId="19396" xr:uid="{1A80255C-1E46-4C1E-A2C8-2E385AAA827E}"/>
    <cellStyle name="Style 115 3 3 6" xfId="3538" xr:uid="{47F6FAB1-C9F0-40F4-B646-C2FF2BCD41D9}"/>
    <cellStyle name="Style 115 3 3 6 2" xfId="21641" xr:uid="{ADF698A2-6C87-4BA9-BB11-77A33CBBBDD5}"/>
    <cellStyle name="Style 115 3 3 7" xfId="18224" xr:uid="{6A8BDF6D-917A-46FC-873D-5864812809EF}"/>
    <cellStyle name="Style 115 3 4" xfId="660" xr:uid="{E109DDF1-89D7-433A-BF63-F726E5669514}"/>
    <cellStyle name="Style 115 3 4 2" xfId="3548" xr:uid="{A17DE4BF-5414-4CA5-B972-84BB0EF3F99B}"/>
    <cellStyle name="Style 115 3 4 2 2" xfId="18232" xr:uid="{67CE9AB3-E502-43BA-9377-B1D215C9482D}"/>
    <cellStyle name="Style 115 3 4 3" xfId="3549" xr:uid="{FDF1B3C6-6274-4C68-A272-67C24271F2E0}"/>
    <cellStyle name="Style 115 3 4 3 2" xfId="19397" xr:uid="{D5A4278E-3387-4105-879B-615C72115F99}"/>
    <cellStyle name="Style 115 3 4 4" xfId="3547" xr:uid="{0EA14975-6B78-4041-9CD3-DEC46DCE0339}"/>
    <cellStyle name="Style 115 3 4 4 2" xfId="21647" xr:uid="{B894076B-9C74-4945-BE25-3D84CB068A93}"/>
    <cellStyle name="Style 115 3 4 5" xfId="18231" xr:uid="{4BE30544-994B-4B70-AFD0-15F3D3F23473}"/>
    <cellStyle name="Style 115 3 5" xfId="3550" xr:uid="{717928A4-7BFA-41C8-98CE-769D36D347E2}"/>
    <cellStyle name="Style 115 3 5 2" xfId="6077" xr:uid="{C6E4918D-E715-4936-98E3-56135A0EC006}"/>
    <cellStyle name="Style 115 3 5 2 2" xfId="21648" xr:uid="{E5A34ACF-1830-41FE-946D-42F1B2B1DA2E}"/>
    <cellStyle name="Style 115 3 5 3" xfId="18233" xr:uid="{468D7F0D-2E6D-4632-9E9A-476289101B70}"/>
    <cellStyle name="Style 115 3 6" xfId="2898" xr:uid="{FAEED901-18E0-4FD3-BC2A-BCE2982D65D5}"/>
    <cellStyle name="Style 115 3 6 2" xfId="21198" xr:uid="{931E9032-5329-4D9B-82CC-54097591B0B8}"/>
    <cellStyle name="Style 115 3 7" xfId="18221" xr:uid="{64E05706-14BE-4F6E-B2A7-676CE3AAAEBF}"/>
    <cellStyle name="Style 115 4" xfId="661" xr:uid="{5E72025F-142D-4C12-B93D-B7F4E7BCD36B}"/>
    <cellStyle name="Style 115 4 2" xfId="662" xr:uid="{A5B99E15-ED12-42EB-94A9-B6C6D97DD5DF}"/>
    <cellStyle name="Style 115 4 2 2" xfId="663" xr:uid="{FD63B080-E821-4DE8-8046-DCDEC341FE07}"/>
    <cellStyle name="Style 115 4 2 2 2" xfId="3553" xr:uid="{EC1FC000-C9E4-4D09-ABF1-111B4F9D9C66}"/>
    <cellStyle name="Style 115 4 2 2 2 2" xfId="21650" xr:uid="{6C2A6933-B63E-49F9-A61D-872B6D06B7EF}"/>
    <cellStyle name="Style 115 4 2 2 3" xfId="18236" xr:uid="{CBE5D0D5-FB46-4F07-8046-A4219B2CE288}"/>
    <cellStyle name="Style 115 4 2 3" xfId="664" xr:uid="{9975EACA-84B2-4139-A1AE-1B0871FDD001}"/>
    <cellStyle name="Style 115 4 2 3 2" xfId="665" xr:uid="{740BB04C-1046-4188-AEC7-FA771B1689D3}"/>
    <cellStyle name="Style 115 4 2 3 2 2" xfId="3555" xr:uid="{9ED9AEEF-4E78-4D76-BB90-AE7998797E09}"/>
    <cellStyle name="Style 115 4 2 3 2 2 2" xfId="21652" xr:uid="{E6AFA14B-69C4-4B78-94AD-220E748E3463}"/>
    <cellStyle name="Style 115 4 2 3 2 3" xfId="18238" xr:uid="{C999430A-2044-45D8-A72A-1BB5DD479AF7}"/>
    <cellStyle name="Style 115 4 2 3 3" xfId="3556" xr:uid="{B55F8757-DE32-4215-BAB1-4C45F100D7D8}"/>
    <cellStyle name="Style 115 4 2 3 3 2" xfId="18239" xr:uid="{2E756294-4BDB-4E29-97F2-86CF9B90AA40}"/>
    <cellStyle name="Style 115 4 2 3 4" xfId="3557" xr:uid="{F3996399-439A-4358-89BD-94CF8805F0CB}"/>
    <cellStyle name="Style 115 4 2 3 4 2" xfId="19398" xr:uid="{05E4B3A1-56B3-4AC2-A413-838CFF2A0AF9}"/>
    <cellStyle name="Style 115 4 2 3 5" xfId="3554" xr:uid="{176EDC36-D6D8-4B33-81B5-48C77D04E41A}"/>
    <cellStyle name="Style 115 4 2 3 5 2" xfId="21651" xr:uid="{5B9A248B-A94F-4066-97E1-253C3EFFBB66}"/>
    <cellStyle name="Style 115 4 2 3 6" xfId="18237" xr:uid="{7DD43B2B-9A07-4A32-8E9C-C7A6A452FB35}"/>
    <cellStyle name="Style 115 4 2 4" xfId="666" xr:uid="{5FA0709B-DBFC-4034-B2B3-60BFD841AC93}"/>
    <cellStyle name="Style 115 4 2 4 2" xfId="667" xr:uid="{56F64114-29E6-4797-95B9-42D67E7C0A3D}"/>
    <cellStyle name="Style 115 4 2 4 2 2" xfId="3559" xr:uid="{AD2FF850-E9C7-4C87-BB4A-F06BB1A8133C}"/>
    <cellStyle name="Style 115 4 2 4 2 2 2" xfId="21654" xr:uid="{78EEB861-5792-4A8C-8581-5823CE60DDCA}"/>
    <cellStyle name="Style 115 4 2 4 2 3" xfId="18241" xr:uid="{4412CDDF-5FD9-476B-B2C9-B2123F738CAB}"/>
    <cellStyle name="Style 115 4 2 4 3" xfId="3558" xr:uid="{F17C8D8E-C757-47ED-A110-0F78EF50E57D}"/>
    <cellStyle name="Style 115 4 2 4 3 2" xfId="21653" xr:uid="{2FC46E12-D746-4CBA-A17F-BF642AA1E7AD}"/>
    <cellStyle name="Style 115 4 2 4 4" xfId="18240" xr:uid="{060252A3-63C3-4F26-9B4D-846B30CDD068}"/>
    <cellStyle name="Style 115 4 2 5" xfId="3560" xr:uid="{92942F1E-BF5F-42EB-AB12-6BCD563F9E92}"/>
    <cellStyle name="Style 115 4 2 5 2" xfId="19399" xr:uid="{F4308DA0-EEDC-4762-BDC6-38FB8090FBEF}"/>
    <cellStyle name="Style 115 4 2 6" xfId="3552" xr:uid="{6FA04219-FD97-4D60-A6BB-582804F4DF7E}"/>
    <cellStyle name="Style 115 4 2 6 2" xfId="21649" xr:uid="{CD253A23-38D5-4419-B54B-F0554E4BF1AD}"/>
    <cellStyle name="Style 115 4 2 7" xfId="18235" xr:uid="{0B14E469-D69E-4049-B368-BEE4559F0E43}"/>
    <cellStyle name="Style 115 4 3" xfId="668" xr:uid="{D53CFAD0-299B-4CCF-9246-785D53F4E73A}"/>
    <cellStyle name="Style 115 4 3 2" xfId="3561" xr:uid="{328343B3-DD30-44E0-A279-CC95C119E1C7}"/>
    <cellStyle name="Style 115 4 3 2 2" xfId="21655" xr:uid="{B3576122-50D1-4BEC-9B91-183AD7561EA2}"/>
    <cellStyle name="Style 115 4 3 3" xfId="18242" xr:uid="{7FF924BD-57D9-442A-8289-DF6D9A2DE97B}"/>
    <cellStyle name="Style 115 4 4" xfId="3562" xr:uid="{8D1ACE0B-47FF-4905-9D0B-9083FA158CDF}"/>
    <cellStyle name="Style 115 4 4 2" xfId="3563" xr:uid="{3665708F-1D94-4FE2-84A4-C119A268E56F}"/>
    <cellStyle name="Style 115 4 4 2 2" xfId="19400" xr:uid="{4E495555-477D-4210-9F44-61C1B96158CB}"/>
    <cellStyle name="Style 115 4 4 3" xfId="18243" xr:uid="{701BF436-C8A3-4E4D-AFAE-804D8AD9A9C1}"/>
    <cellStyle name="Style 115 4 5" xfId="3551" xr:uid="{279150AD-FF45-490E-9943-79F3533B6435}"/>
    <cellStyle name="Style 115 4 5 2" xfId="20638" xr:uid="{44C477AB-9FD9-4139-87A0-23FFF221177E}"/>
    <cellStyle name="Style 115 4 6" xfId="2900" xr:uid="{300D62CB-A1D4-4E7E-8768-5227B88A2652}"/>
    <cellStyle name="Style 115 4 6 2" xfId="21200" xr:uid="{A867A245-AD2B-4A6D-8CCF-3FCD1CB44CD2}"/>
    <cellStyle name="Style 115 4 7" xfId="18234" xr:uid="{BE7957EB-55C7-4B4E-A2DE-65E413EEF735}"/>
    <cellStyle name="Style 115 5" xfId="669" xr:uid="{5BD1C560-8FC2-4975-A883-5182735A187A}"/>
    <cellStyle name="Style 115 5 2" xfId="670" xr:uid="{9D2DF9BE-85E7-49DB-AE4D-C49E009FA9A1}"/>
    <cellStyle name="Style 115 5 2 2" xfId="671" xr:uid="{D35B662F-4DC7-4930-AB2E-A03125265F9A}"/>
    <cellStyle name="Style 115 5 2 2 2" xfId="3566" xr:uid="{CB0AE265-35D9-4D83-9917-5AFE68828AE7}"/>
    <cellStyle name="Style 115 5 2 2 2 2" xfId="21657" xr:uid="{AB1FB964-FA49-4D69-A457-6406237A1296}"/>
    <cellStyle name="Style 115 5 2 2 3" xfId="18246" xr:uid="{5BA42965-FAEB-4810-B410-2E5F30C27D09}"/>
    <cellStyle name="Style 115 5 2 3" xfId="672" xr:uid="{68332AAD-3AEA-4923-8718-AA1D1572E9FF}"/>
    <cellStyle name="Style 115 5 2 3 2" xfId="673" xr:uid="{4ABC3690-CB28-4311-ADC1-0D270A8350E4}"/>
    <cellStyle name="Style 115 5 2 3 2 2" xfId="3568" xr:uid="{9D934F65-DEE6-464C-BF1B-70BAF8FF1192}"/>
    <cellStyle name="Style 115 5 2 3 2 2 2" xfId="21659" xr:uid="{69377827-5531-41D7-8EAC-6DA940B8D71F}"/>
    <cellStyle name="Style 115 5 2 3 2 3" xfId="18248" xr:uid="{A4148A30-D076-4B92-A7D1-136A6317B097}"/>
    <cellStyle name="Style 115 5 2 3 3" xfId="3569" xr:uid="{5BEB0D3A-A684-4D74-9E1E-816CABF2DEF8}"/>
    <cellStyle name="Style 115 5 2 3 3 2" xfId="18249" xr:uid="{F2F3D709-E804-44FE-8C8F-4B3A08B33195}"/>
    <cellStyle name="Style 115 5 2 3 4" xfId="3570" xr:uid="{A42AB370-9D6A-491C-BE7D-EBA1C5FB53C5}"/>
    <cellStyle name="Style 115 5 2 3 4 2" xfId="19401" xr:uid="{02B78F0B-8398-43FE-9AA9-FB49025B7415}"/>
    <cellStyle name="Style 115 5 2 3 5" xfId="3567" xr:uid="{4CFFDBAA-9E1F-4B88-8096-506B5C7F9254}"/>
    <cellStyle name="Style 115 5 2 3 5 2" xfId="21658" xr:uid="{52F1DF42-9B83-47A7-8FE5-B3D2D1D1068E}"/>
    <cellStyle name="Style 115 5 2 3 6" xfId="18247" xr:uid="{3431DF7B-1ADB-4D59-9E14-62D1FB7524EE}"/>
    <cellStyle name="Style 115 5 2 4" xfId="674" xr:uid="{63E1DF69-BFD1-4280-A4B5-97C83225742A}"/>
    <cellStyle name="Style 115 5 2 4 2" xfId="675" xr:uid="{2582D719-BB88-45EB-AB83-79CF2A384A06}"/>
    <cellStyle name="Style 115 5 2 4 2 2" xfId="3572" xr:uid="{E2A591B2-53AF-44CD-AB44-125AE1712E06}"/>
    <cellStyle name="Style 115 5 2 4 2 2 2" xfId="21661" xr:uid="{2CFFA6EB-0C22-4E54-8060-024E6BE5FE62}"/>
    <cellStyle name="Style 115 5 2 4 2 3" xfId="18251" xr:uid="{C198BAE8-B786-4BD3-844E-210E86DFD0A9}"/>
    <cellStyle name="Style 115 5 2 4 3" xfId="3571" xr:uid="{CC40E8B6-FCA5-4A27-A413-769FBBFBF3CE}"/>
    <cellStyle name="Style 115 5 2 4 3 2" xfId="21660" xr:uid="{0A9A3770-75F6-4891-974E-5456DD0CD3B9}"/>
    <cellStyle name="Style 115 5 2 4 4" xfId="18250" xr:uid="{2C2FC712-9608-43C5-9F7E-F34236B81CAE}"/>
    <cellStyle name="Style 115 5 2 5" xfId="3573" xr:uid="{24805069-2D00-44F4-8D89-046A24C1A342}"/>
    <cellStyle name="Style 115 5 2 5 2" xfId="19402" xr:uid="{130A328D-6D0A-46A0-9121-BBC207DA8ADD}"/>
    <cellStyle name="Style 115 5 2 6" xfId="3565" xr:uid="{9747103F-A6B7-4602-8C29-D4228B7ABDFD}"/>
    <cellStyle name="Style 115 5 2 6 2" xfId="21656" xr:uid="{2984A3D4-9880-43D3-8F66-6291A42D9A1C}"/>
    <cellStyle name="Style 115 5 2 7" xfId="18245" xr:uid="{F43AC14D-01B8-489B-96BC-51DA41A4A904}"/>
    <cellStyle name="Style 115 5 3" xfId="676" xr:uid="{7B87D469-4BE0-4186-803E-688782C0ACE0}"/>
    <cellStyle name="Style 115 5 3 2" xfId="3574" xr:uid="{CDEDD205-3B25-43BE-A053-09AE593C8496}"/>
    <cellStyle name="Style 115 5 3 2 2" xfId="21662" xr:uid="{0091E733-BE87-4191-A2A7-C0E24556DF7B}"/>
    <cellStyle name="Style 115 5 3 3" xfId="18252" xr:uid="{0D530FA7-120F-42F8-B7E1-2071405034D4}"/>
    <cellStyle name="Style 115 5 4" xfId="3575" xr:uid="{80D7C742-832E-4C6C-89BE-C7FAB53368E8}"/>
    <cellStyle name="Style 115 5 4 2" xfId="3576" xr:uid="{849EDB7E-C70C-4A2D-8A92-09E30B2A50A8}"/>
    <cellStyle name="Style 115 5 4 2 2" xfId="19403" xr:uid="{15807510-57C3-4090-AE31-3381437EC5D8}"/>
    <cellStyle name="Style 115 5 4 3" xfId="18253" xr:uid="{4174A2A2-6F49-48A0-AAEC-775CA1CCDFCE}"/>
    <cellStyle name="Style 115 5 5" xfId="3564" xr:uid="{5170D059-8655-4013-9B85-05133EF98FC9}"/>
    <cellStyle name="Style 115 5 5 2" xfId="20639" xr:uid="{5BD8C833-7415-487E-BE6F-15407B87C574}"/>
    <cellStyle name="Style 115 5 6" xfId="2901" xr:uid="{F8F8ABDF-281F-4C8A-A3DF-B84DE9C3FEBC}"/>
    <cellStyle name="Style 115 5 6 2" xfId="21201" xr:uid="{E6A6920F-BBAA-45CF-8BAE-BDD9E7D16470}"/>
    <cellStyle name="Style 115 5 7" xfId="18244" xr:uid="{73FDCA4F-D6E2-4155-B8CF-52AF57CE091B}"/>
    <cellStyle name="Style 115 6" xfId="677" xr:uid="{6BC0CAEA-3A0A-4847-970A-91234584A874}"/>
    <cellStyle name="Style 115 6 2" xfId="678" xr:uid="{8D6DF1DB-4EAD-4285-938E-AC18E28B4431}"/>
    <cellStyle name="Style 115 6 2 2" xfId="3578" xr:uid="{DD34985D-D708-4A30-AB71-F588B69372E8}"/>
    <cellStyle name="Style 115 6 2 2 2" xfId="21664" xr:uid="{0D0D2B6A-DAEE-45A1-8B8C-358914E4CE77}"/>
    <cellStyle name="Style 115 6 2 3" xfId="18255" xr:uid="{16D425F5-4BDE-4FFF-908C-4993A0F87791}"/>
    <cellStyle name="Style 115 6 3" xfId="679" xr:uid="{DC6DC4C7-C01F-4D04-BD0D-C1747EB25070}"/>
    <cellStyle name="Style 115 6 3 2" xfId="680" xr:uid="{A550EAF2-1B25-4825-8984-1E34E389FD65}"/>
    <cellStyle name="Style 115 6 3 2 2" xfId="3580" xr:uid="{A235DA90-4008-46E3-B150-C000C72B6508}"/>
    <cellStyle name="Style 115 6 3 2 2 2" xfId="21666" xr:uid="{A2DACC69-25C6-4B82-B97C-9277CCA283E1}"/>
    <cellStyle name="Style 115 6 3 2 3" xfId="18257" xr:uid="{0C566C4E-62BB-4006-8B84-C1495EBED2B9}"/>
    <cellStyle name="Style 115 6 3 3" xfId="3581" xr:uid="{F649E4A8-3849-4880-AD56-F5CD7B65ECFF}"/>
    <cellStyle name="Style 115 6 3 3 2" xfId="18258" xr:uid="{3D08B691-9B23-449E-9EB5-3DA91F7BBDD9}"/>
    <cellStyle name="Style 115 6 3 4" xfId="3582" xr:uid="{B3741F6B-3162-4BB1-AA41-43D954A9ED3A}"/>
    <cellStyle name="Style 115 6 3 4 2" xfId="19404" xr:uid="{CA95904F-6788-4F1B-845B-5A513C571A43}"/>
    <cellStyle name="Style 115 6 3 5" xfId="3579" xr:uid="{6104D3B1-F097-4FF3-B51A-622B6112B80F}"/>
    <cellStyle name="Style 115 6 3 5 2" xfId="21665" xr:uid="{5DF1F67D-F0F1-4F09-B096-1F75AD455E4D}"/>
    <cellStyle name="Style 115 6 3 6" xfId="18256" xr:uid="{EFD808EC-8EB6-4A55-A152-A710FA67B128}"/>
    <cellStyle name="Style 115 6 4" xfId="681" xr:uid="{E8892944-5769-4028-88AE-47E168A065CC}"/>
    <cellStyle name="Style 115 6 4 2" xfId="682" xr:uid="{A652B533-1E52-48C7-82A2-3C2B980E8A6E}"/>
    <cellStyle name="Style 115 6 4 2 2" xfId="3584" xr:uid="{11741B9F-8F40-4FCD-B497-81C3D4072049}"/>
    <cellStyle name="Style 115 6 4 2 2 2" xfId="21668" xr:uid="{0E868467-6A88-496E-A5AC-B497DEBF7892}"/>
    <cellStyle name="Style 115 6 4 2 3" xfId="18260" xr:uid="{A3F82AD2-103F-41AC-B3D3-7D9C3F0CB84A}"/>
    <cellStyle name="Style 115 6 4 3" xfId="3583" xr:uid="{AED14841-3305-4330-85DD-9CA69F961D78}"/>
    <cellStyle name="Style 115 6 4 3 2" xfId="21667" xr:uid="{B7ECCA37-ACBE-4E4D-9A45-B72D939014D1}"/>
    <cellStyle name="Style 115 6 4 4" xfId="18259" xr:uid="{53188D73-8D71-47C2-BFD5-1505C916791D}"/>
    <cellStyle name="Style 115 6 5" xfId="3585" xr:uid="{46C6A5DA-AB97-4B1F-85B8-9B8982F625DF}"/>
    <cellStyle name="Style 115 6 5 2" xfId="19405" xr:uid="{1D9528D4-A68A-4576-9DFD-F901545BBAC7}"/>
    <cellStyle name="Style 115 6 6" xfId="3577" xr:uid="{48CA5A84-8EF9-4CCB-BA18-1E2B59B545E6}"/>
    <cellStyle name="Style 115 6 6 2" xfId="21663" xr:uid="{04832955-EE9F-45E6-A326-7726BC3EC60A}"/>
    <cellStyle name="Style 115 6 7" xfId="18254" xr:uid="{863CAF1C-1492-4E2E-A38C-D1E38588B7D4}"/>
    <cellStyle name="Style 115 7" xfId="683" xr:uid="{AD3262F5-FED1-4138-83DC-80FF0C4F83D7}"/>
    <cellStyle name="Style 115 7 2" xfId="684" xr:uid="{342B7CC9-CFA9-467E-BB01-CDDEB0E8B89A}"/>
    <cellStyle name="Style 115 7 2 2" xfId="3587" xr:uid="{E158F1B3-9610-4A91-B476-963D2B1E0A72}"/>
    <cellStyle name="Style 115 7 2 2 2" xfId="21670" xr:uid="{2401EDBD-4530-4EE6-9268-88D2E73BF3A6}"/>
    <cellStyle name="Style 115 7 2 3" xfId="18262" xr:uid="{FAA17ACA-E56E-4A4E-B1B6-AAD2462807E1}"/>
    <cellStyle name="Style 115 7 3" xfId="3588" xr:uid="{3F5638A2-21C4-478F-B835-B40C02590C22}"/>
    <cellStyle name="Style 115 7 3 2" xfId="18263" xr:uid="{9F26162D-C87B-4498-AC3B-B58C2B5F2A94}"/>
    <cellStyle name="Style 115 7 4" xfId="3589" xr:uid="{716E7425-A2B7-4C8B-A5BD-CBFF7F17565C}"/>
    <cellStyle name="Style 115 7 4 2" xfId="19406" xr:uid="{B102F78E-235E-439E-A0EB-29A05C80AA82}"/>
    <cellStyle name="Style 115 7 5" xfId="3586" xr:uid="{2F4014D1-3139-4288-A880-8E8805299640}"/>
    <cellStyle name="Style 115 7 5 2" xfId="21669" xr:uid="{90A65A32-14F9-47E5-92B3-09075AC040F3}"/>
    <cellStyle name="Style 115 7 6" xfId="18261" xr:uid="{5F88F45E-212B-41BC-8486-3058B628FCAE}"/>
    <cellStyle name="Style 115 8" xfId="685" xr:uid="{B53498EE-EA66-4239-B01E-72BAC2284D75}"/>
    <cellStyle name="Style 115 8 2" xfId="686" xr:uid="{6CEF17B1-3FFF-44B2-B7C8-015A1720BFB2}"/>
    <cellStyle name="Style 115 8 2 2" xfId="3591" xr:uid="{694F2279-5D0B-4BFB-9E71-9194165A47FA}"/>
    <cellStyle name="Style 115 8 2 2 2" xfId="21672" xr:uid="{946103D5-2220-42FA-8F43-9BD4842558C1}"/>
    <cellStyle name="Style 115 8 2 3" xfId="18265" xr:uid="{11E8750F-3026-4F65-8E8C-9ABFFD97724B}"/>
    <cellStyle name="Style 115 8 3" xfId="3592" xr:uid="{91E98757-6527-4575-9BF0-6118D2E0A374}"/>
    <cellStyle name="Style 115 8 3 2" xfId="18266" xr:uid="{82178645-6780-4499-84AF-DEE7DA559946}"/>
    <cellStyle name="Style 115 8 4" xfId="3593" xr:uid="{B00E2865-A27D-462F-9F31-794AB365E2EB}"/>
    <cellStyle name="Style 115 8 4 2" xfId="19407" xr:uid="{A727CCBE-52D6-49DB-84D7-5A30A84E951A}"/>
    <cellStyle name="Style 115 8 5" xfId="3590" xr:uid="{2D64F585-C4AD-480C-BB71-CD41CD7EB761}"/>
    <cellStyle name="Style 115 8 5 2" xfId="21671" xr:uid="{0E190CBE-7646-4AFA-AEEC-4129A00FEC82}"/>
    <cellStyle name="Style 115 8 6" xfId="18264" xr:uid="{D669377A-9279-4DEB-864B-0F662AB1E7A7}"/>
    <cellStyle name="Style 115 9" xfId="687" xr:uid="{AFAF83C7-DF10-4E3D-B811-DFC934E91EBF}"/>
    <cellStyle name="Style 115 9 2" xfId="688" xr:uid="{A94541FB-AA72-4580-86B7-AA706DF4799A}"/>
    <cellStyle name="Style 115 9 2 2" xfId="3594" xr:uid="{6A136DDC-59DE-45EF-B65E-B40659779878}"/>
    <cellStyle name="Style 115 9 2 2 2" xfId="21674" xr:uid="{9997C01F-FAAC-410E-9586-02498CDCEB73}"/>
    <cellStyle name="Style 115 9 2 3" xfId="19408" xr:uid="{3D987FAC-1F7F-4046-A5D4-576894BCC2FA}"/>
    <cellStyle name="Style 115 9 3" xfId="2701" xr:uid="{2B6BC94C-AFB7-4691-AB6D-E09E7C716902}"/>
    <cellStyle name="Style 115 9 3 2" xfId="21673" xr:uid="{DF1201D5-A7A8-4586-B60C-AA39E0F7BA9F}"/>
    <cellStyle name="Style 115 9 4" xfId="18267" xr:uid="{64F34866-2917-4FF2-AF09-89FF731AA01A}"/>
    <cellStyle name="Style 115_ADDON" xfId="20508" xr:uid="{F314B9B3-2409-4C1E-94B3-B491757F4955}"/>
    <cellStyle name="Style 116" xfId="689" xr:uid="{348B7E12-224F-41DB-98EC-0B03790BFB8F}"/>
    <cellStyle name="Style 116 10" xfId="18268" xr:uid="{21F5105C-072B-4CAC-918E-DD0DFF313524}"/>
    <cellStyle name="Style 116 2" xfId="690" xr:uid="{5A3C5C7E-6125-402F-97E0-325BF62E0C2C}"/>
    <cellStyle name="Style 116 2 2" xfId="6078" xr:uid="{C9B908EF-ECA1-4136-BBFE-A7EDC40B6CFE}"/>
    <cellStyle name="Style 116 2 2 2" xfId="22985" xr:uid="{B92FB9D4-4181-47D1-BB36-63E8227E4A04}"/>
    <cellStyle name="Style 116 2 3" xfId="18269" xr:uid="{E36A02C9-309C-4BFC-962D-01D00DCED0A1}"/>
    <cellStyle name="Style 116 3" xfId="691" xr:uid="{7127D9E1-B22D-4844-9276-A54C0012FCFA}"/>
    <cellStyle name="Style 116 3 2" xfId="692" xr:uid="{3EE56669-41C5-46D9-A4D3-DCC4D72E6A7E}"/>
    <cellStyle name="Style 116 3 2 2" xfId="18271" xr:uid="{E3D02235-AB66-44BC-836A-6D6590F8B2EA}"/>
    <cellStyle name="Style 116 3 3" xfId="693" xr:uid="{954D8F87-C647-489F-A7B5-5CD6870AB241}"/>
    <cellStyle name="Style 116 3 3 2" xfId="694" xr:uid="{A5D835B2-2209-4A46-A471-EACAE6977805}"/>
    <cellStyle name="Style 116 3 3 2 2" xfId="18273" xr:uid="{E5515965-14E4-4E77-8565-5C2AC5589DC6}"/>
    <cellStyle name="Style 116 3 3 3" xfId="3595" xr:uid="{7C506AF6-8E48-40FD-9532-D850D1CA0A74}"/>
    <cellStyle name="Style 116 3 3 3 2" xfId="18274" xr:uid="{B6D7FC79-DE72-4D6C-8D82-83286D41D456}"/>
    <cellStyle name="Style 116 3 3 4" xfId="3596" xr:uid="{C323295E-9CF8-44C2-9AE5-E2089D37558C}"/>
    <cellStyle name="Style 116 3 3 4 2" xfId="19409" xr:uid="{44902470-5774-4D67-88E4-D9CDF28E2ED5}"/>
    <cellStyle name="Style 116 3 3 5" xfId="18272" xr:uid="{F873DE75-7FE5-4D19-A9B9-989E1F3A25EC}"/>
    <cellStyle name="Style 116 3 4" xfId="695" xr:uid="{7BBDB1B6-CF29-4E84-88FF-2311BCFA608E}"/>
    <cellStyle name="Style 116 3 4 2" xfId="696" xr:uid="{9EB981EC-2FE1-4836-A833-D45609F2A9EF}"/>
    <cellStyle name="Style 116 3 4 2 2" xfId="18276" xr:uid="{EF84C094-8586-438A-A249-401C8C2F3EE5}"/>
    <cellStyle name="Style 116 3 4 3" xfId="18275" xr:uid="{542B9789-BE8D-445E-93AB-713AFD6055F8}"/>
    <cellStyle name="Style 116 3 5" xfId="3597" xr:uid="{8FB3DBA3-D373-4BFC-8BB2-E07D1D9B25DB}"/>
    <cellStyle name="Style 116 3 5 2" xfId="19410" xr:uid="{523CE844-08BD-4133-8DC4-DC372ABD3B3B}"/>
    <cellStyle name="Style 116 3 6" xfId="18270" xr:uid="{FD230846-6793-4876-93F1-0B99F06285DE}"/>
    <cellStyle name="Style 116 4" xfId="697" xr:uid="{EAD8A384-F1DB-4A6F-BE6B-44D16EAC3F85}"/>
    <cellStyle name="Style 116 4 2" xfId="698" xr:uid="{28487680-4FB1-465D-836B-0C730175BC42}"/>
    <cellStyle name="Style 116 4 2 2" xfId="18278" xr:uid="{543E2FC0-822B-420F-85B0-69FAD754BB30}"/>
    <cellStyle name="Style 116 4 3" xfId="3598" xr:uid="{822888AD-FBDA-4D39-B6D5-3EEA8D6B43E4}"/>
    <cellStyle name="Style 116 4 3 2" xfId="18279" xr:uid="{BBEBDCA2-EE1E-4DF7-B8A7-B2C5B65CB135}"/>
    <cellStyle name="Style 116 4 4" xfId="3599" xr:uid="{32D4CCB4-BFFA-4785-80ED-F80625C33545}"/>
    <cellStyle name="Style 116 4 4 2" xfId="19411" xr:uid="{94794525-679D-439B-8F7C-D0B98D0C5890}"/>
    <cellStyle name="Style 116 4 5" xfId="18277" xr:uid="{303045CD-7C28-43E0-ABA8-9CB274579D8D}"/>
    <cellStyle name="Style 116 5" xfId="699" xr:uid="{80292125-0F8D-4330-B737-A2A0A7C6CF03}"/>
    <cellStyle name="Style 116 5 2" xfId="700" xr:uid="{51D2FCD9-C0CD-4A92-96EB-3716A37843F0}"/>
    <cellStyle name="Style 116 5 2 2" xfId="18281" xr:uid="{974C37F0-86CF-4362-97A6-E350F423CCC7}"/>
    <cellStyle name="Style 116 5 3" xfId="18280" xr:uid="{27B350CE-ED3D-45A6-8F54-1B5216D4FD54}"/>
    <cellStyle name="Style 116 6" xfId="701" xr:uid="{AAE1E55C-8D5D-42BB-82A4-FD10C5C5B40B}"/>
    <cellStyle name="Style 116 6 2" xfId="702" xr:uid="{3FA2386D-A0FE-4B0E-A5E5-DDE4894E6225}"/>
    <cellStyle name="Style 116 6 2 2" xfId="19412" xr:uid="{03D6B734-7534-441F-B70D-37154788292A}"/>
    <cellStyle name="Style 116 6 3" xfId="2703" xr:uid="{EAA439EC-4F8F-4C76-B16D-F62DE4176578}"/>
    <cellStyle name="Style 116 6 3 2" xfId="22510" xr:uid="{489EE6ED-EC83-4896-9525-A9E670FD0F25}"/>
    <cellStyle name="Style 116 6 4" xfId="18282" xr:uid="{5E620AC9-23C4-4639-BE7C-DE5637F723CA}"/>
    <cellStyle name="Style 116 7" xfId="2702" xr:uid="{13837A13-CB3D-444A-81C2-F9BB38B3F0E2}"/>
    <cellStyle name="Style 116 7 2" xfId="3601" xr:uid="{F1A48679-1E12-4D7B-967A-23691444BC3E}"/>
    <cellStyle name="Style 116 7 2 2" xfId="19413" xr:uid="{C28B724F-D47D-4143-8780-763A6F10C593}"/>
    <cellStyle name="Style 116 7 3" xfId="3600" xr:uid="{42486791-E048-48B2-A792-9A3B7BE08D7C}"/>
    <cellStyle name="Style 116 7 3 2" xfId="33673" xr:uid="{CD875B86-1106-4CB1-86C8-0DEA60486097}"/>
    <cellStyle name="Style 116 7 4" xfId="18283" xr:uid="{3BC6EBFC-ACC1-493B-AC3D-A7BA1F446562}"/>
    <cellStyle name="Style 116 8" xfId="3602" xr:uid="{90F4A8C8-74DA-4EEF-B8DA-769E13C00335}"/>
    <cellStyle name="Style 116 8 2" xfId="19414" xr:uid="{8AADA707-C348-4C13-ABAF-A38E1DC3F134}"/>
    <cellStyle name="Style 116 9" xfId="6079" xr:uid="{99F838D2-DEB9-4715-AFED-607F00FDC642}"/>
    <cellStyle name="Style 116 9 2" xfId="21202" xr:uid="{A55C3ED6-FEA7-4139-8CFA-13B6D46DB7A4}"/>
    <cellStyle name="Style 116_ADDON" xfId="20490" xr:uid="{8642E374-B4FF-49E7-80F7-711FC4EED85D}"/>
    <cellStyle name="Style 117" xfId="703" xr:uid="{8AFC14A6-EB6E-41AF-84C9-5C9A3BC766FE}"/>
    <cellStyle name="Style 117 2" xfId="704" xr:uid="{4F586779-BFAA-4921-844D-A71C2E1F0F66}"/>
    <cellStyle name="Style 117 2 2" xfId="705" xr:uid="{ACB6C5C6-8447-4BBE-A648-6B5D9F31DD12}"/>
    <cellStyle name="Style 117 2 2 2" xfId="706" xr:uid="{AAA77D59-8A84-4663-BA91-F7ABBC71C04D}"/>
    <cellStyle name="Style 117 2 2 2 2" xfId="707" xr:uid="{5E737C8B-054C-4C7E-AB09-99FEBD38F40F}"/>
    <cellStyle name="Style 117 2 2 2 2 2" xfId="708" xr:uid="{FA4D289E-BE75-458B-8310-15CF26DC5EB2}"/>
    <cellStyle name="Style 117 2 2 2 2 2 2" xfId="6080" xr:uid="{CA0970BA-4A95-4B01-933D-E2C1E7A83947}"/>
    <cellStyle name="Style 117 2 2 2 2 3" xfId="6081" xr:uid="{53F2E7B1-9A9E-415A-BD79-4F3BB05C87F8}"/>
    <cellStyle name="Style 117 2 2 2 3" xfId="709" xr:uid="{9509CDEA-05E0-4ECD-BAF9-D41E52DF6855}"/>
    <cellStyle name="Style 117 2 2 2 3 2" xfId="6082" xr:uid="{F312BCBC-0766-446B-8906-DE0DC60BC8C4}"/>
    <cellStyle name="Style 117 2 2 2 4" xfId="6083" xr:uid="{E6F1710A-73EB-4EFF-AA66-E815E42A9DD0}"/>
    <cellStyle name="Style 117 2 2 3" xfId="710" xr:uid="{10CF205E-5CC3-4924-B3E8-D2BC6FA98D6A}"/>
    <cellStyle name="Style 117 2 2 3 2" xfId="711" xr:uid="{25DE1106-7010-46BB-A9A1-E64BCEDB0BC6}"/>
    <cellStyle name="Style 117 2 2 3 2 2" xfId="6084" xr:uid="{99F1F75D-FCFB-40C5-B8EC-463A21349841}"/>
    <cellStyle name="Style 117 2 2 3 3" xfId="6085" xr:uid="{4CF5E97C-BFA6-4211-BC8E-825232F18FD1}"/>
    <cellStyle name="Style 117 2 2 4" xfId="712" xr:uid="{3F9E9BD6-75DB-4D03-8006-C5A79BB613F5}"/>
    <cellStyle name="Style 117 2 2 4 2" xfId="6086" xr:uid="{94434E1E-9B52-470B-9513-032D660F23CB}"/>
    <cellStyle name="Style 117 2 2 5" xfId="6087" xr:uid="{5E9CC0AC-3F0C-45CA-99D6-7021AB3C56C5}"/>
    <cellStyle name="Style 117 2 3" xfId="713" xr:uid="{9BFDBC23-875E-46EB-8E4F-ABC87B4875B7}"/>
    <cellStyle name="Style 117 2 3 2" xfId="714" xr:uid="{63D87316-FF3A-42A1-BFA0-E472FAB45D8D}"/>
    <cellStyle name="Style 117 2 3 2 2" xfId="715" xr:uid="{E5D53780-D5F8-4302-9448-1960CF87EC28}"/>
    <cellStyle name="Style 117 2 3 2 2 2" xfId="6088" xr:uid="{D9C5370C-2F2E-445C-B56F-F90356D32AC8}"/>
    <cellStyle name="Style 117 2 3 2 3" xfId="6089" xr:uid="{68F6D95A-9819-487C-A342-EEF034ACD460}"/>
    <cellStyle name="Style 117 2 3 3" xfId="716" xr:uid="{802796B8-DFD3-4B37-A623-C37123290C41}"/>
    <cellStyle name="Style 117 2 3 3 2" xfId="6090" xr:uid="{900F3FF7-3F7D-46C5-8180-DFADCD6AF40A}"/>
    <cellStyle name="Style 117 2 3 4" xfId="6091" xr:uid="{FC5B79BC-9871-4734-8BEF-6D9D9798276F}"/>
    <cellStyle name="Style 117 2 4" xfId="717" xr:uid="{79C37F18-0A65-40A6-B19D-8CBB1EF9285D}"/>
    <cellStyle name="Style 117 2 4 2" xfId="718" xr:uid="{E21147A2-F324-4A67-9FCC-0EA5AAC12FBC}"/>
    <cellStyle name="Style 117 2 4 2 2" xfId="6092" xr:uid="{34046026-E88D-415D-AAE5-53C2F3860A08}"/>
    <cellStyle name="Style 117 2 4 3" xfId="6093" xr:uid="{FA7C477C-B648-4FEB-B4C8-423CFDD93DB8}"/>
    <cellStyle name="Style 117 2 5" xfId="719" xr:uid="{95267BCE-FCCD-4043-8A2E-5615BAF1340E}"/>
    <cellStyle name="Style 117 2 5 2" xfId="6094" xr:uid="{89A01B64-D480-4E34-9235-513784AC563C}"/>
    <cellStyle name="Style 117 2 6" xfId="6095" xr:uid="{3B5449C0-020D-4437-B5D4-A46BC61B2A9E}"/>
    <cellStyle name="Style 117 3" xfId="720" xr:uid="{9546441C-CD1F-48AA-857C-B3F8C46EC72A}"/>
    <cellStyle name="Style 117 3 2" xfId="721" xr:uid="{CDAE3A82-9CAD-4477-9A87-21B6B74B6CFA}"/>
    <cellStyle name="Style 117 3 2 2" xfId="722" xr:uid="{37707681-8C72-4E2C-8039-C23018167793}"/>
    <cellStyle name="Style 117 3 2 2 2" xfId="723" xr:uid="{EEDE7BA7-5CDF-448C-90A7-B8C907B1CD7B}"/>
    <cellStyle name="Style 117 3 2 2 2 2" xfId="724" xr:uid="{8C73D24D-21A6-4527-BE86-6805C27F51A2}"/>
    <cellStyle name="Style 117 3 2 2 2 2 2" xfId="6096" xr:uid="{E63B2771-F21C-4DAB-88AF-2EDF8BE59AE9}"/>
    <cellStyle name="Style 117 3 2 2 2 3" xfId="6097" xr:uid="{C63BB902-DEA4-4BBF-BD80-F7F1C5131920}"/>
    <cellStyle name="Style 117 3 2 2 3" xfId="725" xr:uid="{ECEF9D78-C699-4DAC-ABE0-6C1E32173AA0}"/>
    <cellStyle name="Style 117 3 2 2 3 2" xfId="6098" xr:uid="{66DBE078-3472-4530-98D1-8C564E279490}"/>
    <cellStyle name="Style 117 3 2 2 4" xfId="6099" xr:uid="{E6B12677-0EF7-47AB-A3B6-960B420ED4DB}"/>
    <cellStyle name="Style 117 3 2 3" xfId="726" xr:uid="{D59A1B5A-3F43-4EF2-89BB-A12B13FEDE6E}"/>
    <cellStyle name="Style 117 3 2 3 2" xfId="727" xr:uid="{57A4034D-F140-4CB1-9800-9BC243E4ADA2}"/>
    <cellStyle name="Style 117 3 2 3 2 2" xfId="6100" xr:uid="{9F8E0AA1-7052-4DF3-97D8-4FB327B42F9A}"/>
    <cellStyle name="Style 117 3 2 3 3" xfId="6101" xr:uid="{FD6A6B60-A45D-46C2-8041-C02422112F1C}"/>
    <cellStyle name="Style 117 3 2 4" xfId="728" xr:uid="{5224E947-332F-4BEB-8B92-79258624CC81}"/>
    <cellStyle name="Style 117 3 2 4 2" xfId="6102" xr:uid="{5566DB2B-F5D0-4D44-879A-920E11B01803}"/>
    <cellStyle name="Style 117 3 2 5" xfId="6103" xr:uid="{9B600621-C226-4FFB-8172-595F8B5B5DED}"/>
    <cellStyle name="Style 117 3 3" xfId="729" xr:uid="{87B7A2B6-2A09-45BF-B2E0-61B838C958AA}"/>
    <cellStyle name="Style 117 3 3 2" xfId="730" xr:uid="{8BF039E9-DD36-4A26-85F1-7EB67E01BD4F}"/>
    <cellStyle name="Style 117 3 3 2 2" xfId="731" xr:uid="{59B70FF3-9560-4D70-A292-BCDFB8A673CD}"/>
    <cellStyle name="Style 117 3 3 2 2 2" xfId="732" xr:uid="{0EDB4ED3-01B8-47E7-88E7-8C57852CBB8F}"/>
    <cellStyle name="Style 117 3 3 2 2 2 2" xfId="6104" xr:uid="{A4D07ED6-1C65-4E3F-8452-8DF2F040809E}"/>
    <cellStyle name="Style 117 3 3 2 2 3" xfId="6105" xr:uid="{016FCE97-156A-4462-9DAA-B68A0DEA94CB}"/>
    <cellStyle name="Style 117 3 3 2 3" xfId="733" xr:uid="{1C0416F7-F569-4153-88A5-BA18A0A5707F}"/>
    <cellStyle name="Style 117 3 3 2 3 2" xfId="6106" xr:uid="{6358E9A8-0F40-46B8-9AC0-2D415CEEEFB8}"/>
    <cellStyle name="Style 117 3 3 2 4" xfId="6107" xr:uid="{BFB884D5-1333-473C-A3D9-930A8D910E9C}"/>
    <cellStyle name="Style 117 3 3 3" xfId="734" xr:uid="{10CBCD20-408A-4D80-8418-68FFEBFDDD96}"/>
    <cellStyle name="Style 117 3 3 3 2" xfId="6108" xr:uid="{746A0AF4-0BF7-4125-8816-7DFC61B2BA1A}"/>
    <cellStyle name="Style 117 3 3 4" xfId="3603" xr:uid="{00A69485-F0BD-4BF5-8038-6E69E7AA817B}"/>
    <cellStyle name="Style 117 3 3 5" xfId="6109" xr:uid="{ED26010B-F09F-4A1E-B31D-E5F414391059}"/>
    <cellStyle name="Style 117 3 4" xfId="735" xr:uid="{2AA46806-B4DA-4BDC-BAB2-FDB0268147C9}"/>
    <cellStyle name="Style 117 3 4 2" xfId="736" xr:uid="{17525C96-4648-42A7-9CCF-CE43437F0FF3}"/>
    <cellStyle name="Style 117 3 4 2 2" xfId="6110" xr:uid="{4C3672D8-8972-44B3-BAD0-3122BDA14C5F}"/>
    <cellStyle name="Style 117 3 4 3" xfId="6111" xr:uid="{F3A7EFD0-33D3-4C8F-99E9-D5037FCFA001}"/>
    <cellStyle name="Style 117 3 5" xfId="737" xr:uid="{5E67CAE5-3E42-4829-9F5E-5BEC935D30CC}"/>
    <cellStyle name="Style 117 3 5 2" xfId="6112" xr:uid="{0A9EA304-CF5B-4E4E-9A32-462C2AD8F90D}"/>
    <cellStyle name="Style 117 3 6" xfId="6113" xr:uid="{D50B680A-B507-498D-9415-336947E66CA4}"/>
    <cellStyle name="Style 117 4" xfId="738" xr:uid="{30ED9B60-5104-4757-8979-D789E626C4C3}"/>
    <cellStyle name="Style 117 4 2" xfId="739" xr:uid="{4C529636-AA31-4A9E-A211-99BFCBC1D7AD}"/>
    <cellStyle name="Style 117 4 2 2" xfId="740" xr:uid="{74911138-5201-4ACD-9918-EEA220696F0C}"/>
    <cellStyle name="Style 117 4 2 2 2" xfId="741" xr:uid="{35DA822D-2433-40EE-816D-FC45450956AA}"/>
    <cellStyle name="Style 117 4 2 2 2 2" xfId="6114" xr:uid="{15C078ED-FE60-4C67-B7F0-68C402690539}"/>
    <cellStyle name="Style 117 4 2 2 3" xfId="6115" xr:uid="{BEEF3758-324B-4B1A-86D1-714BDC251E85}"/>
    <cellStyle name="Style 117 4 2 3" xfId="742" xr:uid="{BCCC4852-33DF-4187-ABC4-B49D452FF477}"/>
    <cellStyle name="Style 117 4 2 3 2" xfId="6116" xr:uid="{9623780B-99C1-463C-9565-2CADC1D739E4}"/>
    <cellStyle name="Style 117 4 2 4" xfId="6117" xr:uid="{DE49E609-1C15-4BA9-A25A-9CF8659FF90B}"/>
    <cellStyle name="Style 117 4 3" xfId="743" xr:uid="{BD44C86E-3CC8-4D84-80B3-AD7D13A8A25A}"/>
    <cellStyle name="Style 117 4 3 2" xfId="6118" xr:uid="{756F0194-9913-4D71-9062-466938F44317}"/>
    <cellStyle name="Style 117 4 4" xfId="3604" xr:uid="{B7112A8C-CB24-44B5-961A-A54898284481}"/>
    <cellStyle name="Style 117 4 5" xfId="6119" xr:uid="{DD030FA5-9E82-4FD8-8284-77466E4AE2CB}"/>
    <cellStyle name="Style 117 5" xfId="744" xr:uid="{B6559D0F-7D5C-4BDE-91DC-DE6D24954D02}"/>
    <cellStyle name="Style 117 5 2" xfId="745" xr:uid="{2D560399-77D6-4FA3-BA79-39A4661950A8}"/>
    <cellStyle name="Style 117 5 2 2" xfId="6120" xr:uid="{DE739B68-DBCB-4E6D-8283-C9FA5EF0EDDC}"/>
    <cellStyle name="Style 117 5 3" xfId="6121" xr:uid="{4D7B425F-157A-47F9-A40E-6F632FD4CE54}"/>
    <cellStyle name="Style 117 6" xfId="746" xr:uid="{FD295606-9C92-41D7-A114-9D4ED77864CF}"/>
    <cellStyle name="Style 117 6 2" xfId="2705" xr:uid="{2B6F2817-7805-4E8E-B812-1780AC5414F3}"/>
    <cellStyle name="Style 117 6 2 2" xfId="3605" xr:uid="{86BC015F-1A12-42A7-9429-BAD3D59BF0F7}"/>
    <cellStyle name="Style 117 6 3" xfId="6122" xr:uid="{8417B036-6CF7-4DF0-8372-72E7EE302CE5}"/>
    <cellStyle name="Style 117 7" xfId="2704" xr:uid="{BABD1BD0-108C-418C-9A67-56962D15792A}"/>
    <cellStyle name="Style 117 7 2" xfId="3607" xr:uid="{05F4446A-7B33-4D19-99FA-398FB55C665D}"/>
    <cellStyle name="Style 117 7 3" xfId="3606" xr:uid="{ED6DD7E4-EA05-4D6C-86FF-50C8ED2EF087}"/>
    <cellStyle name="Style 117 8" xfId="3608" xr:uid="{C4EBA246-3F7C-42A1-B754-91D7138E0D30}"/>
    <cellStyle name="Style 117 9" xfId="6123" xr:uid="{DA7009D6-3DDF-4B6B-8496-73A611F26D8A}"/>
    <cellStyle name="Style 117 9 2" xfId="21203" xr:uid="{B5A996F7-820C-4294-AB8C-C8018F717ACC}"/>
    <cellStyle name="Style 117_ADDON" xfId="5580" xr:uid="{A9416DB4-E0BB-497F-B2F1-B84CE8513476}"/>
    <cellStyle name="Style 118" xfId="747" xr:uid="{C2CA3FB4-021B-44FC-948D-7BC7920AB17C}"/>
    <cellStyle name="Style 118 10" xfId="18284" xr:uid="{4EC7D781-DC06-4C2B-A95B-C91F3C599D59}"/>
    <cellStyle name="Style 118 2" xfId="748" xr:uid="{F9E52DEC-B74E-4B17-A666-4A4405200148}"/>
    <cellStyle name="Style 118 2 2" xfId="6124" xr:uid="{621727E3-545D-4E7A-93BB-D591B79D077B}"/>
    <cellStyle name="Style 118 2 2 2" xfId="22986" xr:uid="{D0ACE664-0C99-4DD7-9F95-9BFF568A47EC}"/>
    <cellStyle name="Style 118 2 3" xfId="18285" xr:uid="{37A92705-F05B-42AC-BFD6-E36647860BCC}"/>
    <cellStyle name="Style 118 3" xfId="749" xr:uid="{401302F0-E15B-476A-9D7E-0837F78859DB}"/>
    <cellStyle name="Style 118 3 2" xfId="750" xr:uid="{81E78B55-4059-4383-ACA3-7550F8915920}"/>
    <cellStyle name="Style 118 3 2 2" xfId="18287" xr:uid="{6FB8C502-133E-49E4-83C2-2D86AFCE5F90}"/>
    <cellStyle name="Style 118 3 3" xfId="751" xr:uid="{120B63E7-E742-45BB-85A9-53E8BD9856F6}"/>
    <cellStyle name="Style 118 3 3 2" xfId="752" xr:uid="{1C8514E8-DC16-482A-B72B-C7C0A0E39E7B}"/>
    <cellStyle name="Style 118 3 3 2 2" xfId="18289" xr:uid="{D855709E-A944-4602-BE32-C1B5FD589DDE}"/>
    <cellStyle name="Style 118 3 3 3" xfId="3609" xr:uid="{381262BB-CA81-471E-A93D-942C0D20276E}"/>
    <cellStyle name="Style 118 3 3 3 2" xfId="18290" xr:uid="{4D495E6D-0245-4F4F-B14D-13223349D359}"/>
    <cellStyle name="Style 118 3 3 4" xfId="3610" xr:uid="{4455EFCD-9819-475A-AE8B-0A6E50188AE2}"/>
    <cellStyle name="Style 118 3 3 4 2" xfId="19415" xr:uid="{D0FA27EB-E889-43B1-8012-52FCAEC98C92}"/>
    <cellStyle name="Style 118 3 3 5" xfId="18288" xr:uid="{767B51E8-28F8-4757-A51A-19C7D506BE27}"/>
    <cellStyle name="Style 118 3 4" xfId="753" xr:uid="{26651F1D-6B49-4CFB-A853-A3630856CEAC}"/>
    <cellStyle name="Style 118 3 4 2" xfId="754" xr:uid="{A73A8E50-CDF8-4294-B5F8-E9F485DDDBD3}"/>
    <cellStyle name="Style 118 3 4 2 2" xfId="18292" xr:uid="{F78E644A-7463-4071-B13C-7F4167D69148}"/>
    <cellStyle name="Style 118 3 4 3" xfId="18291" xr:uid="{A6E97DFF-18CF-4B2F-9702-8302FE806D5A}"/>
    <cellStyle name="Style 118 3 5" xfId="3611" xr:uid="{1F352AFD-BC7A-43AF-AEFB-283CFA945BDE}"/>
    <cellStyle name="Style 118 3 5 2" xfId="19416" xr:uid="{7DADA2AA-7DE3-49E4-9267-34B9A1A84EAE}"/>
    <cellStyle name="Style 118 3 6" xfId="18286" xr:uid="{0BFE6960-0576-4D25-83D1-056AAF2BC8A8}"/>
    <cellStyle name="Style 118 4" xfId="755" xr:uid="{57BE6B38-1E2D-4CB8-8FE5-A83DC74DCEFD}"/>
    <cellStyle name="Style 118 4 2" xfId="756" xr:uid="{50FB067F-BD9D-4E3C-AFD4-B214E63E8436}"/>
    <cellStyle name="Style 118 4 2 2" xfId="18294" xr:uid="{4CA397CC-7D36-4D96-B922-46F46FD4F9A6}"/>
    <cellStyle name="Style 118 4 3" xfId="3612" xr:uid="{6B6D95E6-DE79-42BE-A41A-9C0B29275828}"/>
    <cellStyle name="Style 118 4 3 2" xfId="18295" xr:uid="{7A4C997B-4D24-4F5F-B7D5-F01B90839AC7}"/>
    <cellStyle name="Style 118 4 4" xfId="3613" xr:uid="{37CBBB4B-3402-4BDA-ABBD-422703064A67}"/>
    <cellStyle name="Style 118 4 4 2" xfId="19417" xr:uid="{A214E83B-E861-46AF-90F2-EBBF3071CB94}"/>
    <cellStyle name="Style 118 4 5" xfId="18293" xr:uid="{19D3D39F-456D-41A8-AF65-E42C1B700710}"/>
    <cellStyle name="Style 118 5" xfId="757" xr:uid="{4BE55A32-3BB1-427A-84D6-59A85ADF9E16}"/>
    <cellStyle name="Style 118 5 2" xfId="758" xr:uid="{6E60830E-48F1-4BD4-A44F-D02955C08079}"/>
    <cellStyle name="Style 118 5 2 2" xfId="18297" xr:uid="{3B0A9607-EA1E-4883-B58C-35767C54AE31}"/>
    <cellStyle name="Style 118 5 3" xfId="18296" xr:uid="{7867992A-4542-445F-976C-F0F3C8FB010F}"/>
    <cellStyle name="Style 118 6" xfId="759" xr:uid="{88E11340-0967-44CA-BE9A-415F316441FD}"/>
    <cellStyle name="Style 118 6 2" xfId="760" xr:uid="{632A0491-C557-4100-8385-E4939DDA0DC4}"/>
    <cellStyle name="Style 118 6 2 2" xfId="19418" xr:uid="{0C316284-4183-49CB-B69D-1B29B2B28C70}"/>
    <cellStyle name="Style 118 6 3" xfId="2707" xr:uid="{85333490-90F3-4CE1-A2E4-05985B8694B4}"/>
    <cellStyle name="Style 118 6 3 2" xfId="22511" xr:uid="{86AF847F-E4E5-4397-94C6-6E2455C3ED23}"/>
    <cellStyle name="Style 118 6 4" xfId="18298" xr:uid="{B1EBED49-1F24-4E5E-8763-5B7D72057FE7}"/>
    <cellStyle name="Style 118 7" xfId="2706" xr:uid="{B8DDE004-2206-4264-8BAB-500201082A53}"/>
    <cellStyle name="Style 118 7 2" xfId="3615" xr:uid="{F5651637-369A-498D-9DDA-B8253DFF7B29}"/>
    <cellStyle name="Style 118 7 2 2" xfId="19419" xr:uid="{1ECDC890-8636-4F4A-BB46-108261E44CCB}"/>
    <cellStyle name="Style 118 7 3" xfId="3614" xr:uid="{CC07152E-CACB-4F3F-969B-1F3120F3789F}"/>
    <cellStyle name="Style 118 7 3 2" xfId="33674" xr:uid="{937080CD-2E70-4A7D-AF70-3371328DDE89}"/>
    <cellStyle name="Style 118 7 4" xfId="18299" xr:uid="{81568264-ADF3-4E0A-95F4-49E80E7FB6FE}"/>
    <cellStyle name="Style 118 8" xfId="3616" xr:uid="{1D5ED31F-C24D-4906-AAEA-FF1273D5B445}"/>
    <cellStyle name="Style 118 8 2" xfId="19420" xr:uid="{A0873F4D-E0F4-4C8A-9276-6CC90D6684FF}"/>
    <cellStyle name="Style 118 9" xfId="6125" xr:uid="{8E09EA18-9CCE-447E-8053-A455A4F2F0DF}"/>
    <cellStyle name="Style 118 9 2" xfId="21204" xr:uid="{A9AB77DC-1E10-4C39-A1F1-FC8B35AE0CB1}"/>
    <cellStyle name="Style 118_ADDON" xfId="20491" xr:uid="{0E549E8E-5F72-4A1E-879A-EE350E3484F0}"/>
    <cellStyle name="Style 119" xfId="761" xr:uid="{E343C5FE-E2F3-4BA5-A90D-17D6FC9F26D9}"/>
    <cellStyle name="Style 119 10" xfId="762" xr:uid="{E1E0A35C-CADC-4716-A343-477B21E99FC6}"/>
    <cellStyle name="Style 119 10 2" xfId="763" xr:uid="{0EA6B931-E2DA-40A1-B3EE-CBA80C42208A}"/>
    <cellStyle name="Style 119 10 2 2" xfId="3617" xr:uid="{E3963BA0-5413-403E-B5DC-0C12884F75EF}"/>
    <cellStyle name="Style 119 10 2 2 2" xfId="21676" xr:uid="{938C21DF-7B27-4CC9-9438-7D1B23C4C5A0}"/>
    <cellStyle name="Style 119 10 2 3" xfId="19421" xr:uid="{DF8972B8-5984-4CBD-BE76-5C0EEFF14307}"/>
    <cellStyle name="Style 119 10 3" xfId="2708" xr:uid="{68CB2F0A-A785-492D-8E82-F62B0E77E8FB}"/>
    <cellStyle name="Style 119 10 3 2" xfId="21675" xr:uid="{CA6EF1B2-FAD5-4542-8165-111BA8A6A212}"/>
    <cellStyle name="Style 119 10 4" xfId="18301" xr:uid="{42EFCD25-0CBA-4667-86F0-B0C91F47AAB5}"/>
    <cellStyle name="Style 119 11" xfId="764" xr:uid="{2723B6DA-2944-43BE-9E74-F1FB98F061A7}"/>
    <cellStyle name="Style 119 11 2" xfId="765" xr:uid="{C5DCF236-9D2E-4C56-98DE-A0AB10734DCD}"/>
    <cellStyle name="Style 119 11 2 2" xfId="3619" xr:uid="{C7D33934-8968-4CEF-AF9F-BA5638984166}"/>
    <cellStyle name="Style 119 11 2 2 2" xfId="21678" xr:uid="{B39AC183-C119-441E-9C23-94AE6642A932}"/>
    <cellStyle name="Style 119 11 2 3" xfId="19422" xr:uid="{7A1611C8-2032-457F-B088-A3D83FBE273A}"/>
    <cellStyle name="Style 119 11 3" xfId="3618" xr:uid="{1926BC9D-8192-4976-A62B-0A1A17934C7C}"/>
    <cellStyle name="Style 119 11 3 2" xfId="21677" xr:uid="{0320ECCF-DF41-4344-845B-8B04A2F4632B}"/>
    <cellStyle name="Style 119 11 4" xfId="18302" xr:uid="{8A0DE34B-F075-4E38-BAA2-CCBC9168DCB9}"/>
    <cellStyle name="Style 119 12" xfId="766" xr:uid="{B187264B-ABAF-46A6-84C5-236B375C32CB}"/>
    <cellStyle name="Style 119 12 2" xfId="3620" xr:uid="{F450CAC7-392B-49AC-9457-14C934A7E9E4}"/>
    <cellStyle name="Style 119 12 2 2" xfId="21679" xr:uid="{83ED8302-8480-47B3-8170-7EA7AB583296}"/>
    <cellStyle name="Style 119 12 3" xfId="6126" xr:uid="{703D26C9-3861-410B-BDF6-2742BDBA9D93}"/>
    <cellStyle name="Style 119 12 3 2" xfId="22987" xr:uid="{84C45AC4-4225-48A7-9CB5-B284EB32DB29}"/>
    <cellStyle name="Style 119 12 4" xfId="6127" xr:uid="{22F109D8-BDED-4C9E-A19C-BEB1B7338BDB}"/>
    <cellStyle name="Style 119 12 4 2" xfId="22988" xr:uid="{D24D9957-818D-4E22-B39A-D6296B30840D}"/>
    <cellStyle name="Style 119 12 5" xfId="6128" xr:uid="{1F11ED44-1706-4BE6-AF85-EDC1FE88CF75}"/>
    <cellStyle name="Style 119 12 5 2" xfId="22989" xr:uid="{5CC0AC6D-7019-40AE-A9DD-0C1F0FE0945B}"/>
    <cellStyle name="Style 119 12 6" xfId="6129" xr:uid="{D8DD5254-FBE6-4137-AECF-9B9751F53BB1}"/>
    <cellStyle name="Style 119 12 6 2" xfId="22990" xr:uid="{64C96F08-7A15-462A-9C23-F7FD46A71F6A}"/>
    <cellStyle name="Style 119 12 7" xfId="19423" xr:uid="{6FA28B74-11CD-494D-AF16-17BB6C0A621B}"/>
    <cellStyle name="Style 119 13" xfId="6130" xr:uid="{725B5347-F8CA-4F38-AC66-461DA578928B}"/>
    <cellStyle name="Style 119 13 2" xfId="6131" xr:uid="{F3C5806D-E62D-4A03-B483-30AF8425CBD8}"/>
    <cellStyle name="Style 119 13 2 2" xfId="22991" xr:uid="{54638EF9-A891-4004-A590-1A72F8946A45}"/>
    <cellStyle name="Style 119 13 3" xfId="6132" xr:uid="{717D7427-AFB6-45C2-A14A-5F037D10B601}"/>
    <cellStyle name="Style 119 13 3 2" xfId="22992" xr:uid="{C85FEE4F-3861-4355-9917-E84D2D3938CC}"/>
    <cellStyle name="Style 119 13 4" xfId="21205" xr:uid="{59580C82-50C5-4722-8A62-DC3B6F7B4898}"/>
    <cellStyle name="Style 119 14" xfId="6133" xr:uid="{09575065-11B4-4042-9345-4B3CEC350E78}"/>
    <cellStyle name="Style 119 14 2" xfId="6134" xr:uid="{DF30BE37-797E-4D95-AA1E-300F6C6DFE72}"/>
    <cellStyle name="Style 119 14 2 2" xfId="22994" xr:uid="{88DC0322-DAB8-4241-A879-444DE0066DCF}"/>
    <cellStyle name="Style 119 14 3" xfId="22993" xr:uid="{53018529-40B3-4BBA-A3D8-470AA8B4788B}"/>
    <cellStyle name="Style 119 15" xfId="6135" xr:uid="{8CE3DACD-3147-4CF4-91F7-02FE69BC25C3}"/>
    <cellStyle name="Style 119 15 2" xfId="6136" xr:uid="{FF79A638-C4A4-4A42-AB9A-B84D447567CD}"/>
    <cellStyle name="Style 119 15 2 2" xfId="22996" xr:uid="{5379D470-2B21-4551-BCB0-E8CAF70D6E59}"/>
    <cellStyle name="Style 119 15 3" xfId="22995" xr:uid="{32CB35FA-4ACA-436A-B41B-50BADFFC2B8D}"/>
    <cellStyle name="Style 119 16" xfId="18300" xr:uid="{202571F5-291E-4329-A304-CCB446C9035F}"/>
    <cellStyle name="Style 119 2" xfId="767" xr:uid="{5DE65ADD-43DB-4551-BFB5-7A0099C09FFA}"/>
    <cellStyle name="Style 119 2 2" xfId="2902" xr:uid="{54F46FC4-3F8B-49F9-BD6E-AEE921254FB1}"/>
    <cellStyle name="Style 119 2 2 2" xfId="21206" xr:uid="{A8406256-3D21-4554-8739-000452635CD1}"/>
    <cellStyle name="Style 119 2 3" xfId="18303" xr:uid="{BBA4A6B5-36C6-45F6-9BEC-C2A1ED5254C6}"/>
    <cellStyle name="Style 119 3" xfId="768" xr:uid="{C29BF25C-C9A1-4C20-B19B-3378972C6F7E}"/>
    <cellStyle name="Style 119 3 2" xfId="769" xr:uid="{C3698661-F894-4A06-941D-9EC802559E84}"/>
    <cellStyle name="Style 119 3 2 2" xfId="770" xr:uid="{BF14BE7A-CF43-485C-8EDA-48C9F1C67299}"/>
    <cellStyle name="Style 119 3 2 2 2" xfId="3621" xr:uid="{7D8F3ABC-C8EC-435D-9634-30A152F070C0}"/>
    <cellStyle name="Style 119 3 2 2 2 2" xfId="21680" xr:uid="{4AE56300-2212-4D41-93C3-8EF0406BA919}"/>
    <cellStyle name="Style 119 3 2 2 3" xfId="18306" xr:uid="{90F13897-E71F-4046-8245-39C94C46CCDD}"/>
    <cellStyle name="Style 119 3 2 3" xfId="2904" xr:uid="{B3ED6FE5-3C27-4CA5-B701-45A31E865223}"/>
    <cellStyle name="Style 119 3 2 3 2" xfId="21208" xr:uid="{7F45F36A-7630-4F1B-B36A-E290D96F5353}"/>
    <cellStyle name="Style 119 3 2 4" xfId="18305" xr:uid="{11AD1652-A70C-4AAF-8E61-3E3ED3B44CB5}"/>
    <cellStyle name="Style 119 3 3" xfId="771" xr:uid="{C2FCCB2C-1451-4F5A-A79A-735B6B0F7A1D}"/>
    <cellStyle name="Style 119 3 3 2" xfId="772" xr:uid="{93A60F34-5472-4D4C-BF46-AF483383E65E}"/>
    <cellStyle name="Style 119 3 3 2 2" xfId="3623" xr:uid="{54176664-22D4-4D94-B30D-43FCF525B336}"/>
    <cellStyle name="Style 119 3 3 2 2 2" xfId="21682" xr:uid="{09D785A6-DD87-4C2C-96F2-A694FEBEB88C}"/>
    <cellStyle name="Style 119 3 3 2 3" xfId="18308" xr:uid="{FF2F1A96-C61B-4BAD-BE73-DB91A3E4157C}"/>
    <cellStyle name="Style 119 3 3 3" xfId="773" xr:uid="{86B8938A-40E6-4ABC-A37A-E88AE826D5C6}"/>
    <cellStyle name="Style 119 3 3 3 2" xfId="774" xr:uid="{A961C126-387D-49FB-89DD-70ABA458E547}"/>
    <cellStyle name="Style 119 3 3 3 2 2" xfId="3625" xr:uid="{E4957C98-D6D5-47CF-8BD9-1A31C8B9D1F1}"/>
    <cellStyle name="Style 119 3 3 3 2 2 2" xfId="21684" xr:uid="{1EFDFF99-C329-452C-A243-D51AD606E64B}"/>
    <cellStyle name="Style 119 3 3 3 2 3" xfId="18310" xr:uid="{20AE8F59-46BA-46B9-9355-C732C70F351A}"/>
    <cellStyle name="Style 119 3 3 3 3" xfId="3626" xr:uid="{A47B4029-42B9-404E-B37C-F5347B6AFDAE}"/>
    <cellStyle name="Style 119 3 3 3 3 2" xfId="18311" xr:uid="{99082351-FA4F-469C-B462-C879F6862A26}"/>
    <cellStyle name="Style 119 3 3 3 4" xfId="3627" xr:uid="{EABA60EC-06C1-4D13-B8C3-CED9CE42D904}"/>
    <cellStyle name="Style 119 3 3 3 4 2" xfId="19424" xr:uid="{59E20121-760F-49A0-9E05-F1253751FA28}"/>
    <cellStyle name="Style 119 3 3 3 5" xfId="3624" xr:uid="{2A5893E0-62D1-4CA6-B067-442702859A0D}"/>
    <cellStyle name="Style 119 3 3 3 5 2" xfId="21683" xr:uid="{3222FE24-ADFC-4F09-8C4E-E165F21831C2}"/>
    <cellStyle name="Style 119 3 3 3 6" xfId="18309" xr:uid="{FDC28118-21FD-4C7F-B817-7ED5733904A9}"/>
    <cellStyle name="Style 119 3 3 4" xfId="775" xr:uid="{58C8D419-A4F9-4E4A-A4E0-81EB8529704B}"/>
    <cellStyle name="Style 119 3 3 4 2" xfId="776" xr:uid="{0A39FD77-8156-4F13-8B78-1573B70EB6B4}"/>
    <cellStyle name="Style 119 3 3 4 2 2" xfId="3629" xr:uid="{131F8F36-7CAE-4DAA-A51E-F296FC65CA5A}"/>
    <cellStyle name="Style 119 3 3 4 2 2 2" xfId="21686" xr:uid="{9BBE1488-903A-4ACE-8BD0-49A8775F3F88}"/>
    <cellStyle name="Style 119 3 3 4 2 3" xfId="18313" xr:uid="{EA4DB141-8021-4128-963A-2A8BC6F8EDE6}"/>
    <cellStyle name="Style 119 3 3 4 3" xfId="3628" xr:uid="{C64BE602-E6E9-47D8-9530-207E81C1A68D}"/>
    <cellStyle name="Style 119 3 3 4 3 2" xfId="21685" xr:uid="{DEF19134-9D10-4ECF-A60B-7BD03C50C1AE}"/>
    <cellStyle name="Style 119 3 3 4 4" xfId="18312" xr:uid="{B4DFEB4B-B766-4F25-A41F-A99C251A8EC0}"/>
    <cellStyle name="Style 119 3 3 5" xfId="3630" xr:uid="{7BA97EE0-456E-4D99-BD9A-6F8A94164BD0}"/>
    <cellStyle name="Style 119 3 3 5 2" xfId="19425" xr:uid="{37617B09-D481-4D26-813A-F8265A3F425D}"/>
    <cellStyle name="Style 119 3 3 6" xfId="3622" xr:uid="{963AEEBD-B512-41D6-AE0B-B853D42AF05E}"/>
    <cellStyle name="Style 119 3 3 6 2" xfId="21681" xr:uid="{ED77BE55-E805-41AF-A304-BFB7CE7C0CA6}"/>
    <cellStyle name="Style 119 3 3 7" xfId="18307" xr:uid="{5AEECD4E-CAF3-4312-BA7E-9D6C82D52094}"/>
    <cellStyle name="Style 119 3 4" xfId="777" xr:uid="{20A01168-9A76-4F88-BC2F-7EB296ADD4D3}"/>
    <cellStyle name="Style 119 3 4 2" xfId="3632" xr:uid="{71D1CAA6-FC07-4612-B816-2D73DB9EF107}"/>
    <cellStyle name="Style 119 3 4 2 2" xfId="18315" xr:uid="{300E1DB9-F55B-4F63-8191-4C4593114808}"/>
    <cellStyle name="Style 119 3 4 3" xfId="3633" xr:uid="{4A267C3F-3191-4176-A42C-34563189C76A}"/>
    <cellStyle name="Style 119 3 4 3 2" xfId="19426" xr:uid="{52ACC3C3-4FCE-495E-9405-107C8F12934D}"/>
    <cellStyle name="Style 119 3 4 4" xfId="3631" xr:uid="{E062AD00-9642-4A11-9B1E-01285D71684D}"/>
    <cellStyle name="Style 119 3 4 4 2" xfId="21687" xr:uid="{3855E8B7-F6E7-44E9-B446-B9D2D54D6A6B}"/>
    <cellStyle name="Style 119 3 4 5" xfId="18314" xr:uid="{C4BA71C5-94E9-493C-81B5-1616619380AF}"/>
    <cellStyle name="Style 119 3 5" xfId="3634" xr:uid="{D5EDF8EB-7057-4E6B-B30E-CE124640A8CC}"/>
    <cellStyle name="Style 119 3 5 2" xfId="6137" xr:uid="{60C023A0-0A08-416E-ABA5-94D46A1B2D99}"/>
    <cellStyle name="Style 119 3 5 2 2" xfId="21688" xr:uid="{62A8FC71-51BE-4669-8933-435E765FD522}"/>
    <cellStyle name="Style 119 3 5 3" xfId="18316" xr:uid="{1CC9E19D-34EA-4DFC-AAA2-084D2CBD242A}"/>
    <cellStyle name="Style 119 3 6" xfId="2903" xr:uid="{B6CBC455-B6CB-4EDF-A64A-A2309ACDEBAF}"/>
    <cellStyle name="Style 119 3 6 2" xfId="21207" xr:uid="{2A0A5807-4D51-4C01-8269-474E0FB99EA7}"/>
    <cellStyle name="Style 119 3 7" xfId="18304" xr:uid="{84C354DC-2F4C-4F05-8117-82E5AE8D1988}"/>
    <cellStyle name="Style 119 4" xfId="778" xr:uid="{9E68DF6D-F0A1-4CE1-ADAB-5E4332164B5B}"/>
    <cellStyle name="Style 119 4 2" xfId="779" xr:uid="{3688618E-5988-462A-93D6-8A1F2FF7AE57}"/>
    <cellStyle name="Style 119 4 2 2" xfId="780" xr:uid="{662059FF-8745-47A6-A563-7CA22E6AC60E}"/>
    <cellStyle name="Style 119 4 2 2 2" xfId="3637" xr:uid="{91138EC2-DF9A-40FE-9C77-80601721F54B}"/>
    <cellStyle name="Style 119 4 2 2 2 2" xfId="21690" xr:uid="{B34428A4-977D-4FD0-B889-3F477F5AF5B8}"/>
    <cellStyle name="Style 119 4 2 2 3" xfId="18319" xr:uid="{D429FD13-1011-4C38-8971-ECCFA20B78FD}"/>
    <cellStyle name="Style 119 4 2 3" xfId="781" xr:uid="{D1BF87E8-2570-40ED-AD19-991F16548900}"/>
    <cellStyle name="Style 119 4 2 3 2" xfId="782" xr:uid="{A1124031-B84A-4546-B4D5-FB499A35CC8A}"/>
    <cellStyle name="Style 119 4 2 3 2 2" xfId="3639" xr:uid="{09204CF0-77C2-4660-8197-1C199A6D9BF6}"/>
    <cellStyle name="Style 119 4 2 3 2 2 2" xfId="21692" xr:uid="{D790AD84-C384-4BAB-B3D1-2D05C18CD596}"/>
    <cellStyle name="Style 119 4 2 3 2 3" xfId="18321" xr:uid="{97369E81-4318-4202-960F-196B2424EAB6}"/>
    <cellStyle name="Style 119 4 2 3 3" xfId="3640" xr:uid="{8C21A898-4E67-46DA-A3D4-851DFA25E5E1}"/>
    <cellStyle name="Style 119 4 2 3 3 2" xfId="18322" xr:uid="{1D8B769B-F3AA-46A5-A452-7346BD549C06}"/>
    <cellStyle name="Style 119 4 2 3 4" xfId="3641" xr:uid="{A4B0C38C-32B0-4515-8992-6575F4146263}"/>
    <cellStyle name="Style 119 4 2 3 4 2" xfId="19427" xr:uid="{3B98616E-2B4F-4CEA-95BC-15D150FDCBA8}"/>
    <cellStyle name="Style 119 4 2 3 5" xfId="3638" xr:uid="{B78A8FDC-F0F4-4073-9D33-7FABB363E3D9}"/>
    <cellStyle name="Style 119 4 2 3 5 2" xfId="21691" xr:uid="{B24D0BA8-CA83-46D5-9465-98417B7FCD1F}"/>
    <cellStyle name="Style 119 4 2 3 6" xfId="18320" xr:uid="{6E223034-00A1-4C49-A102-854252424AE0}"/>
    <cellStyle name="Style 119 4 2 4" xfId="783" xr:uid="{75042995-13D1-4189-A228-73BA01E71DE5}"/>
    <cellStyle name="Style 119 4 2 4 2" xfId="784" xr:uid="{4015E2F6-290E-48ED-9856-146C6D7843AB}"/>
    <cellStyle name="Style 119 4 2 4 2 2" xfId="3643" xr:uid="{AC7C60C3-CC47-434E-A949-EC906E8AC282}"/>
    <cellStyle name="Style 119 4 2 4 2 2 2" xfId="21694" xr:uid="{D3941585-E77C-46CD-8FA6-AA612D493399}"/>
    <cellStyle name="Style 119 4 2 4 2 3" xfId="18324" xr:uid="{A1223A06-C45B-47D5-8518-7821A43EBAC3}"/>
    <cellStyle name="Style 119 4 2 4 3" xfId="3642" xr:uid="{DE60E4FF-308E-4027-8416-D3472B586565}"/>
    <cellStyle name="Style 119 4 2 4 3 2" xfId="21693" xr:uid="{DD6EC5E8-B6AF-436B-9F63-DE9A85C8D1F1}"/>
    <cellStyle name="Style 119 4 2 4 4" xfId="18323" xr:uid="{35638DBE-1B05-4726-8AD1-2FB6F2974B48}"/>
    <cellStyle name="Style 119 4 2 5" xfId="3644" xr:uid="{804639E7-0A52-4BBD-BF77-416C93016F82}"/>
    <cellStyle name="Style 119 4 2 5 2" xfId="19428" xr:uid="{A559B1B2-8911-4938-8B0F-C03458ACC734}"/>
    <cellStyle name="Style 119 4 2 6" xfId="3636" xr:uid="{52160E5C-ACE4-4608-8CB9-5E0F2FD91F63}"/>
    <cellStyle name="Style 119 4 2 6 2" xfId="21689" xr:uid="{5CA63E21-E657-49B7-9981-0FA43A85835E}"/>
    <cellStyle name="Style 119 4 2 7" xfId="18318" xr:uid="{29A55A9F-4369-42E7-83FB-0469324C4681}"/>
    <cellStyle name="Style 119 4 3" xfId="785" xr:uid="{12CCCF67-3776-421C-8D21-FFA350382DDA}"/>
    <cellStyle name="Style 119 4 3 2" xfId="3645" xr:uid="{92661E32-7588-47F0-8843-A5F96EAB2FB2}"/>
    <cellStyle name="Style 119 4 3 2 2" xfId="21695" xr:uid="{517FB473-757D-42E2-9279-41A50C6269CE}"/>
    <cellStyle name="Style 119 4 3 3" xfId="18325" xr:uid="{02F4F6D8-123D-4229-BF22-762E469A956F}"/>
    <cellStyle name="Style 119 4 4" xfId="3646" xr:uid="{61DC2DDF-07CE-46A2-BB12-A4CC9957E51B}"/>
    <cellStyle name="Style 119 4 4 2" xfId="3647" xr:uid="{9503CF1F-2032-4B89-BC82-DE6D6978A158}"/>
    <cellStyle name="Style 119 4 4 2 2" xfId="19429" xr:uid="{6633DD3B-86B9-44E6-9824-DC895D01932E}"/>
    <cellStyle name="Style 119 4 4 3" xfId="18326" xr:uid="{BAB215E0-F714-4B04-A5F1-B9D30E5C1CD1}"/>
    <cellStyle name="Style 119 4 5" xfId="3635" xr:uid="{FE546C3B-BD36-431B-B85F-CCA9C2BCE1B7}"/>
    <cellStyle name="Style 119 4 5 2" xfId="20640" xr:uid="{A71067F2-A4B4-41D3-A248-A2931568DA46}"/>
    <cellStyle name="Style 119 4 6" xfId="2905" xr:uid="{D0BDA47C-3BA3-494B-A7BE-432E6A389404}"/>
    <cellStyle name="Style 119 4 7" xfId="18317" xr:uid="{E091048C-0757-4D13-A0F8-67F4ED78996D}"/>
    <cellStyle name="Style 119 5 2" xfId="786" xr:uid="{D931028F-A792-44DE-B56C-F9E4E0070BEA}"/>
    <cellStyle name="Style 119 5 2 2 2" xfId="3649" xr:uid="{9331323C-8A8F-42CF-A248-0463E800E56A}"/>
    <cellStyle name="Style 119 5 2 2 3" xfId="18328" xr:uid="{34DBF1BD-F3D8-42E2-B25D-FEDC3955FBB6}"/>
    <cellStyle name="Style 119 5 2 3 2" xfId="787" xr:uid="{43E0B78D-F7A3-4849-8FE0-FD9B2FEA0080}"/>
    <cellStyle name="Style 119 5 2 3 2 2 2" xfId="21697" xr:uid="{1C12D4DA-1990-4A40-9962-6D80BBFD8582}"/>
    <cellStyle name="Style 119 5 2 3 3" xfId="3651" xr:uid="{8442BC23-612F-4BDA-BE10-E030B00586E8}"/>
    <cellStyle name="Style 119 5 2 3 4" xfId="3652" xr:uid="{51A75BC0-B013-4A97-ACF5-D74C566F093F}"/>
    <cellStyle name="Style 119 5 2 3 5" xfId="3650" xr:uid="{FD269BC6-473C-4CA9-A123-FA5699D7C4B0}"/>
    <cellStyle name="Style 119 5 2 3 6" xfId="18329" xr:uid="{E558A6B2-3121-40EB-BA30-71A255DE16AC}"/>
    <cellStyle name="Style 119 5 2 4 2" xfId="788" xr:uid="{209B3328-2628-4C52-8CDA-EB8B753C1FD4}"/>
    <cellStyle name="Style 119 5 2 4 2 2 2" xfId="21698" xr:uid="{EFC77785-6659-4C43-A7BA-A419D6D17FB1}"/>
    <cellStyle name="Style 119 5 2 4 3" xfId="3653" xr:uid="{8D58784C-76E3-4A7B-AC27-98A702FC4C73}"/>
    <cellStyle name="Style 119 5 2 4 4" xfId="18330" xr:uid="{0FC02310-78FD-411D-861F-485E03277617}"/>
    <cellStyle name="Style 119 5 2 5 2" xfId="19430" xr:uid="{9ACE9FEB-4AB7-425C-9815-1421F2044969}"/>
    <cellStyle name="Style 119 5 2 6 2" xfId="21696" xr:uid="{4611AB51-CFFF-46BC-B5F8-8716E0195A2C}"/>
    <cellStyle name="Style 119 5 3" xfId="789" xr:uid="{0D2E32C2-444B-4D91-8B0E-5F1BC7077684}"/>
    <cellStyle name="Style 119 5 3 2 2" xfId="21699" xr:uid="{E32B2164-EC83-45BB-9E47-7BDA3E52D934}"/>
    <cellStyle name="Style 119 5 4" xfId="3654" xr:uid="{21A2E202-E70D-4978-B870-408035E58191}"/>
    <cellStyle name="Style 119 5 4 2 2" xfId="19431" xr:uid="{18E26FD4-9D67-4DC6-B1DA-C71242C27DAC}"/>
    <cellStyle name="Style 119 5 5" xfId="3648" xr:uid="{DDB1C228-E3AB-40C0-A26C-6F0FD7E25B1D}"/>
    <cellStyle name="Style 119 5 6" xfId="2906" xr:uid="{E26F2FDF-C85E-4CAF-A470-F3BD97D4D900}"/>
    <cellStyle name="Style 119 5 7" xfId="18327" xr:uid="{1FC62BAF-A58C-4D60-ABE9-44DD93F7334F}"/>
    <cellStyle name="Style 119 6 2" xfId="790" xr:uid="{08F80843-CB70-46B3-9610-8972CE603C47}"/>
    <cellStyle name="Style 119 6 2 2 2" xfId="21700" xr:uid="{DB101D3E-5A50-49FD-AE05-D1BC0DEEE9DA}"/>
    <cellStyle name="Style 119 6 3" xfId="791" xr:uid="{C6D5253E-F918-4BE3-BA47-E32F7339F53C}"/>
    <cellStyle name="Style 119 6 3 2 2" xfId="3656" xr:uid="{B5C9E43B-770B-4EA4-A37A-B58558E1006E}"/>
    <cellStyle name="Style 119 6 3 2 3" xfId="18332" xr:uid="{29DFBBCD-6D71-41BA-8ED1-855536DDA662}"/>
    <cellStyle name="Style 119 6 3 3 2" xfId="18333" xr:uid="{61DA8EC9-4DB0-4F40-90AC-246526C79BED}"/>
    <cellStyle name="Style 119 6 3 4 2" xfId="19432" xr:uid="{1EC845F7-238F-4CA6-868A-9FE33982BCD6}"/>
    <cellStyle name="Style 119 6 3 5 2" xfId="21701" xr:uid="{B8AB26BC-34CC-4AF8-B65D-3C68E0A29AC0}"/>
    <cellStyle name="Style 119 6 4" xfId="792" xr:uid="{2CB00D42-656E-4E6A-B3BA-13E8E85EB14A}"/>
    <cellStyle name="Style 119 6 4 2 2" xfId="3657" xr:uid="{C896C478-326B-46EE-94D6-A9790725CF93}"/>
    <cellStyle name="Style 119 6 4 2 3" xfId="18334" xr:uid="{36BF53FB-EB5C-4171-95B6-7783588CC9F4}"/>
    <cellStyle name="Style 119 6 4 3 2" xfId="21702" xr:uid="{CF0C24F9-E82E-4E9F-87A1-72D7F231B835}"/>
    <cellStyle name="Style 119 6 5" xfId="3658" xr:uid="{27536F84-C832-4FF0-94D7-C747C5DDF2D3}"/>
    <cellStyle name="Style 119 6 6" xfId="3655" xr:uid="{06E5D5CC-8387-468C-A948-30C885D0A73F}"/>
    <cellStyle name="Style 119 6 7" xfId="18331" xr:uid="{ADFA24D9-9E44-412F-9FBE-5FE7969781FA}"/>
    <cellStyle name="Style 119 7 2" xfId="793" xr:uid="{A8257561-664B-42F4-91E3-1AA9F64F47D2}"/>
    <cellStyle name="Style 119 7 2 2 2" xfId="21703" xr:uid="{39975073-54BE-486D-B1EC-118A3FDE8AE9}"/>
    <cellStyle name="Style 119 7 3" xfId="3660" xr:uid="{E209BED8-8C0D-48CD-95EC-5A395C859B8F}"/>
    <cellStyle name="Style 119 7 4" xfId="3661" xr:uid="{6565927D-028B-47A8-9A66-C16111865F86}"/>
    <cellStyle name="Style 119 7 5" xfId="3659" xr:uid="{A82FEFE9-1DCE-4A01-A80A-B03463DEBD4A}"/>
    <cellStyle name="Style 119 7 6" xfId="18335" xr:uid="{9C9AA143-5B14-48FD-97C8-CC674670559B}"/>
    <cellStyle name="Style 119 8 2" xfId="794" xr:uid="{CB7FD027-4192-4B2F-93BC-BC24F76E6532}"/>
    <cellStyle name="Style 119 8 2 2 2" xfId="21704" xr:uid="{4C39ED04-F591-46F9-963A-86B00588476F}"/>
    <cellStyle name="Style 119 8 3" xfId="3663" xr:uid="{CC2E7C9C-540A-4DEA-95DE-8CF04017B0CA}"/>
    <cellStyle name="Style 119 8 4" xfId="3664" xr:uid="{8A704F6E-1C1A-4DE6-A480-1BBAA8531F20}"/>
    <cellStyle name="Style 119 8 5" xfId="3662" xr:uid="{D9556042-061F-4E4E-A763-0526E1967E11}"/>
    <cellStyle name="Style 119 8 6" xfId="18336" xr:uid="{CF8EEA91-73C7-4F70-9074-64A55A365403}"/>
    <cellStyle name="Style 119 9 2" xfId="795" xr:uid="{46F6B9C8-31DE-4FEC-B40A-0E6F0E6AE0C8}"/>
    <cellStyle name="Style 119 9 2 2 2" xfId="21705" xr:uid="{C9485478-133B-4401-85AF-EF701D7AA65F}"/>
    <cellStyle name="Style 119 9 3" xfId="2709" xr:uid="{68EFB15B-97A8-44E6-B498-E56BDEAA5053}"/>
    <cellStyle name="Style 119 9 4" xfId="18337" xr:uid="{B5032BB2-270D-4204-BDD0-752F45827734}"/>
    <cellStyle name="Style 120" xfId="796" xr:uid="{333FC20F-BA1C-4E02-AA8D-5E5DE0B0DCA6}"/>
    <cellStyle name="Style 120 2 2" xfId="797" xr:uid="{30AFE1BB-EF1E-4236-AC53-6F73658948C8}"/>
    <cellStyle name="Style 120 2 2 2 2" xfId="798" xr:uid="{E303D07B-06A8-40AA-A5A6-7A5264E67460}"/>
    <cellStyle name="Style 120 2 2 2 2 2 2" xfId="6138" xr:uid="{49AA1311-DF6B-497E-88AE-F67AC1B3B8EC}"/>
    <cellStyle name="Style 120 2 2 2 3" xfId="799" xr:uid="{3D9FCCF2-2A2E-4A14-861A-581BD74D38F7}"/>
    <cellStyle name="Style 120 2 2 2 4" xfId="6139" xr:uid="{0C236411-BA5E-4A6B-862B-46FFDFC2C407}"/>
    <cellStyle name="Style 120 2 2 3 2" xfId="800" xr:uid="{DFC617FA-D213-4778-84D2-F219CF0FFD21}"/>
    <cellStyle name="Style 120 2 2 3 3" xfId="6140" xr:uid="{20739F81-F407-4FA5-9F56-03466DD64B8A}"/>
    <cellStyle name="Style 120 2 2 4 2" xfId="6141" xr:uid="{404BA77A-C1CB-4325-8B4A-1236784CBA3D}"/>
    <cellStyle name="Style 120 2 3" xfId="801" xr:uid="{D8A5BEDB-30D9-4820-A602-101AFCAE254C}"/>
    <cellStyle name="Style 120 2 3 2 2" xfId="802" xr:uid="{010ECC18-E5E5-412C-95E6-48B633808518}"/>
    <cellStyle name="Style 120 2 3 2 3" xfId="6142" xr:uid="{FBCB7DA0-7255-41C9-BFD4-013D9F830145}"/>
    <cellStyle name="Style 120 2 3 3 2" xfId="6143" xr:uid="{96DDD923-32AB-44DE-8940-5C653E413B83}"/>
    <cellStyle name="Style 120 2 4" xfId="803" xr:uid="{54D4F4FF-FFFA-409C-9286-8EFE4AFE4AB8}"/>
    <cellStyle name="Style 120 2 4 2 2" xfId="6144" xr:uid="{820DC894-A32C-4136-AB18-0A8D3F4F0FF1}"/>
    <cellStyle name="Style 120 2 5" xfId="804" xr:uid="{CDDDF909-1DB0-441B-B9DC-A3A089D02AD3}"/>
    <cellStyle name="Style 120 3 2" xfId="805" xr:uid="{0F76FB46-01B8-4136-B089-6B4A310498EA}"/>
    <cellStyle name="Style 120 3 2 2 2 2 2" xfId="6145" xr:uid="{D0C1C8C8-CD88-4674-8899-B8A5018E8458}"/>
    <cellStyle name="Style 120 3 2 2 4" xfId="6146" xr:uid="{22C58103-BEE8-423D-8A21-79AF2D978B39}"/>
    <cellStyle name="Style 120 3 2 3 3" xfId="6147" xr:uid="{B8C68CC3-8455-4CED-A890-E2234F620D39}"/>
    <cellStyle name="Style 120 3 3" xfId="806" xr:uid="{1BA64763-E106-4E49-BFCC-660443864AD9}"/>
    <cellStyle name="Style 120 3 3 2 2 2 2" xfId="6148" xr:uid="{91E8F889-56C7-4345-A84F-5AA818A8E637}"/>
    <cellStyle name="Style 120 3 3 2 4" xfId="6149" xr:uid="{5DADE3AE-D654-42DB-9160-948853D59D28}"/>
    <cellStyle name="Style 120 3 3 5" xfId="6150" xr:uid="{71632C80-414F-47A9-A70B-DB547A3F0821}"/>
    <cellStyle name="Style 120 3 4 3" xfId="6151" xr:uid="{40B2DB3F-8B9B-442C-A1FF-3D53E7A8F2E7}"/>
    <cellStyle name="Style 120 4" xfId="807" xr:uid="{90358674-DA0D-42D4-851D-0E0CC3CB3DF5}"/>
    <cellStyle name="Style 120 4 2 2 2 2" xfId="6152" xr:uid="{F12BFD0A-1AA4-4FA5-80CF-5AA5CF8DAD08}"/>
    <cellStyle name="Style 120 4 2 4" xfId="6153" xr:uid="{2044F85A-029F-412C-A35E-32DE3353AFBB}"/>
    <cellStyle name="Style 120 4 5" xfId="6154" xr:uid="{FF221221-B36F-4218-857E-D5FA93F0EA8E}"/>
    <cellStyle name="Style 120 5 3" xfId="6155" xr:uid="{6B6F0F69-CFA5-4093-A717-E41443B6C0DA}"/>
    <cellStyle name="Style 120 6 3" xfId="6156" xr:uid="{7579748A-7900-4D36-AAF1-620EC41684D0}"/>
    <cellStyle name="Style 120 8" xfId="3665" xr:uid="{1C6BF9DA-FF04-4550-918E-FA1272346FF6}"/>
    <cellStyle name="Style 121" xfId="808" xr:uid="{37A0DAE7-5439-4955-A5F4-417AF2EA7EED}"/>
    <cellStyle name="Style 121 2 2 2 2" xfId="809" xr:uid="{AE09EF34-8BE5-4A98-AB18-72C4605DBB10}"/>
    <cellStyle name="Style 121 2 2 2 3" xfId="810" xr:uid="{DFD2EB56-6AD6-4302-9989-132599CC9750}"/>
    <cellStyle name="Style 121 2 2 3 2" xfId="811" xr:uid="{1410AE62-4DA4-42B9-8A30-CAD081449E15}"/>
    <cellStyle name="Style 121 2 2 4 2" xfId="6157" xr:uid="{F0022CFF-E61A-44FB-8DE4-5599A5885EFF}"/>
    <cellStyle name="Style 121 2 3 3 2" xfId="6158" xr:uid="{FA77E494-4759-410B-BA82-C2338A9B4F33}"/>
    <cellStyle name="Style 121 2 6" xfId="6159" xr:uid="{58B51729-3589-4024-AA25-92C4D35CCB35}"/>
    <cellStyle name="Style 121 3 2 2 3" xfId="812" xr:uid="{92320376-12A8-43E9-9944-730178AA88AD}"/>
    <cellStyle name="Style 121 3 2 4 2" xfId="6160" xr:uid="{C398E2FF-1669-4630-94B6-9102BC7D0E05}"/>
    <cellStyle name="Style 121 3 3 2 3" xfId="813" xr:uid="{1401B193-ECE2-4AEA-8319-121424926AA2}"/>
    <cellStyle name="Style 121 3 4 2" xfId="814" xr:uid="{9411ABBB-3AEE-46B0-A0E8-E2FE4E5D7E8B}"/>
    <cellStyle name="Style 121 4 2 2" xfId="815" xr:uid="{5A1213FA-6746-41B1-8746-5F193C087B9E}"/>
    <cellStyle name="Style 121 4 3 2" xfId="6161" xr:uid="{0CD65300-EF23-4485-9855-EC998A97DF3B}"/>
    <cellStyle name="Style 121 6 2" xfId="2710" xr:uid="{4B259996-494F-47EC-8642-E32929F117AE}"/>
    <cellStyle name="Style 121 9 2" xfId="21209" xr:uid="{8C78C1F6-4462-406F-BB4D-47406101A62C}"/>
    <cellStyle name="Style 126 10 3" xfId="2711" xr:uid="{6E7A0535-306B-4430-9294-F3B9AA155515}"/>
    <cellStyle name="Style 126 11 3" xfId="3666" xr:uid="{7501C171-0274-423C-A5B3-7F7BAE25A2C8}"/>
    <cellStyle name="Style 126 12 4" xfId="6162" xr:uid="{23EE74B6-3675-493B-BAEE-98469EFEE02D}"/>
    <cellStyle name="Style 126 13 2" xfId="6163" xr:uid="{B7C8EBBD-CC29-4DE7-8A79-E904FAB61E82}"/>
    <cellStyle name="Style 126 14 3" xfId="22997" xr:uid="{B464A9BA-9D1E-4FEF-AA94-63A1A89BD572}"/>
    <cellStyle name="Style 126 2 2 2" xfId="21210" xr:uid="{D73D864B-8F9A-47C0-BA16-2B27930F7E3B}"/>
    <cellStyle name="Style 126 3 2 3" xfId="2907" xr:uid="{A167F9D0-7F3E-420F-A364-FA97170F4BF1}"/>
    <cellStyle name="Style 126 3 3 3" xfId="816" xr:uid="{22A8720F-DC99-4FDE-BF3D-F5C141C6AB81}"/>
    <cellStyle name="Style 126 3 3 3 4 2" xfId="19433" xr:uid="{9EB9E7D0-C162-4DB5-BBFF-C26E3992F7C4}"/>
    <cellStyle name="Style 126 3 3 4 2 3" xfId="18339" xr:uid="{7B9AC65A-7A34-4DEE-89B4-E2CFE33B1AA4}"/>
    <cellStyle name="Style 126 3 3 7" xfId="18338" xr:uid="{A58B630A-F482-4AA4-BA79-8C4904B9D65F}"/>
    <cellStyle name="Style 126 3 4 5" xfId="18340" xr:uid="{FA278874-4D0F-4A0D-8E58-10BBB81CE411}"/>
    <cellStyle name="Style 126 4" xfId="817" xr:uid="{C2AE4814-553B-41BC-BE16-115CE6FFED89}"/>
    <cellStyle name="Style 126 4 2 3 2 2" xfId="3667" xr:uid="{0ED44817-A2C4-449A-A8C2-3D20A798BC0B}"/>
    <cellStyle name="Style 126 4 2 3 5 2" xfId="21706" xr:uid="{147B5733-19AB-4533-99E1-1791F4E7E669}"/>
    <cellStyle name="Style 126 4 2 4 3 2" xfId="21707" xr:uid="{10596B2C-F5B6-4EB8-8682-1A301CA9E152}"/>
    <cellStyle name="Style 126 4 3 2" xfId="3668" xr:uid="{1F948561-B2F7-4BC8-9959-AD00B5A5AAB2}"/>
    <cellStyle name="Style 126 4 5 2" xfId="20641" xr:uid="{CE9500FD-B496-4DC9-B6F5-CAA8006F49C8}"/>
    <cellStyle name="Style 126 5 2 2 2 2" xfId="21708" xr:uid="{098F24D9-E3CD-499D-8D85-972887161728}"/>
    <cellStyle name="Style 126 5 2 3 3 2" xfId="18341" xr:uid="{3B2347FF-B251-45D6-8045-88DFDF9AF911}"/>
    <cellStyle name="Style 126 5 2 4 2 2" xfId="3670" xr:uid="{87C7C675-15BD-42DB-AF4C-07703BC5E33D}"/>
    <cellStyle name="Style 126 5 2 6" xfId="3669" xr:uid="{470C812B-A0D5-47AC-8C6C-F3D169625FA7}"/>
    <cellStyle name="Style 126 5 4 2" xfId="3671" xr:uid="{74D41BEC-F7AF-4E3D-8987-77C82811C468}"/>
    <cellStyle name="Style 126 6" xfId="818" xr:uid="{317FEB9F-E561-4448-ADFB-EC92A038319A}"/>
    <cellStyle name="Style 126 6 3 2 2 2" xfId="21709" xr:uid="{3BD9D623-117D-4C30-A746-289523C900E3}"/>
    <cellStyle name="Style 126 6 3 6" xfId="18342" xr:uid="{49517850-1D1F-425D-8877-FA81FA5E0C12}"/>
    <cellStyle name="Style 126 6 4 4" xfId="18343" xr:uid="{160937BA-7430-42C1-9DBD-5558CD59F78F}"/>
    <cellStyle name="Style 126 7 2 2" xfId="3672" xr:uid="{33AB1A10-1DCC-4936-85A2-A6A7A4A4ED73}"/>
    <cellStyle name="Style 126 7 5 2" xfId="21710" xr:uid="{69C32241-ECF8-4344-AA10-CA57274BA813}"/>
    <cellStyle name="Style 126 8 3 2" xfId="18344" xr:uid="{74D775FA-79B3-42F8-AAB6-389EE5A36FFA}"/>
    <cellStyle name="Style 126 9 2 2" xfId="3673" xr:uid="{7DE37B1C-AD2A-422E-8264-30DC465A7075}"/>
    <cellStyle name="Style 127 10" xfId="18345" xr:uid="{A4F61F6A-F495-470A-A336-34FB63F9D839}"/>
    <cellStyle name="Style 127 3 3" xfId="819" xr:uid="{7B0BEA8D-B976-459F-A465-F420DEDB9D4B}"/>
    <cellStyle name="Style 127 3 4" xfId="820" xr:uid="{A8C5FA43-D824-4259-A0CE-C9CB0222FCA2}"/>
    <cellStyle name="Style 127 4 2" xfId="821" xr:uid="{DCB859D8-A302-4C26-B5F0-E1DC0C4B5434}"/>
    <cellStyle name="Style 127 5 2" xfId="822" xr:uid="{765073B9-6DB1-4861-981A-C6A5BA1099BD}"/>
    <cellStyle name="Style 127 6 4" xfId="18346" xr:uid="{25226A53-BFC2-4695-9434-82897F8982A5}"/>
    <cellStyle name="Style 127 8 2" xfId="19434" xr:uid="{092BF37E-435A-4147-B810-1B1ECBAAC312}"/>
    <cellStyle name="Style 128 2 2 2 2" xfId="823" xr:uid="{1349AF66-CC70-4FBF-8F4D-8775B7783B1A}"/>
    <cellStyle name="Style 128 2 2 3 2" xfId="824" xr:uid="{EC3B084F-7B60-48B6-9DC5-7AE581391A44}"/>
    <cellStyle name="Style 128 2 3 2 2" xfId="825" xr:uid="{39DDE656-1BB5-4185-B655-4FB4EC70F5E3}"/>
    <cellStyle name="Style 128 2 4 2 2" xfId="6164" xr:uid="{2E65F3CE-22AF-4428-B508-DF146FBFFCDA}"/>
    <cellStyle name="Style 128 3 2" xfId="826" xr:uid="{9064658F-B250-4474-816B-70155B3FDD64}"/>
    <cellStyle name="Style 128 3 2 2 2 2 2" xfId="6165" xr:uid="{4BCD0849-D825-4196-B622-C476C28B8C68}"/>
    <cellStyle name="Style 128 3 2 2 4" xfId="6166" xr:uid="{0C2EDC6C-1A25-4B02-A62E-09F39D50185A}"/>
    <cellStyle name="Style 128 3 2 3 3" xfId="6167" xr:uid="{F7CD075A-3D0E-438F-929B-868872CA828F}"/>
    <cellStyle name="Style 128 3 3" xfId="827" xr:uid="{BEAD8B08-16FE-4116-BC37-FC1D63D20FF9}"/>
    <cellStyle name="Style 128 3 3 2 2 2 2" xfId="6168" xr:uid="{B8BF5CEB-7E06-4684-A975-54692CA62CD3}"/>
    <cellStyle name="Style 128 3 3 2 4" xfId="6169" xr:uid="{6BDE1324-8908-46F0-8385-3316892A1294}"/>
    <cellStyle name="Style 128 3 3 5" xfId="6170" xr:uid="{9DD143CA-7098-404D-BF72-2A172019E5CD}"/>
    <cellStyle name="Style 128 3 4 3" xfId="6171" xr:uid="{F656AA42-F500-4E1C-A987-DCE8C3600D1D}"/>
    <cellStyle name="Style 128 4" xfId="828" xr:uid="{A4563CEC-817E-4D48-8A32-0B6C6F440619}"/>
    <cellStyle name="Style 128 4 2 2 2 2" xfId="6172" xr:uid="{998600D4-24D6-469A-B0F7-A86484FACAF9}"/>
    <cellStyle name="Style 128 4 2 4" xfId="6173" xr:uid="{70BF1EE7-840F-4B76-895D-4FAD1433B53A}"/>
    <cellStyle name="Style 128 4 5" xfId="6174" xr:uid="{D5B818EF-5146-4F5C-8727-218FC22D67EA}"/>
    <cellStyle name="Style 128 5 3" xfId="6175" xr:uid="{708A44D5-B0F5-436D-A7D8-ADA7D61EE839}"/>
    <cellStyle name="Style 128 6 3" xfId="6176" xr:uid="{60F778EF-AF55-4507-98A4-651A8982D41B}"/>
    <cellStyle name="Style 128 8" xfId="3674" xr:uid="{8B63F8E4-D8C5-4FBF-A290-C615B4901C2D}"/>
    <cellStyle name="Style 129" xfId="829" xr:uid="{1CFE5ADA-6996-4643-8981-67DB64964FE6}"/>
    <cellStyle name="Style 129 2 2 2" xfId="22998" xr:uid="{ECED7559-91D5-450D-B271-23D47420631B}"/>
    <cellStyle name="Style 129 3 2 2" xfId="18347" xr:uid="{F91C6B68-9375-4EC7-A3D7-F72E1337AAEA}"/>
    <cellStyle name="Style 129 3 3 3" xfId="3675" xr:uid="{59142593-0522-4BDA-BFB1-3C67193DCF67}"/>
    <cellStyle name="Style 129 3 3 5" xfId="18348" xr:uid="{D5316B49-C164-43A6-BA9E-5E0223B748AF}"/>
    <cellStyle name="Style 129 3 4 3" xfId="18349" xr:uid="{7B5BF2EC-5F5B-4F07-842B-294AE2275F72}"/>
    <cellStyle name="Style 129 4" xfId="830" xr:uid="{4B0B945B-A455-4D54-B448-8E84974F98BD}"/>
    <cellStyle name="Style 129 4 3 2" xfId="18350" xr:uid="{AC35CDD8-3946-4DD5-BA3A-2F79D7E11BE9}"/>
    <cellStyle name="Style 129 5" xfId="831" xr:uid="{45C71A38-2569-4560-80BB-CD7C34761327}"/>
    <cellStyle name="Style 129 6" xfId="832" xr:uid="{B4781CFD-6DFB-47E1-9053-B860313DDCC7}"/>
    <cellStyle name="Style 129 6 3 2" xfId="22512" xr:uid="{EA97168E-57BE-4988-A894-29D5D529B306}"/>
    <cellStyle name="Style 129 7 2 2" xfId="19435" xr:uid="{276D7FB5-BC08-4E0F-AE2D-E15DB242DF81}"/>
    <cellStyle name="Style 129 7 4" xfId="18351" xr:uid="{84061653-7C41-437A-BC44-E87EEEDFE316}"/>
    <cellStyle name="Style 129 8 2" xfId="19436" xr:uid="{135D0709-67A4-4D97-A460-570FE37BB373}"/>
    <cellStyle name="Style 129 9 2" xfId="21211" xr:uid="{CD59561B-AE40-4782-8129-C47BD57A535C}"/>
    <cellStyle name="Style 130" xfId="833" xr:uid="{78A2FAA1-2DBC-45CC-A316-F9E8390C912D}"/>
    <cellStyle name="Style 130 10 2" xfId="834" xr:uid="{C4B2F868-E35A-4F38-AB11-B79966442CED}"/>
    <cellStyle name="Style 130 10 2 2 2" xfId="21711" xr:uid="{7C7622FD-5CCB-4A92-BEE9-FB9784C288CF}"/>
    <cellStyle name="Style 130 10 3" xfId="2712" xr:uid="{C2401078-37D7-40E3-AF00-E65ACB6C7658}"/>
    <cellStyle name="Style 130 10 4" xfId="18353" xr:uid="{A5EFA1F8-7EFD-4B0E-980E-B87038F78E00}"/>
    <cellStyle name="Style 130 11 2" xfId="835" xr:uid="{6CCE8D29-09BA-49D0-907A-D755C82AD660}"/>
    <cellStyle name="Style 130 11 2 2 2" xfId="21712" xr:uid="{B8D418D4-4C56-4240-9668-D37D933C0F75}"/>
    <cellStyle name="Style 130 11 3" xfId="3676" xr:uid="{E8F86C7E-6604-40BC-990C-2709C8687A50}"/>
    <cellStyle name="Style 130 11 4" xfId="18354" xr:uid="{90AD548A-EAF3-42B5-895D-A7C9D0E333B7}"/>
    <cellStyle name="Style 130 12 2" xfId="3677" xr:uid="{7E021DE4-A5D3-4D07-841D-1B2A5FEABA0C}"/>
    <cellStyle name="Style 130 12 3" xfId="6177" xr:uid="{EBA116E3-DB05-45BB-81A4-7DE733EE5F8D}"/>
    <cellStyle name="Style 130 12 4" xfId="6178" xr:uid="{7057D618-4FFA-4708-BCEB-675365FA103D}"/>
    <cellStyle name="Style 130 12 5" xfId="6179" xr:uid="{74C1AC49-F550-43C5-AC39-E606B9B020B0}"/>
    <cellStyle name="Style 130 12 6" xfId="6180" xr:uid="{341AD886-AE0D-4905-B582-886AD0DA53BC}"/>
    <cellStyle name="Style 130 12 6 2" xfId="22999" xr:uid="{15CE6B22-1701-47ED-B1F2-AFC4DD010CFE}"/>
    <cellStyle name="Style 130 12 7" xfId="19437" xr:uid="{B6232690-0004-4BBC-BB58-00471433BB63}"/>
    <cellStyle name="Style 130 13" xfId="6181" xr:uid="{0ADCD685-9C0C-48F3-8174-6119407B3BB4}"/>
    <cellStyle name="Style 130 13 2" xfId="6182" xr:uid="{DD483D00-498B-4AAB-881B-377C9F7E033E}"/>
    <cellStyle name="Style 130 13 2 2" xfId="23000" xr:uid="{31826679-9D7C-4D71-9912-F6B2A12359B3}"/>
    <cellStyle name="Style 130 13 3" xfId="6183" xr:uid="{528D5A22-CC01-4D09-926F-F8D39281F226}"/>
    <cellStyle name="Style 130 13 3 2" xfId="23001" xr:uid="{366F34ED-4ADE-4F97-916E-43B5A07FB5A2}"/>
    <cellStyle name="Style 130 13 4" xfId="21212" xr:uid="{0BA0AC0A-E0B0-4DDA-AD31-A0E0F58DF676}"/>
    <cellStyle name="Style 130 14" xfId="6184" xr:uid="{59442BB0-6045-4D6C-9A73-F5D4E3C6148B}"/>
    <cellStyle name="Style 130 14 2" xfId="6185" xr:uid="{1020C3EA-1B24-4A4F-A2D0-F6D3EC5569D8}"/>
    <cellStyle name="Style 130 14 2 2" xfId="23003" xr:uid="{8DFFF569-489F-452B-A359-5FDEC2D54991}"/>
    <cellStyle name="Style 130 14 3" xfId="23002" xr:uid="{CFB38BF3-A542-44F0-B117-A8CDC9868571}"/>
    <cellStyle name="Style 130 15" xfId="6186" xr:uid="{DAE8668F-2474-4F88-9898-9B09DBDB8214}"/>
    <cellStyle name="Style 130 15 2" xfId="6187" xr:uid="{736EB575-A7D1-43F3-BA02-B3DA030325B9}"/>
    <cellStyle name="Style 130 15 2 2" xfId="23005" xr:uid="{40F76DA2-1477-4720-9024-B75535117181}"/>
    <cellStyle name="Style 130 15 3" xfId="23004" xr:uid="{DE7CEBE8-115F-48FA-A89F-40960292A7DE}"/>
    <cellStyle name="Style 130 16" xfId="18352" xr:uid="{CB3E938F-4DC2-402C-ACC6-6B25F88AE0D9}"/>
    <cellStyle name="Style 130 2" xfId="836" xr:uid="{A8478047-B167-4BC8-B869-4701306D1C90}"/>
    <cellStyle name="Style 130 2 2" xfId="2908" xr:uid="{C0351784-E769-4B7E-BE61-A9208A1CAE10}"/>
    <cellStyle name="Style 130 2 2 2" xfId="21213" xr:uid="{F92B2CBF-56CA-4C92-B97C-EC823A3088D0}"/>
    <cellStyle name="Style 130 2 3" xfId="18355" xr:uid="{CC19DDC5-75FB-4700-A664-6E01310F813A}"/>
    <cellStyle name="Style 130 3" xfId="837" xr:uid="{1F964D93-F1BB-47F1-96C4-9CEF3F31DF5E}"/>
    <cellStyle name="Style 130 3 2" xfId="838" xr:uid="{B1B51A0E-B63E-44A3-BA87-D1690F78C535}"/>
    <cellStyle name="Style 130 3 2 2" xfId="839" xr:uid="{618FE147-32D6-4E4B-94E1-139767952A16}"/>
    <cellStyle name="Style 130 3 2 2 2" xfId="3678" xr:uid="{6BB7764F-52AB-4443-98DA-F5EA522E35D0}"/>
    <cellStyle name="Style 130 3 2 2 2 2" xfId="21713" xr:uid="{6387D395-A65C-4EA6-8CCB-04FF4637F121}"/>
    <cellStyle name="Style 130 3 2 2 3" xfId="18358" xr:uid="{B9445298-C28C-4F13-B01C-3F1EA3EE1BB4}"/>
    <cellStyle name="Style 130 3 2 3" xfId="2910" xr:uid="{F6FBE4D1-8704-4BB3-BB35-88BC97805201}"/>
    <cellStyle name="Style 130 3 2 3 2" xfId="21215" xr:uid="{1A92BD68-B286-4C47-A955-5B1571BF3140}"/>
    <cellStyle name="Style 130 3 2 4" xfId="18357" xr:uid="{8B5DD756-A544-4830-AB76-3AB72FF1003D}"/>
    <cellStyle name="Style 130 3 3" xfId="840" xr:uid="{DE23F7A9-42D8-459D-9CE3-95B60C12672C}"/>
    <cellStyle name="Style 130 3 3 2" xfId="841" xr:uid="{4A7A4110-CFD3-43C0-9FD7-2C73A0576BD8}"/>
    <cellStyle name="Style 130 3 3 2 2" xfId="3680" xr:uid="{CB907CFC-B985-4C8F-99F9-341C4F3A039C}"/>
    <cellStyle name="Style 130 3 3 2 2 2" xfId="21715" xr:uid="{056446D5-5521-46F9-95E2-2AD4856041C7}"/>
    <cellStyle name="Style 130 3 3 2 3" xfId="18360" xr:uid="{865EAA00-72FD-4ACB-AB67-5CC44F1822C2}"/>
    <cellStyle name="Style 130 3 3 3" xfId="842" xr:uid="{D5BA178B-0FBC-4E21-B233-2B3BDC322C46}"/>
    <cellStyle name="Style 130 3 3 3 2" xfId="843" xr:uid="{5FA9A70C-7246-4372-9426-BC8855AD95BC}"/>
    <cellStyle name="Style 130 3 3 3 2 2" xfId="3682" xr:uid="{470A85E2-2FEB-48DE-AE48-1DEC9A10D6D5}"/>
    <cellStyle name="Style 130 3 3 3 2 2 2" xfId="21717" xr:uid="{3399DBBB-B753-4EF2-9001-18DC58D6882F}"/>
    <cellStyle name="Style 130 3 3 3 2 3" xfId="18362" xr:uid="{A731A4E7-D390-491D-9D31-189BFD0F37D2}"/>
    <cellStyle name="Style 130 3 3 3 3" xfId="3683" xr:uid="{1DEDF7E7-34BB-4BC6-B77E-87762B895566}"/>
    <cellStyle name="Style 130 3 3 3 3 2" xfId="18363" xr:uid="{596B4A3A-E674-42AB-A0D0-8A67D1668E73}"/>
    <cellStyle name="Style 130 3 3 3 4" xfId="3684" xr:uid="{216578DE-1E37-4404-9DE2-88AC68F54F53}"/>
    <cellStyle name="Style 130 3 3 3 4 2" xfId="19438" xr:uid="{DFF0AABF-4587-481E-B4FE-5DD62C77A64D}"/>
    <cellStyle name="Style 130 3 3 3 5" xfId="3681" xr:uid="{7535237C-E0D2-4300-A886-49F8085729A6}"/>
    <cellStyle name="Style 130 3 3 3 5 2" xfId="21716" xr:uid="{221308F9-5517-4F43-B7EF-5F02F96C5F80}"/>
    <cellStyle name="Style 130 3 3 3 6" xfId="18361" xr:uid="{74BE976C-E636-429D-BEAB-B2897F778F27}"/>
    <cellStyle name="Style 130 3 3 4" xfId="844" xr:uid="{E4187D56-4CC4-44C2-9D16-281F4F55A853}"/>
    <cellStyle name="Style 130 3 3 4 2" xfId="845" xr:uid="{7FCDBBFE-254C-4134-BC29-B892237CA019}"/>
    <cellStyle name="Style 130 3 3 4 2 2" xfId="3686" xr:uid="{9D772F00-E7A5-4E83-9552-03881C4C56EB}"/>
    <cellStyle name="Style 130 3 3 4 2 2 2" xfId="21719" xr:uid="{E02FF310-9E0F-4B79-A912-8A38C3B8781C}"/>
    <cellStyle name="Style 130 3 3 4 2 3" xfId="18365" xr:uid="{0EA6C710-75CB-4BEB-B1B8-174010DC8C60}"/>
    <cellStyle name="Style 130 3 3 4 3" xfId="3685" xr:uid="{0212A8EC-CA56-4D31-930A-8EE238ECE62E}"/>
    <cellStyle name="Style 130 3 3 4 3 2" xfId="21718" xr:uid="{72B5B2AE-73B6-4377-B934-DFE7DBDEF23A}"/>
    <cellStyle name="Style 130 3 3 4 4" xfId="18364" xr:uid="{7465A639-6EFC-4AF7-BE89-0A603D445C0E}"/>
    <cellStyle name="Style 130 3 3 5" xfId="3687" xr:uid="{F6813FC2-4ACD-4492-9760-B6523723108E}"/>
    <cellStyle name="Style 130 3 3 5 2" xfId="19439" xr:uid="{BD6CA9ED-89CB-4237-BDB3-7AC6EEA5A9EC}"/>
    <cellStyle name="Style 130 3 3 6" xfId="3679" xr:uid="{1EDE8CB9-5346-44DB-904D-3997271D90FB}"/>
    <cellStyle name="Style 130 3 3 6 2" xfId="21714" xr:uid="{E97CE364-14C6-4D97-981D-EF502098B4CF}"/>
    <cellStyle name="Style 130 3 3 7" xfId="18359" xr:uid="{B3654EB9-8F13-48A0-A5D5-84B85CFF1987}"/>
    <cellStyle name="Style 130 3 4" xfId="846" xr:uid="{66E86845-10B0-4390-8FBE-039BFDD7AD46}"/>
    <cellStyle name="Style 130 3 4 2" xfId="3689" xr:uid="{52C8E23A-BD43-4BEC-9B0D-78733BD73384}"/>
    <cellStyle name="Style 130 3 4 2 2" xfId="18367" xr:uid="{A2685B7C-FCDD-4B70-832F-14591EBA9222}"/>
    <cellStyle name="Style 130 3 4 3" xfId="3690" xr:uid="{AB223690-6E1E-4A47-946C-F703DE88B267}"/>
    <cellStyle name="Style 130 3 4 3 2" xfId="19440" xr:uid="{FF1125E7-8AB9-4289-9B7E-A728950438AE}"/>
    <cellStyle name="Style 130 3 4 4" xfId="3688" xr:uid="{975276EC-BAEF-4D80-BB2A-6B41AD58148D}"/>
    <cellStyle name="Style 130 3 4 4 2" xfId="21720" xr:uid="{B2BFAFA9-97DE-432E-9E64-ABAB985DAC62}"/>
    <cellStyle name="Style 130 3 4 5" xfId="18366" xr:uid="{A2250B3C-2B90-48E5-9E37-D19F8EE03E90}"/>
    <cellStyle name="Style 130 3 5" xfId="3691" xr:uid="{BFD2DAAC-0515-49C5-828B-6893755AC332}"/>
    <cellStyle name="Style 130 3 5 2" xfId="6188" xr:uid="{47F0C986-49C4-4463-A0D8-B350E2BEA425}"/>
    <cellStyle name="Style 130 3 5 2 2" xfId="21721" xr:uid="{D7A06ECB-1EA4-439B-AFF5-D27469665549}"/>
    <cellStyle name="Style 130 3 5 3" xfId="18368" xr:uid="{820B0F8D-6BD0-4325-8BC7-830401C71F8B}"/>
    <cellStyle name="Style 130 3 6" xfId="2909" xr:uid="{1AFCBFF4-566B-489D-9D9C-077D4B539802}"/>
    <cellStyle name="Style 130 3 6 2" xfId="21214" xr:uid="{5A7E4D03-6333-4A2E-B678-1CA31C7A4870}"/>
    <cellStyle name="Style 130 3 7" xfId="18356" xr:uid="{0ED75FC5-F635-498C-B586-EAF009892EFC}"/>
    <cellStyle name="Style 130 4" xfId="847" xr:uid="{54FCC629-BE09-41CE-AC66-9A0885B2CCD0}"/>
    <cellStyle name="Style 130 4 2" xfId="848" xr:uid="{8FA6378B-9209-41B2-A6C4-0AB7CF164AB4}"/>
    <cellStyle name="Style 130 4 2 2" xfId="849" xr:uid="{466CF2D2-387B-4B2A-A4AD-C6FF8DE4A2C1}"/>
    <cellStyle name="Style 130 4 2 2 2" xfId="3694" xr:uid="{EB8DEFDE-20BF-41FC-A42F-0DD13AD2CA41}"/>
    <cellStyle name="Style 130 4 2 2 2 2" xfId="21723" xr:uid="{8316D6CD-6AE0-4175-B6C1-74356297A100}"/>
    <cellStyle name="Style 130 4 2 2 3" xfId="18371" xr:uid="{CEA21C11-4C96-4BEB-86DE-25D180C5C3DF}"/>
    <cellStyle name="Style 130 4 2 3" xfId="850" xr:uid="{BC1E81B3-6FE3-4B45-8130-8174B57DDD34}"/>
    <cellStyle name="Style 130 4 2 3 2" xfId="851" xr:uid="{4F9E1220-29DF-493E-B399-0A491AF76293}"/>
    <cellStyle name="Style 130 4 2 3 2 2" xfId="3696" xr:uid="{48C85786-AD7C-4A0D-B91E-C45040F3B7AC}"/>
    <cellStyle name="Style 130 4 2 3 2 2 2" xfId="21725" xr:uid="{229FD846-103F-4DB4-8DCA-682B2703194E}"/>
    <cellStyle name="Style 130 4 2 3 2 3" xfId="18373" xr:uid="{4875D579-7ED9-4A10-ADDD-BE3DA6A26A16}"/>
    <cellStyle name="Style 130 4 2 3 3" xfId="3697" xr:uid="{7EF3AEA6-FB23-4F7A-A78A-BE4EEB23376E}"/>
    <cellStyle name="Style 130 4 2 3 3 2" xfId="18374" xr:uid="{14404FB0-1AF1-42E7-9D6F-9B64CECCDBA5}"/>
    <cellStyle name="Style 130 4 2 3 4" xfId="3698" xr:uid="{DFE727A8-7E74-45F3-9F46-9A53102F53FC}"/>
    <cellStyle name="Style 130 4 2 3 4 2" xfId="19441" xr:uid="{FAD9A648-11E1-40DF-98D5-814A04755957}"/>
    <cellStyle name="Style 130 4 2 3 5" xfId="3695" xr:uid="{1CFC6113-B3C2-4722-A31E-BC1B6392E503}"/>
    <cellStyle name="Style 130 4 2 3 5 2" xfId="21724" xr:uid="{9756416A-B48B-454B-A61D-CD085BE65F59}"/>
    <cellStyle name="Style 130 4 2 3 6" xfId="18372" xr:uid="{5C298D48-C1B3-44FB-9BFD-FD4935A249CF}"/>
    <cellStyle name="Style 130 4 2 4" xfId="852" xr:uid="{D75600F2-99A5-4B07-9042-70488BDE125B}"/>
    <cellStyle name="Style 130 4 2 4 2" xfId="853" xr:uid="{A8F1749E-AA72-4F12-B9A7-E7618B2A68E6}"/>
    <cellStyle name="Style 130 4 2 4 2 2" xfId="3700" xr:uid="{D529ECBE-80B8-4D46-94AD-21A1C56C9792}"/>
    <cellStyle name="Style 130 4 2 4 2 2 2" xfId="21727" xr:uid="{CD745EDB-B831-4AED-BF14-91C6D0389972}"/>
    <cellStyle name="Style 130 4 2 4 2 3" xfId="18376" xr:uid="{D47DF866-C65A-4A01-8ED8-B8900FFD8C68}"/>
    <cellStyle name="Style 130 4 2 4 3" xfId="3699" xr:uid="{66609B0A-9409-429E-9476-CF8FB1A4F9FF}"/>
    <cellStyle name="Style 130 4 2 4 3 2" xfId="21726" xr:uid="{37E34AF3-B226-4842-988A-DD894FF0401C}"/>
    <cellStyle name="Style 130 4 2 4 4" xfId="18375" xr:uid="{E478F04E-F333-4DE9-919A-121CF5C03CA0}"/>
    <cellStyle name="Style 130 4 2 5" xfId="3701" xr:uid="{F470B321-28D1-4FA2-92A3-2693D4D1030C}"/>
    <cellStyle name="Style 130 4 2 5 2" xfId="19442" xr:uid="{03ED105E-66A7-4858-BED9-1F7BF77C9935}"/>
    <cellStyle name="Style 130 4 2 6" xfId="3693" xr:uid="{A7127402-4FBB-4968-9EC7-478BC67E5A36}"/>
    <cellStyle name="Style 130 4 2 6 2" xfId="21722" xr:uid="{5EF0A482-954F-4363-9953-0D922F83AB40}"/>
    <cellStyle name="Style 130 4 2 7" xfId="18370" xr:uid="{002A25C3-9AED-4B64-8B59-1CC81CB9D11E}"/>
    <cellStyle name="Style 130 4 3" xfId="854" xr:uid="{035700DF-7A54-4C72-9971-6838B0131553}"/>
    <cellStyle name="Style 130 4 3 2" xfId="3702" xr:uid="{AA5AFA2E-ABF0-43AC-99F2-57F6271D90D3}"/>
    <cellStyle name="Style 130 4 3 2 2" xfId="21728" xr:uid="{7001B730-5913-4C0E-9BEA-10CE0DBC4248}"/>
    <cellStyle name="Style 130 4 3 3" xfId="18377" xr:uid="{FD636E30-E8FD-4134-9547-E984BE2A7283}"/>
    <cellStyle name="Style 130 4 4" xfId="3703" xr:uid="{245AD71D-0CE0-4656-A426-E86756698B57}"/>
    <cellStyle name="Style 130 4 4 2" xfId="3704" xr:uid="{5556CD65-F8B6-4BB6-892B-37ED16934D66}"/>
    <cellStyle name="Style 130 4 4 2 2" xfId="19443" xr:uid="{DB8FB5EF-E76B-4540-B9BD-F2AFD584A0C8}"/>
    <cellStyle name="Style 130 4 4 3" xfId="18378" xr:uid="{264835D2-EE01-4935-B8D9-AE9E900DFE2D}"/>
    <cellStyle name="Style 130 4 5" xfId="3692" xr:uid="{73FD3FC0-5AA6-4933-8524-FB9FB5DC52D4}"/>
    <cellStyle name="Style 130 4 5 2" xfId="20642" xr:uid="{D8ADDF60-0ECE-4238-95A3-3E04EE6E3266}"/>
    <cellStyle name="Style 130 4 6" xfId="2911" xr:uid="{6A750650-F7F1-4EB1-AECC-4D2912C05B42}"/>
    <cellStyle name="Style 130 4 6 2" xfId="21216" xr:uid="{897BEF27-00AB-4936-A11C-D61E48371E5A}"/>
    <cellStyle name="Style 130 4 7" xfId="18369" xr:uid="{DF3499A3-BFD2-4C92-9D02-27764B89E757}"/>
    <cellStyle name="Style 130 5" xfId="855" xr:uid="{F2DDC1CD-951F-45A2-A18A-90AEB2102CB5}"/>
    <cellStyle name="Style 130 5 2" xfId="856" xr:uid="{B5C3BC14-3E1C-4A35-A8F0-E6CF00F171A6}"/>
    <cellStyle name="Style 130 5 2 2" xfId="857" xr:uid="{2F6DDC7C-3D6A-4511-BFE4-9299BD0F7E58}"/>
    <cellStyle name="Style 130 5 2 2 2" xfId="3707" xr:uid="{0DECA8F7-E506-4BE9-B551-480ECD0547E6}"/>
    <cellStyle name="Style 130 5 2 2 2 2" xfId="21730" xr:uid="{BB41945E-621D-4DCC-B8A4-51A95F4531BB}"/>
    <cellStyle name="Style 130 5 2 2 3" xfId="18381" xr:uid="{83300F69-58A0-4C4A-8BEF-3358E0D77C1E}"/>
    <cellStyle name="Style 130 5 2 3" xfId="858" xr:uid="{E2D9F861-7D8D-4D75-BEB6-7C904C06CA39}"/>
    <cellStyle name="Style 130 5 2 3 2" xfId="859" xr:uid="{9503F603-E70E-4B90-8EBD-C5215E9483D5}"/>
    <cellStyle name="Style 130 5 2 3 2 2" xfId="3709" xr:uid="{B3ED0111-4147-467C-A68D-48E65864DC29}"/>
    <cellStyle name="Style 130 5 2 3 2 2 2" xfId="21732" xr:uid="{7106BF2C-8159-4DEF-AC2A-5FB064B65C89}"/>
    <cellStyle name="Style 130 5 2 3 2 3" xfId="18383" xr:uid="{746613C9-092F-4D32-AA62-C48B3EAD933F}"/>
    <cellStyle name="Style 130 5 2 3 3" xfId="3710" xr:uid="{27A4D346-C76F-485D-853B-FE9AEF132FAF}"/>
    <cellStyle name="Style 130 5 2 3 3 2" xfId="18384" xr:uid="{D3DC3423-8A3A-4CBE-A5E9-3A409F8C90B2}"/>
    <cellStyle name="Style 130 5 2 3 4" xfId="3711" xr:uid="{03A3E540-67E4-4ED4-8F8A-445E39D35209}"/>
    <cellStyle name="Style 130 5 2 3 4 2" xfId="19444" xr:uid="{43CF34BC-C895-47BC-A967-D8B3170E4E6E}"/>
    <cellStyle name="Style 130 5 2 3 5" xfId="3708" xr:uid="{7D9890D1-257E-4718-BB46-7F5575374FAF}"/>
    <cellStyle name="Style 130 5 2 3 5 2" xfId="21731" xr:uid="{8490A85A-73F2-4D04-84F8-5E5C954CBBF1}"/>
    <cellStyle name="Style 130 5 2 3 6" xfId="18382" xr:uid="{B6D40F4C-A8E8-42A4-856B-4B0D017D6D2F}"/>
    <cellStyle name="Style 130 5 2 4" xfId="860" xr:uid="{17C5D8F8-85EE-4094-AF17-7CC8A62A1EEF}"/>
    <cellStyle name="Style 130 5 2 4 2" xfId="861" xr:uid="{F3C78C3F-4FA1-45DB-AE7F-76E717F9770B}"/>
    <cellStyle name="Style 130 5 2 4 2 2" xfId="3713" xr:uid="{76907DEE-CA16-4AD6-B9A6-81C885E425DF}"/>
    <cellStyle name="Style 130 5 2 4 2 2 2" xfId="21734" xr:uid="{7B59DD9F-0B43-4ACD-8115-1416430B2914}"/>
    <cellStyle name="Style 130 5 2 4 2 3" xfId="18386" xr:uid="{6828B33C-D81F-4856-8446-037B13D96B75}"/>
    <cellStyle name="Style 130 5 2 4 3" xfId="3712" xr:uid="{50AA6246-4EB7-4729-A131-EFA3403ECC58}"/>
    <cellStyle name="Style 130 5 2 4 3 2" xfId="21733" xr:uid="{D5C8B466-4846-4F36-AA51-54AFCFD5B919}"/>
    <cellStyle name="Style 130 5 2 4 4" xfId="18385" xr:uid="{18565175-027E-40FF-AFEE-4049473E3AFC}"/>
    <cellStyle name="Style 130 5 2 5" xfId="3714" xr:uid="{7A4E92AA-8734-4975-B1C4-3DE02553A47A}"/>
    <cellStyle name="Style 130 5 2 5 2" xfId="19445" xr:uid="{D614BD16-45EE-4C75-8E43-D3DD3E1AB658}"/>
    <cellStyle name="Style 130 5 2 6" xfId="3706" xr:uid="{461771DB-DC22-4B3A-84FC-FA9D3121B13E}"/>
    <cellStyle name="Style 130 5 2 6 2" xfId="21729" xr:uid="{AE4F16D8-8FE8-45CD-B02D-F305ABD05A23}"/>
    <cellStyle name="Style 130 5 2 7" xfId="18380" xr:uid="{BB9B23CA-9C24-4C2A-9C1C-2B53E8ADCB5E}"/>
    <cellStyle name="Style 130 5 3" xfId="862" xr:uid="{328CAEC7-CE81-49A7-A290-FDBD827A6573}"/>
    <cellStyle name="Style 130 5 3 2" xfId="3715" xr:uid="{41023C0C-013F-4A20-9076-47FEB74C4F31}"/>
    <cellStyle name="Style 130 5 3 2 2" xfId="21735" xr:uid="{D7CE7A45-48FF-477F-A8F1-6EA10B50FBBC}"/>
    <cellStyle name="Style 130 5 3 3" xfId="18387" xr:uid="{A131478C-3BF5-446C-A5E3-B61D4B26E45A}"/>
    <cellStyle name="Style 130 5 4" xfId="3716" xr:uid="{D74F601C-BE32-4BAA-B41C-CF0AF8FF2C80}"/>
    <cellStyle name="Style 130 5 4 2" xfId="3717" xr:uid="{4A511A57-8B7D-4E78-8948-DE1E0A88E597}"/>
    <cellStyle name="Style 130 5 4 2 2" xfId="19446" xr:uid="{0DB894E9-D695-492B-8256-7045675D6337}"/>
    <cellStyle name="Style 130 5 4 3" xfId="18388" xr:uid="{7A3A933B-89FD-4412-BFAF-BC13A01DE725}"/>
    <cellStyle name="Style 130 5 5" xfId="3705" xr:uid="{86025D6D-3495-423C-93AD-CA5DFC1DFF59}"/>
    <cellStyle name="Style 130 5 5 2" xfId="20643" xr:uid="{ACC708E7-4D04-42B2-AB82-EE7EB6DE5E29}"/>
    <cellStyle name="Style 130 5 6" xfId="2912" xr:uid="{3746AD0E-E813-4357-83F4-F18BA3F9241C}"/>
    <cellStyle name="Style 130 5 6 2" xfId="21217" xr:uid="{36E268C0-7A9E-4411-911E-8874E7BF1F6B}"/>
    <cellStyle name="Style 130 5 7" xfId="18379" xr:uid="{EF4FE238-2ACB-4A2A-911C-A640405D490B}"/>
    <cellStyle name="Style 130 6" xfId="863" xr:uid="{286E6EA1-A061-46C3-8772-23D362E33655}"/>
    <cellStyle name="Style 130 6 2" xfId="864" xr:uid="{F2F5E3D2-839F-45E0-80BD-5CD98C9A6417}"/>
    <cellStyle name="Style 130 6 2 2" xfId="3719" xr:uid="{14C27812-CE77-40BC-B3C8-A54D61D195CF}"/>
    <cellStyle name="Style 130 6 2 2 2" xfId="21737" xr:uid="{743FCF7A-9211-4C69-A18C-1A0925DFE79F}"/>
    <cellStyle name="Style 130 6 2 3" xfId="18390" xr:uid="{5B48E44B-DADD-4B49-8FC5-4B43E9A974BD}"/>
    <cellStyle name="Style 130 6 3" xfId="865" xr:uid="{2B2412AA-0868-4D2A-9339-7AB481EE0737}"/>
    <cellStyle name="Style 130 6 3 2" xfId="866" xr:uid="{FCA9B1CF-9DB1-412B-815E-39774CB4C978}"/>
    <cellStyle name="Style 130 6 3 2 2" xfId="3721" xr:uid="{56CDBB6B-5BE8-4DFF-BBA1-8A0AB2FC64AF}"/>
    <cellStyle name="Style 130 6 3 2 2 2" xfId="21739" xr:uid="{677385AD-2F7C-402E-BDE9-331E5D98A33A}"/>
    <cellStyle name="Style 130 6 3 2 3" xfId="18392" xr:uid="{12E7CAA8-B171-4582-9F0E-63B423488ADA}"/>
    <cellStyle name="Style 130 6 3 3" xfId="3722" xr:uid="{2B6D71B0-EE9A-46DB-975D-F6371A4D958A}"/>
    <cellStyle name="Style 130 6 3 3 2" xfId="18393" xr:uid="{63BC3158-39B5-460C-A6FD-6D1A4509E363}"/>
    <cellStyle name="Style 130 6 3 4" xfId="3723" xr:uid="{D5289E6C-B9F2-4DFF-B36B-D664E6C3692F}"/>
    <cellStyle name="Style 130 6 3 4 2" xfId="19447" xr:uid="{30D69DD6-D8FB-420A-B6F9-09A8AD0E7DC5}"/>
    <cellStyle name="Style 130 6 3 5" xfId="3720" xr:uid="{720B1B70-6CB6-42B6-BF9B-F0565B454DAA}"/>
    <cellStyle name="Style 130 6 3 5 2" xfId="21738" xr:uid="{6E64B749-8264-4596-BDCB-DFFC59F5DF88}"/>
    <cellStyle name="Style 130 6 3 6" xfId="18391" xr:uid="{CFDD0B39-8535-45F8-8DF2-DDD3C3CEAA4C}"/>
    <cellStyle name="Style 130 6 4" xfId="867" xr:uid="{5D2C05FD-2600-47EF-A9E0-A56AE2347EA8}"/>
    <cellStyle name="Style 130 6 4 2" xfId="868" xr:uid="{D83110D2-2994-40E7-83FD-53058DCC717A}"/>
    <cellStyle name="Style 130 6 4 2 2" xfId="3725" xr:uid="{DCDEA4F2-A6EE-4871-8421-E9ADAA95D3B6}"/>
    <cellStyle name="Style 130 6 4 2 2 2" xfId="21741" xr:uid="{38AB9852-3B7D-4265-AC10-9766250DED3E}"/>
    <cellStyle name="Style 130 6 4 2 3" xfId="18395" xr:uid="{D4C22811-6799-45E3-88C7-7405F7FAF21E}"/>
    <cellStyle name="Style 130 6 4 3" xfId="3724" xr:uid="{13695AF6-D41F-48B7-AC45-70C99297087E}"/>
    <cellStyle name="Style 130 6 4 3 2" xfId="21740" xr:uid="{1EEE1A16-9C7A-4D60-9DBC-34CE93A322A6}"/>
    <cellStyle name="Style 130 6 4 4" xfId="18394" xr:uid="{EB052ACA-439C-4671-AD75-EA56F6D05A9A}"/>
    <cellStyle name="Style 130 6 5" xfId="3726" xr:uid="{7E36445D-5D2A-41A6-954A-7B546716EEA3}"/>
    <cellStyle name="Style 130 6 5 2" xfId="19448" xr:uid="{A75C49E7-4775-4CB7-93E8-6DC3A0B3031E}"/>
    <cellStyle name="Style 130 6 6" xfId="3718" xr:uid="{C56CC82B-0121-4CCC-8CB6-D32B970444CD}"/>
    <cellStyle name="Style 130 6 6 2" xfId="21736" xr:uid="{6FB2391B-0AF1-4BD3-B603-535DABE379CD}"/>
    <cellStyle name="Style 130 6 7" xfId="18389" xr:uid="{52000DF0-02BB-48E4-B9C1-9D9343FBD47F}"/>
    <cellStyle name="Style 130 7" xfId="869" xr:uid="{FCB0F078-A04E-43FF-97F7-7D0CA730358A}"/>
    <cellStyle name="Style 130 7 2" xfId="870" xr:uid="{6D34E205-5F19-49B0-B6D1-2994BCC65621}"/>
    <cellStyle name="Style 130 7 2 2" xfId="3728" xr:uid="{C6945F40-E376-410A-9EBC-7DDB08327EC2}"/>
    <cellStyle name="Style 130 7 2 2 2" xfId="21743" xr:uid="{1C6F269C-689E-4CF3-B0E1-5B04A8FA51BD}"/>
    <cellStyle name="Style 130 7 2 3" xfId="18397" xr:uid="{15020BD5-66F4-4134-80C2-B98E6FDEF7F3}"/>
    <cellStyle name="Style 130 7 3" xfId="3729" xr:uid="{94E745B9-AB67-4725-8D23-62F4D72D84B1}"/>
    <cellStyle name="Style 130 7 3 2" xfId="18398" xr:uid="{2F61D158-BF94-4296-8528-83179DE25780}"/>
    <cellStyle name="Style 130 7 4" xfId="3730" xr:uid="{2CD8EED7-DD03-4CC4-ACB2-6832AC3DA091}"/>
    <cellStyle name="Style 130 7 4 2" xfId="19449" xr:uid="{D4247EFA-124C-433C-9235-CC931ED77911}"/>
    <cellStyle name="Style 130 7 5" xfId="3727" xr:uid="{5D93C3FD-1CD0-47F4-A163-578693876C1F}"/>
    <cellStyle name="Style 130 7 5 2" xfId="21742" xr:uid="{F6524B3C-BC5E-4B67-B5F5-3C6C8383022C}"/>
    <cellStyle name="Style 130 7 6" xfId="18396" xr:uid="{627FB56E-9566-48CC-BFD7-57CD28E636C1}"/>
    <cellStyle name="Style 130 8" xfId="871" xr:uid="{14FD2538-F083-4368-91A6-92F5019E0360}"/>
    <cellStyle name="Style 130 8 2" xfId="872" xr:uid="{6C28A16E-8D34-4874-AC2C-FB76252C4BDE}"/>
    <cellStyle name="Style 130 8 2 2" xfId="3732" xr:uid="{752829B3-FE7E-4257-9E6C-88A4ADA67B3A}"/>
    <cellStyle name="Style 130 8 2 2 2" xfId="21745" xr:uid="{F5D4A666-00B4-48F0-8679-D5D9901A54AD}"/>
    <cellStyle name="Style 130 8 2 3" xfId="18400" xr:uid="{7859F9B6-34BB-4676-A4FE-BDBA4B653FBB}"/>
    <cellStyle name="Style 130 8 3" xfId="3733" xr:uid="{18FEB88E-8DD4-4085-BF48-CF4D529C9E14}"/>
    <cellStyle name="Style 130 8 3 2" xfId="18401" xr:uid="{D1805FD4-335A-4974-8662-27D296E84968}"/>
    <cellStyle name="Style 130 8 4" xfId="3734" xr:uid="{A1915C92-80EA-41DA-B843-335B62378FBD}"/>
    <cellStyle name="Style 130 8 4 2" xfId="19450" xr:uid="{A4C34464-9DC5-448C-BBAF-AF92A70EB954}"/>
    <cellStyle name="Style 130 8 5" xfId="3731" xr:uid="{2448E841-AE5A-4AFE-9570-DA7C050E8088}"/>
    <cellStyle name="Style 130 8 5 2" xfId="21744" xr:uid="{C782DB5D-26AB-4780-A223-FA5087A987D6}"/>
    <cellStyle name="Style 130 8 6" xfId="18399" xr:uid="{5ED53621-441B-4430-872A-07D77F7198B1}"/>
    <cellStyle name="Style 130 9" xfId="873" xr:uid="{7E48CBB9-3260-4D88-8F4D-3D573D833DDD}"/>
    <cellStyle name="Style 130 9 2" xfId="874" xr:uid="{F9BB8366-0D30-488B-BBC5-10DECB222367}"/>
    <cellStyle name="Style 130 9 2 2" xfId="3735" xr:uid="{A77B05AD-A355-491A-B8C0-FDA065AF94C0}"/>
    <cellStyle name="Style 130 9 2 2 2" xfId="21747" xr:uid="{2C6BF85F-C89B-4E26-911E-3A5C641D676F}"/>
    <cellStyle name="Style 130 9 2 3" xfId="19451" xr:uid="{B98BFF87-58EB-43B4-95D5-929D2706F4F1}"/>
    <cellStyle name="Style 130 9 3" xfId="2713" xr:uid="{FCDD8139-25A1-4D4D-8582-2B2881F3B5B3}"/>
    <cellStyle name="Style 130 9 3 2" xfId="21746" xr:uid="{CE4F7366-38CC-438E-BE7A-B39F4875397C}"/>
    <cellStyle name="Style 130 9 4" xfId="18402" xr:uid="{BD6EE1FE-65DA-48B5-A38E-1E801D51A0E9}"/>
    <cellStyle name="Style 130_ADDON" xfId="20509" xr:uid="{CAAE51D3-330A-4527-9AB7-F4CBA403E755}"/>
    <cellStyle name="Style 131" xfId="875" xr:uid="{0719A666-1605-4CC6-A3AD-A140BDD4E853}"/>
    <cellStyle name="Style 131 2" xfId="876" xr:uid="{BD2FBA04-7634-4768-8269-5DECE5BB9051}"/>
    <cellStyle name="Style 131 2 2" xfId="877" xr:uid="{1FF41759-C2AB-4038-AF26-FD0BC9EAC7B6}"/>
    <cellStyle name="Style 131 2 2 2" xfId="878" xr:uid="{55204F94-29DD-4FAE-84BA-1F6B3D0B81F5}"/>
    <cellStyle name="Style 131 2 2 2 2" xfId="879" xr:uid="{3817D063-79DC-4513-A41D-77A9FCAC61EC}"/>
    <cellStyle name="Style 131 2 2 2 2 2" xfId="880" xr:uid="{B2E74928-E39F-452C-9CA4-373CB6135D98}"/>
    <cellStyle name="Style 131 2 2 2 2 2 2" xfId="6189" xr:uid="{165BC145-03F7-4E47-BECA-8FD2DB64AB81}"/>
    <cellStyle name="Style 131 2 2 2 2 3" xfId="6190" xr:uid="{6DD51245-1437-48D0-9CA8-BAF490798504}"/>
    <cellStyle name="Style 131 2 2 2 3" xfId="881" xr:uid="{E904DB98-C331-426B-9147-EED448122D92}"/>
    <cellStyle name="Style 131 2 2 2 3 2" xfId="6191" xr:uid="{61006E92-0455-445D-9EF6-32C29F83109C}"/>
    <cellStyle name="Style 131 2 2 2 4" xfId="6192" xr:uid="{17087D32-202B-4E16-8629-8F696D719E3A}"/>
    <cellStyle name="Style 131 2 2 3" xfId="882" xr:uid="{D91F5EBE-325D-4A80-9261-D314AD708391}"/>
    <cellStyle name="Style 131 2 2 3 2" xfId="883" xr:uid="{DF669C93-04CD-4300-A911-B43B4FBFD9D0}"/>
    <cellStyle name="Style 131 2 2 3 2 2" xfId="6193" xr:uid="{A658083C-D21E-4305-BBF8-6D78BCF6FDBC}"/>
    <cellStyle name="Style 131 2 2 3 3" xfId="6194" xr:uid="{1DFF5293-D469-47FC-A5E7-27C44B3071BB}"/>
    <cellStyle name="Style 131 2 2 4" xfId="884" xr:uid="{BE86CDE6-DF58-4475-AEE4-7085BD914991}"/>
    <cellStyle name="Style 131 2 2 4 2" xfId="6195" xr:uid="{DEE9CEDB-A928-458C-BCAE-653A99448689}"/>
    <cellStyle name="Style 131 2 2 5" xfId="6196" xr:uid="{D12A19D9-09CF-43FE-8DAC-36E0D1E83FF9}"/>
    <cellStyle name="Style 131 2 3" xfId="885" xr:uid="{90F986F7-37A0-49A1-A4B5-F6B5BC56B05E}"/>
    <cellStyle name="Style 131 2 3 2" xfId="886" xr:uid="{2D648B19-7ACE-4324-8014-F9EE3ED4BB9D}"/>
    <cellStyle name="Style 131 2 3 2 2" xfId="887" xr:uid="{94E47B01-1C97-4500-A92D-B1B4E942D06A}"/>
    <cellStyle name="Style 131 2 3 2 2 2" xfId="6197" xr:uid="{4C34B9DA-7579-4B36-82F5-0E4AB48EAB77}"/>
    <cellStyle name="Style 131 2 3 2 3" xfId="6198" xr:uid="{846388D4-5823-4A0B-AB73-8CB09F38AD43}"/>
    <cellStyle name="Style 131 2 3 3" xfId="888" xr:uid="{DBDB9926-1187-4C7B-A946-8BB85EBCE89D}"/>
    <cellStyle name="Style 131 2 3 3 2" xfId="6199" xr:uid="{E277C30C-E495-4FDD-8873-D269C9289C55}"/>
    <cellStyle name="Style 131 2 3 4" xfId="6200" xr:uid="{CC4E8A20-329D-4246-A68B-EA824A9BAE7B}"/>
    <cellStyle name="Style 131 2 4" xfId="889" xr:uid="{FAAFBE06-D4B4-498D-856A-44F93B076038}"/>
    <cellStyle name="Style 131 2 4 2" xfId="890" xr:uid="{C46FC600-62EB-4B47-92CA-D4660B23EF3F}"/>
    <cellStyle name="Style 131 2 4 2 2" xfId="6201" xr:uid="{32AB08E8-DC2E-44B7-B974-56D8BE4C49E3}"/>
    <cellStyle name="Style 131 2 4 3" xfId="6202" xr:uid="{BA5B529B-3541-441A-87A1-327FD93CC470}"/>
    <cellStyle name="Style 131 2 5" xfId="891" xr:uid="{D4D18AFB-15D9-4DA0-8DB3-DBC6C36EE35D}"/>
    <cellStyle name="Style 131 2 5 2" xfId="6203" xr:uid="{C3BE638B-EADF-4E67-902D-58F42A401BB9}"/>
    <cellStyle name="Style 131 2 6" xfId="6204" xr:uid="{44E97108-06A9-44BA-988C-52A23BDB0D63}"/>
    <cellStyle name="Style 131 3" xfId="892" xr:uid="{F4F8312C-054A-4101-A3D5-63888FC0F935}"/>
    <cellStyle name="Style 131 3 2" xfId="893" xr:uid="{489EEB7F-4873-446E-812D-4FEBE464DBDA}"/>
    <cellStyle name="Style 131 3 2 2" xfId="894" xr:uid="{4094CE28-0B6B-4C1A-9FE8-05B1FCA1FE17}"/>
    <cellStyle name="Style 131 3 2 2 2" xfId="895" xr:uid="{2F5BCE03-8159-40A3-B591-F67A7D8985F2}"/>
    <cellStyle name="Style 131 3 2 2 2 2" xfId="896" xr:uid="{1C921536-735F-46CE-86F3-072D90F46497}"/>
    <cellStyle name="Style 131 3 2 2 2 2 2" xfId="6205" xr:uid="{DE5E2A1A-C967-42C6-B2EE-240FD6B93971}"/>
    <cellStyle name="Style 131 3 2 2 2 3" xfId="6206" xr:uid="{C8689ED3-310C-46E5-9516-25BA68B3EF7E}"/>
    <cellStyle name="Style 131 3 2 2 3" xfId="897" xr:uid="{5B734DBC-DB5D-4A6D-AEC7-771A961F6EDC}"/>
    <cellStyle name="Style 131 3 2 2 3 2" xfId="6207" xr:uid="{5FC41C53-6E9A-4B97-8ACD-869D73EB5E92}"/>
    <cellStyle name="Style 131 3 2 2 4" xfId="6208" xr:uid="{5858110D-E5AF-4C63-80FB-CB39833C1535}"/>
    <cellStyle name="Style 131 3 2 3" xfId="898" xr:uid="{281CFAB9-F21C-49AB-8B47-92AE7D31A02C}"/>
    <cellStyle name="Style 131 3 2 3 2" xfId="899" xr:uid="{49AC58F5-11E6-4A2C-A36F-323AEB236D40}"/>
    <cellStyle name="Style 131 3 2 3 2 2" xfId="6209" xr:uid="{1EE18970-263D-47C8-A635-E471664BEF4B}"/>
    <cellStyle name="Style 131 3 2 3 3" xfId="6210" xr:uid="{F1B21E79-4DD6-4A94-B111-B09CAAE2D19C}"/>
    <cellStyle name="Style 131 3 2 4" xfId="900" xr:uid="{F51E58EB-9B63-48B4-8658-4FFC665A85DD}"/>
    <cellStyle name="Style 131 3 2 4 2" xfId="6211" xr:uid="{27EF8AF6-FA4A-4EDD-A215-9FF3F60B0160}"/>
    <cellStyle name="Style 131 3 2 5" xfId="6212" xr:uid="{ADD3D5ED-2526-4D13-9861-6F2C366A9614}"/>
    <cellStyle name="Style 131 3 3" xfId="901" xr:uid="{0D0B3C8A-127A-4C0B-968F-7727F4772120}"/>
    <cellStyle name="Style 131 3 3 2" xfId="902" xr:uid="{E167B3F2-EDEA-4BA1-91B8-4B5B244E72C7}"/>
    <cellStyle name="Style 131 3 3 2 2" xfId="903" xr:uid="{6E64613D-3CC6-48EE-A2AC-7AF1066BB7E4}"/>
    <cellStyle name="Style 131 3 3 2 2 2" xfId="904" xr:uid="{7A629C73-77AD-4959-AB06-3332EAE879A9}"/>
    <cellStyle name="Style 131 3 3 2 2 2 2" xfId="6213" xr:uid="{19A1335D-550D-46E2-9F72-DF3C8F701655}"/>
    <cellStyle name="Style 131 3 3 2 2 3" xfId="6214" xr:uid="{835E213D-DD1D-4FAA-B280-3FF24CDEA959}"/>
    <cellStyle name="Style 131 3 3 2 3" xfId="905" xr:uid="{FBC54775-A764-4D61-AC75-575AEE7DB34A}"/>
    <cellStyle name="Style 131 3 3 2 3 2" xfId="6215" xr:uid="{6306FB29-4690-4889-A555-CAB863BF5DBD}"/>
    <cellStyle name="Style 131 3 3 2 4" xfId="6216" xr:uid="{32B979D5-D1EA-4760-95F5-9A10D5AE80A8}"/>
    <cellStyle name="Style 131 3 3 3" xfId="906" xr:uid="{862F6AB9-DA72-41A4-9077-63FC9FE6BC9E}"/>
    <cellStyle name="Style 131 3 3 3 2" xfId="6217" xr:uid="{F92D7A9D-EE78-4E4F-81D9-D9C20041FC39}"/>
    <cellStyle name="Style 131 3 3 4" xfId="3736" xr:uid="{A98FB567-2C5A-4A7D-B0B5-B60E893133F5}"/>
    <cellStyle name="Style 131 3 3 5" xfId="6218" xr:uid="{497E1B84-B0E4-4C17-BE2E-4A220962CD65}"/>
    <cellStyle name="Style 131 3 4" xfId="907" xr:uid="{A61E7418-E4DE-4327-A4E6-0EA75703F1A5}"/>
    <cellStyle name="Style 131 3 4 2" xfId="908" xr:uid="{D6DBAD3D-51EA-4EE4-9926-0DF5C973FA79}"/>
    <cellStyle name="Style 131 3 4 2 2" xfId="6219" xr:uid="{04E81FD8-63AE-4B9E-91BD-34AB567E00F9}"/>
    <cellStyle name="Style 131 3 4 3" xfId="6220" xr:uid="{1A1E2DF6-7A86-4291-810F-5FD1B443C1FB}"/>
    <cellStyle name="Style 131 3 5" xfId="909" xr:uid="{9F6DBC31-9320-4DCC-91E5-1398BB7D36F6}"/>
    <cellStyle name="Style 131 3 5 2" xfId="6221" xr:uid="{BCCC8584-0D66-4FAD-9892-16A9984A6684}"/>
    <cellStyle name="Style 131 3 6" xfId="6222" xr:uid="{FC2797C4-2DA3-45C8-A1AE-EF3FBE7CABAA}"/>
    <cellStyle name="Style 131 4" xfId="910" xr:uid="{D17CFF5B-5EA0-4914-B99D-717B2716BA89}"/>
    <cellStyle name="Style 131 4 2" xfId="911" xr:uid="{4393CE37-BF7B-4080-9A56-CFFE215E9414}"/>
    <cellStyle name="Style 131 4 2 2" xfId="912" xr:uid="{772AEEC3-B175-4EB6-B60C-1E77321EF421}"/>
    <cellStyle name="Style 131 4 2 2 2" xfId="913" xr:uid="{A88DF012-6922-48D6-B97D-6EDCA9A47BF7}"/>
    <cellStyle name="Style 131 4 2 2 2 2" xfId="6223" xr:uid="{FBF318E3-0BE5-4042-8A8A-7789EDC3D3FF}"/>
    <cellStyle name="Style 131 4 2 2 3" xfId="6224" xr:uid="{59324882-ACDF-4B97-8B64-86C2319E25E6}"/>
    <cellStyle name="Style 131 4 2 3" xfId="914" xr:uid="{484F124F-7465-41DD-954F-B7D65950100E}"/>
    <cellStyle name="Style 131 4 2 3 2" xfId="6225" xr:uid="{03A19FFF-A285-4A80-9D88-27453EED3FE2}"/>
    <cellStyle name="Style 131 4 2 4" xfId="6226" xr:uid="{FA179BA1-9A4C-45F9-BEA0-9F3BEA848020}"/>
    <cellStyle name="Style 131 4 3" xfId="915" xr:uid="{5E01C4F4-2A1C-4C8F-80F1-3F126FF74CEE}"/>
    <cellStyle name="Style 131 4 3 2" xfId="6227" xr:uid="{6D06F5CE-3487-457A-BB5D-0040E99BF8ED}"/>
    <cellStyle name="Style 131 4 4" xfId="3737" xr:uid="{21E3C79F-4098-433F-B37B-7A1813DD7832}"/>
    <cellStyle name="Style 131 4 5" xfId="6228" xr:uid="{B41B2F80-D85D-41B0-AFF0-77A97D566A7E}"/>
    <cellStyle name="Style 131 5" xfId="916" xr:uid="{AB6269CB-07B0-4691-BA85-4D0BB0708E70}"/>
    <cellStyle name="Style 131 5 2" xfId="917" xr:uid="{0AE82816-7F5E-42D8-8ADF-0D222F381BA4}"/>
    <cellStyle name="Style 131 5 2 2" xfId="6229" xr:uid="{F8961BC7-6B89-4864-AFCB-100AF096D77F}"/>
    <cellStyle name="Style 131 5 3" xfId="6230" xr:uid="{A15855B3-8340-4E78-8650-16E1B77A9FD8}"/>
    <cellStyle name="Style 131 6" xfId="918" xr:uid="{32140028-3F57-4E83-BD48-D5A04F9438C5}"/>
    <cellStyle name="Style 131 6 2" xfId="2715" xr:uid="{B0E5D480-5236-4EE7-B958-627CA5138280}"/>
    <cellStyle name="Style 131 6 2 2" xfId="3738" xr:uid="{D6D9979A-595B-4758-B269-824C4B075659}"/>
    <cellStyle name="Style 131 6 3" xfId="6231" xr:uid="{5D0A3B2C-716F-40FA-BB20-F0DE5C066570}"/>
    <cellStyle name="Style 131 7" xfId="2714" xr:uid="{32C01381-8884-4429-B9B6-89AB9899A6BF}"/>
    <cellStyle name="Style 131 7 2" xfId="3740" xr:uid="{516B8EDD-92FE-4412-9CFB-180ABDBA3873}"/>
    <cellStyle name="Style 131 7 3" xfId="3739" xr:uid="{FF868D3A-78AB-4898-8929-4F3C012163B5}"/>
    <cellStyle name="Style 131 8" xfId="3741" xr:uid="{70209716-C7EF-43FF-AE26-4C25E61D5D15}"/>
    <cellStyle name="Style 131 9" xfId="6232" xr:uid="{6D4CEFD6-6B53-4B47-8549-ED4AFB0FC510}"/>
    <cellStyle name="Style 131 9 2" xfId="21218" xr:uid="{7707A3D6-868C-42C9-9973-1A31D7918C1B}"/>
    <cellStyle name="Style 131_ADDON" xfId="20510" xr:uid="{2CF367DF-B133-41A1-9E32-3836B3DA69A7}"/>
    <cellStyle name="Style 132" xfId="919" xr:uid="{DF618CA5-1A9B-470E-ACD5-877553E1D02D}"/>
    <cellStyle name="Style 132 2" xfId="920" xr:uid="{2AA7EBA2-9772-4A12-B776-DF6591D5B5EB}"/>
    <cellStyle name="Style 132 2 2" xfId="921" xr:uid="{533B1038-7BD1-465F-98BA-9D580FCBE0FB}"/>
    <cellStyle name="Style 132 2 2 2" xfId="922" xr:uid="{4D24ABDE-82E2-4734-83D1-A4C9A44B321F}"/>
    <cellStyle name="Style 132 2 2 2 2" xfId="923" xr:uid="{46E04AE4-4D64-4020-846B-AEFA00A33417}"/>
    <cellStyle name="Style 132 2 2 2 2 2" xfId="924" xr:uid="{1CFA398B-FB93-46B3-AA4C-BBC4C037EEF0}"/>
    <cellStyle name="Style 132 2 2 2 2 2 2" xfId="6233" xr:uid="{DDBFB449-EE5D-4F59-881F-00FBE6F85AA0}"/>
    <cellStyle name="Style 132 2 2 2 2 3" xfId="6234" xr:uid="{731B351C-9E11-479F-8351-1146731EDDBC}"/>
    <cellStyle name="Style 132 2 2 2 3" xfId="925" xr:uid="{147DBF30-BA80-4FCA-9725-CF46C1125D09}"/>
    <cellStyle name="Style 132 2 2 2 3 2" xfId="6235" xr:uid="{724776C3-9804-4858-88DD-EE37F9EC4628}"/>
    <cellStyle name="Style 132 2 2 2 4" xfId="6236" xr:uid="{3C3F608A-C960-434E-89CD-96B61921856D}"/>
    <cellStyle name="Style 132 2 2 3" xfId="926" xr:uid="{6E5C661C-ED35-43D1-8A77-BC6E7842107D}"/>
    <cellStyle name="Style 132 2 2 3 2" xfId="927" xr:uid="{459847CC-E1CE-4491-954C-26284F1B0A56}"/>
    <cellStyle name="Style 132 2 2 3 2 2" xfId="6237" xr:uid="{D6F97871-E705-41A0-9D98-75815537A67D}"/>
    <cellStyle name="Style 132 2 2 3 3" xfId="6238" xr:uid="{2745220D-540F-4949-A46A-DBDCC097066B}"/>
    <cellStyle name="Style 132 2 2 4" xfId="928" xr:uid="{26648760-113D-4F66-8345-7CAF27A07CC7}"/>
    <cellStyle name="Style 132 2 2 4 2" xfId="6239" xr:uid="{690935D0-E251-4D30-9004-1C738D9CD0AA}"/>
    <cellStyle name="Style 132 2 2 5" xfId="6240" xr:uid="{79B1E858-9E61-425E-BA48-99F3F47DBA16}"/>
    <cellStyle name="Style 132 2 3" xfId="929" xr:uid="{275915D6-A383-4A31-A613-43F9D7E694DD}"/>
    <cellStyle name="Style 132 2 3 2" xfId="930" xr:uid="{CC530EBE-2049-4682-B1BD-47549F6D7675}"/>
    <cellStyle name="Style 132 2 3 2 2" xfId="931" xr:uid="{E6829C98-B9A8-4E34-8845-73755F823FEA}"/>
    <cellStyle name="Style 132 2 3 2 2 2" xfId="6241" xr:uid="{F9A7EBF8-0B0E-434C-B951-183535DCAF00}"/>
    <cellStyle name="Style 132 2 3 2 3" xfId="6242" xr:uid="{670E4800-11C4-4DE6-8C1A-3484DA8D64DF}"/>
    <cellStyle name="Style 132 2 3 3" xfId="932" xr:uid="{869C13E8-D20B-448F-B0F0-26FFFBD20CB6}"/>
    <cellStyle name="Style 132 2 3 3 2" xfId="6243" xr:uid="{253945FE-A5AA-45F1-9E78-73473921BE7C}"/>
    <cellStyle name="Style 132 2 3 4" xfId="6244" xr:uid="{81254236-2618-425E-81CD-85650648BF47}"/>
    <cellStyle name="Style 132 2 4" xfId="933" xr:uid="{1B3C2D0B-1D87-461A-AB07-7117D369C032}"/>
    <cellStyle name="Style 132 2 4 2" xfId="934" xr:uid="{049D786B-D153-49B4-A75B-5AE1B0E2A228}"/>
    <cellStyle name="Style 132 2 4 2 2" xfId="6245" xr:uid="{3276F7B0-825B-4DAF-962D-1295D8AAECA4}"/>
    <cellStyle name="Style 132 2 4 3" xfId="6246" xr:uid="{7E974715-C1F1-4DAF-A8F4-BFDD948FF0E0}"/>
    <cellStyle name="Style 132 2 5" xfId="935" xr:uid="{7F272742-027D-446E-BAB9-9E99341D76C7}"/>
    <cellStyle name="Style 132 2 5 2" xfId="6247" xr:uid="{3E3DD709-E55F-46CF-B3B3-7D8627F091F4}"/>
    <cellStyle name="Style 132 2 6" xfId="6248" xr:uid="{9C789095-1EF3-422E-B5F8-3205D637CFD7}"/>
    <cellStyle name="Style 132 3" xfId="936" xr:uid="{D23EF484-AE1C-47A1-A9AE-FC3EAD84A4D2}"/>
    <cellStyle name="Style 132 3 2" xfId="937" xr:uid="{ED401EF4-949C-43F8-ACA4-2C0873DF676B}"/>
    <cellStyle name="Style 132 3 2 2" xfId="938" xr:uid="{2A0F3506-1550-4C42-AB6A-85788A330A7C}"/>
    <cellStyle name="Style 132 3 2 2 2" xfId="939" xr:uid="{2D11A5E6-906F-4317-9E33-D081DB678506}"/>
    <cellStyle name="Style 132 3 2 2 2 2" xfId="940" xr:uid="{0C2C32C7-528D-4EBA-9F72-CA1C4559310E}"/>
    <cellStyle name="Style 132 3 2 2 2 2 2" xfId="6249" xr:uid="{3669C2AF-F3AF-4BD9-9BEF-0CFCB616106F}"/>
    <cellStyle name="Style 132 3 2 2 2 3" xfId="6250" xr:uid="{BAE04EFB-FB42-4E12-AAC1-4F49EB6A9918}"/>
    <cellStyle name="Style 132 3 2 2 3" xfId="941" xr:uid="{E08EB057-38D1-4D9F-9ACF-1665C0D896F7}"/>
    <cellStyle name="Style 132 3 2 2 3 2" xfId="6251" xr:uid="{79604263-6BE7-4B1B-9118-3FC0CE1C116F}"/>
    <cellStyle name="Style 132 3 2 2 4" xfId="6252" xr:uid="{04A6FD48-F0F1-4910-9E8B-8455132D60F2}"/>
    <cellStyle name="Style 132 3 2 3" xfId="942" xr:uid="{C1BD4DEF-7755-40AF-A77F-68D4B3A09D5B}"/>
    <cellStyle name="Style 132 3 2 3 2" xfId="943" xr:uid="{80F433CA-61CE-4DD9-92F7-468C80E58968}"/>
    <cellStyle name="Style 132 3 2 3 3" xfId="6253" xr:uid="{4DDBCBF4-B28F-4A73-9B80-2BD3C677C112}"/>
    <cellStyle name="Style 132 3 2 4 2" xfId="6254" xr:uid="{F415CB7B-B43D-489E-9B45-B9391F556FBD}"/>
    <cellStyle name="Style 132 3 3" xfId="944" xr:uid="{669AC583-D2CA-45E1-BBBD-4FA20F4173CC}"/>
    <cellStyle name="Style 132 3 3 2 2" xfId="945" xr:uid="{542243FC-5176-4F39-ACFB-A8500E178A17}"/>
    <cellStyle name="Style 132 3 3 2 2 2 2" xfId="6255" xr:uid="{61C537AD-9DCC-42D3-A42C-0FC39F312B4D}"/>
    <cellStyle name="Style 132 3 3 2 3" xfId="946" xr:uid="{54D43E53-82F0-420F-9382-958C258E339B}"/>
    <cellStyle name="Style 132 3 3 2 4" xfId="6256" xr:uid="{0BACBCD8-8A10-438D-A8A5-4D346357A9D0}"/>
    <cellStyle name="Style 132 3 3 3 2" xfId="6257" xr:uid="{F58D78FE-A679-4C13-BC0B-2A7BAB5BC13B}"/>
    <cellStyle name="Style 132 3 3 5" xfId="6258" xr:uid="{E6F87832-E543-4E4C-8996-78933273A4AB}"/>
    <cellStyle name="Style 132 3 4 2" xfId="947" xr:uid="{19A29C2F-B2DF-4E3B-A38C-E18ECF5403F1}"/>
    <cellStyle name="Style 132 3 4 3" xfId="6259" xr:uid="{75C92FEB-111E-4885-A17F-C4F06D4E9744}"/>
    <cellStyle name="Style 132 3 5 2" xfId="6260" xr:uid="{4187851D-78A7-4BB6-B430-74CA5E63EA4E}"/>
    <cellStyle name="Style 132 4" xfId="948" xr:uid="{0DE6E5C4-EC80-4FF8-8982-1A9688FAB902}"/>
    <cellStyle name="Style 132 4 2 2" xfId="949" xr:uid="{6407BBC6-2BF3-4ED3-AEFE-5629062BB674}"/>
    <cellStyle name="Style 132 4 2 2 2 2" xfId="6261" xr:uid="{C686D672-92C0-4277-BE3B-A1A2C04A1A6A}"/>
    <cellStyle name="Style 132 4 2 3" xfId="950" xr:uid="{CFF6ADE3-ED6A-45C3-812E-3E922BA1DA96}"/>
    <cellStyle name="Style 132 4 2 4" xfId="6262" xr:uid="{F6DCE0E8-115E-47CE-9E0A-C1905DBF09BD}"/>
    <cellStyle name="Style 132 4 3 2" xfId="6263" xr:uid="{D0DB87CB-B600-4CEB-94F9-71E40D57DF21}"/>
    <cellStyle name="Style 132 4 5" xfId="6264" xr:uid="{FE1B3677-7F35-4809-BB17-18D7A5908CA8}"/>
    <cellStyle name="Style 132 5 2" xfId="951" xr:uid="{A76E05AA-E9B4-41F3-A81F-D2D003E809DE}"/>
    <cellStyle name="Style 132 5 3" xfId="6265" xr:uid="{03EE4014-0FAB-4F25-A6B2-ACC4760618EE}"/>
    <cellStyle name="Style 132 6 2" xfId="2716" xr:uid="{215B9983-6ABA-44A4-A72A-FC60C1D7DDBD}"/>
    <cellStyle name="Style 132 6 3" xfId="6266" xr:uid="{296B3170-B97E-4A4A-8A49-448D9DFE6CCA}"/>
    <cellStyle name="Style 132 7 2" xfId="3742" xr:uid="{D8291490-39EF-419D-8809-9DC834A3C69E}"/>
    <cellStyle name="Style 132 8" xfId="3743" xr:uid="{F8CB9DFB-167D-4904-B3A4-F8D1ED571D02}"/>
    <cellStyle name="Style 132 9 2" xfId="21219" xr:uid="{2796DB89-508C-4C87-AAD5-4CA13B093279}"/>
    <cellStyle name="Style 137" xfId="952" xr:uid="{CBB25C80-5713-4D6E-82B8-7B1F364E4701}"/>
    <cellStyle name="Style 137 10 2" xfId="953" xr:uid="{CD357212-BAC9-4F27-8B54-068F9C39AA0F}"/>
    <cellStyle name="Style 137 10 2 2 2" xfId="21748" xr:uid="{24BC62B2-070F-4989-82FD-BECACC96CE95}"/>
    <cellStyle name="Style 137 10 3" xfId="2717" xr:uid="{AD203277-C6B9-4CFD-8870-2D7E55FC0D99}"/>
    <cellStyle name="Style 137 10 4" xfId="18403" xr:uid="{A2DDA837-0CE9-4256-A78C-A2E545AF4A9A}"/>
    <cellStyle name="Style 137 11 2" xfId="954" xr:uid="{8F32654D-72C4-4007-8F91-2F2F981BAD63}"/>
    <cellStyle name="Style 137 11 2 2 2" xfId="21749" xr:uid="{E4903FE3-3CB4-4DF6-AECE-4AD0908BD848}"/>
    <cellStyle name="Style 137 11 3" xfId="3744" xr:uid="{36BE77CA-D20E-4787-AF60-6DA0BD862865}"/>
    <cellStyle name="Style 137 11 4" xfId="18404" xr:uid="{34AD67DE-5E2E-4A87-B89C-C8A4C2EF38E4}"/>
    <cellStyle name="Style 137 12 2" xfId="3745" xr:uid="{4B26DA5A-442E-4B3D-B821-C2431C0DF1E8}"/>
    <cellStyle name="Style 137 12 3" xfId="6267" xr:uid="{92A63BE4-8772-47E2-98A0-6491EC56F8BB}"/>
    <cellStyle name="Style 137 12 4" xfId="6268" xr:uid="{FD6290B0-D8C6-45BF-B129-B4B6AA6B8437}"/>
    <cellStyle name="Style 137 12 5" xfId="6269" xr:uid="{C1053919-40E8-4362-A100-8ED9D81973C9}"/>
    <cellStyle name="Style 137 12 6" xfId="6270" xr:uid="{DEB4F4E5-F6B1-408C-9179-B5C5632559DE}"/>
    <cellStyle name="Style 137 12 7" xfId="19452" xr:uid="{29E0F31F-33BC-4676-BC97-7A9CD8AE3436}"/>
    <cellStyle name="Style 137 13 2" xfId="6271" xr:uid="{3A00B0EF-B91E-4E7F-98CA-608C20951114}"/>
    <cellStyle name="Style 137 13 3" xfId="6272" xr:uid="{FB92DCC3-BDAB-4C1B-90AB-9BC1C7D85B3D}"/>
    <cellStyle name="Style 137 13 4" xfId="21220" xr:uid="{39E04871-4CB6-4F15-A1D8-96CF61587031}"/>
    <cellStyle name="Style 137 14 2" xfId="6273" xr:uid="{630D940F-1BAC-4078-AEF5-FF09A8778081}"/>
    <cellStyle name="Style 137 14 3" xfId="23006" xr:uid="{67DA088D-4AE3-4385-BB33-1FC084B40EA2}"/>
    <cellStyle name="Style 137 15 2" xfId="6274" xr:uid="{D2A807F0-368F-4EB6-8E0B-9ED7B4460109}"/>
    <cellStyle name="Style 137 15 3" xfId="23007" xr:uid="{F4DEA550-D558-40A6-AF2B-B1484FD6A077}"/>
    <cellStyle name="Style 137 2" xfId="955" xr:uid="{4932ED04-D7D3-4E66-A854-FC164B7BF161}"/>
    <cellStyle name="Style 137 2 2 2" xfId="21221" xr:uid="{2FAAD8CD-6096-4F46-B62A-4B8212A45B94}"/>
    <cellStyle name="Style 137 3" xfId="956" xr:uid="{310BE623-6801-4933-BA37-E8B46B544FBA}"/>
    <cellStyle name="Style 137 3 2 2" xfId="957" xr:uid="{B0319E13-4582-4A3D-BC83-3F291FE3E674}"/>
    <cellStyle name="Style 137 3 2 2 2 2" xfId="21750" xr:uid="{86AA6182-B7B1-4018-922E-B016EDAAB4BB}"/>
    <cellStyle name="Style 137 3 2 3" xfId="2913" xr:uid="{16451124-D5C3-4E77-B8E4-130B96C9190F}"/>
    <cellStyle name="Style 137 3 2 4" xfId="18405" xr:uid="{BE92060C-59EB-444F-8F9A-6B7E07E87A65}"/>
    <cellStyle name="Style 137 3 3 2" xfId="958" xr:uid="{050386F6-5593-4ACD-8649-939EFC2D18CF}"/>
    <cellStyle name="Style 137 3 3 2 2 2" xfId="21751" xr:uid="{73D2F7A8-F00E-4C75-A8B5-39C964DFBEAA}"/>
    <cellStyle name="Style 137 3 3 3" xfId="959" xr:uid="{717A8926-321A-49DB-A490-A66E66E29A85}"/>
    <cellStyle name="Style 137 3 3 3 2 2" xfId="3747" xr:uid="{3D23FA22-7281-497C-8D26-88AD13A1355C}"/>
    <cellStyle name="Style 137 3 3 3 2 3" xfId="18407" xr:uid="{B3CFEF5A-6F94-493C-8C9E-E1889E397F0B}"/>
    <cellStyle name="Style 137 3 3 3 3 2" xfId="18408" xr:uid="{EC7328EA-52BA-461B-8D8C-54AD56EFF95C}"/>
    <cellStyle name="Style 137 3 3 3 4 2" xfId="19453" xr:uid="{0D0EF475-CFEB-446D-9038-4087CD666017}"/>
    <cellStyle name="Style 137 3 3 3 5 2" xfId="21752" xr:uid="{125AD775-1B5C-424C-B499-6E0B2433CC60}"/>
    <cellStyle name="Style 137 3 3 4" xfId="960" xr:uid="{E2C4BA5B-EB7E-4EDB-81BB-9A4BF6380A88}"/>
    <cellStyle name="Style 137 3 3 4 2 2" xfId="3748" xr:uid="{2F5B4B13-C2C3-4499-8866-7B363E10F3F9}"/>
    <cellStyle name="Style 137 3 3 4 2 3" xfId="18409" xr:uid="{2573FD71-EACD-4434-8533-50025361B428}"/>
    <cellStyle name="Style 137 3 3 4 3 2" xfId="21753" xr:uid="{DCB0264A-9C1C-496F-B710-039EB77657D0}"/>
    <cellStyle name="Style 137 3 3 5" xfId="3749" xr:uid="{3B9BBCC9-ECBC-4D43-B1C7-7BE02222E6CD}"/>
    <cellStyle name="Style 137 3 3 6" xfId="3746" xr:uid="{5002FD53-4101-4227-9B95-66AF73D18996}"/>
    <cellStyle name="Style 137 3 3 7" xfId="18406" xr:uid="{EBCB7515-E793-463A-9311-86C15CE8F350}"/>
    <cellStyle name="Style 137 3 4 3" xfId="3750" xr:uid="{00172E67-B492-4215-AD14-76FE1A2EE8D9}"/>
    <cellStyle name="Style 137 3 4 5" xfId="18410" xr:uid="{776ED3B2-AB9B-492A-94FD-5CFAD121ADE5}"/>
    <cellStyle name="Style 137 3 5 3" xfId="18411" xr:uid="{50B9EB8F-CA84-49F5-A511-805F80C8E26A}"/>
    <cellStyle name="Style 137 4" xfId="961" xr:uid="{F34CFD2B-3CD6-4799-BEAF-AE942E1E8ACD}"/>
    <cellStyle name="Style 137 4 2 2 2 2" xfId="21754" xr:uid="{268C27E9-BC10-45BF-A4A4-2753F1BE0F65}"/>
    <cellStyle name="Style 137 4 2 3 2 2" xfId="3752" xr:uid="{EEE40FC6-1888-4269-9780-7FB49E1E4884}"/>
    <cellStyle name="Style 137 4 2 3 3 2" xfId="18412" xr:uid="{72476895-8828-4F42-9760-FED478DF02B2}"/>
    <cellStyle name="Style 137 4 2 3 5 2" xfId="21755" xr:uid="{F3C8275B-0D99-4E9D-8806-BE4D2C93D6FE}"/>
    <cellStyle name="Style 137 4 2 4 2 2" xfId="3753" xr:uid="{E944BC1A-357E-4F62-8FF0-A8BEAF7B16F0}"/>
    <cellStyle name="Style 137 4 2 4 3 2" xfId="21756" xr:uid="{265429A2-FFF2-4A50-8A61-84D05E0823AF}"/>
    <cellStyle name="Style 137 4 2 6" xfId="3751" xr:uid="{645D779D-CAAF-4628-90E3-DDD5BC1DB6A3}"/>
    <cellStyle name="Style 137 4 3 2" xfId="3754" xr:uid="{59384E33-0148-4D1F-97BC-0D17F7C5EA76}"/>
    <cellStyle name="Style 137 4 4 2" xfId="3755" xr:uid="{B5C32483-A52C-48AE-862C-11985BC8B71A}"/>
    <cellStyle name="Style 137 4 5 2" xfId="20644" xr:uid="{859EFCBE-3FD3-497D-A7D5-AAAE4E1A2049}"/>
    <cellStyle name="Style 137 5" xfId="962" xr:uid="{24F88E43-10E5-484F-8B92-DC62AF2F54F1}"/>
    <cellStyle name="Style 137 5 2 2 2 2" xfId="21757" xr:uid="{EFD6DE37-3C5C-475D-970C-4BA188377E58}"/>
    <cellStyle name="Style 137 5 2 3 2 2" xfId="3757" xr:uid="{B121CAE0-A8A1-42C8-82CA-4234E87626D5}"/>
    <cellStyle name="Style 137 5 2 3 3 2" xfId="18413" xr:uid="{EF8149AF-F04C-4D60-9EB5-BF1A3955BCF4}"/>
    <cellStyle name="Style 137 5 2 3 5 2" xfId="21758" xr:uid="{3A86CE7D-5E90-476D-A0D7-2129B087BA39}"/>
    <cellStyle name="Style 137 5 2 4 2 2" xfId="3758" xr:uid="{B2325908-4C89-43A4-9B0D-625C74693A57}"/>
    <cellStyle name="Style 137 5 2 4 3 2" xfId="21759" xr:uid="{2FF11249-87D0-400E-8200-08E92A59C27A}"/>
    <cellStyle name="Style 137 5 2 6" xfId="3756" xr:uid="{CA7FEE5C-7420-4598-B0FE-3891B2A452B7}"/>
    <cellStyle name="Style 137 5 3 2" xfId="3759" xr:uid="{5DCCB08A-BDF6-47DF-AAA1-12FC2110547A}"/>
    <cellStyle name="Style 137 5 4 2" xfId="3760" xr:uid="{27C35A90-0B43-4415-8DC2-B62A6317C58D}"/>
    <cellStyle name="Style 137 5 5 2" xfId="20645" xr:uid="{935E9171-8CF6-47BA-9563-10CBC2DDC75B}"/>
    <cellStyle name="Style 137 6" xfId="963" xr:uid="{016682EB-0CE9-4349-B42B-008424B6B1E0}"/>
    <cellStyle name="Style 137 6 2 3" xfId="18414" xr:uid="{E7561DB3-EBA3-4C2D-A683-B27EFFC7DBE9}"/>
    <cellStyle name="Style 137 6 3 2 2 2" xfId="21761" xr:uid="{96546E2F-2C83-4A25-A58E-7DD920488F11}"/>
    <cellStyle name="Style 137 6 3 4" xfId="3761" xr:uid="{ECB3A2F7-7F10-467E-A331-D444937FC0AA}"/>
    <cellStyle name="Style 137 6 3 6" xfId="18415" xr:uid="{B17742D7-D0CA-4119-AC7B-F9795CFCE4CD}"/>
    <cellStyle name="Style 137 6 4 2 2 2" xfId="21762" xr:uid="{7CEC18A7-F32A-49B7-8E4F-E99D5BA7D865}"/>
    <cellStyle name="Style 137 6 4 4" xfId="18416" xr:uid="{DC4C7E67-C589-4663-AA49-BD6133949E6E}"/>
    <cellStyle name="Style 137 6 6 2" xfId="21760" xr:uid="{3107DDE6-441F-4A5B-A99F-2632F844CAB8}"/>
    <cellStyle name="Style 137 7 2 2" xfId="3762" xr:uid="{4EE6EF52-F54A-4210-B96E-294E854DA1DC}"/>
    <cellStyle name="Style 137 7 3 2" xfId="18417" xr:uid="{ECFBC0A9-4D48-4D78-B41C-B65AF3BAE3D6}"/>
    <cellStyle name="Style 137 7 5 2" xfId="21763" xr:uid="{071C2275-F9E9-453E-BD55-A38BDAA4FE60}"/>
    <cellStyle name="Style 137 8 2 2" xfId="3763" xr:uid="{D692D4BC-D668-4D9B-AADF-3F722E84D5F3}"/>
    <cellStyle name="Style 137 8 3 2" xfId="18418" xr:uid="{A0F0E4EE-F505-44AB-9C64-36B195B146B5}"/>
    <cellStyle name="Style 137 8 5 2" xfId="21764" xr:uid="{CF04BA3B-3D9E-432B-BE46-301A4ABDD194}"/>
    <cellStyle name="Style 137 9 2 2" xfId="3764" xr:uid="{303970C2-F226-4D37-8EE9-034728E81F2B}"/>
    <cellStyle name="Style 137 9 3 2" xfId="21765" xr:uid="{3CDF08D3-CFC6-4D47-8B27-52331EB81F39}"/>
    <cellStyle name="Style 138 10" xfId="18419" xr:uid="{2FD5EE63-E96A-4E64-B9B5-A43A0C1DD519}"/>
    <cellStyle name="Style 138 2 3" xfId="18420" xr:uid="{A65387FC-E211-415D-8AB7-EEE1510C075F}"/>
    <cellStyle name="Style 138 3 3" xfId="964" xr:uid="{11318C28-7FF4-414B-BE90-88D12DBDBCBC}"/>
    <cellStyle name="Style 138 3 3 3 2" xfId="18421" xr:uid="{BD7B1F7C-27E8-45C5-B8EB-E916BFA2A21F}"/>
    <cellStyle name="Style 138 3 4" xfId="965" xr:uid="{85F86C04-1297-49AA-A893-48ADCF15F9E2}"/>
    <cellStyle name="Style 138 3 5" xfId="3765" xr:uid="{4A84F0EF-408F-415E-AA02-17247782FE5C}"/>
    <cellStyle name="Style 138 4 2" xfId="966" xr:uid="{8DE7C031-4043-4633-87AE-CAA5ED14BC52}"/>
    <cellStyle name="Style 138 4 4" xfId="3766" xr:uid="{159F4B1D-E37B-4DBC-BF8F-5D1FD5EE4F9C}"/>
    <cellStyle name="Style 138 5 2" xfId="967" xr:uid="{1481543F-016F-457B-8AE3-AF41E63EDA15}"/>
    <cellStyle name="Style 138 6 2" xfId="968" xr:uid="{06F81116-9CE3-4CE1-B8BC-113D138D3FB5}"/>
    <cellStyle name="Style 138 6 4" xfId="18422" xr:uid="{B52701D2-78EC-4B53-BD40-C093B7646B3C}"/>
    <cellStyle name="Style 138 7 3" xfId="3767" xr:uid="{FAA3A089-C176-41AA-AB10-F9DC1D5E5269}"/>
    <cellStyle name="Style 138 8 2" xfId="19454" xr:uid="{93B090BD-603D-44B2-A64B-696E69E649F3}"/>
    <cellStyle name="Style 139" xfId="969" xr:uid="{AA0A0383-90B7-4A30-BAE1-D29209734E43}"/>
    <cellStyle name="Style 139 2 2 2 2" xfId="970" xr:uid="{664D7AA0-39EB-40F0-9439-03BB5B8CC243}"/>
    <cellStyle name="Style 139 2 2 2 3" xfId="971" xr:uid="{F2AE528C-B886-4D5D-BC47-05CEDCE8E478}"/>
    <cellStyle name="Style 139 2 2 3 2" xfId="972" xr:uid="{2C6056DC-7886-42C0-BE44-CE69A4ACC135}"/>
    <cellStyle name="Style 139 2 2 4 2" xfId="6275" xr:uid="{35D9DE11-843C-4282-A6D5-F53FE01E9B8A}"/>
    <cellStyle name="Style 139 2 3 2 2" xfId="973" xr:uid="{BFAFF680-499B-4FC5-B677-3EAF562B4879}"/>
    <cellStyle name="Style 139 2 3 3 2" xfId="6276" xr:uid="{ABAAB6C2-F748-404A-9DD9-1C540E82F0BD}"/>
    <cellStyle name="Style 139 2 4 2 2" xfId="6277" xr:uid="{DC21ED2D-D5AB-43F1-820F-4204005C429C}"/>
    <cellStyle name="Style 139 2 6" xfId="6278" xr:uid="{A1E7E454-1C6F-4801-8D9A-8C668F79524D}"/>
    <cellStyle name="Style 139 3 2 2 2" xfId="974" xr:uid="{730F2F8D-014D-40EC-98AD-FD14791935BB}"/>
    <cellStyle name="Style 139 3 2 2 3" xfId="975" xr:uid="{89868D06-CE92-45CF-B356-1C3B83EE5B96}"/>
    <cellStyle name="Style 139 3 2 3 2" xfId="976" xr:uid="{FB6DC32B-54FD-4912-B45F-A66D95BA7C29}"/>
    <cellStyle name="Style 139 3 2 4 2" xfId="6279" xr:uid="{80448372-41A0-4831-9B28-7D42893F6E01}"/>
    <cellStyle name="Style 139 3 3 2 2" xfId="977" xr:uid="{CE541A30-42DF-4F9F-8B34-7DD17DDC912E}"/>
    <cellStyle name="Style 139 3 3 2 3" xfId="978" xr:uid="{C512D2CA-CFD1-4B4A-8F94-3EB06904A7EC}"/>
    <cellStyle name="Style 139 3 3 3 2" xfId="6280" xr:uid="{910368CD-8077-4BD9-A120-96D5D4008683}"/>
    <cellStyle name="Style 139 3 4 2" xfId="979" xr:uid="{A49D7AD9-19B7-4C3C-92A2-1E87D2C946E8}"/>
    <cellStyle name="Style 139 3 5 2" xfId="6281" xr:uid="{9534670B-D9B9-4632-A943-769BC4817A72}"/>
    <cellStyle name="Style 139 4 2 2" xfId="980" xr:uid="{07050BC4-6592-436B-9760-83E82EC52E34}"/>
    <cellStyle name="Style 139 4 2 3" xfId="981" xr:uid="{3E60E316-9F04-4301-9580-0DD24E6FC58E}"/>
    <cellStyle name="Style 139 4 3 2" xfId="6282" xr:uid="{AFC3C844-45A2-431D-A21A-BD3151AF807E}"/>
    <cellStyle name="Style 139 5 2" xfId="982" xr:uid="{5525CDD6-4333-4F21-B618-BD41A552DCBD}"/>
    <cellStyle name="Style 139 6 2" xfId="2718" xr:uid="{6E20C77C-C980-4598-A1C9-CF22812EF7D3}"/>
    <cellStyle name="Style 139 7 2" xfId="3768" xr:uid="{14577C58-20DA-4F67-B7BF-BAF9999E28B8}"/>
    <cellStyle name="Style 139 9 2" xfId="21222" xr:uid="{E5F180D7-C138-477B-A277-DDAB5DB846F6}"/>
    <cellStyle name="Style 140 2" xfId="983" xr:uid="{17105ABD-ABCB-42D3-8D5B-AD1500B8B0A4}"/>
    <cellStyle name="Style 140 3" xfId="984" xr:uid="{67C0B6CB-A8DE-4D98-B6CA-1EF8D870301C}"/>
    <cellStyle name="Style 140 3 3 2" xfId="985" xr:uid="{089BAAE2-C43B-4B3C-80D7-42C065A63F29}"/>
    <cellStyle name="Style 140 3 3 4" xfId="3769" xr:uid="{881FCCDF-0E3C-424C-AA5A-87220D80527E}"/>
    <cellStyle name="Style 140 3 4 2" xfId="986" xr:uid="{059791BE-E318-41B5-AB5E-5261383283EA}"/>
    <cellStyle name="Style 140 3 5 2" xfId="19455" xr:uid="{4259C0C2-F058-422D-9ECA-0B12611A01AE}"/>
    <cellStyle name="Style 140 4 2 2" xfId="18423" xr:uid="{13398F9B-F4ED-4703-B68E-1517F5D15178}"/>
    <cellStyle name="Style 140 4 4 2" xfId="19456" xr:uid="{5AAF361A-721E-4360-A322-E21F3FD87946}"/>
    <cellStyle name="Style 140 5 2 2" xfId="18424" xr:uid="{3D86659A-9897-4378-AF88-8E122CF45399}"/>
    <cellStyle name="Style 140 6 2 2" xfId="19457" xr:uid="{8A1EBF38-35EF-4961-BB37-21FB4787CE19}"/>
    <cellStyle name="Style 140 7" xfId="2719" xr:uid="{74E4DA57-991E-4976-AAD1-58B6621F1306}"/>
    <cellStyle name="Style 140 7 3 2" xfId="33675" xr:uid="{FE997262-087A-4308-A09A-FD1D22F8D41A}"/>
    <cellStyle name="Style 140 9" xfId="6283" xr:uid="{50B1A186-6419-4BE7-B931-FE8F1C57692B}"/>
    <cellStyle name="Style 141 10" xfId="987" xr:uid="{D4B3D0FB-1D4B-4938-B94E-71CF07CD62DE}"/>
    <cellStyle name="Style 141 10 2 3" xfId="19458" xr:uid="{B1C3D40E-57C4-440C-B38A-12BF74098A91}"/>
    <cellStyle name="Style 141 11" xfId="988" xr:uid="{E91A422A-D7A6-4C4A-83AC-3492AEF4C73B}"/>
    <cellStyle name="Style 141 11 2 3" xfId="19459" xr:uid="{343EB92C-1EEA-4291-BB70-5C28E48D99A5}"/>
    <cellStyle name="Style 141 12" xfId="989" xr:uid="{8C0F9E4A-F503-4EDA-A7A3-44808D485B49}"/>
    <cellStyle name="Style 141 12 3 2" xfId="23008" xr:uid="{391181A1-7790-4180-8FEB-5EE8F58F4D19}"/>
    <cellStyle name="Style 141 12 5 2" xfId="23009" xr:uid="{4D6EAEF8-9FA3-498C-B1B4-BAEA97619908}"/>
    <cellStyle name="Style 141 13" xfId="6284" xr:uid="{A3360357-B6AF-4F26-9436-EA51A2ABA198}"/>
    <cellStyle name="Style 141 13 3 2" xfId="23010" xr:uid="{60BA866A-7513-4974-ADDB-F4375E7A68DA}"/>
    <cellStyle name="Style 141 14 2 2" xfId="23011" xr:uid="{F0F0D7F5-27A8-4062-8EC2-07EE42BF688F}"/>
    <cellStyle name="Style 141 15 2 2" xfId="23012" xr:uid="{6BA4E18E-0BAD-49C9-896A-67773A2DE7DB}"/>
    <cellStyle name="Style 141 2 2" xfId="2914" xr:uid="{F365ED6E-5E13-452F-9905-B8E4E0883939}"/>
    <cellStyle name="Style 141 3 2" xfId="990" xr:uid="{0A6B76D2-A94A-4560-AB40-DC20C829D478}"/>
    <cellStyle name="Style 141 3 2 2 3" xfId="18426" xr:uid="{B9A14067-4860-44A8-96D0-DAFA31DABC25}"/>
    <cellStyle name="Style 141 3 3" xfId="991" xr:uid="{F6F4A5B6-EBB9-45A6-A659-0D81BFF4AE23}"/>
    <cellStyle name="Style 141 3 3 2 3" xfId="18427" xr:uid="{51C55798-9C60-4FD6-B192-7D62E196F7B9}"/>
    <cellStyle name="Style 141 3 3 3 2 2 2" xfId="21767" xr:uid="{C7781BBA-DB52-4AC6-A866-C38D43BAD796}"/>
    <cellStyle name="Style 141 3 3 3 4" xfId="3770" xr:uid="{FAA9DC7E-863C-4442-BEDE-99BF11D84CEE}"/>
    <cellStyle name="Style 141 3 3 3 6" xfId="18428" xr:uid="{ED7B2A47-E0AB-4430-963B-FA1D2DE079B4}"/>
    <cellStyle name="Style 141 3 3 4 2 2 2" xfId="21768" xr:uid="{5C728C30-1FA0-4F92-98ED-40F1CFA58E18}"/>
    <cellStyle name="Style 141 3 3 4 4" xfId="18429" xr:uid="{62A9E7B6-58BD-464A-98CE-9D056FC58173}"/>
    <cellStyle name="Style 141 3 3 6 2" xfId="21766" xr:uid="{496C3E46-0FE9-490F-A0F8-98D7F8F7D8D0}"/>
    <cellStyle name="Style 141 3 4 2 2" xfId="18430" xr:uid="{C2E65605-372B-4873-857F-ADE6FD9C6E79}"/>
    <cellStyle name="Style 141 3 4 4 2" xfId="21769" xr:uid="{7938A6DF-3087-458B-9C67-0DA03EEF75AA}"/>
    <cellStyle name="Style 141 3 5 2 2" xfId="21770" xr:uid="{D7D1E585-29F6-4EA8-B256-2B7E617CB806}"/>
    <cellStyle name="Style 141 3 7" xfId="18425" xr:uid="{1D68062E-6D21-49C3-8FA9-786ACE023ACE}"/>
    <cellStyle name="Style 141 4 2 2 2" xfId="3772" xr:uid="{FEA4B188-B45A-4F1E-A034-476190A60A7D}"/>
    <cellStyle name="Style 141 4 2 3 2" xfId="992" xr:uid="{8BEF8AFA-815C-4E89-A2A6-DDC946E72BB5}"/>
    <cellStyle name="Style 141 4 2 3 3" xfId="3774" xr:uid="{BEDA9D77-6F46-4E5B-91AE-815A52D15DDD}"/>
    <cellStyle name="Style 141 4 2 3 5" xfId="3773" xr:uid="{4C29968F-279E-42B2-91B6-316FB345203B}"/>
    <cellStyle name="Style 141 4 2 4 2" xfId="993" xr:uid="{DCD10D65-6F35-47C2-ADF3-19CE77AF62C9}"/>
    <cellStyle name="Style 141 4 2 4 3" xfId="3775" xr:uid="{FC8190FB-82C5-4E9D-A468-3DDBEA1DB23E}"/>
    <cellStyle name="Style 141 4 2 5 2" xfId="19460" xr:uid="{474A719F-5243-4EA6-8466-577168866F40}"/>
    <cellStyle name="Style 141 4 3" xfId="994" xr:uid="{A30E923B-738C-4882-AC85-F44E553426BF}"/>
    <cellStyle name="Style 141 4 3 2 2" xfId="21771" xr:uid="{E01AED24-FC47-460D-9E8B-1C450A53A66E}"/>
    <cellStyle name="Style 141 4 4" xfId="3776" xr:uid="{F9D5CD1F-BAFA-450A-9EF3-83FD0E5DDE84}"/>
    <cellStyle name="Style 141 4 4 2 2" xfId="19461" xr:uid="{27223824-F6BA-47B0-AC36-FE06C28F0019}"/>
    <cellStyle name="Style 141 4 5" xfId="3771" xr:uid="{4A9170A0-7721-46AB-BC4A-814B8DD43BC6}"/>
    <cellStyle name="Style 141 4 6" xfId="2915" xr:uid="{5804646B-AD28-43B3-AA39-2A921E56E2FF}"/>
    <cellStyle name="Style 141 4 7" xfId="18431" xr:uid="{676F35CC-90F6-4B81-BDC0-ECA12A20EB7F}"/>
    <cellStyle name="Style 141 5 2" xfId="995" xr:uid="{8F597105-2E21-467C-9E23-8353430FCC9E}"/>
    <cellStyle name="Style 141 5 2 2 2" xfId="3778" xr:uid="{6D4F77FF-1BFB-478D-9B8B-7F7ADB7FB3E6}"/>
    <cellStyle name="Style 141 5 2 3 2" xfId="996" xr:uid="{74FF8231-04FA-4259-BCD1-3346E3EB0A4C}"/>
    <cellStyle name="Style 141 5 2 3 3" xfId="3780" xr:uid="{BA6F3736-2842-4143-960B-995185EFC13A}"/>
    <cellStyle name="Style 141 5 2 3 5" xfId="3779" xr:uid="{7113ABDD-9C6B-4607-9E1C-2A7A44D5276D}"/>
    <cellStyle name="Style 141 5 2 4 2" xfId="997" xr:uid="{16FCAAAB-1A73-45D7-81BD-4265838AD699}"/>
    <cellStyle name="Style 141 5 2 4 3" xfId="3781" xr:uid="{AE289DEA-3D37-4500-B5C5-D81535CD6449}"/>
    <cellStyle name="Style 141 5 2 5 2" xfId="19462" xr:uid="{A1EBE9E7-B1BE-4EA9-9275-ADFD3F0C3C52}"/>
    <cellStyle name="Style 141 5 3" xfId="998" xr:uid="{569D873E-D82C-4D37-A28C-F9E74C68B640}"/>
    <cellStyle name="Style 141 5 4" xfId="3782" xr:uid="{32A4ECE2-2443-4CAC-A46C-04621D443C44}"/>
    <cellStyle name="Style 141 5 5" xfId="3777" xr:uid="{1E1052E1-55AD-4AED-9691-D7AAD40B23C9}"/>
    <cellStyle name="Style 141 5 7" xfId="18432" xr:uid="{2815C2C0-8B3E-49A4-9D23-979E7A0CF6F3}"/>
    <cellStyle name="Style 141 6 2 2 2" xfId="21772" xr:uid="{52B6D861-0504-4F53-A345-2A03D410134D}"/>
    <cellStyle name="Style 141 6 3 2 2" xfId="3784" xr:uid="{0B9DB872-8870-412F-A224-E3855AE6CB9F}"/>
    <cellStyle name="Style 141 6 3 3 2" xfId="18433" xr:uid="{8A0A2A71-828F-49B6-8277-B533767933E3}"/>
    <cellStyle name="Style 141 6 3 5 2" xfId="21773" xr:uid="{83B885B5-DE2A-4623-A1AB-B75C71067F42}"/>
    <cellStyle name="Style 141 6 4 2 2" xfId="3785" xr:uid="{4B1AC5D5-124C-4412-9080-8A96BAACE46E}"/>
    <cellStyle name="Style 141 6 4 3 2" xfId="21774" xr:uid="{916E4572-3D54-48A0-A10F-A8AA30826F19}"/>
    <cellStyle name="Style 141 6 6" xfId="3783" xr:uid="{F4A668E6-C44F-4C76-B462-69FE204E2D6D}"/>
    <cellStyle name="Style 141 7 2" xfId="999" xr:uid="{90DD6225-E375-4CBF-85C6-97385CAA8F38}"/>
    <cellStyle name="Style 141 7 3" xfId="3787" xr:uid="{D886B868-2731-4597-9345-B216E59E2F23}"/>
    <cellStyle name="Style 141 7 5" xfId="3786" xr:uid="{B5AB6FE7-EB54-4FDC-902A-645514CD7B4A}"/>
    <cellStyle name="Style 141 8 2" xfId="1000" xr:uid="{CFD7FD14-2412-4151-9CB2-CC7C9E07E6B3}"/>
    <cellStyle name="Style 141 8 3" xfId="3789" xr:uid="{C29B3A95-2FA0-4E90-9AD1-C478A9DBEB1F}"/>
    <cellStyle name="Style 141 8 5" xfId="3788" xr:uid="{FA21C85A-D0F3-418D-B0E3-BAB9C01FA55F}"/>
    <cellStyle name="Style 141 9 2" xfId="1001" xr:uid="{85222410-EB57-4718-9841-1A7738F4B6D4}"/>
    <cellStyle name="Style 141 9 2 2 2" xfId="21775" xr:uid="{856BB590-D28A-4618-A1BE-1AEBC19F81F6}"/>
    <cellStyle name="Style 141 9 3" xfId="2720" xr:uid="{E1E04A2A-0764-4B1E-BC46-0A52BA17518F}"/>
    <cellStyle name="Style 141 9 4" xfId="18434" xr:uid="{0A5E1596-BCC1-415C-8812-7F44B245D2CF}"/>
    <cellStyle name="Style 142" xfId="1002" xr:uid="{5A2A14E9-D6D8-49BE-B3E9-7014D6B594EF}"/>
    <cellStyle name="Style 142 2 2" xfId="1003" xr:uid="{BEA6DFAE-3F82-451B-A479-87432C72239B}"/>
    <cellStyle name="Style 142 2 2 2 2" xfId="1004" xr:uid="{8190F332-806F-4DDD-B04C-C6BD976A5F53}"/>
    <cellStyle name="Style 142 2 2 2 2 2 2" xfId="6285" xr:uid="{BA8F0257-A8C3-4E98-8354-58B5F2EEB98E}"/>
    <cellStyle name="Style 142 2 2 2 3" xfId="1005" xr:uid="{F3092D6B-BDA8-4FA7-8D13-BD9B1A3BA799}"/>
    <cellStyle name="Style 142 2 2 2 4" xfId="6286" xr:uid="{13D2D08E-4DE4-4C07-89E3-2A87C7839E46}"/>
    <cellStyle name="Style 142 2 2 3 2" xfId="1006" xr:uid="{4C360B56-1645-47F7-B285-D4CF3939258E}"/>
    <cellStyle name="Style 142 2 2 3 3" xfId="6287" xr:uid="{B0C64955-FB2C-46DF-8FA0-10427C06D556}"/>
    <cellStyle name="Style 142 2 2 4 2" xfId="6288" xr:uid="{9FA1B46E-89FB-46EA-8286-343287D94D2B}"/>
    <cellStyle name="Style 142 2 3" xfId="1007" xr:uid="{74A43646-2290-4FF9-B0CE-72B03F9181D5}"/>
    <cellStyle name="Style 142 2 3 2 2" xfId="1008" xr:uid="{D788E32C-99BC-4FE0-BA84-93D186F8B399}"/>
    <cellStyle name="Style 142 2 3 2 3" xfId="6289" xr:uid="{A9C8A6B6-31C0-4F0A-9B20-1DEC7C2FAAA8}"/>
    <cellStyle name="Style 142 2 3 3 2" xfId="6290" xr:uid="{DD8893CA-FE5E-4163-A299-1743ABDCE9DA}"/>
    <cellStyle name="Style 142 2 4" xfId="1009" xr:uid="{39433F47-3C20-4366-80D1-5E4785FD5A86}"/>
    <cellStyle name="Style 142 2 4 2 2" xfId="6291" xr:uid="{52BC87C6-BFE7-4F16-B2FD-E438C5EC5D1C}"/>
    <cellStyle name="Style 142 2 5" xfId="1010" xr:uid="{BC47FBB9-FC16-4A01-8C0C-5E5ECA84663F}"/>
    <cellStyle name="Style 142 2 6" xfId="6292" xr:uid="{28F9FE33-AED6-49A8-8BDC-6BB6B309D09B}"/>
    <cellStyle name="Style 142 3 2" xfId="1011" xr:uid="{68CD5DFA-CE6C-47F7-AF41-29451CFFD220}"/>
    <cellStyle name="Style 142 3 2 2 2" xfId="1012" xr:uid="{8AA0678B-D9D3-4465-890A-2ADA1A3164FA}"/>
    <cellStyle name="Style 142 3 2 2 2 2 2" xfId="6293" xr:uid="{E69D22B6-634F-4820-90FA-9DCE50F63A13}"/>
    <cellStyle name="Style 142 3 2 2 3" xfId="1013" xr:uid="{2E0A2050-2B09-466C-8823-5166B6DC17FA}"/>
    <cellStyle name="Style 142 3 2 2 4" xfId="6294" xr:uid="{96DDE0EB-EC75-437A-963D-EA9C4F765252}"/>
    <cellStyle name="Style 142 3 2 3 2" xfId="1014" xr:uid="{6152531A-6FF4-4C0D-B875-6FBE864C0257}"/>
    <cellStyle name="Style 142 3 2 3 3" xfId="6295" xr:uid="{921D218E-F3D0-4D88-920C-335C458124AA}"/>
    <cellStyle name="Style 142 3 2 4 2" xfId="6296" xr:uid="{A3FC6820-3468-44A8-8A22-F4F288750AE4}"/>
    <cellStyle name="Style 142 3 3" xfId="1015" xr:uid="{0A75E29C-0A58-4B6B-A33C-23CF3F7DC24B}"/>
    <cellStyle name="Style 142 3 3 2 2" xfId="1016" xr:uid="{F593F345-2DEB-4122-9E88-33EB198DC2A8}"/>
    <cellStyle name="Style 142 3 3 2 2 2 2" xfId="6297" xr:uid="{EFD62B5B-7A49-4719-9BB2-15168560FCD3}"/>
    <cellStyle name="Style 142 3 3 2 3" xfId="1017" xr:uid="{463E63EB-E55D-46E6-88AC-03241130513C}"/>
    <cellStyle name="Style 142 3 3 2 4" xfId="6298" xr:uid="{B8AD708A-9D76-476A-A5BE-B7AA30DA8CE0}"/>
    <cellStyle name="Style 142 3 3 3 2" xfId="6299" xr:uid="{A32F842A-949D-48D0-A79A-8AC338373B43}"/>
    <cellStyle name="Style 142 3 3 5" xfId="6300" xr:uid="{37560637-9132-4DA3-B00B-62A6354A30A7}"/>
    <cellStyle name="Style 142 3 4 2" xfId="1018" xr:uid="{2F6A39AB-77C1-4148-880A-4F5C794D0F55}"/>
    <cellStyle name="Style 142 3 4 3" xfId="6301" xr:uid="{6C7C0EDA-2D47-43EF-85BE-76BDF257B97E}"/>
    <cellStyle name="Style 142 3 5 2" xfId="6302" xr:uid="{A685F10F-F818-4063-ABD6-1B886739F433}"/>
    <cellStyle name="Style 142 4" xfId="1019" xr:uid="{C3DEF12E-DF38-4A89-82B0-F1F8B4404091}"/>
    <cellStyle name="Style 142 4 2 2" xfId="1020" xr:uid="{09B0039B-B554-4E3C-98B5-D4BA6DD4B11A}"/>
    <cellStyle name="Style 142 4 2 2 2 2" xfId="6303" xr:uid="{6D266602-A4DE-4998-8221-DFA70E43F670}"/>
    <cellStyle name="Style 142 4 2 3" xfId="1021" xr:uid="{904D3D54-F982-4B18-A0CF-E78287634BD5}"/>
    <cellStyle name="Style 142 4 2 4" xfId="6304" xr:uid="{F9D919DC-95B3-41B9-ABB3-98EACA32ABCA}"/>
    <cellStyle name="Style 142 4 3 2" xfId="6305" xr:uid="{2F9299C2-5C76-4BC5-9CB7-A509405EABA3}"/>
    <cellStyle name="Style 142 4 5" xfId="6306" xr:uid="{328342C3-6163-4C08-A8CC-2FCBAA8EFDE2}"/>
    <cellStyle name="Style 142 5 2" xfId="1022" xr:uid="{F41ACB95-5774-4BA2-A526-12A2DF454C5B}"/>
    <cellStyle name="Style 142 5 3" xfId="6307" xr:uid="{8F56BDAD-C094-46B6-8EF2-02ED1F8ED272}"/>
    <cellStyle name="Style 142 6 2" xfId="2721" xr:uid="{70933E6F-1F5D-4988-9F0B-F2008CC5D4B4}"/>
    <cellStyle name="Style 142 6 3" xfId="6308" xr:uid="{EEED881A-8E39-463A-8FE3-06F0D0BD70D3}"/>
    <cellStyle name="Style 142 7 2" xfId="3790" xr:uid="{BFF395CF-B7F5-4995-BDA3-15E1ACB5AD87}"/>
    <cellStyle name="Style 142 8" xfId="3791" xr:uid="{9CBE1340-0654-4300-80F8-627B77EE272C}"/>
    <cellStyle name="Style 142 9 2" xfId="21223" xr:uid="{5F85EAAA-DFE7-43D4-A82D-C355B4A5FC3D}"/>
    <cellStyle name="Style 143" xfId="1023" xr:uid="{A99DDFF7-1B50-4FF2-9FF9-3E5E277EE950}"/>
    <cellStyle name="Style 143 2 2" xfId="1024" xr:uid="{706DC52C-4635-4FC8-B18F-A73370C2619C}"/>
    <cellStyle name="Style 143 2 2 2 2" xfId="1025" xr:uid="{2749C6C6-73F8-4B4F-BAE8-E4337217FD3F}"/>
    <cellStyle name="Style 143 2 2 2 2 2 2" xfId="6309" xr:uid="{338839FF-3BD6-4AD7-8009-AAF4F2BC13D3}"/>
    <cellStyle name="Style 143 2 2 2 3" xfId="1026" xr:uid="{2535046C-3608-4B15-A412-B4D5BFA8AE53}"/>
    <cellStyle name="Style 143 2 2 2 3 2" xfId="6310" xr:uid="{B8817A7A-BAF5-42A8-91E3-6D806BA4F1C9}"/>
    <cellStyle name="Style 143 2 2 2 4" xfId="6311" xr:uid="{0E7B990B-9250-4172-8E38-B142217DC36D}"/>
    <cellStyle name="Style 143 2 2 3" xfId="1027" xr:uid="{64B0C88B-7F62-440B-B2AA-2C8F67B0E7D0}"/>
    <cellStyle name="Style 143 2 2 3 2" xfId="1028" xr:uid="{8DAEAFA6-49FD-404E-921D-F41F78CB7B9F}"/>
    <cellStyle name="Style 143 2 2 3 2 2" xfId="6312" xr:uid="{260C309B-D6C6-459D-9D09-D1A8B787F8E6}"/>
    <cellStyle name="Style 143 2 2 3 3" xfId="6313" xr:uid="{4CC81D43-599D-4931-848E-1DC53AE8B9C6}"/>
    <cellStyle name="Style 143 2 2 4" xfId="1029" xr:uid="{53FA3EAA-2B56-4998-8CAF-8056794BC8C6}"/>
    <cellStyle name="Style 143 2 2 4 2" xfId="6314" xr:uid="{CD7A0E02-BA59-455B-8EC0-50340A251D04}"/>
    <cellStyle name="Style 143 2 2 5" xfId="6315" xr:uid="{FFDD844C-11A5-47A4-8B63-CD2544EDC8AA}"/>
    <cellStyle name="Style 143 2 3" xfId="1030" xr:uid="{67C77387-C11C-4612-ACA9-00BC83231F69}"/>
    <cellStyle name="Style 143 2 3 2" xfId="1031" xr:uid="{AB8B1235-EB44-4BD1-B45B-6908215EFE80}"/>
    <cellStyle name="Style 143 2 3 2 2" xfId="1032" xr:uid="{553F4324-31F0-4EB5-BFDD-CCAAFA809D7B}"/>
    <cellStyle name="Style 143 2 3 2 2 2" xfId="6316" xr:uid="{13080A3C-0B95-4990-951F-E71AAF348DEB}"/>
    <cellStyle name="Style 143 2 3 2 3" xfId="6317" xr:uid="{B7B43F71-CF76-421C-BAE7-5CE903142568}"/>
    <cellStyle name="Style 143 2 3 3" xfId="1033" xr:uid="{38BF9133-C3E2-46F4-9440-DC850FD49228}"/>
    <cellStyle name="Style 143 2 3 3 2" xfId="6318" xr:uid="{942CECEA-8A00-4529-9F03-7E51AF68EB7D}"/>
    <cellStyle name="Style 143 2 3 4" xfId="6319" xr:uid="{57003193-884C-4B79-A28A-F4472A635A2B}"/>
    <cellStyle name="Style 143 2 4" xfId="1034" xr:uid="{3B8125CB-1837-45AC-AB14-9DF5498EAE65}"/>
    <cellStyle name="Style 143 2 4 2" xfId="1035" xr:uid="{864BF989-8A1A-4AFD-90FC-13751001002D}"/>
    <cellStyle name="Style 143 2 4 2 2" xfId="6320" xr:uid="{768AAFAD-0A1E-491A-B93E-DE875DDBC5A8}"/>
    <cellStyle name="Style 143 2 4 3" xfId="6321" xr:uid="{91752918-FD76-4EBD-9101-A5EBCA48F0A0}"/>
    <cellStyle name="Style 143 2 5" xfId="1036" xr:uid="{B1ECDD62-B446-485B-84B8-546656A57FFE}"/>
    <cellStyle name="Style 143 2 5 2" xfId="6322" xr:uid="{95FDD660-E026-46D8-8810-979E9C21AB47}"/>
    <cellStyle name="Style 143 2 6" xfId="6323" xr:uid="{02D010CE-78EB-4115-A3CF-499D5BD79933}"/>
    <cellStyle name="Style 143 3" xfId="1037" xr:uid="{666D86F4-BEAB-439D-A91C-1A1B0C319147}"/>
    <cellStyle name="Style 143 3 2" xfId="1038" xr:uid="{0FE93CEB-B72F-4E81-925A-FD38B6683677}"/>
    <cellStyle name="Style 143 3 2 2" xfId="1039" xr:uid="{4E1BD546-3836-4447-90E2-49C527872C6E}"/>
    <cellStyle name="Style 143 3 2 2 2" xfId="1040" xr:uid="{FB1EDF5A-0247-45FE-B322-4AB21FBD3BE0}"/>
    <cellStyle name="Style 143 3 2 2 2 2" xfId="1041" xr:uid="{C1C989FD-0F08-4254-90BA-3D7D6605FEC5}"/>
    <cellStyle name="Style 143 3 2 2 2 2 2" xfId="6324" xr:uid="{0E571653-ABF2-4D57-9182-82968773590E}"/>
    <cellStyle name="Style 143 3 2 2 2 3" xfId="6325" xr:uid="{5D184255-A043-4059-9A12-C00441B1CCAE}"/>
    <cellStyle name="Style 143 3 2 2 3" xfId="1042" xr:uid="{240E37A1-09F6-4818-B1FF-68361AE7CBBE}"/>
    <cellStyle name="Style 143 3 2 2 3 2" xfId="6326" xr:uid="{597B0270-08B8-454A-BC3C-76CF43A4C4A2}"/>
    <cellStyle name="Style 143 3 2 2 4" xfId="6327" xr:uid="{B92B2C16-E1F9-435F-A4C6-88D348BC7242}"/>
    <cellStyle name="Style 143 3 2 3" xfId="1043" xr:uid="{13CCC609-90AE-47CC-AC9B-A3C9164E9FF0}"/>
    <cellStyle name="Style 143 3 2 3 2" xfId="1044" xr:uid="{1A4E8CD0-7C70-4D7B-97C8-B1A9725E0A10}"/>
    <cellStyle name="Style 143 3 2 3 2 2" xfId="6328" xr:uid="{BD89BD68-258E-462F-B900-E8D319A14B44}"/>
    <cellStyle name="Style 143 3 2 3 3" xfId="6329" xr:uid="{CBB48EF4-62C4-4E08-9FA8-C2D4F065B7D3}"/>
    <cellStyle name="Style 143 3 2 4" xfId="1045" xr:uid="{F1B05CCB-9D64-448A-A6B4-C5A7552FB96B}"/>
    <cellStyle name="Style 143 3 2 4 2" xfId="6330" xr:uid="{B05D54A6-0230-4DAC-A4DC-B53DF21B4499}"/>
    <cellStyle name="Style 143 3 2 5" xfId="6331" xr:uid="{6C9BC6BE-44EE-4DC8-8BB1-AA1B617B097D}"/>
    <cellStyle name="Style 143 3 3" xfId="1046" xr:uid="{A7E39BD6-B242-4E9C-BCCE-E462F4B2BAAD}"/>
    <cellStyle name="Style 143 3 3 2" xfId="1047" xr:uid="{D961823F-C2EF-4489-8728-BF26DFAE08AE}"/>
    <cellStyle name="Style 143 3 3 2 2" xfId="1048" xr:uid="{30EDEC9F-40A6-478F-9AF1-6541C43F3948}"/>
    <cellStyle name="Style 143 3 3 2 2 2" xfId="1049" xr:uid="{19B97523-FC85-4DFF-B307-2BA2BBBC12DC}"/>
    <cellStyle name="Style 143 3 3 2 2 2 2" xfId="6332" xr:uid="{9077989E-01A8-4E0F-AB20-7795539887A5}"/>
    <cellStyle name="Style 143 3 3 2 2 3" xfId="6333" xr:uid="{A3B687E2-A8A8-424F-B945-B5CE05611051}"/>
    <cellStyle name="Style 143 3 3 2 3" xfId="1050" xr:uid="{DAB2D5BA-0656-49F2-AFA1-E92B42C44E4E}"/>
    <cellStyle name="Style 143 3 3 2 3 2" xfId="6334" xr:uid="{D446C9B5-642E-4244-9072-E50442EBC480}"/>
    <cellStyle name="Style 143 3 3 2 4" xfId="6335" xr:uid="{F62254A6-09D2-4932-B551-98ECFED363B4}"/>
    <cellStyle name="Style 143 3 3 3" xfId="1051" xr:uid="{19F84C4A-16A4-43C1-9908-C7848F4FC94E}"/>
    <cellStyle name="Style 143 3 3 3 2" xfId="6336" xr:uid="{D8D5AA1A-D788-4004-89D9-FC743A781215}"/>
    <cellStyle name="Style 143 3 3 4" xfId="3792" xr:uid="{97DCAC57-94A7-4E3F-A187-ED7EBB74BA65}"/>
    <cellStyle name="Style 143 3 3 5" xfId="6337" xr:uid="{B03BED92-95B9-48BC-9350-EBD8E689BEC3}"/>
    <cellStyle name="Style 143 3 4" xfId="1052" xr:uid="{7E64E3B0-840A-4F9D-BEC1-0987F3A905EA}"/>
    <cellStyle name="Style 143 3 4 2" xfId="1053" xr:uid="{D40D117B-518D-4FFC-ADDD-99132A0F9E20}"/>
    <cellStyle name="Style 143 3 4 2 2" xfId="6338" xr:uid="{55F1688E-CC5D-4188-A339-A97FEF82C0CD}"/>
    <cellStyle name="Style 143 3 4 3" xfId="6339" xr:uid="{C3BCAD5E-E07E-4FF3-BE49-C38C49A42717}"/>
    <cellStyle name="Style 143 3 5" xfId="1054" xr:uid="{D5FFA6E0-8664-4CA2-9010-BFAFE31F7D57}"/>
    <cellStyle name="Style 143 3 5 2" xfId="6340" xr:uid="{613DB9C6-5C66-49EE-86BC-3AC256BF5EAF}"/>
    <cellStyle name="Style 143 3 6" xfId="6341" xr:uid="{BBFEA74C-A06B-4CDE-8779-14C4CBAF82A0}"/>
    <cellStyle name="Style 143 4" xfId="1055" xr:uid="{89E818D3-3A54-48BD-91EB-E0354822CA6E}"/>
    <cellStyle name="Style 143 4 2" xfId="1056" xr:uid="{1DF09505-E9D1-451D-B2F1-A37CEA8458FE}"/>
    <cellStyle name="Style 143 4 2 2" xfId="1057" xr:uid="{D4D22EE7-865F-44E1-855D-61DF3F64ED3E}"/>
    <cellStyle name="Style 143 4 2 2 2" xfId="1058" xr:uid="{A33445DC-91EB-40AC-86AF-C5DFED6BF4A3}"/>
    <cellStyle name="Style 143 4 2 2 2 2" xfId="6342" xr:uid="{759185F3-3DD0-4EFA-B2F7-63652CCCDD82}"/>
    <cellStyle name="Style 143 4 2 2 3" xfId="6343" xr:uid="{556E85AF-407F-4A8B-AAAB-AA242B6EDD29}"/>
    <cellStyle name="Style 143 4 2 3" xfId="1059" xr:uid="{66143452-8EE9-47F3-B045-D94C27106213}"/>
    <cellStyle name="Style 143 4 2 3 2" xfId="6344" xr:uid="{99EB0A85-9F82-44C7-8108-7F4B2979CB19}"/>
    <cellStyle name="Style 143 4 2 4" xfId="6345" xr:uid="{4A5B94C4-8D51-409D-A51D-9F03F6689333}"/>
    <cellStyle name="Style 143 4 3" xfId="1060" xr:uid="{021AB732-A6E2-45C5-94F7-451AE40530DD}"/>
    <cellStyle name="Style 143 4 3 2" xfId="6346" xr:uid="{20E70773-DB3C-49C1-8597-BD5D09E3A0C1}"/>
    <cellStyle name="Style 143 4 4" xfId="3793" xr:uid="{E72AEC6E-B714-461A-9270-67F1E937C9BB}"/>
    <cellStyle name="Style 143 4 5" xfId="6347" xr:uid="{F00B0995-8FA9-435C-B6ED-217ED17B1C03}"/>
    <cellStyle name="Style 143 5" xfId="1061" xr:uid="{1604088B-0EF0-4F8A-BC1C-6CE40CA86D0A}"/>
    <cellStyle name="Style 143 5 2" xfId="1062" xr:uid="{7168FC61-1564-4FD5-9BA4-B805ED32E6C0}"/>
    <cellStyle name="Style 143 5 2 2" xfId="6348" xr:uid="{D0E662A5-0EB9-47E8-A082-B54B08B95C92}"/>
    <cellStyle name="Style 143 5 3" xfId="6349" xr:uid="{B1698C78-C313-44B6-A1EC-D1DA316B453C}"/>
    <cellStyle name="Style 143 6" xfId="1063" xr:uid="{478D0D8D-F6FA-461D-9775-4D216611548B}"/>
    <cellStyle name="Style 143 6 2" xfId="2723" xr:uid="{B5740299-5003-441C-A6A5-29729237CFC8}"/>
    <cellStyle name="Style 143 6 2 2" xfId="3794" xr:uid="{D03A37FE-D0F6-43C5-A289-AFCD4FD82465}"/>
    <cellStyle name="Style 143 6 3" xfId="6350" xr:uid="{4EC9C308-C6D8-4131-B171-F222E5EBC89A}"/>
    <cellStyle name="Style 143 7" xfId="2722" xr:uid="{F3709524-1617-492A-BFA9-B8CDE242995D}"/>
    <cellStyle name="Style 143 7 2" xfId="3796" xr:uid="{CA2632E0-11C0-4384-A227-EE113323606C}"/>
    <cellStyle name="Style 143 7 3" xfId="3795" xr:uid="{C804793D-A8D3-414A-A8A9-CFCF4E620B95}"/>
    <cellStyle name="Style 143 8" xfId="3797" xr:uid="{A6F4AB31-B350-42D2-940F-46F597B67D7D}"/>
    <cellStyle name="Style 143 9" xfId="6351" xr:uid="{D300C68D-08B7-47CF-8075-F0440F1F7434}"/>
    <cellStyle name="Style 143 9 2" xfId="21224" xr:uid="{8136D9C4-D71C-4B6F-BF7C-0BF469D9BAE5}"/>
    <cellStyle name="Style 143_ADDON" xfId="20511" xr:uid="{1948B04C-3A95-401F-8DDE-D48F8D6C158F}"/>
    <cellStyle name="Style 148" xfId="1064" xr:uid="{3CA160C0-6CB5-4C8F-9B9E-D622BE203805}"/>
    <cellStyle name="Style 148 10" xfId="1065" xr:uid="{A0D137DB-3FE8-4698-9B78-B3F80E7618C4}"/>
    <cellStyle name="Style 148 10 2" xfId="1066" xr:uid="{918F3DEE-F0C9-41C3-9505-3998CA7BD010}"/>
    <cellStyle name="Style 148 10 2 2" xfId="3798" xr:uid="{320A6B1A-6F84-419F-974B-3878FD79D60E}"/>
    <cellStyle name="Style 148 10 2 2 2" xfId="21777" xr:uid="{F7C310DA-BD49-4F80-A2AE-94E3DB3ECDA5}"/>
    <cellStyle name="Style 148 10 2 3" xfId="19463" xr:uid="{3EE1DAB1-5B14-4646-AD50-01B55204F53C}"/>
    <cellStyle name="Style 148 10 3" xfId="2724" xr:uid="{F0E35E9E-911A-48D0-8A54-A7887670AC9A}"/>
    <cellStyle name="Style 148 10 3 2" xfId="21776" xr:uid="{80D3DFB4-E052-47FD-B189-2706BE4E84DA}"/>
    <cellStyle name="Style 148 10 4" xfId="18436" xr:uid="{2EDE7567-48E1-4ED0-8D46-0646587435B5}"/>
    <cellStyle name="Style 148 11" xfId="1067" xr:uid="{C6B510CF-0790-4CD3-8E21-AD283D86B0E7}"/>
    <cellStyle name="Style 148 11 2" xfId="1068" xr:uid="{DBAE8A38-6746-4966-BE95-FAFBF72CF65A}"/>
    <cellStyle name="Style 148 11 2 2" xfId="3800" xr:uid="{9238BE17-EB17-4FE3-9ACE-2FC9D753C935}"/>
    <cellStyle name="Style 148 11 2 2 2" xfId="21779" xr:uid="{C23A5D95-3516-4C83-AC4A-A1F69A72F06A}"/>
    <cellStyle name="Style 148 11 2 3" xfId="19464" xr:uid="{C33CFF3B-7B17-4B76-BC82-533B7B4C23A1}"/>
    <cellStyle name="Style 148 11 3" xfId="3799" xr:uid="{15168627-4EEA-419F-8B70-86AB40DED539}"/>
    <cellStyle name="Style 148 11 3 2" xfId="21778" xr:uid="{106908EC-7672-45DE-85EE-F24DDFA3B427}"/>
    <cellStyle name="Style 148 11 4" xfId="18437" xr:uid="{443C52FD-DD98-42D1-89A1-A00AB7512DFF}"/>
    <cellStyle name="Style 148 12" xfId="1069" xr:uid="{FC82DF02-79AA-4E85-95B8-2BE4CC8555C0}"/>
    <cellStyle name="Style 148 12 2" xfId="3801" xr:uid="{5EF80193-480A-44A8-81E1-35B26DDDE4DE}"/>
    <cellStyle name="Style 148 12 2 2" xfId="21780" xr:uid="{7A8C859B-9DB3-4829-847A-AB0FDF5522AC}"/>
    <cellStyle name="Style 148 12 3" xfId="6352" xr:uid="{FDA9DE15-F3D1-4B74-8CF0-0A5DD95AEDA4}"/>
    <cellStyle name="Style 148 12 3 2" xfId="23013" xr:uid="{17B614FB-2E28-4FDD-A5F5-680C0420180B}"/>
    <cellStyle name="Style 148 12 4" xfId="6353" xr:uid="{DB1206FD-E3AB-4B1B-8554-AF769B173411}"/>
    <cellStyle name="Style 148 12 4 2" xfId="23014" xr:uid="{C286ED75-C866-4CFE-B4DF-24165A43F7AE}"/>
    <cellStyle name="Style 148 12 5" xfId="6354" xr:uid="{43E927D7-2F3C-4B4C-9EE5-109E728AD25D}"/>
    <cellStyle name="Style 148 12 5 2" xfId="23015" xr:uid="{C900CB0D-7E4E-41CE-A001-82D0C8333D6D}"/>
    <cellStyle name="Style 148 12 6" xfId="6355" xr:uid="{AD0CA66F-065C-4220-8FE6-76278E38F168}"/>
    <cellStyle name="Style 148 12 6 2" xfId="23016" xr:uid="{4987788A-222D-4090-9E5A-D5C5D1249A57}"/>
    <cellStyle name="Style 148 12 7" xfId="19465" xr:uid="{8D11242F-8856-43F8-9B32-D4EB0BC11DEA}"/>
    <cellStyle name="Style 148 13" xfId="6356" xr:uid="{4B3AFEA1-9785-45E7-B0DD-E3B1A70B1FBC}"/>
    <cellStyle name="Style 148 13 2" xfId="6357" xr:uid="{B2BB850F-CF1C-414F-8FE1-A28C80172D6F}"/>
    <cellStyle name="Style 148 13 2 2" xfId="23017" xr:uid="{B6D54D59-1CAA-44EE-B241-6D24F72F0BE9}"/>
    <cellStyle name="Style 148 13 3" xfId="6358" xr:uid="{0003CADF-4024-4C85-8552-D3AF8DCF5D8B}"/>
    <cellStyle name="Style 148 13 3 2" xfId="23018" xr:uid="{89FB31AB-0E1C-4E37-B96A-B08CF1708FC5}"/>
    <cellStyle name="Style 148 13 4" xfId="21225" xr:uid="{35E308D9-1F17-4089-A8CA-AA4628C0DC04}"/>
    <cellStyle name="Style 148 14" xfId="6359" xr:uid="{89606C62-5AEA-4E78-B32D-141B5AC55337}"/>
    <cellStyle name="Style 148 14 2" xfId="6360" xr:uid="{8F11A6C1-56FF-47F9-8E64-7C955E77E0D7}"/>
    <cellStyle name="Style 148 14 2 2" xfId="23020" xr:uid="{83752036-CEAA-4CBE-B9C5-F262BDC9E790}"/>
    <cellStyle name="Style 148 14 3" xfId="23019" xr:uid="{79B83436-E993-43CC-BFCF-D6D2DCEC5318}"/>
    <cellStyle name="Style 148 15" xfId="6361" xr:uid="{99DCB17F-C8AC-4994-89EF-A8D1D27A4CF9}"/>
    <cellStyle name="Style 148 15 2" xfId="6362" xr:uid="{2E619DAB-8C1E-40FF-95B5-D4126120AEAA}"/>
    <cellStyle name="Style 148 15 2 2" xfId="23022" xr:uid="{CF9244EF-4B7C-4786-987D-9F1CD0ED9C19}"/>
    <cellStyle name="Style 148 15 3" xfId="23021" xr:uid="{6EE83399-0121-4A3E-882E-FD17894754E9}"/>
    <cellStyle name="Style 148 16" xfId="18435" xr:uid="{B5BC2C4E-B29B-4E55-B58C-EF18C49F247F}"/>
    <cellStyle name="Style 148 2" xfId="1070" xr:uid="{FA68C101-C980-4B0C-AC24-354F272F2CB0}"/>
    <cellStyle name="Style 148 2 2" xfId="2916" xr:uid="{AC50CAC4-1A29-4294-852F-A16F9720D9A3}"/>
    <cellStyle name="Style 148 2 2 2" xfId="21226" xr:uid="{69685FAD-4055-4C9A-9DB5-047722628366}"/>
    <cellStyle name="Style 148 2 3" xfId="18438" xr:uid="{9B9FB01C-913C-48CC-990D-BAEF498D328E}"/>
    <cellStyle name="Style 148 3" xfId="1071" xr:uid="{89C34679-B1BC-4D5D-8068-EF00F10F3DD9}"/>
    <cellStyle name="Style 148 3 2" xfId="1072" xr:uid="{89314D43-6F48-4211-9018-155177CCF0FD}"/>
    <cellStyle name="Style 148 3 2 2" xfId="1073" xr:uid="{E14A379B-999C-4EB6-B0D9-6F90F25F3216}"/>
    <cellStyle name="Style 148 3 2 2 2" xfId="3802" xr:uid="{80FCD3A4-F697-4254-9AAD-5C148DD1368F}"/>
    <cellStyle name="Style 148 3 2 2 2 2" xfId="21781" xr:uid="{914A2B1D-C851-4824-AA5F-AB8415B10917}"/>
    <cellStyle name="Style 148 3 2 2 3" xfId="18441" xr:uid="{21F7C3FB-F028-4A29-8A3F-C7E9DB281900}"/>
    <cellStyle name="Style 148 3 2 3" xfId="2918" xr:uid="{C6A40690-88BC-4F7B-99A3-DD1310142E43}"/>
    <cellStyle name="Style 148 3 2 3 2" xfId="21228" xr:uid="{B05CAEBC-4E36-4316-A975-558428A561FA}"/>
    <cellStyle name="Style 148 3 2 4" xfId="18440" xr:uid="{41E3F51C-F743-4412-BEA4-B9631F700591}"/>
    <cellStyle name="Style 148 3 3" xfId="1074" xr:uid="{4A570866-A4CF-46AA-89C6-9AC41F3B8E6A}"/>
    <cellStyle name="Style 148 3 3 2" xfId="1075" xr:uid="{5FD2A2FD-1164-4DD2-A7F9-82F3F989BE61}"/>
    <cellStyle name="Style 148 3 3 2 2" xfId="3804" xr:uid="{BF70ED6D-EA36-4939-8B0C-3B8B123EA463}"/>
    <cellStyle name="Style 148 3 3 2 2 2" xfId="21783" xr:uid="{44D34193-BF28-47BC-AE90-3A24E2227B54}"/>
    <cellStyle name="Style 148 3 3 2 3" xfId="18443" xr:uid="{371A891A-0DC5-4298-8299-B6A5ABDFE4CE}"/>
    <cellStyle name="Style 148 3 3 3" xfId="1076" xr:uid="{289821C4-1C54-41E4-99DE-4B1B11EA6A65}"/>
    <cellStyle name="Style 148 3 3 3 2" xfId="1077" xr:uid="{81A91650-A096-44CD-B0ED-BDCBF6C151D3}"/>
    <cellStyle name="Style 148 3 3 3 2 2" xfId="3806" xr:uid="{ACCBAC2B-844F-48F7-A5A9-D2F5FF2A187E}"/>
    <cellStyle name="Style 148 3 3 3 2 2 2" xfId="21785" xr:uid="{5D6EF658-0699-4E55-B17E-9E3B982EBE9D}"/>
    <cellStyle name="Style 148 3 3 3 2 3" xfId="18445" xr:uid="{51CBB22F-017D-408E-A8EE-FFDFEBF72FFB}"/>
    <cellStyle name="Style 148 3 3 3 3" xfId="3807" xr:uid="{42C63427-6F2D-4946-AE4B-849F31CBB6BD}"/>
    <cellStyle name="Style 148 3 3 3 3 2" xfId="18446" xr:uid="{D70FA00D-E05D-4BC7-B5B2-C7E2D2273664}"/>
    <cellStyle name="Style 148 3 3 3 4" xfId="3808" xr:uid="{1DCF5876-249D-4B4E-AED9-DE7E940C39D0}"/>
    <cellStyle name="Style 148 3 3 3 4 2" xfId="19466" xr:uid="{94B81409-4D09-4AF1-916C-F50437B55371}"/>
    <cellStyle name="Style 148 3 3 3 5" xfId="3805" xr:uid="{C74DACCA-4FA9-48C9-9215-A7F0C8C9C594}"/>
    <cellStyle name="Style 148 3 3 3 5 2" xfId="21784" xr:uid="{92C1F330-0E77-494A-9AA7-C3BB009BCFD8}"/>
    <cellStyle name="Style 148 3 3 3 6" xfId="18444" xr:uid="{7C5712BC-A9E9-442C-A440-DAFE85D71EE7}"/>
    <cellStyle name="Style 148 3 3 4" xfId="1078" xr:uid="{6478848A-B968-407C-A066-39B1E1FB0EBF}"/>
    <cellStyle name="Style 148 3 3 4 2" xfId="1079" xr:uid="{5F4AC194-2D9D-49A2-B526-65685D5210D9}"/>
    <cellStyle name="Style 148 3 3 4 2 2" xfId="3810" xr:uid="{3E1D1D10-C707-4A47-9238-69AB25545D92}"/>
    <cellStyle name="Style 148 3 3 4 2 2 2" xfId="21787" xr:uid="{4177D94D-D94C-4477-963A-062CDB1A34A5}"/>
    <cellStyle name="Style 148 3 3 4 2 3" xfId="18448" xr:uid="{2170EDA1-9FAC-49E9-BAE6-EFBB030287F1}"/>
    <cellStyle name="Style 148 3 3 4 3" xfId="3809" xr:uid="{EF61AC3C-97BE-4282-AC7B-8B34D1A09DE5}"/>
    <cellStyle name="Style 148 3 3 4 3 2" xfId="21786" xr:uid="{EE3E4E38-33E1-4323-8CFC-106C5E42AEA7}"/>
    <cellStyle name="Style 148 3 3 4 4" xfId="18447" xr:uid="{68DC1631-1734-4CDD-8B89-22437F08A1A4}"/>
    <cellStyle name="Style 148 3 3 5" xfId="3811" xr:uid="{DF4EB4C7-8422-4F3B-B7D5-33DE764D0988}"/>
    <cellStyle name="Style 148 3 3 5 2" xfId="19467" xr:uid="{DD21C798-786C-4D94-AB91-8EC8CF25DC3C}"/>
    <cellStyle name="Style 148 3 3 6" xfId="3803" xr:uid="{0568E33B-0213-4D83-B49C-B63920178EA4}"/>
    <cellStyle name="Style 148 3 3 6 2" xfId="21782" xr:uid="{9BF10EC6-84A6-4F6D-9B69-9634E3FD42A3}"/>
    <cellStyle name="Style 148 3 3 7" xfId="18442" xr:uid="{B659E4F7-1134-4D31-A1FA-A6B815B1AD1D}"/>
    <cellStyle name="Style 148 3 4" xfId="1080" xr:uid="{EDB455EE-8FDD-4DC0-B9D5-5409486BED31}"/>
    <cellStyle name="Style 148 3 4 2" xfId="3813" xr:uid="{AD0D9561-D0AB-42B5-A359-BCEC4E680157}"/>
    <cellStyle name="Style 148 3 4 2 2" xfId="18450" xr:uid="{07B56D9B-8C3B-4D95-A9F8-177E6950344F}"/>
    <cellStyle name="Style 148 3 4 3" xfId="3814" xr:uid="{340CDAB1-F2B5-4C85-A967-C127303731FC}"/>
    <cellStyle name="Style 148 3 4 3 2" xfId="19468" xr:uid="{10486783-1C84-4A30-A4E3-4BE363859537}"/>
    <cellStyle name="Style 148 3 4 4" xfId="3812" xr:uid="{FA2EDC57-890C-468C-BBBB-BA5639E730A7}"/>
    <cellStyle name="Style 148 3 4 4 2" xfId="21788" xr:uid="{3C57FBD6-7947-4F8A-8AF3-93A4BE381358}"/>
    <cellStyle name="Style 148 3 4 5" xfId="18449" xr:uid="{00A0D936-4747-4763-9FC0-CF83A8C83E64}"/>
    <cellStyle name="Style 148 3 5" xfId="3815" xr:uid="{487973F5-FB6B-46FF-A37C-3265085DF2B9}"/>
    <cellStyle name="Style 148 3 5 2" xfId="6363" xr:uid="{57DEAA5E-36F0-4A57-802F-73E5210A8AB8}"/>
    <cellStyle name="Style 148 3 5 2 2" xfId="21789" xr:uid="{76C142A8-6528-4DD0-85D2-E4C2A5771F62}"/>
    <cellStyle name="Style 148 3 5 3" xfId="18451" xr:uid="{5FF461DB-6BF6-4172-B72D-EDBD60D41BB2}"/>
    <cellStyle name="Style 148 3 6" xfId="2917" xr:uid="{F3AE1B42-F51A-4F95-BE21-1F56FA424EC7}"/>
    <cellStyle name="Style 148 3 6 2" xfId="21227" xr:uid="{ED761947-E18D-462F-B9AA-5A5BACC5636B}"/>
    <cellStyle name="Style 148 3 7" xfId="18439" xr:uid="{0C245B43-8B0D-4C5F-B3C4-D9FBCC505996}"/>
    <cellStyle name="Style 148 4" xfId="1081" xr:uid="{78093252-520B-418C-AFB4-1EC9DC860E28}"/>
    <cellStyle name="Style 148 4 2" xfId="1082" xr:uid="{711D6738-AB1D-4700-A684-93E952C12E34}"/>
    <cellStyle name="Style 148 4 2 2" xfId="1083" xr:uid="{1C0E68B9-4822-4B46-A66E-B9D710A4EF39}"/>
    <cellStyle name="Style 148 4 2 2 2" xfId="3818" xr:uid="{97AFEFFA-7F86-4C4C-A215-3AD4D2978974}"/>
    <cellStyle name="Style 148 4 2 2 2 2" xfId="21791" xr:uid="{CDF4D950-C035-4ED2-9BDE-519993437B7D}"/>
    <cellStyle name="Style 148 4 2 2 3" xfId="18454" xr:uid="{36A06A17-B69F-4AE8-812F-8F8E9022AB8A}"/>
    <cellStyle name="Style 148 4 2 3" xfId="1084" xr:uid="{BE60F615-F77C-4D8E-B252-1FC0E4EFDB89}"/>
    <cellStyle name="Style 148 4 2 3 2" xfId="1085" xr:uid="{BF33A2A4-58E4-4B21-8BFF-B3E4CDF32FC0}"/>
    <cellStyle name="Style 148 4 2 3 2 2" xfId="3820" xr:uid="{8CAEE290-F2A5-4270-AFC4-7A957209D32F}"/>
    <cellStyle name="Style 148 4 2 3 2 2 2" xfId="21793" xr:uid="{A5CAD12F-7E47-42A1-A814-D4ED882A8B75}"/>
    <cellStyle name="Style 148 4 2 3 2 3" xfId="18456" xr:uid="{EECEC58C-6C67-4312-B71B-DF2BF882F491}"/>
    <cellStyle name="Style 148 4 2 3 3" xfId="3821" xr:uid="{74CC07C7-37B4-4A83-A036-7FAC3DB9DC7B}"/>
    <cellStyle name="Style 148 4 2 3 3 2" xfId="18457" xr:uid="{2FDC47AB-E562-464F-8265-056FBFF88364}"/>
    <cellStyle name="Style 148 4 2 3 4" xfId="3822" xr:uid="{9F71BB0F-6313-4E18-BF45-195791170E00}"/>
    <cellStyle name="Style 148 4 2 3 4 2" xfId="19469" xr:uid="{D7029F59-67CB-4685-88B9-792102501A19}"/>
    <cellStyle name="Style 148 4 2 3 5" xfId="3819" xr:uid="{EDA37661-3BD5-4BDE-BA20-4D943252BA8B}"/>
    <cellStyle name="Style 148 4 2 3 5 2" xfId="21792" xr:uid="{BC6A4072-0B98-479B-BC22-92102BBAA327}"/>
    <cellStyle name="Style 148 4 2 3 6" xfId="18455" xr:uid="{FA6292D6-889C-4018-94FC-11F5DEC9795B}"/>
    <cellStyle name="Style 148 4 2 4" xfId="1086" xr:uid="{D7E00B16-C337-4BDB-B21D-A54C68C0D95C}"/>
    <cellStyle name="Style 148 4 2 4 2" xfId="1087" xr:uid="{845BA548-F83F-43CF-9274-62C59B00A2DD}"/>
    <cellStyle name="Style 148 4 2 4 2 2" xfId="3824" xr:uid="{4FC1A64F-8C78-4C16-9FC6-3363452383DA}"/>
    <cellStyle name="Style 148 4 2 4 2 2 2" xfId="21795" xr:uid="{F59F6F56-665F-4D26-B010-9412BEDB8032}"/>
    <cellStyle name="Style 148 4 2 4 2 3" xfId="18459" xr:uid="{7D788FB4-7CDC-4E5E-85F2-75EC90D4A45F}"/>
    <cellStyle name="Style 148 4 2 4 3" xfId="3823" xr:uid="{394DDA3C-E4FC-427E-8AF8-3EACD5A97C79}"/>
    <cellStyle name="Style 148 4 2 4 3 2" xfId="21794" xr:uid="{F1FE1190-FAB4-406C-9C5A-E2899775340D}"/>
    <cellStyle name="Style 148 4 2 4 4" xfId="18458" xr:uid="{62BBB5D7-3F75-481D-A6B9-976D60982FDD}"/>
    <cellStyle name="Style 148 4 2 5" xfId="3825" xr:uid="{2E312C00-379A-43B6-8990-65092BDE3CD0}"/>
    <cellStyle name="Style 148 4 2 5 2" xfId="19470" xr:uid="{E8234A9B-0A50-4051-B302-02A5DB706BE9}"/>
    <cellStyle name="Style 148 4 2 6" xfId="3817" xr:uid="{4C687C1D-2271-4AE9-A019-D6DDE8D36FC3}"/>
    <cellStyle name="Style 148 4 2 6 2" xfId="21790" xr:uid="{2B871247-55B3-481C-90C0-442ED50D23D5}"/>
    <cellStyle name="Style 148 4 2 7" xfId="18453" xr:uid="{8C589523-74F4-4CDB-ACDF-E30D24A21F04}"/>
    <cellStyle name="Style 148 4 3" xfId="1088" xr:uid="{908D35AD-31AD-492F-8B6F-27D441F69F35}"/>
    <cellStyle name="Style 148 4 3 2" xfId="3826" xr:uid="{30313D67-5D42-48CA-9AC8-2CCF1E45F524}"/>
    <cellStyle name="Style 148 4 3 2 2" xfId="21796" xr:uid="{192F0E30-FB8E-4B1A-9AD4-F32102CD9C0C}"/>
    <cellStyle name="Style 148 4 3 3" xfId="18460" xr:uid="{43E5D528-37BB-44EE-96DE-E4B6D26F20A0}"/>
    <cellStyle name="Style 148 4 4" xfId="3827" xr:uid="{7DE013F1-E1E2-468B-AB4D-32EEE18A4112}"/>
    <cellStyle name="Style 148 4 4 2" xfId="3828" xr:uid="{955213B4-F499-450E-AB05-08997CD9FDFF}"/>
    <cellStyle name="Style 148 4 4 2 2" xfId="19471" xr:uid="{71D9865C-E58D-412A-98D0-E76BD5E65185}"/>
    <cellStyle name="Style 148 4 4 3" xfId="18461" xr:uid="{6A67C69F-561B-401E-A78F-C71920B1EC5C}"/>
    <cellStyle name="Style 148 4 5" xfId="3816" xr:uid="{C7E1FCE8-47EA-4C65-B23A-D606B87C4ADE}"/>
    <cellStyle name="Style 148 4 5 2" xfId="20646" xr:uid="{E16E57CD-44D9-47D1-8485-28DFD05F644E}"/>
    <cellStyle name="Style 148 4 6" xfId="2919" xr:uid="{F3D9DA55-91A1-478F-9705-627E0404AE49}"/>
    <cellStyle name="Style 148 4 6 2" xfId="21229" xr:uid="{0E274F73-DEB0-4AC3-9365-F3F6800453CA}"/>
    <cellStyle name="Style 148 4 7" xfId="18452" xr:uid="{4EADEA8B-77A1-4E44-AD5F-7424CE24893A}"/>
    <cellStyle name="Style 148 5" xfId="1089" xr:uid="{E5B93DB6-ED38-4287-BC8C-786F390168B1}"/>
    <cellStyle name="Style 148 5 2" xfId="1090" xr:uid="{457E22DA-166C-477F-B247-9DF68C67F6B7}"/>
    <cellStyle name="Style 148 5 2 2" xfId="1091" xr:uid="{993FB60F-5402-4824-B1C3-28DCB9AF9EC9}"/>
    <cellStyle name="Style 148 5 2 2 2" xfId="3831" xr:uid="{2F0E5F3A-EEB6-49BA-BC27-7A1AC132D8B2}"/>
    <cellStyle name="Style 148 5 2 2 2 2" xfId="21798" xr:uid="{0C66BE73-33DC-4E20-970B-5B7020BBFAF4}"/>
    <cellStyle name="Style 148 5 2 2 3" xfId="18464" xr:uid="{6584229B-2048-44A6-830F-95BFAA05EFBA}"/>
    <cellStyle name="Style 148 5 2 3" xfId="1092" xr:uid="{D356A9BB-78DD-46FA-A587-2CCB6898870C}"/>
    <cellStyle name="Style 148 5 2 3 2" xfId="1093" xr:uid="{8E8B5727-EBCB-4018-8A67-C858FCACDF34}"/>
    <cellStyle name="Style 148 5 2 3 2 2" xfId="3833" xr:uid="{319A9879-0B65-469D-A3E8-946812C74A8E}"/>
    <cellStyle name="Style 148 5 2 3 2 2 2" xfId="21800" xr:uid="{77A79CC0-E438-4C97-B03B-06CA7E6CE912}"/>
    <cellStyle name="Style 148 5 2 3 2 3" xfId="18466" xr:uid="{38687D6C-3692-4AF4-B111-8D6096CBC71F}"/>
    <cellStyle name="Style 148 5 2 3 3" xfId="3834" xr:uid="{3E0AA390-99C0-4DC0-8789-99E3A94B2867}"/>
    <cellStyle name="Style 148 5 2 3 3 2" xfId="18467" xr:uid="{2EB0E5F9-8204-4B2D-95FA-25246A1DC98D}"/>
    <cellStyle name="Style 148 5 2 3 4" xfId="3835" xr:uid="{888481E5-FDFE-4DBE-962E-66F52AF52607}"/>
    <cellStyle name="Style 148 5 2 3 4 2" xfId="19472" xr:uid="{2F6D306E-2593-4423-B3E8-4ADECF032EB3}"/>
    <cellStyle name="Style 148 5 2 3 5" xfId="3832" xr:uid="{95A1694A-D0A6-4241-B312-09ECBECE56F4}"/>
    <cellStyle name="Style 148 5 2 3 5 2" xfId="21799" xr:uid="{3B75FE9E-DACE-4614-BA70-7F84B788C164}"/>
    <cellStyle name="Style 148 5 2 3 6" xfId="18465" xr:uid="{13544127-A5C1-47AB-8E94-A9CE3C4BEA12}"/>
    <cellStyle name="Style 148 5 2 4" xfId="1094" xr:uid="{904918E3-3901-47CE-A699-773C4AC59CF7}"/>
    <cellStyle name="Style 148 5 2 4 2" xfId="1095" xr:uid="{C01AA7F2-B5B8-46AB-8310-871C1493A303}"/>
    <cellStyle name="Style 148 5 2 4 2 2" xfId="3837" xr:uid="{FE9BAC07-4BAE-4F6B-BDE5-77FD4271FAD9}"/>
    <cellStyle name="Style 148 5 2 4 2 2 2" xfId="21802" xr:uid="{442CB428-E4D7-4ACF-BC47-5FBA4C7A3D6F}"/>
    <cellStyle name="Style 148 5 2 4 2 3" xfId="18469" xr:uid="{25D15173-6313-4CB4-B71D-4471C5743E2B}"/>
    <cellStyle name="Style 148 5 2 4 3" xfId="3836" xr:uid="{7BA015A1-7663-4B6E-8D33-1BA79C2D88D1}"/>
    <cellStyle name="Style 148 5 2 4 3 2" xfId="21801" xr:uid="{C2BE304C-0D38-4EF4-96CB-C69C01E6D4C3}"/>
    <cellStyle name="Style 148 5 2 4 4" xfId="18468" xr:uid="{8B386072-0182-4D07-A2F9-C6E79F67600D}"/>
    <cellStyle name="Style 148 5 2 5" xfId="3838" xr:uid="{76C933F5-205B-4F45-BBC9-4EF5E987BB62}"/>
    <cellStyle name="Style 148 5 2 5 2" xfId="19473" xr:uid="{B082EF7E-64D8-4D20-9921-CF115360209E}"/>
    <cellStyle name="Style 148 5 2 6" xfId="3830" xr:uid="{313FE5CE-FC1F-413C-8B14-C4BC63C08DF4}"/>
    <cellStyle name="Style 148 5 2 6 2" xfId="21797" xr:uid="{28161717-8515-453B-BAB5-C1CD14041950}"/>
    <cellStyle name="Style 148 5 2 7" xfId="18463" xr:uid="{F1DC043C-F95B-4417-B1B1-3D9AD77E622A}"/>
    <cellStyle name="Style 148 5 3" xfId="1096" xr:uid="{7E26232A-C5D2-4E96-89A6-FB489E8B28C5}"/>
    <cellStyle name="Style 148 5 3 2" xfId="3839" xr:uid="{35242D7F-F14A-45E8-AD95-A0A6C9DB63CD}"/>
    <cellStyle name="Style 148 5 3 2 2" xfId="21803" xr:uid="{7A5A8C8F-AA4A-40F2-9294-E4C696E4A762}"/>
    <cellStyle name="Style 148 5 3 3" xfId="18470" xr:uid="{7D3F4A53-1BE5-43D9-9AEB-612CC976381E}"/>
    <cellStyle name="Style 148 5 4" xfId="3840" xr:uid="{5C0F7961-11A6-44DD-807B-9548856C9151}"/>
    <cellStyle name="Style 148 5 4 2" xfId="3841" xr:uid="{307165AF-2DB3-448E-BA1C-5CA8FA674AA9}"/>
    <cellStyle name="Style 148 5 4 2 2" xfId="19474" xr:uid="{2209D46E-DC0F-4882-97E4-63829707AE6E}"/>
    <cellStyle name="Style 148 5 4 3" xfId="18471" xr:uid="{17152ABA-EA46-424A-9D4C-F017AEBE71F7}"/>
    <cellStyle name="Style 148 5 5" xfId="3829" xr:uid="{41DD6EA7-E7ED-4CA1-BE8C-D4BDBCC5FFD8}"/>
    <cellStyle name="Style 148 5 5 2" xfId="20647" xr:uid="{DA9DE2B5-C5B4-4D7B-852E-95F4281795AF}"/>
    <cellStyle name="Style 148 5 6" xfId="2920" xr:uid="{F6296D52-9250-44A7-AA9E-70201F5D4706}"/>
    <cellStyle name="Style 148 5 6 2" xfId="21230" xr:uid="{096D8EA5-5C7C-4246-A012-F3D63B985CD9}"/>
    <cellStyle name="Style 148 5 7" xfId="18462" xr:uid="{C504EAC0-BE01-4C40-A94B-B7D15DBE2E65}"/>
    <cellStyle name="Style 148 6" xfId="1097" xr:uid="{C4DC90B2-9C04-4271-8F0E-BF1F6BFFAF0D}"/>
    <cellStyle name="Style 148 6 2" xfId="1098" xr:uid="{27BC23C2-2B1F-4CBE-A693-9F7CED42138D}"/>
    <cellStyle name="Style 148 6 2 2" xfId="3843" xr:uid="{305BC544-F488-4468-88B3-DFC891832140}"/>
    <cellStyle name="Style 148 6 2 2 2" xfId="21805" xr:uid="{272B21DE-B214-46ED-BA52-726B44A730EA}"/>
    <cellStyle name="Style 148 6 2 3" xfId="18473" xr:uid="{87C648BD-7F37-4C72-ABFE-0838E7A65FA7}"/>
    <cellStyle name="Style 148 6 3" xfId="1099" xr:uid="{DF9ABF73-32F5-4E67-8A87-FA4FFF10CD85}"/>
    <cellStyle name="Style 148 6 3 2" xfId="1100" xr:uid="{F01B3229-D661-4519-BD6F-B76E93C02ED0}"/>
    <cellStyle name="Style 148 6 3 2 2" xfId="3845" xr:uid="{E89ED49E-CF07-4A43-9A55-8CD386B5ADA8}"/>
    <cellStyle name="Style 148 6 3 2 2 2" xfId="21807" xr:uid="{848472AF-6605-47AF-ADC6-D85B1CA0F57B}"/>
    <cellStyle name="Style 148 6 3 2 3" xfId="18475" xr:uid="{F2B51902-2CB7-413A-8C2D-9FF7036F5CDA}"/>
    <cellStyle name="Style 148 6 3 3" xfId="3846" xr:uid="{A61EDDDD-53B8-4C0D-B2DF-2BEE520A7268}"/>
    <cellStyle name="Style 148 6 3 3 2" xfId="18476" xr:uid="{2C68A3EB-E419-4180-A201-5C845A2E03ED}"/>
    <cellStyle name="Style 148 6 3 4" xfId="3847" xr:uid="{7E92C73D-6C06-4542-A90F-394AD5615054}"/>
    <cellStyle name="Style 148 6 3 4 2" xfId="19475" xr:uid="{E14EB83B-43B2-4EE2-9585-6C5FDF8EA2D6}"/>
    <cellStyle name="Style 148 6 3 5" xfId="3844" xr:uid="{98C79519-C965-4BCA-98E7-C4668530600E}"/>
    <cellStyle name="Style 148 6 3 5 2" xfId="21806" xr:uid="{8738709A-B1FF-4B32-869D-65D2FA3744F5}"/>
    <cellStyle name="Style 148 6 3 6" xfId="18474" xr:uid="{03EB0CB4-E567-4520-A0E6-33D7374F6DDC}"/>
    <cellStyle name="Style 148 6 4" xfId="1101" xr:uid="{35B55D31-B208-441C-9743-73DDCB01DF4C}"/>
    <cellStyle name="Style 148 6 4 2" xfId="1102" xr:uid="{07613FF4-2A2B-456F-8979-9C8122C2E67F}"/>
    <cellStyle name="Style 148 6 4 2 2" xfId="3849" xr:uid="{11594C6F-3357-4667-A626-23EBA96DB1E2}"/>
    <cellStyle name="Style 148 6 4 2 2 2" xfId="21809" xr:uid="{DEDE136E-A0E0-4875-9E62-ACAFF1703481}"/>
    <cellStyle name="Style 148 6 4 2 3" xfId="18478" xr:uid="{D12FD4E4-F726-4447-B8F1-8E00A1FF1C66}"/>
    <cellStyle name="Style 148 6 4 3" xfId="3848" xr:uid="{FD01F91C-6D0D-4796-AFD0-07B47050D101}"/>
    <cellStyle name="Style 148 6 4 3 2" xfId="21808" xr:uid="{8CD64A73-D15A-466F-ADEB-DFB2D101402A}"/>
    <cellStyle name="Style 148 6 4 4" xfId="18477" xr:uid="{9B1E50D4-53BE-4848-B805-0ECE5650FE53}"/>
    <cellStyle name="Style 148 6 5" xfId="3850" xr:uid="{68437708-2DCF-4082-B6DA-DD52A94D1B47}"/>
    <cellStyle name="Style 148 6 5 2" xfId="19476" xr:uid="{6D7092C8-94B1-4D1D-A96C-9B7D9D2AF668}"/>
    <cellStyle name="Style 148 6 6" xfId="3842" xr:uid="{00E7250A-296B-4BBE-B96D-6699A2E5C090}"/>
    <cellStyle name="Style 148 6 6 2" xfId="21804" xr:uid="{00F42D32-B71F-4BF4-AABF-FEAAE6BCDA5C}"/>
    <cellStyle name="Style 148 6 7" xfId="18472" xr:uid="{0E4E8A3A-6402-4ECE-8446-C135D15FA4C6}"/>
    <cellStyle name="Style 148 7" xfId="1103" xr:uid="{BCABAE6C-DACE-4779-A1D9-41479B6F1AF2}"/>
    <cellStyle name="Style 148 7 2" xfId="1104" xr:uid="{F8E5EC20-24E8-4252-B5B4-336D895CDFD8}"/>
    <cellStyle name="Style 148 7 2 2" xfId="3852" xr:uid="{3A3C99B9-DE51-4BC9-868A-0FE4FD64B620}"/>
    <cellStyle name="Style 148 7 2 2 2" xfId="21811" xr:uid="{1147E516-B480-43FF-992F-E5B23A68CE3E}"/>
    <cellStyle name="Style 148 7 2 3" xfId="18480" xr:uid="{46F56B4D-8CE1-415E-8948-6290E6F47E77}"/>
    <cellStyle name="Style 148 7 3" xfId="3853" xr:uid="{215C68B1-22FE-478C-AAF5-CCD17612A859}"/>
    <cellStyle name="Style 148 7 3 2" xfId="18481" xr:uid="{65EA85A8-2BF4-4849-8050-3821BC4F3FC9}"/>
    <cellStyle name="Style 148 7 4" xfId="3854" xr:uid="{7FB19B48-3DE8-4FBD-AF66-CCFE7CC4D3CC}"/>
    <cellStyle name="Style 148 7 4 2" xfId="19477" xr:uid="{A940B785-DD1F-4C55-90B3-D9363780DA3C}"/>
    <cellStyle name="Style 148 7 5" xfId="3851" xr:uid="{5A745E3A-461E-4481-B03E-2CF6C0C53996}"/>
    <cellStyle name="Style 148 7 5 2" xfId="21810" xr:uid="{96453402-BA62-4AA1-8B93-E70958D52CD9}"/>
    <cellStyle name="Style 148 7 6" xfId="18479" xr:uid="{4411750C-1114-4B1D-A64A-2806153AC9E7}"/>
    <cellStyle name="Style 148 8" xfId="1105" xr:uid="{7764AE26-AED1-40E1-9166-CB619666DA04}"/>
    <cellStyle name="Style 148 8 2" xfId="1106" xr:uid="{24A625C5-4FA3-4D2A-8DE1-6261571390F1}"/>
    <cellStyle name="Style 148 8 2 2" xfId="3856" xr:uid="{3BC6B0B9-6EB7-40AB-9614-D8D88BBB3209}"/>
    <cellStyle name="Style 148 8 2 2 2" xfId="21813" xr:uid="{668C4E4E-5A80-46FB-87BB-440437EDD78F}"/>
    <cellStyle name="Style 148 8 2 3" xfId="18483" xr:uid="{13A3156D-D72B-40DE-8A91-418CEF40448F}"/>
    <cellStyle name="Style 148 8 3" xfId="3857" xr:uid="{422D0116-217C-4047-ACDC-FED224F7BA26}"/>
    <cellStyle name="Style 148 8 3 2" xfId="18484" xr:uid="{5E542FA5-234E-4CE3-AC7D-2DB8BDCC5A93}"/>
    <cellStyle name="Style 148 8 4" xfId="3858" xr:uid="{7315CF7B-2443-4876-B5A4-47922DAF1F68}"/>
    <cellStyle name="Style 148 8 4 2" xfId="19478" xr:uid="{A6D6C456-8079-483C-A7AF-0430795A5AF4}"/>
    <cellStyle name="Style 148 8 5" xfId="3855" xr:uid="{5D36049E-5530-41E3-A10D-DFD50FAC7915}"/>
    <cellStyle name="Style 148 8 5 2" xfId="21812" xr:uid="{D31DC522-C16E-4982-9E1D-D33C86928139}"/>
    <cellStyle name="Style 148 8 6" xfId="18482" xr:uid="{20AB6C3B-1837-46E0-8BB5-290D4A997DFF}"/>
    <cellStyle name="Style 148 9" xfId="1107" xr:uid="{11E994B1-4366-48AD-A31C-A5E82AF9D53A}"/>
    <cellStyle name="Style 148 9 2" xfId="1108" xr:uid="{975D2CA4-E5F7-43DA-B107-DE57747BBEC0}"/>
    <cellStyle name="Style 148 9 2 2" xfId="3859" xr:uid="{6D9060F3-1EE3-4D65-8759-2FACCD2EA8F7}"/>
    <cellStyle name="Style 148 9 2 2 2" xfId="21815" xr:uid="{4420955B-D600-43B1-8D6B-20A0D6EC107D}"/>
    <cellStyle name="Style 148 9 2 3" xfId="19479" xr:uid="{1E801BD5-3452-4459-9084-AE92235F3901}"/>
    <cellStyle name="Style 148 9 3" xfId="2725" xr:uid="{22D0D078-5808-4E3E-BF79-4D34176C8B4A}"/>
    <cellStyle name="Style 148 9 3 2" xfId="21814" xr:uid="{EA46948F-5E5F-4C1C-8A1E-EADD4DE798AC}"/>
    <cellStyle name="Style 148 9 4" xfId="18485" xr:uid="{3063832D-4BB5-4C7B-BF0E-2BE52E9B046B}"/>
    <cellStyle name="Style 148_ADDON" xfId="20512" xr:uid="{906AFEDA-FF0B-4664-96C0-C3F80A9468F8}"/>
    <cellStyle name="Style 149" xfId="1109" xr:uid="{EF47A12A-7751-4A92-81E5-5E5DFA702081}"/>
    <cellStyle name="Style 149 10" xfId="18486" xr:uid="{70504980-D312-41C5-ABE5-836B08285474}"/>
    <cellStyle name="Style 149 2" xfId="1110" xr:uid="{0D2AC308-E9CC-4D3F-81E6-19B8AE5303C8}"/>
    <cellStyle name="Style 149 2 2" xfId="6364" xr:uid="{D1E72BB2-F7B2-4C8E-B78C-9C5F0261ABE4}"/>
    <cellStyle name="Style 149 2 2 2" xfId="23023" xr:uid="{C024B172-CBC6-40C3-832A-52D6566D8C20}"/>
    <cellStyle name="Style 149 2 3" xfId="18487" xr:uid="{EA69219A-3119-41C4-82A0-90097A1CD60F}"/>
    <cellStyle name="Style 149 3" xfId="1111" xr:uid="{07A1B919-013E-4E83-AF84-E7B17EAB6AD3}"/>
    <cellStyle name="Style 149 3 2" xfId="1112" xr:uid="{4D9547E3-068A-4954-993C-A535D554D963}"/>
    <cellStyle name="Style 149 3 2 2" xfId="18488" xr:uid="{AA3DBF30-C1DD-4DA8-B153-41DCDC457D8F}"/>
    <cellStyle name="Style 149 3 3" xfId="1113" xr:uid="{C60545A8-BCC1-4A73-8B9E-594F076E0919}"/>
    <cellStyle name="Style 149 3 3 2" xfId="1114" xr:uid="{AD2CFB30-1019-4950-9D6B-727B32238CD2}"/>
    <cellStyle name="Style 149 3 3 2 2" xfId="18490" xr:uid="{F7EEC6AB-7FB0-4655-B804-472264DDFEBB}"/>
    <cellStyle name="Style 149 3 3 3" xfId="3860" xr:uid="{88237CF0-90AA-46F1-9BE9-50AD208D894F}"/>
    <cellStyle name="Style 149 3 3 4" xfId="3861" xr:uid="{6A4CA318-E0AA-41F2-8580-756ACA2B0751}"/>
    <cellStyle name="Style 149 3 3 5" xfId="18489" xr:uid="{F4988A7B-81F8-40F4-B217-1C20057A9223}"/>
    <cellStyle name="Style 149 3 4 2" xfId="1115" xr:uid="{627C5CC4-ECEE-4C58-9078-467C070154D1}"/>
    <cellStyle name="Style 149 3 4 3" xfId="18491" xr:uid="{9510A221-AAAC-4D6A-A6F4-36E887712100}"/>
    <cellStyle name="Style 149 3 5 2" xfId="19480" xr:uid="{7E4D34A9-E557-477E-89C1-9D448A527984}"/>
    <cellStyle name="Style 149 4" xfId="1116" xr:uid="{4D2E18F1-DBB1-4912-8D73-A0D2AF3CD7A3}"/>
    <cellStyle name="Style 149 4 2 2" xfId="18492" xr:uid="{7DE1E4F2-6F5E-4D54-965A-6854789F1352}"/>
    <cellStyle name="Style 149 4 3 2" xfId="18493" xr:uid="{4039F8F5-5B29-465D-9CCA-065F2DAC6A50}"/>
    <cellStyle name="Style 149 4 4 2" xfId="19481" xr:uid="{B83A6BB4-5CFC-4604-8EC4-A95119B0BD07}"/>
    <cellStyle name="Style 149 5" xfId="1117" xr:uid="{230B4653-9B69-4765-9E31-38A0A0C7FCB4}"/>
    <cellStyle name="Style 149 5 2 2" xfId="18494" xr:uid="{36EF2934-1E23-4481-AFC7-84890B34D5BC}"/>
    <cellStyle name="Style 149 6" xfId="1118" xr:uid="{FCCC09AC-E0C1-4103-8994-D940C51B87AD}"/>
    <cellStyle name="Style 149 6 2 2" xfId="19482" xr:uid="{D78A64EE-BA13-44D4-BEAB-C65907A93914}"/>
    <cellStyle name="Style 149 6 3 2" xfId="22513" xr:uid="{90FB8776-529A-4AF1-BBBA-84E3DE985D42}"/>
    <cellStyle name="Style 149 7" xfId="2726" xr:uid="{5E119955-AF8C-4E79-AAFB-7E10009EC6DA}"/>
    <cellStyle name="Style 149 7 2 2" xfId="19483" xr:uid="{FEFEB194-95CF-4931-B9F5-427A868ECE77}"/>
    <cellStyle name="Style 149 7 3 2" xfId="33676" xr:uid="{4455C0CC-4D47-4552-981D-0133251111AB}"/>
    <cellStyle name="Style 149 8" xfId="3862" xr:uid="{AEBA3584-26A8-4A8A-B774-279A90823257}"/>
    <cellStyle name="Style 149 9" xfId="6365" xr:uid="{D07338A3-B661-4638-9CA0-B1088E4206D0}"/>
    <cellStyle name="Style 149_ADDON" xfId="20492" xr:uid="{0632EEAB-308B-464B-9122-7F474A9FE9E1}"/>
    <cellStyle name="Style 150 2" xfId="1119" xr:uid="{58427718-032D-4515-AA66-1635393C1E67}"/>
    <cellStyle name="Style 150 2 2 2" xfId="1120" xr:uid="{FDCC586B-0D58-4D23-BC1C-F66946021915}"/>
    <cellStyle name="Style 150 2 2 2 2 2" xfId="1121" xr:uid="{1CB14485-8EC6-44AF-AAF3-BAC9A572B2CA}"/>
    <cellStyle name="Style 150 2 2 2 2 3" xfId="6366" xr:uid="{8ED270C8-76BA-4E4D-A329-22BE35FB19BB}"/>
    <cellStyle name="Style 150 2 2 2 3 2" xfId="6367" xr:uid="{B08414B2-499B-4F65-8DB0-0979AC910100}"/>
    <cellStyle name="Style 150 2 2 3" xfId="1122" xr:uid="{951C9938-214D-4D8E-BE9B-86B764B7B294}"/>
    <cellStyle name="Style 150 2 2 3 2 2" xfId="6368" xr:uid="{AC88EEF5-1E7A-431A-AA61-88246E1128ED}"/>
    <cellStyle name="Style 150 2 2 4" xfId="1123" xr:uid="{DDA07904-22AE-4F78-AFC3-DADE651A3708}"/>
    <cellStyle name="Style 150 2 2 5" xfId="6369" xr:uid="{C28BE3CD-F1C4-41ED-A291-71215E64A264}"/>
    <cellStyle name="Style 150 2 3 2" xfId="1124" xr:uid="{758B88BE-AEE1-48A5-A1BF-6059F965918B}"/>
    <cellStyle name="Style 150 2 3 2 2 2" xfId="6370" xr:uid="{D13C44FB-C93D-49D1-A53C-DD8403F0FA69}"/>
    <cellStyle name="Style 150 2 3 3" xfId="1125" xr:uid="{940BCAF4-87C0-4763-9490-F1671FA182B4}"/>
    <cellStyle name="Style 150 2 3 4" xfId="6371" xr:uid="{C488264E-DC85-40CD-9CA1-5B57D2F72292}"/>
    <cellStyle name="Style 150 2 4 2" xfId="1126" xr:uid="{BBFCE17A-EDA3-4695-9D77-32EBB5AF684D}"/>
    <cellStyle name="Style 150 2 4 3" xfId="6372" xr:uid="{A7C9331D-DA04-45FD-B930-7F8A588333FC}"/>
    <cellStyle name="Style 150 2 5 2" xfId="6373" xr:uid="{56B399A5-722C-4933-A9F4-9821F0E6FF6E}"/>
    <cellStyle name="Style 150 3 2" xfId="1127" xr:uid="{DD9D0147-433E-4798-B789-BE9EFA47B662}"/>
    <cellStyle name="Style 150 3 2 2 2 2 2" xfId="6374" xr:uid="{515BB3BD-94B7-4FAB-9575-9FDB49DC3CEE}"/>
    <cellStyle name="Style 150 3 2 2 4" xfId="6375" xr:uid="{75FA8B5C-816C-4DF2-8864-22D15E2317C3}"/>
    <cellStyle name="Style 150 3 2 3 3" xfId="6376" xr:uid="{D6150BEE-19DB-498E-B7CC-968660BCFDB3}"/>
    <cellStyle name="Style 150 3 3" xfId="1128" xr:uid="{59045BA8-35B2-48B2-8234-C74CBD89FD51}"/>
    <cellStyle name="Style 150 3 3 2 2 2 2" xfId="6377" xr:uid="{781B2907-E507-475C-81E6-29E521DB6EEE}"/>
    <cellStyle name="Style 150 3 3 2 4" xfId="6378" xr:uid="{35ACC264-4BAF-4DD6-982F-96EB823D1F2F}"/>
    <cellStyle name="Style 150 3 3 5" xfId="6379" xr:uid="{BD872C11-5C1F-4801-BBE2-315206E502DD}"/>
    <cellStyle name="Style 150 3 4 3" xfId="6380" xr:uid="{077BF30C-F80B-429F-9D5A-634B1687C38B}"/>
    <cellStyle name="Style 150 4" xfId="1129" xr:uid="{87C7130B-C13E-4500-9D8C-1565DF318F84}"/>
    <cellStyle name="Style 150 4 2 2 2 2" xfId="6381" xr:uid="{01FA8241-6B67-44BB-9C1D-5F46C7E4436A}"/>
    <cellStyle name="Style 150 4 2 4" xfId="6382" xr:uid="{E26572F0-EE98-41A1-95B5-7EDDEF569455}"/>
    <cellStyle name="Style 150 4 5" xfId="6383" xr:uid="{F3260090-4B71-460E-87B0-76ED1938270B}"/>
    <cellStyle name="Style 150 5 3" xfId="6384" xr:uid="{10DB4906-0FEE-4F52-BBCD-01C3A6ABB7DA}"/>
    <cellStyle name="Style 150 6 3" xfId="6385" xr:uid="{66688AF9-EA63-4AC1-93F3-C529E61CC283}"/>
    <cellStyle name="Style 150 8" xfId="3863" xr:uid="{52D148B0-4277-45C9-B8B9-0D571A859BB4}"/>
    <cellStyle name="Style 151" xfId="1130" xr:uid="{52DD319C-10C6-4F4B-82B0-CEC4BE8408EC}"/>
    <cellStyle name="Style 151 2 2 2" xfId="23024" xr:uid="{6C71ED0A-DB56-47FE-BBF6-739E49187C10}"/>
    <cellStyle name="Style 151 3 2 2" xfId="18495" xr:uid="{70D0BA13-55D1-4BBE-AB62-E64FE606FE84}"/>
    <cellStyle name="Style 151 3 3 3" xfId="3864" xr:uid="{CC701793-0AEB-4C2D-A447-57971FCBA3C9}"/>
    <cellStyle name="Style 151 3 3 5" xfId="18496" xr:uid="{18926E32-3488-4617-976E-2E88FF384350}"/>
    <cellStyle name="Style 151 3 4 3" xfId="18497" xr:uid="{1C5EE739-0CE6-4027-B472-516DC75A4F22}"/>
    <cellStyle name="Style 151 4" xfId="1131" xr:uid="{0C7180FF-F127-41CB-ADC0-B5F0556CCBCD}"/>
    <cellStyle name="Style 151 4 3 2" xfId="18498" xr:uid="{79DA0D3A-3F82-4D3B-974D-22CF07955DEB}"/>
    <cellStyle name="Style 151 5" xfId="1132" xr:uid="{F6A282AD-FF79-43C4-A797-409817FF35D8}"/>
    <cellStyle name="Style 151 6" xfId="1133" xr:uid="{04A87936-3E2E-47F1-8A37-7B79A9C8C2F0}"/>
    <cellStyle name="Style 151 6 3 2" xfId="22514" xr:uid="{282CBAA4-BD67-4D44-9647-4D81CA24145B}"/>
    <cellStyle name="Style 151 7 2 2" xfId="19484" xr:uid="{E5D94E6B-BB28-48F4-941F-4A22A5410331}"/>
    <cellStyle name="Style 151 8" xfId="3865" xr:uid="{685EACCB-4416-43EB-9C92-AF64AB545C16}"/>
    <cellStyle name="Style 151_ADDON" xfId="20493" xr:uid="{90B0BBC0-1582-44BE-BB5A-9AE4C87A2FAB}"/>
    <cellStyle name="Style 152 10 2 2" xfId="3866" xr:uid="{C559A97F-FF7E-4549-8071-6974C4E2881A}"/>
    <cellStyle name="Style 152 10 3 2" xfId="21816" xr:uid="{B7C5800A-888D-42F5-9C49-D528068E2CD3}"/>
    <cellStyle name="Style 152 11 2 2" xfId="3867" xr:uid="{177D6878-5E6E-41CF-AF34-79DB2244E227}"/>
    <cellStyle name="Style 152 11 3 2" xfId="21817" xr:uid="{547E1C2F-DE06-4B19-B60F-55E6273730E9}"/>
    <cellStyle name="Style 152 12 2 2" xfId="21818" xr:uid="{2C6637EF-F0A6-4FF2-B17C-24EC613F8C48}"/>
    <cellStyle name="Style 152 12 4 2" xfId="23025" xr:uid="{C8C84132-A7D7-45E9-8470-3951B9F90453}"/>
    <cellStyle name="Style 152 12 6 2" xfId="23026" xr:uid="{A76CAB45-411F-40C1-8C40-B5C208F861E6}"/>
    <cellStyle name="Style 152 13 2 2" xfId="23027" xr:uid="{7B3675D9-FD84-444B-B4CB-6C5708BA7B4F}"/>
    <cellStyle name="Style 152 14" xfId="6386" xr:uid="{4C6D2676-E75E-46E0-A95B-4366637AD1B8}"/>
    <cellStyle name="Style 152 15" xfId="6387" xr:uid="{08F63723-08A8-47E9-80D6-52539BEE0F11}"/>
    <cellStyle name="Style 152 16" xfId="18499" xr:uid="{34BAD4DE-1134-4F46-8013-F3CC7AA9D384}"/>
    <cellStyle name="Style 152 2 3" xfId="18500" xr:uid="{C67A8B6B-C20C-4C43-BCCD-34C87C367B90}"/>
    <cellStyle name="Style 152 3 2 2 2" xfId="3868" xr:uid="{5C00400E-2FE2-4109-8F7D-ED05D8F5873A}"/>
    <cellStyle name="Style 152 3 2 3 2" xfId="21231" xr:uid="{7D4DA5BF-86C8-4F3A-A631-E76DA1587961}"/>
    <cellStyle name="Style 152 3 3 2 2" xfId="3869" xr:uid="{6279E301-457B-49FF-9734-9BBF67B198DE}"/>
    <cellStyle name="Style 152 3 3 3 2" xfId="1134" xr:uid="{4656C311-CED6-417A-AFF1-132F24DFE215}"/>
    <cellStyle name="Style 152 3 3 3 3" xfId="3871" xr:uid="{082BABF9-94B4-44BA-8EF2-8EED443FF52C}"/>
    <cellStyle name="Style 152 3 3 3 5" xfId="3870" xr:uid="{E4F37AD8-9028-47A9-832C-B3716D684AB3}"/>
    <cellStyle name="Style 152 3 3 4 2" xfId="1135" xr:uid="{746002FF-B976-4AC8-9AC7-9C6099542E88}"/>
    <cellStyle name="Style 152 3 3 4 3" xfId="3872" xr:uid="{8C08615A-29AA-4CE2-A57A-9FCCC895388C}"/>
    <cellStyle name="Style 152 3 3 5 2" xfId="19485" xr:uid="{8BBEAA11-0899-474D-BD96-A462AF1002BA}"/>
    <cellStyle name="Style 152 3 4" xfId="1136" xr:uid="{F9850A3B-C35B-4B8A-A37B-ADA15D45F0FD}"/>
    <cellStyle name="Style 152 3 4 3 2" xfId="19486" xr:uid="{C882CF4B-6B00-49A3-8FEF-B9507394700A}"/>
    <cellStyle name="Style 152 3 5" xfId="3873" xr:uid="{72A0CB83-3AA2-4203-A9D2-910A775EDAEF}"/>
    <cellStyle name="Style 152 3 6" xfId="2921" xr:uid="{34C63A3F-BC8E-481D-8685-21E666B3BA07}"/>
    <cellStyle name="Style 152 4 2" xfId="1137" xr:uid="{AE74456E-8F33-4A8C-9268-C5A0711A481E}"/>
    <cellStyle name="Style 152 4 2 2 3" xfId="18501" xr:uid="{10B9CDBD-7569-486B-ADBA-FECC22ED335E}"/>
    <cellStyle name="Style 152 4 2 3 2 2 2" xfId="21820" xr:uid="{478295DB-8B4F-427F-AEF0-5EB3847FE47B}"/>
    <cellStyle name="Style 152 4 2 3 4" xfId="3874" xr:uid="{9ED6443B-3ECC-4E7E-B3A5-91099F760969}"/>
    <cellStyle name="Style 152 4 2 3 6" xfId="18502" xr:uid="{19F9BAF4-1CBC-4E5D-B93D-B94ADC8404D5}"/>
    <cellStyle name="Style 152 4 2 4 2 2 2" xfId="21821" xr:uid="{175E37C5-72EC-40BE-9295-D06FFE73CDA0}"/>
    <cellStyle name="Style 152 4 2 4 4" xfId="18503" xr:uid="{7B3627E5-8016-47E3-8622-364347F37BF5}"/>
    <cellStyle name="Style 152 4 2 6 2" xfId="21819" xr:uid="{17128DF7-7871-42BC-8214-BED01166281D}"/>
    <cellStyle name="Style 152 4 3 2 2" xfId="21822" xr:uid="{464EED56-83EB-4B5B-B870-8A865D5598CE}"/>
    <cellStyle name="Style 152 4 4 2 2" xfId="19487" xr:uid="{129113ED-6895-4172-8858-9010A2ADE829}"/>
    <cellStyle name="Style 152 4 6" xfId="2922" xr:uid="{C113703A-1B59-485E-B4C9-F03E47BDB39D}"/>
    <cellStyle name="Style 152 5 2" xfId="1138" xr:uid="{B1947DB3-4FA2-4E74-8B5F-86D7FCA7FEED}"/>
    <cellStyle name="Style 152 5 2 2 3" xfId="18504" xr:uid="{FA5EB080-B887-4F34-AE66-A06A76420591}"/>
    <cellStyle name="Style 152 5 2 3 2 2 2" xfId="21824" xr:uid="{C72CA6F4-0DE8-45D4-BB1C-32DDADD3AF6E}"/>
    <cellStyle name="Style 152 5 2 3 4" xfId="3875" xr:uid="{F836031C-6C3F-4702-A466-AFD7ADC5A04B}"/>
    <cellStyle name="Style 152 5 2 3 6" xfId="18505" xr:uid="{1A143B0F-435F-4EB6-9C20-8EA1F1E06199}"/>
    <cellStyle name="Style 152 5 2 4 2 2 2" xfId="21825" xr:uid="{6018A53A-CD9E-4F76-AB66-FCB85DE55B41}"/>
    <cellStyle name="Style 152 5 2 4 4" xfId="18506" xr:uid="{A6A5E646-4E1B-4618-BA4D-AC3698838CC0}"/>
    <cellStyle name="Style 152 5 2 6 2" xfId="21823" xr:uid="{F4FDA36C-5B04-4919-B56F-C743EA7FA2C4}"/>
    <cellStyle name="Style 152 5 3 2 2" xfId="21826" xr:uid="{FFB7FE88-13FA-48E8-A7E6-CDDA5E80B3DA}"/>
    <cellStyle name="Style 152 5 4 2 2" xfId="19488" xr:uid="{C0AC6AC2-4B4B-437B-80A1-6DAC1AA94C9E}"/>
    <cellStyle name="Style 152 5 6" xfId="2923" xr:uid="{C7CCFD6D-9FB6-45CE-B571-C5F053C320A2}"/>
    <cellStyle name="Style 152 6 2" xfId="1139" xr:uid="{F405541C-0717-4DCE-9B3B-552B916856C6}"/>
    <cellStyle name="Style 152 6 3" xfId="1140" xr:uid="{716747AF-68A2-4EA7-89B6-F1720A8DF92A}"/>
    <cellStyle name="Style 152 6 3 2 3" xfId="18508" xr:uid="{9FB53D07-9835-4F21-B63B-CC4144883BDA}"/>
    <cellStyle name="Style 152 6 3 4 2" xfId="19489" xr:uid="{975E5BB3-C337-471E-A37B-60884AEBF876}"/>
    <cellStyle name="Style 152 6 4" xfId="1141" xr:uid="{84DA8D12-01ED-4B46-BA8C-E8C1FC9CAAB3}"/>
    <cellStyle name="Style 152 6 4 2 3" xfId="18509" xr:uid="{6BEA8CD2-BCEC-4440-8085-E23459DAE2EB}"/>
    <cellStyle name="Style 152 6 5" xfId="3876" xr:uid="{DEB0146E-3FCA-427B-A2D4-AD606237F28E}"/>
    <cellStyle name="Style 152 6 7" xfId="18507" xr:uid="{6712B12E-56F1-478A-B299-E5AFCF1E7683}"/>
    <cellStyle name="Style 152 7 2 2 2" xfId="21827" xr:uid="{85A52AB0-4183-4D60-9D4B-6940A3567313}"/>
    <cellStyle name="Style 152 7 4" xfId="3877" xr:uid="{DE04620C-F806-46C0-B8D2-7CD17E861DA1}"/>
    <cellStyle name="Style 152 7 6" xfId="18510" xr:uid="{23C6FE8D-AE61-471E-94D7-8B43E8F5B35F}"/>
    <cellStyle name="Style 152 8 2 2 2" xfId="21828" xr:uid="{4FE92E20-1E84-4D81-9210-3C0E4516A03A}"/>
    <cellStyle name="Style 152 8 4" xfId="3878" xr:uid="{E76773C4-A6B9-4502-9DBC-DD615BC059C6}"/>
    <cellStyle name="Style 152 8 6" xfId="18511" xr:uid="{27C1406A-ACBA-4E28-8B26-B19B108D2D49}"/>
    <cellStyle name="Style 152 9 2 2 2" xfId="21829" xr:uid="{982F0225-E3AE-4D39-A6AC-0D8D66386E44}"/>
    <cellStyle name="Style 152 9 4" xfId="18512" xr:uid="{3393C131-EA62-4756-A23E-EAEADB656E2A}"/>
    <cellStyle name="Style 153 2 2" xfId="1142" xr:uid="{B8B2A569-29B2-4784-A34E-33BF2AED459F}"/>
    <cellStyle name="Style 153 2 2 2 2 2 2" xfId="6388" xr:uid="{7BB76F29-9932-4396-BE61-11E143BC78C5}"/>
    <cellStyle name="Style 153 2 2 2 4" xfId="6389" xr:uid="{B2E9CCC4-11E3-4AA2-898A-6AA36ECCB0F2}"/>
    <cellStyle name="Style 153 2 2 3 3" xfId="6390" xr:uid="{15F8521E-C053-4E4C-A91E-DBF62026A684}"/>
    <cellStyle name="Style 153 2 3" xfId="1143" xr:uid="{D8477F86-BC93-4ACD-9B6B-7455B8C15196}"/>
    <cellStyle name="Style 153 2 3 2 3" xfId="6391" xr:uid="{30A45EB1-D100-4AF7-BAD0-4EA39BDA4B01}"/>
    <cellStyle name="Style 153 2 4" xfId="1144" xr:uid="{3F658230-7AB8-48B7-9212-B67DA3465ABD}"/>
    <cellStyle name="Style 153 2 5" xfId="1145" xr:uid="{62550D4F-931B-49A3-B607-56BF0F80CF8C}"/>
    <cellStyle name="Style 153 3 2" xfId="1146" xr:uid="{DBBF5935-22D6-4FE8-91C5-ADE65A248609}"/>
    <cellStyle name="Style 153 3 2 2 2 2 2" xfId="6392" xr:uid="{4C2C5358-C313-4A25-9722-821DC9CECB05}"/>
    <cellStyle name="Style 153 3 2 2 4" xfId="6393" xr:uid="{1559C403-4F0E-4F31-B776-40E360039AC3}"/>
    <cellStyle name="Style 153 3 2 3 3" xfId="6394" xr:uid="{75855ED4-317C-4DB6-9FEE-9E032067A9A1}"/>
    <cellStyle name="Style 153 3 3" xfId="1147" xr:uid="{795CDF48-57AF-4E26-A50E-39BED38536C7}"/>
    <cellStyle name="Style 153 3 3 2 2 2 2" xfId="6395" xr:uid="{5AD14030-D699-4095-BAF1-0112295B2F3F}"/>
    <cellStyle name="Style 153 3 3 2 4" xfId="6396" xr:uid="{EFB9F5EB-A3F7-4EDD-81FA-BD170BA468D6}"/>
    <cellStyle name="Style 153 3 3 5" xfId="6397" xr:uid="{D17A57C7-BED8-472C-B7A4-E07F131D46F4}"/>
    <cellStyle name="Style 153 3 4 3" xfId="6398" xr:uid="{B14DE24A-5BBD-4EC2-A919-29CA3FADD949}"/>
    <cellStyle name="Style 153 4" xfId="1148" xr:uid="{62E6095C-1242-4D25-AFB8-DABA6D3913F1}"/>
    <cellStyle name="Style 153 4 2 2 2 2" xfId="6399" xr:uid="{86B8D4F4-0D3D-4937-826D-52CEBDC6FCCB}"/>
    <cellStyle name="Style 153 4 2 4" xfId="6400" xr:uid="{4489D4DF-68B0-48E6-BD34-B481AA2DE9DA}"/>
    <cellStyle name="Style 153 4 5" xfId="6401" xr:uid="{FCB72EE7-DDFE-4C78-8E0A-04868F8B53DF}"/>
    <cellStyle name="Style 153 5 3" xfId="6402" xr:uid="{FB5B2DEE-0D3D-4E4D-987D-4AC53B55825D}"/>
    <cellStyle name="Style 153 6 3" xfId="6403" xr:uid="{B486956F-1EDA-4954-9EC9-B034EE704090}"/>
    <cellStyle name="Style 153 8" xfId="3879" xr:uid="{5AE744A1-2CC2-413C-94A9-977536B54FE4}"/>
    <cellStyle name="Style 154" xfId="1149" xr:uid="{4D1F48B1-FBEB-413D-8C4B-E61A4511AF82}"/>
    <cellStyle name="Style 154 2 2 2 2" xfId="1150" xr:uid="{6F4255A0-BE6E-483D-9496-6003E94EAD9C}"/>
    <cellStyle name="Style 154 2 2 2 3" xfId="1151" xr:uid="{CC041112-24A8-42A8-A358-E28839BA5A7E}"/>
    <cellStyle name="Style 154 2 2 3 2" xfId="1152" xr:uid="{57478753-1C7E-46C7-ABC9-FF978D0CCA47}"/>
    <cellStyle name="Style 154 2 2 4 2" xfId="6404" xr:uid="{827FD8E2-B5DD-42D5-88E3-5BBE0121C262}"/>
    <cellStyle name="Style 154 2 3 2 2" xfId="1153" xr:uid="{2EBE8F7D-1938-47E6-92F9-F37D0A8120F8}"/>
    <cellStyle name="Style 154 2 3 3 2" xfId="6405" xr:uid="{9D5256E9-209A-432E-AF5A-32094827264C}"/>
    <cellStyle name="Style 154 2 4 2 2" xfId="6406" xr:uid="{7B8E7E28-85AC-4156-88B6-A6A71D62E14E}"/>
    <cellStyle name="Style 154 2 6" xfId="6407" xr:uid="{BE090DD5-F48C-43B2-AAE9-D65123C90E33}"/>
    <cellStyle name="Style 154 3 2 2" xfId="1154" xr:uid="{EA7A661F-7365-4DB4-ABA8-4EBE9A75E471}"/>
    <cellStyle name="Style 154 3 2 2 2 2" xfId="1155" xr:uid="{C2BADFEA-8750-45F7-BC5A-A95460FAC73F}"/>
    <cellStyle name="Style 154 3 2 2 2 3" xfId="6408" xr:uid="{E68DFAFC-9E8B-483D-AD75-A87AB66FBCDB}"/>
    <cellStyle name="Style 154 3 2 2 3 2" xfId="6409" xr:uid="{8F3F6353-C193-4264-91DE-C7AD68BF71FF}"/>
    <cellStyle name="Style 154 3 2 3" xfId="1156" xr:uid="{1B5E6FCE-4C5E-4981-9ADA-FD129E5B9986}"/>
    <cellStyle name="Style 154 3 2 3 2 2" xfId="6410" xr:uid="{1A130E90-6E13-4B6A-9F58-188453559C38}"/>
    <cellStyle name="Style 154 3 2 4" xfId="1157" xr:uid="{DFE4243A-6924-4504-AD57-C191F7A6AC86}"/>
    <cellStyle name="Style 154 3 2 5" xfId="6411" xr:uid="{331C00F8-5CB9-4C0D-BB13-9499C803FFF0}"/>
    <cellStyle name="Style 154 3 3 2" xfId="1158" xr:uid="{EEED9109-C04E-4BF3-B4B9-A4DDC524DC3C}"/>
    <cellStyle name="Style 154 3 3 2 2 2" xfId="1159" xr:uid="{A5D7BCAA-FD54-4388-BA91-97BF3DCC2F55}"/>
    <cellStyle name="Style 154 3 3 2 2 3" xfId="6412" xr:uid="{D77E2A26-593D-4725-8A51-432A00CC1762}"/>
    <cellStyle name="Style 154 3 3 2 3 2" xfId="6413" xr:uid="{71B646DB-B9E3-4A33-A528-A85CD6C1008F}"/>
    <cellStyle name="Style 154 3 3 3" xfId="1160" xr:uid="{AD8C7565-CDA0-4BF3-B8EE-120D4D1FBE70}"/>
    <cellStyle name="Style 154 3 3 4" xfId="3880" xr:uid="{C86145B8-35D3-4123-8B7F-5224326EAF6D}"/>
    <cellStyle name="Style 154 3 4" xfId="1161" xr:uid="{828E3B0F-A7AC-4AE2-84CB-B5A353E48042}"/>
    <cellStyle name="Style 154 3 4 2 2" xfId="6414" xr:uid="{F5A6B5FB-4AA9-4532-974C-CE22F0A739F5}"/>
    <cellStyle name="Style 154 3 5" xfId="1162" xr:uid="{1897F05C-D487-4A94-AD56-08B90976C0C2}"/>
    <cellStyle name="Style 154 3 6" xfId="6415" xr:uid="{FC8A602F-9CBA-4E43-A1E4-B45F517270FE}"/>
    <cellStyle name="Style 154 4 2" xfId="1163" xr:uid="{20695FF9-BB46-43A1-8275-E66F065D14D4}"/>
    <cellStyle name="Style 154 4 2 2 2" xfId="1164" xr:uid="{BE04C9C5-9426-44DE-8AEC-4EF5497435ED}"/>
    <cellStyle name="Style 154 4 2 2 3" xfId="6416" xr:uid="{77222BD5-1984-4A4D-8B03-03E37DCA34E1}"/>
    <cellStyle name="Style 154 4 2 3 2" xfId="6417" xr:uid="{EB6259C6-813F-4A22-90D8-75ABD22D378D}"/>
    <cellStyle name="Style 154 4 3" xfId="1165" xr:uid="{20B83C3D-931C-4B8F-A41C-02CAAB94CFF0}"/>
    <cellStyle name="Style 154 4 3 2" xfId="6418" xr:uid="{DF41F568-E783-44C3-BF25-A9E773C23A7D}"/>
    <cellStyle name="Style 154 4 4" xfId="3881" xr:uid="{3BF079EF-E84A-43A8-81EB-D0FF4B88EC9A}"/>
    <cellStyle name="Style 154 4 5" xfId="6419" xr:uid="{4E802347-FB79-4A80-A1E6-5E73FCB4995C}"/>
    <cellStyle name="Style 154 5" xfId="1166" xr:uid="{7F2D17DE-D887-4754-A498-A79E159F5DE1}"/>
    <cellStyle name="Style 154 5 2" xfId="1167" xr:uid="{EB1071CC-6953-4B29-A92C-BD0C32C4F203}"/>
    <cellStyle name="Style 154 5 2 2" xfId="6420" xr:uid="{2DB542E0-3D87-4804-87CE-E04C301FD914}"/>
    <cellStyle name="Style 154 5 3" xfId="6421" xr:uid="{7B279C60-7EB8-4CE8-9FA5-BF011F33CD58}"/>
    <cellStyle name="Style 154 6" xfId="1168" xr:uid="{090457E0-A80D-4902-B082-F2184247BCEA}"/>
    <cellStyle name="Style 154 6 2" xfId="2728" xr:uid="{A83B35F9-AA80-4A47-A1CA-549FA4816BA0}"/>
    <cellStyle name="Style 154 6 2 2" xfId="3882" xr:uid="{2D1AD4FB-21D2-40BB-B805-54E3C85020C3}"/>
    <cellStyle name="Style 154 6 3" xfId="6422" xr:uid="{034E32FF-AA23-494A-9A59-8E7FEFE1461E}"/>
    <cellStyle name="Style 154 7" xfId="2727" xr:uid="{8B919931-C737-4BED-9A55-3F968D929B5E}"/>
    <cellStyle name="Style 154 7 2" xfId="3884" xr:uid="{B2A82F0D-0182-47FE-BF85-3AAFB1FCC36B}"/>
    <cellStyle name="Style 154 7 3" xfId="3883" xr:uid="{81BA2BE4-963D-4EB8-9465-C0048F599073}"/>
    <cellStyle name="Style 154 8" xfId="3885" xr:uid="{32DAE44F-C386-4E40-90C5-8FF2CD89B9A1}"/>
    <cellStyle name="Style 154 9" xfId="6423" xr:uid="{5449E65B-A174-4E33-9AA6-A11FA0CF72AB}"/>
    <cellStyle name="Style 154 9 2" xfId="21232" xr:uid="{708849CB-0E81-4175-800C-7A0A978F49AA}"/>
    <cellStyle name="Style 154_ADDON" xfId="20513" xr:uid="{EA5EDDD7-9AAD-4D0E-A70B-ADBCD67BD8E1}"/>
    <cellStyle name="Style 159" xfId="1169" xr:uid="{59E60425-9810-4FC3-9ED7-2A4DD4559706}"/>
    <cellStyle name="Style 159 10" xfId="1170" xr:uid="{87959050-0A56-41CC-8274-75A3EC16D32D}"/>
    <cellStyle name="Style 159 10 2" xfId="1171" xr:uid="{45FFF7DD-2EAC-4726-BD7D-EF75B8495726}"/>
    <cellStyle name="Style 159 10 2 2" xfId="3886" xr:uid="{79906673-A3C4-4EBA-A1EC-001CCE799C4B}"/>
    <cellStyle name="Style 159 10 2 2 2" xfId="21831" xr:uid="{43008C99-2324-49A9-A72D-F7B8C5C01156}"/>
    <cellStyle name="Style 159 10 2 3" xfId="19490" xr:uid="{71F71F46-D6E3-4FDC-919B-EC1BB0A76E60}"/>
    <cellStyle name="Style 159 10 3" xfId="2729" xr:uid="{91786E7A-3011-4A4A-961B-DFB71D204E68}"/>
    <cellStyle name="Style 159 10 3 2" xfId="21830" xr:uid="{5F329B46-F408-4DD8-B41F-A8974C6D8D03}"/>
    <cellStyle name="Style 159 10 4" xfId="18514" xr:uid="{B9567D88-04F4-43A5-B17A-1FB3BFADE196}"/>
    <cellStyle name="Style 159 11" xfId="1172" xr:uid="{2F0DCB0D-5F49-4EB0-B126-86D56460B758}"/>
    <cellStyle name="Style 159 11 2" xfId="1173" xr:uid="{B38F2B2A-8009-42B3-8D65-0D183E55CC40}"/>
    <cellStyle name="Style 159 11 2 2" xfId="3888" xr:uid="{FED7F584-4275-4BCF-95C3-D2BDF93C69EE}"/>
    <cellStyle name="Style 159 11 2 2 2" xfId="21833" xr:uid="{691A37E6-689A-4507-937A-9CBA80CCC0F4}"/>
    <cellStyle name="Style 159 11 2 3" xfId="19491" xr:uid="{A8171EF7-F7CD-4295-9317-833E24A508E8}"/>
    <cellStyle name="Style 159 11 3" xfId="3887" xr:uid="{755EC1F9-FC6C-4657-BF7C-4FA1C2F91ABF}"/>
    <cellStyle name="Style 159 11 3 2" xfId="21832" xr:uid="{F4647FD6-6C80-41B2-8AFC-98D3C2B94D97}"/>
    <cellStyle name="Style 159 11 4" xfId="18515" xr:uid="{9FB14E31-6183-4418-B99B-5359DC71FD4E}"/>
    <cellStyle name="Style 159 12" xfId="1174" xr:uid="{21A58483-BDAA-41A7-BE6E-FA14544437E6}"/>
    <cellStyle name="Style 159 12 2" xfId="3889" xr:uid="{F881984E-929D-45AC-820E-E590BBFDFFFA}"/>
    <cellStyle name="Style 159 12 2 2" xfId="21834" xr:uid="{535C4C74-3891-43B8-A96E-439AAF08F9FF}"/>
    <cellStyle name="Style 159 12 3" xfId="6424" xr:uid="{45E144A0-03B7-4718-AF4A-B77A963A6A58}"/>
    <cellStyle name="Style 159 12 3 2" xfId="23028" xr:uid="{5BC5EE3A-6429-4E2C-92D3-B40A4455311D}"/>
    <cellStyle name="Style 159 12 4" xfId="6425" xr:uid="{CADF96E0-248A-4592-ADB5-53CC79EBB953}"/>
    <cellStyle name="Style 159 12 4 2" xfId="23029" xr:uid="{8B1AB8B6-243B-4A18-B0DF-EF99CB0A6C25}"/>
    <cellStyle name="Style 159 12 5" xfId="6426" xr:uid="{73914EB1-C123-4F2A-B622-D0BDEB9F1D98}"/>
    <cellStyle name="Style 159 12 5 2" xfId="23030" xr:uid="{CD539FF9-296D-4AFA-8690-B0ADB0A24B73}"/>
    <cellStyle name="Style 159 12 6" xfId="6427" xr:uid="{A1C556F1-C272-4FFD-A461-1FFFF165341D}"/>
    <cellStyle name="Style 159 12 6 2" xfId="23031" xr:uid="{A4B1D317-B2AA-465C-91FA-0E50DD034450}"/>
    <cellStyle name="Style 159 12 7" xfId="19492" xr:uid="{32F53894-7AEA-4152-80F5-D2ECD9C692FB}"/>
    <cellStyle name="Style 159 13" xfId="6428" xr:uid="{D80538C4-A694-40E7-9EDC-C15345F54538}"/>
    <cellStyle name="Style 159 13 2" xfId="6429" xr:uid="{555D393C-2CA9-4D49-A6EB-933D69979DD4}"/>
    <cellStyle name="Style 159 13 2 2" xfId="23032" xr:uid="{62EB3C62-7AB1-4976-B333-D284E8066700}"/>
    <cellStyle name="Style 159 13 3" xfId="6430" xr:uid="{D8E70A34-7AB8-416B-9169-656E98AA773F}"/>
    <cellStyle name="Style 159 13 3 2" xfId="23033" xr:uid="{946E9265-92FE-4910-B314-0BDBBEF0318D}"/>
    <cellStyle name="Style 159 13 4" xfId="21233" xr:uid="{2708C1B8-F8BD-4828-AF88-248C8F79C4ED}"/>
    <cellStyle name="Style 159 14" xfId="6431" xr:uid="{8B118643-6D99-4739-9C6E-E4D2F1E1FAED}"/>
    <cellStyle name="Style 159 14 2" xfId="6432" xr:uid="{2C1AB52B-8C69-42D4-93C3-33597CF5F27A}"/>
    <cellStyle name="Style 159 14 2 2" xfId="23035" xr:uid="{CD221FEB-D1FB-458D-8B3B-68B8027FC325}"/>
    <cellStyle name="Style 159 14 3" xfId="23034" xr:uid="{9C8DB6A7-56FA-4987-8B9A-D52C59C37DD5}"/>
    <cellStyle name="Style 159 15" xfId="6433" xr:uid="{77DCE75B-5A4A-4E9C-8D3F-6AC71126C78B}"/>
    <cellStyle name="Style 159 15 2" xfId="6434" xr:uid="{8EE781E0-1C68-4523-B9E6-4690097F22BE}"/>
    <cellStyle name="Style 159 15 2 2" xfId="23037" xr:uid="{96140EE2-4094-4701-BFC7-3FD0F7B2CDFA}"/>
    <cellStyle name="Style 159 15 3" xfId="23036" xr:uid="{5D223519-AC4D-47B2-B06C-6672A250AA23}"/>
    <cellStyle name="Style 159 16" xfId="18513" xr:uid="{5D7AF1E2-E3F5-43ED-9E01-4D1542951AC4}"/>
    <cellStyle name="Style 159 2" xfId="1175" xr:uid="{8971948E-6879-42E8-8616-041114A58C4D}"/>
    <cellStyle name="Style 159 2 2" xfId="2924" xr:uid="{672EFB09-05BC-40B0-97E3-712CCA842C85}"/>
    <cellStyle name="Style 159 2 2 2" xfId="21234" xr:uid="{17FCCE4F-6C1C-497B-A010-B2B5AD04BC40}"/>
    <cellStyle name="Style 159 2 3" xfId="18516" xr:uid="{DFCAFB7F-453C-4402-A44A-CF0181B685A0}"/>
    <cellStyle name="Style 159 3" xfId="1176" xr:uid="{4981C1BF-2FB4-470C-8AB4-33A888E65CE1}"/>
    <cellStyle name="Style 159 3 2" xfId="1177" xr:uid="{0301C6A7-08F8-4406-B1A1-F84252A45A64}"/>
    <cellStyle name="Style 159 3 2 2" xfId="1178" xr:uid="{E2110C19-86F4-4B77-97DB-D4FF975BD280}"/>
    <cellStyle name="Style 159 3 2 2 2" xfId="3890" xr:uid="{A9177DB1-DB79-4111-958D-21CD32F91014}"/>
    <cellStyle name="Style 159 3 2 2 2 2" xfId="21835" xr:uid="{66F639B2-5E2F-4CD0-998A-E6CE2DFA5424}"/>
    <cellStyle name="Style 159 3 2 2 3" xfId="18519" xr:uid="{9E405EEC-CEF1-4103-9244-8B8FB62A6231}"/>
    <cellStyle name="Style 159 3 2 3" xfId="2926" xr:uid="{04CD2273-256A-41A9-AD62-7C367C96E7A8}"/>
    <cellStyle name="Style 159 3 2 3 2" xfId="21236" xr:uid="{A0B42EC7-D90C-4E98-A6B3-DCB017248693}"/>
    <cellStyle name="Style 159 3 2 4" xfId="18518" xr:uid="{785C86E6-334C-4D0A-AF90-AAD2DAA2EBE2}"/>
    <cellStyle name="Style 159 3 3" xfId="1179" xr:uid="{BAF9AFA5-CB48-4126-91D4-26C97A2A7129}"/>
    <cellStyle name="Style 159 3 3 2" xfId="1180" xr:uid="{4CDB4B3E-985B-48C2-91FA-0AC469EE13C4}"/>
    <cellStyle name="Style 159 3 3 2 2" xfId="3892" xr:uid="{5D4D8DD5-471C-4F91-B0EC-E8076AB91B21}"/>
    <cellStyle name="Style 159 3 3 2 2 2" xfId="21837" xr:uid="{1083C24C-0334-464E-9335-829A43488381}"/>
    <cellStyle name="Style 159 3 3 2 3" xfId="18521" xr:uid="{AB231E2E-2A72-4B8E-98E7-1F7DE5EB7899}"/>
    <cellStyle name="Style 159 3 3 3" xfId="1181" xr:uid="{33F0884F-0914-4DF9-A387-C74B227F344B}"/>
    <cellStyle name="Style 159 3 3 3 2" xfId="1182" xr:uid="{624339B3-ED44-485A-B0FD-A913ACA2BDDD}"/>
    <cellStyle name="Style 159 3 3 3 2 2" xfId="3894" xr:uid="{9559198E-93C4-4D7D-A693-A655452A6980}"/>
    <cellStyle name="Style 159 3 3 3 2 2 2" xfId="21839" xr:uid="{029D2CB0-A23E-4E09-BCF2-C8DB580A0926}"/>
    <cellStyle name="Style 159 3 3 3 2 3" xfId="18523" xr:uid="{47EC4160-A17B-41DD-BB1C-5E67A7A99A7B}"/>
    <cellStyle name="Style 159 3 3 3 3" xfId="3895" xr:uid="{97DAB997-A924-40D9-9C1C-B12A87F8B2B3}"/>
    <cellStyle name="Style 159 3 3 3 3 2" xfId="18524" xr:uid="{2AAF5180-AF20-4926-BB24-A719BFC556C2}"/>
    <cellStyle name="Style 159 3 3 3 4" xfId="3896" xr:uid="{A76576ED-8C6F-4C3C-89AD-23999F06DEF8}"/>
    <cellStyle name="Style 159 3 3 3 4 2" xfId="19493" xr:uid="{21FD7964-A886-4599-8DF2-C0DF11D1D4AD}"/>
    <cellStyle name="Style 159 3 3 3 5" xfId="3893" xr:uid="{3F917475-07C3-4E94-8262-87AA79C25388}"/>
    <cellStyle name="Style 159 3 3 3 5 2" xfId="21838" xr:uid="{87195A85-269C-4751-9A41-43D9FDDD9E34}"/>
    <cellStyle name="Style 159 3 3 3 6" xfId="18522" xr:uid="{C999072A-E5EA-4EB7-8050-762DE9AE3114}"/>
    <cellStyle name="Style 159 3 3 4" xfId="1183" xr:uid="{59C42248-BEA9-4D1C-9E58-0C1D7C76DE20}"/>
    <cellStyle name="Style 159 3 3 4 2" xfId="1184" xr:uid="{1B3B0914-CFBD-478E-AD77-CA65113FD382}"/>
    <cellStyle name="Style 159 3 3 4 2 2" xfId="3898" xr:uid="{0DF1268A-6700-415C-B79A-5BA1CDF9A0D9}"/>
    <cellStyle name="Style 159 3 3 4 2 2 2" xfId="21841" xr:uid="{36C55700-BCF8-46E8-B2DA-047146F8A126}"/>
    <cellStyle name="Style 159 3 3 4 2 3" xfId="18526" xr:uid="{921AB6B4-B34F-450C-B719-58FFF6374A47}"/>
    <cellStyle name="Style 159 3 3 4 3" xfId="3897" xr:uid="{A46ADA7D-0F9C-4D06-A273-A36E24D15545}"/>
    <cellStyle name="Style 159 3 3 4 3 2" xfId="21840" xr:uid="{52585A02-4AA1-4113-B480-5509AD65AF88}"/>
    <cellStyle name="Style 159 3 3 4 4" xfId="18525" xr:uid="{BD61634F-49AD-47CD-B5D6-1ABAC561D879}"/>
    <cellStyle name="Style 159 3 3 5" xfId="3899" xr:uid="{CE2824C2-2DE8-4067-8D60-A90721816A1A}"/>
    <cellStyle name="Style 159 3 3 5 2" xfId="19494" xr:uid="{63DA9809-BEE3-4F33-94AE-3AC75E533843}"/>
    <cellStyle name="Style 159 3 3 6" xfId="3891" xr:uid="{D202EA0E-A551-486F-90FD-071BEABF95CA}"/>
    <cellStyle name="Style 159 3 3 6 2" xfId="21836" xr:uid="{599342E7-5AEE-4B95-91E2-4261226DC3B3}"/>
    <cellStyle name="Style 159 3 3 7" xfId="18520" xr:uid="{D30F376F-6110-4874-8444-4E37E434652E}"/>
    <cellStyle name="Style 159 3 4" xfId="1185" xr:uid="{330AF4FE-F6C7-4C7A-AFFD-E50A50738336}"/>
    <cellStyle name="Style 159 3 4 2" xfId="3901" xr:uid="{2D14B37B-D9F5-4D70-AC05-F9EB077A18E7}"/>
    <cellStyle name="Style 159 3 4 2 2" xfId="18528" xr:uid="{30A90EFA-4316-40C7-91C9-40859B51A465}"/>
    <cellStyle name="Style 159 3 4 3" xfId="3902" xr:uid="{5234D7AA-761B-4C33-A5BA-05246096114D}"/>
    <cellStyle name="Style 159 3 4 3 2" xfId="19495" xr:uid="{BAE55492-6D7A-412D-B4DE-4A3BFE78B367}"/>
    <cellStyle name="Style 159 3 4 4" xfId="3900" xr:uid="{5F407AAE-45EF-4754-B711-FF38B801D7D9}"/>
    <cellStyle name="Style 159 3 4 4 2" xfId="21842" xr:uid="{6377340D-C58E-4382-910A-65C4E33C3C2B}"/>
    <cellStyle name="Style 159 3 4 5" xfId="18527" xr:uid="{4535F5E0-CC92-4424-8E00-6B170457930E}"/>
    <cellStyle name="Style 159 3 5" xfId="3903" xr:uid="{07070708-01D8-43B8-9CBC-91E3499F0145}"/>
    <cellStyle name="Style 159 3 5 2" xfId="6435" xr:uid="{AC031B5C-46BD-4325-9DA6-1B3661FD3463}"/>
    <cellStyle name="Style 159 3 5 2 2" xfId="21843" xr:uid="{23E06E7C-1D14-4932-BFB3-463D6DE8EC7B}"/>
    <cellStyle name="Style 159 3 5 3" xfId="18529" xr:uid="{E368193E-C56B-4F34-9173-91804DB17C3C}"/>
    <cellStyle name="Style 159 3 6" xfId="2925" xr:uid="{412EADD8-3944-4474-B0D2-F14B651F59B4}"/>
    <cellStyle name="Style 159 3 6 2" xfId="21235" xr:uid="{076511F4-D62E-4270-A486-567A33DDFA19}"/>
    <cellStyle name="Style 159 3 7" xfId="18517" xr:uid="{61EE535B-9F4D-42EE-A846-4514A63EFC26}"/>
    <cellStyle name="Style 159 4" xfId="1186" xr:uid="{302402F8-A4AA-4322-A67F-A99DD758040D}"/>
    <cellStyle name="Style 159 4 2" xfId="1187" xr:uid="{7C2AEF0B-6723-46C2-93C9-57112F9083BA}"/>
    <cellStyle name="Style 159 4 2 2" xfId="1188" xr:uid="{2BD7A79F-845D-42CD-81DE-D67377309D92}"/>
    <cellStyle name="Style 159 4 2 2 2" xfId="3905" xr:uid="{3E90A8EA-7D2C-40DE-B186-E8498DCA4AE1}"/>
    <cellStyle name="Style 159 4 2 2 2 2" xfId="21845" xr:uid="{7FDA7D22-C57C-445F-9DE2-60254DA3EC90}"/>
    <cellStyle name="Style 159 4 2 2 3" xfId="18531" xr:uid="{8F2DC765-F330-42BF-B0FF-9E7BBC22CFF9}"/>
    <cellStyle name="Style 159 4 2 3" xfId="1189" xr:uid="{43CBC553-7135-4856-9ABB-855E777BAC7F}"/>
    <cellStyle name="Style 159 4 2 3 2" xfId="1190" xr:uid="{2D78B352-EDD5-497D-AFC1-5F5653EC60C9}"/>
    <cellStyle name="Style 159 4 2 3 2 2" xfId="3907" xr:uid="{27DDB8AC-EBF3-4BE1-B3C7-082CB63BE573}"/>
    <cellStyle name="Style 159 4 2 3 2 2 2" xfId="21847" xr:uid="{D91309E1-90B7-4986-951F-642FD1D66B93}"/>
    <cellStyle name="Style 159 4 2 3 2 3" xfId="18533" xr:uid="{F879C4B2-40CD-415A-AF00-3471B8BAD18F}"/>
    <cellStyle name="Style 159 4 2 3 3" xfId="3908" xr:uid="{88D10161-DF27-4849-A39C-E1E0B93FF34D}"/>
    <cellStyle name="Style 159 4 2 3 3 2" xfId="18534" xr:uid="{2BD68C0F-C6BD-4D9B-90EE-7062EC6830A2}"/>
    <cellStyle name="Style 159 4 2 3 4" xfId="3909" xr:uid="{8B6363E2-87DA-4EDB-85BE-61FA8BB2F9E3}"/>
    <cellStyle name="Style 159 4 2 3 4 2" xfId="19496" xr:uid="{6C8F7875-DED5-4F0E-9044-BF1C255B841B}"/>
    <cellStyle name="Style 159 4 2 3 5" xfId="3906" xr:uid="{6B78E50D-44F7-411F-9A0B-F5C656CE7960}"/>
    <cellStyle name="Style 159 4 2 3 5 2" xfId="21846" xr:uid="{ED84D45E-D562-47C2-9CB0-941BCC7C6F60}"/>
    <cellStyle name="Style 159 4 2 3 6" xfId="18532" xr:uid="{ADA45604-D7B4-4A90-BF9C-276BE9ADBF18}"/>
    <cellStyle name="Style 159 4 2 4" xfId="1191" xr:uid="{673508D9-4A42-4F2F-82A7-9CF42CAFDE3E}"/>
    <cellStyle name="Style 159 4 2 4 2" xfId="1192" xr:uid="{C39B7171-8502-483F-99B0-231C791FF062}"/>
    <cellStyle name="Style 159 4 2 4 2 2" xfId="3911" xr:uid="{27BBD6A7-D947-4C58-964C-FCF695672A73}"/>
    <cellStyle name="Style 159 4 2 4 2 2 2" xfId="21849" xr:uid="{D6021306-43C0-4236-90F6-0FB797A1866F}"/>
    <cellStyle name="Style 159 4 2 4 2 3" xfId="18536" xr:uid="{69DCC20E-98EA-4322-A604-6D919200B9C0}"/>
    <cellStyle name="Style 159 4 2 4 3" xfId="3910" xr:uid="{069A2F7E-0C9C-429B-AC9C-535A72042232}"/>
    <cellStyle name="Style 159 4 2 4 3 2" xfId="21848" xr:uid="{351B4A89-B8FC-4F9D-9A16-89F69D9DDF1C}"/>
    <cellStyle name="Style 159 4 2 4 4" xfId="18535" xr:uid="{8284964B-D4B9-4DB2-BF97-371779DB6296}"/>
    <cellStyle name="Style 159 4 2 5" xfId="3912" xr:uid="{2E64A7CD-3500-4407-B892-1C92864118FA}"/>
    <cellStyle name="Style 159 4 2 5 2" xfId="19497" xr:uid="{2A27DBEE-E8DC-435A-9F05-1C4CDB99227D}"/>
    <cellStyle name="Style 159 4 2 6" xfId="3904" xr:uid="{F24CF7D8-7144-433C-90D0-EAA5981ED02E}"/>
    <cellStyle name="Style 159 4 2 6 2" xfId="21844" xr:uid="{F841E8EF-5086-4CDB-8E92-327C4CD3F1CB}"/>
    <cellStyle name="Style 159 4 2 7" xfId="18530" xr:uid="{4D652B5A-55A1-4D41-A878-1DBFE5EF4CB6}"/>
    <cellStyle name="Style 159 4 3" xfId="1193" xr:uid="{34A3AE27-D649-4888-95B9-A2C6DC04DDBB}"/>
    <cellStyle name="Style 159 4 3 2" xfId="3913" xr:uid="{10AB650E-382A-4E58-9F8D-8BBD70EEF722}"/>
    <cellStyle name="Style 159 4 3 2 2" xfId="21850" xr:uid="{B880E50D-3003-4776-869E-392A0DFC8152}"/>
    <cellStyle name="Style 159 4 3 3" xfId="18537" xr:uid="{B3F7E3E5-7FDE-4B3A-858F-9D42A92C5A1E}"/>
    <cellStyle name="Style 159 4 4" xfId="3914" xr:uid="{C60D8E03-F707-4051-8948-A554D3552364}"/>
    <cellStyle name="Style 159 4 4 2" xfId="3915" xr:uid="{B823C444-9E29-405A-B487-8470C564DDC2}"/>
    <cellStyle name="Style 159 4 4 2 2" xfId="19498" xr:uid="{F3969381-8503-44A7-AB56-260402B16230}"/>
    <cellStyle name="Style 159 4 4 3" xfId="18538" xr:uid="{7A07554E-F45F-4B9D-9596-63100E71CF0A}"/>
    <cellStyle name="Style 159 4 5 2" xfId="20648" xr:uid="{60C46DF7-D4C6-411F-80C8-A52E127BF09E}"/>
    <cellStyle name="Style 159 4 6 2" xfId="21237" xr:uid="{D91BBDFE-094E-44BD-B57B-5761E798BE1B}"/>
    <cellStyle name="Style 159 5" xfId="1194" xr:uid="{A445462F-DD37-4EAE-9441-786F37DCFEEC}"/>
    <cellStyle name="Style 159 5 2 2" xfId="1195" xr:uid="{0E715119-6E81-4244-8944-F43B334C6BBC}"/>
    <cellStyle name="Style 159 5 2 2 2 2" xfId="21851" xr:uid="{BE337C0C-3A24-42D2-AD9A-9F91DFFFEA95}"/>
    <cellStyle name="Style 159 5 2 3" xfId="1196" xr:uid="{95A83FB1-783D-4206-9FFB-D385DAD6A1D2}"/>
    <cellStyle name="Style 159 5 2 3 2 2" xfId="3917" xr:uid="{7332D0A4-1B1A-47BE-81FD-0C260DADC119}"/>
    <cellStyle name="Style 159 5 2 3 2 3" xfId="18540" xr:uid="{1E114BE3-00BD-44CA-8FF2-BB2EC467121E}"/>
    <cellStyle name="Style 159 5 2 3 3 2" xfId="18541" xr:uid="{9CF2E993-E569-4599-9966-5F8B7E7C49A7}"/>
    <cellStyle name="Style 159 5 2 3 4 2" xfId="19499" xr:uid="{203658D6-CFAB-42E6-94D3-8D325F4EDF71}"/>
    <cellStyle name="Style 159 5 2 3 5 2" xfId="21852" xr:uid="{7BAB9B8F-62B4-4458-9C88-CACD769CA6C6}"/>
    <cellStyle name="Style 159 5 2 4" xfId="1197" xr:uid="{FA4C66C2-7095-4316-8965-A02BCEB51EBA}"/>
    <cellStyle name="Style 159 5 2 4 2 2" xfId="3918" xr:uid="{E8E97340-D86E-4EAE-829A-EEEE78B65C7F}"/>
    <cellStyle name="Style 159 5 2 4 2 3" xfId="18542" xr:uid="{9FD786DD-3F42-4160-91EC-EEF55991EC99}"/>
    <cellStyle name="Style 159 5 2 4 3 2" xfId="21853" xr:uid="{E1A0C3EC-C23D-4C59-BDFF-0A15685BC3E2}"/>
    <cellStyle name="Style 159 5 2 5" xfId="3919" xr:uid="{7CD37F33-6A8D-4A26-A4C7-0889D25854CF}"/>
    <cellStyle name="Style 159 5 2 6" xfId="3916" xr:uid="{75111787-8331-454B-800B-3749F33C1D56}"/>
    <cellStyle name="Style 159 5 2 7" xfId="18539" xr:uid="{20C5BD24-C00F-41A9-8069-3031B0062857}"/>
    <cellStyle name="Style 159 5 3 2" xfId="3920" xr:uid="{6F24C5BD-C3D0-4EA5-8ECD-E46545026AB6}"/>
    <cellStyle name="Style 159 5 3 3" xfId="18543" xr:uid="{FBB617B1-EFD4-44FD-B3B8-26B2887C6DCE}"/>
    <cellStyle name="Style 159 5 4 2" xfId="3921" xr:uid="{4C05CF4D-20A9-439E-B0A2-CEEB337498F2}"/>
    <cellStyle name="Style 159 5 4 3" xfId="18544" xr:uid="{986E1E0E-F0A3-46C5-9190-54CB4FDFAB31}"/>
    <cellStyle name="Style 159 5 5 2" xfId="20649" xr:uid="{258D75AE-A904-456B-B515-F750D539074C}"/>
    <cellStyle name="Style 159 5 6 2" xfId="21238" xr:uid="{67A12DD2-AA6C-43C3-9FE9-C4DBAEDF8FE3}"/>
    <cellStyle name="Style 159 6" xfId="1198" xr:uid="{8B36FE7F-D0F5-442E-A728-FFED57A00F93}"/>
    <cellStyle name="Style 159 6 2 2" xfId="3922" xr:uid="{67630B80-1291-47F5-A035-D9FC038E1EE7}"/>
    <cellStyle name="Style 159 6 2 3" xfId="18545" xr:uid="{76B01A1E-6CB4-461C-B65B-84A86294A483}"/>
    <cellStyle name="Style 159 6 3 2" xfId="1199" xr:uid="{11CF3AC5-D88D-4DE2-9CF0-5595270A9170}"/>
    <cellStyle name="Style 159 6 3 2 2 2" xfId="21855" xr:uid="{5D699278-7E9D-4A91-84DD-BC72E1BC5EB0}"/>
    <cellStyle name="Style 159 6 3 3" xfId="3924" xr:uid="{8C2A8BF7-6040-4322-8334-E07E3C49B1E3}"/>
    <cellStyle name="Style 159 6 3 4" xfId="3925" xr:uid="{927BBB89-01BA-4ED6-90C5-B2B9CE211C63}"/>
    <cellStyle name="Style 159 6 3 5" xfId="3923" xr:uid="{79925826-C7BF-4246-B914-BD20D638A2D4}"/>
    <cellStyle name="Style 159 6 3 6" xfId="18546" xr:uid="{2E4B595D-6AE0-4C38-8633-0CDBE013262E}"/>
    <cellStyle name="Style 159 6 4 2" xfId="1200" xr:uid="{70C69C0E-5DE4-40FC-B513-D24040233C84}"/>
    <cellStyle name="Style 159 6 4 2 2 2" xfId="21856" xr:uid="{E435FC93-AD66-48EB-9EF8-65B46E92ADBD}"/>
    <cellStyle name="Style 159 6 4 3" xfId="3926" xr:uid="{042580B1-5E1E-40C5-8139-680594490A63}"/>
    <cellStyle name="Style 159 6 4 4" xfId="18547" xr:uid="{42A86E67-CCE2-4CA0-ACE4-802B8AC7861F}"/>
    <cellStyle name="Style 159 6 5 2" xfId="19500" xr:uid="{1444DB40-19F4-4F23-A014-DC5418D8924C}"/>
    <cellStyle name="Style 159 6 6 2" xfId="21854" xr:uid="{FFEA29F1-684E-42D9-AF24-10F4578EC85F}"/>
    <cellStyle name="Style 159 7" xfId="1201" xr:uid="{553DD291-9AE8-442E-98D1-7FC8C04B6F28}"/>
    <cellStyle name="Style 159 7 2 2" xfId="3927" xr:uid="{01A2B4E0-BA39-4DD7-AB24-8C0EBBF0F43D}"/>
    <cellStyle name="Style 159 7 2 3" xfId="18548" xr:uid="{1466C2FD-C96E-4072-8E48-24D1B39B3C86}"/>
    <cellStyle name="Style 159 7 3 2" xfId="18549" xr:uid="{26A95678-F988-45EF-862F-2127686FE377}"/>
    <cellStyle name="Style 159 7 4 2" xfId="19501" xr:uid="{E8D7E824-7594-48FB-BE38-CD025667A51D}"/>
    <cellStyle name="Style 159 7 5 2" xfId="21857" xr:uid="{5B664734-F271-4A43-8F75-E60AFE516849}"/>
    <cellStyle name="Style 159 8" xfId="1202" xr:uid="{24E8E25C-9389-462E-82EE-5FC04DE44177}"/>
    <cellStyle name="Style 159 8 2 2" xfId="3929" xr:uid="{8ED58CC0-777D-4933-85DE-CCD6AE9536E4}"/>
    <cellStyle name="Style 159 8 2 3" xfId="18551" xr:uid="{DD12E078-B1BD-4260-A189-BDE64DF0F86B}"/>
    <cellStyle name="Style 159 8 3 2" xfId="18552" xr:uid="{AF223F51-AB89-41FC-ACCC-8BA65F81536D}"/>
    <cellStyle name="Style 159 8 4" xfId="3930" xr:uid="{154468BE-9251-4866-9E5F-95580BE42A94}"/>
    <cellStyle name="Style 159 8 4 2" xfId="19502" xr:uid="{A68E6A82-5C3A-4671-AA4C-EDC37F0BB76B}"/>
    <cellStyle name="Style 159 8 5" xfId="3928" xr:uid="{EAD73D2E-04C2-480F-9951-2AF63407A01C}"/>
    <cellStyle name="Style 159 8 5 2" xfId="21858" xr:uid="{E8D14A55-BB81-4A47-A38E-6D63055CA1EA}"/>
    <cellStyle name="Style 159 8 6" xfId="18550" xr:uid="{C23409DE-7558-4238-9246-AC1A9F561EC8}"/>
    <cellStyle name="Style 159 9" xfId="1203" xr:uid="{0DF012DA-3194-477F-80B3-96E57A8635BB}"/>
    <cellStyle name="Style 159 9 2" xfId="1204" xr:uid="{EC7502B2-5D9A-4CAE-BCD3-4AC5457BD9C2}"/>
    <cellStyle name="Style 159 9 2 2" xfId="3931" xr:uid="{E02B4C76-2139-467B-81C7-2CDF40DDF4CE}"/>
    <cellStyle name="Style 159 9 2 2 2" xfId="21860" xr:uid="{42733C12-9F3A-4B72-A85A-C6A71ECF6FC5}"/>
    <cellStyle name="Style 159 9 2 3" xfId="19503" xr:uid="{A4F557B0-42C0-4CD9-A4DF-A4A51CAF7909}"/>
    <cellStyle name="Style 159 9 3" xfId="2730" xr:uid="{61322C70-5055-491F-B7BD-5A21C46A6999}"/>
    <cellStyle name="Style 159 9 3 2" xfId="21859" xr:uid="{7CD11E14-D136-4D0E-854A-5A527398B229}"/>
    <cellStyle name="Style 159 9 4" xfId="18553" xr:uid="{6AEC167E-C2C0-4430-8C20-9638ECDA4EDE}"/>
    <cellStyle name="Style 159_ADDON" xfId="20514" xr:uid="{CBD6EE71-C51A-48F2-BFD0-70768F3D6E67}"/>
    <cellStyle name="Style 160" xfId="1205" xr:uid="{A6F218D0-9B14-4380-8FE1-78A04C1985FE}"/>
    <cellStyle name="Style 160 10" xfId="18554" xr:uid="{A7BFFE55-DBC3-4D9D-BB11-7AE4660510F1}"/>
    <cellStyle name="Style 160 2" xfId="1206" xr:uid="{3F86872C-F241-4E0E-982B-663854AEC318}"/>
    <cellStyle name="Style 160 2 2" xfId="6436" xr:uid="{F9EB1C7B-2C65-4791-A82E-AB6596924999}"/>
    <cellStyle name="Style 160 2 2 2" xfId="23038" xr:uid="{CBF89918-EA51-4071-9C9B-6FE47CA4B707}"/>
    <cellStyle name="Style 160 2 3" xfId="18555" xr:uid="{BA586EC9-7520-4A85-A3EC-4F081B873DC9}"/>
    <cellStyle name="Style 160 3" xfId="1207" xr:uid="{3F17217A-B8E0-4830-A771-CAF0990DB8A8}"/>
    <cellStyle name="Style 160 3 2" xfId="1208" xr:uid="{B075DB98-7AD7-4607-9380-E06C57F4C984}"/>
    <cellStyle name="Style 160 3 2 2" xfId="18557" xr:uid="{12764E78-8DBA-4EAA-8B72-0D5973E18627}"/>
    <cellStyle name="Style 160 3 3" xfId="1209" xr:uid="{66089AFD-C7E7-43CF-AAD4-4FA4D6330F28}"/>
    <cellStyle name="Style 160 3 3 2" xfId="1210" xr:uid="{FE531084-ECE6-4F19-A1BF-88E5B2D662B3}"/>
    <cellStyle name="Style 160 3 3 2 2" xfId="18559" xr:uid="{97C8527B-23B0-4E9B-9F47-C43960BCE944}"/>
    <cellStyle name="Style 160 3 3 3" xfId="3932" xr:uid="{E66B2336-154E-4079-BA38-FE229A9A0C19}"/>
    <cellStyle name="Style 160 3 3 3 2" xfId="18560" xr:uid="{975E14A8-3B80-47ED-8312-7A3708DB4F08}"/>
    <cellStyle name="Style 160 3 3 4" xfId="3933" xr:uid="{A4E5D9C1-A229-4F70-B91A-C9AFAD97EBAF}"/>
    <cellStyle name="Style 160 3 3 4 2" xfId="19504" xr:uid="{237392EE-8064-4D73-BF7F-92E46AB45C64}"/>
    <cellStyle name="Style 160 3 3 5" xfId="18558" xr:uid="{9CF1DD77-55F2-4352-B4D4-27F81C210AC9}"/>
    <cellStyle name="Style 160 3 4" xfId="1211" xr:uid="{9940712F-81F9-4251-AB6F-9E2B10CCB3E6}"/>
    <cellStyle name="Style 160 3 4 2" xfId="1212" xr:uid="{66527FA5-5A77-4DC0-BFA7-F8A9B95472A5}"/>
    <cellStyle name="Style 160 3 4 2 2" xfId="18562" xr:uid="{222820B9-CEAD-461A-83E7-855FBADD208F}"/>
    <cellStyle name="Style 160 3 4 3" xfId="18561" xr:uid="{85FA6554-1A5F-4B8D-B0F9-21DCF7AE68FD}"/>
    <cellStyle name="Style 160 3 5" xfId="3934" xr:uid="{284C3D38-D68B-4AFE-BBDB-2AFD5F772D72}"/>
    <cellStyle name="Style 160 3 5 2" xfId="19505" xr:uid="{EDBF736A-31BE-4A49-90F2-8CFB3079321E}"/>
    <cellStyle name="Style 160 3 6" xfId="18556" xr:uid="{EE7AE7B8-1183-4619-A7EB-B6250E78564C}"/>
    <cellStyle name="Style 160 4" xfId="1213" xr:uid="{44BB779F-09FD-4DF3-8B7F-73A113129ED4}"/>
    <cellStyle name="Style 160 4 2" xfId="1214" xr:uid="{4DAC5C0C-BA00-4743-B731-E2CB98A45FFF}"/>
    <cellStyle name="Style 160 4 2 2" xfId="18564" xr:uid="{F66E172B-C0AA-478A-8C5F-61665B9D3BCC}"/>
    <cellStyle name="Style 160 4 3" xfId="3935" xr:uid="{568AF906-A4C5-4152-9346-8C371CF4FD05}"/>
    <cellStyle name="Style 160 4 3 2" xfId="18565" xr:uid="{04A20843-3445-40AF-8904-969DB3BD82B7}"/>
    <cellStyle name="Style 160 4 4" xfId="3936" xr:uid="{7A91E2F3-DE27-4605-BECD-FC59280A8DE3}"/>
    <cellStyle name="Style 160 4 4 2" xfId="19506" xr:uid="{CAA9821F-9D0E-45D0-9094-DD79FAA2B8BF}"/>
    <cellStyle name="Style 160 4 5" xfId="18563" xr:uid="{01DFAD53-4E48-4CC0-8537-60755459EDAE}"/>
    <cellStyle name="Style 160 5" xfId="1215" xr:uid="{4110688F-0384-42F0-81DB-6CEEBCB07D48}"/>
    <cellStyle name="Style 160 5 2" xfId="1216" xr:uid="{0A601379-1F1E-41A9-99BC-CE02E0B0ED3C}"/>
    <cellStyle name="Style 160 5 2 2" xfId="18567" xr:uid="{0CB95A36-BAEF-45CC-A904-ECD56C18008D}"/>
    <cellStyle name="Style 160 5 3" xfId="18566" xr:uid="{6B105520-F68D-433F-8CE4-EDEA8320C645}"/>
    <cellStyle name="Style 160 6" xfId="1217" xr:uid="{FC36EC93-7D22-4634-AFE8-E37787FCA375}"/>
    <cellStyle name="Style 160 6 2" xfId="1218" xr:uid="{CD7D5035-B602-4FA7-B2FD-06151CC68AFB}"/>
    <cellStyle name="Style 160 6 2 2" xfId="19507" xr:uid="{34E7E101-BA98-4EA9-9D80-A284C0576FB5}"/>
    <cellStyle name="Style 160 6 3" xfId="2732" xr:uid="{D6D9E4E1-AA08-42CC-B7FB-1BA3F37B2D62}"/>
    <cellStyle name="Style 160 6 3 2" xfId="22515" xr:uid="{8B7B5A25-E831-482B-AE17-B1F297B0A981}"/>
    <cellStyle name="Style 160 6 4" xfId="18568" xr:uid="{71372BFB-3FDD-4FE4-8266-B3743F3CD70B}"/>
    <cellStyle name="Style 160 7" xfId="2731" xr:uid="{56819791-342B-4BE9-A895-26F64C58DEE2}"/>
    <cellStyle name="Style 160 7 2" xfId="3938" xr:uid="{5BEFA1AA-78B9-406A-86A2-E00404C84484}"/>
    <cellStyle name="Style 160 7 2 2" xfId="19508" xr:uid="{EA27C2D6-16B3-49A7-B6A7-84DED93FA903}"/>
    <cellStyle name="Style 160 7 3" xfId="3937" xr:uid="{562D619F-A68A-47FB-BCAF-1E74514E83BC}"/>
    <cellStyle name="Style 160 7 3 2" xfId="33677" xr:uid="{CE6B71A5-64E8-4916-A74A-0A6A64FD5FBA}"/>
    <cellStyle name="Style 160 7 4" xfId="18569" xr:uid="{10D3FE92-39AD-404C-A756-322F8AA0E65E}"/>
    <cellStyle name="Style 160 8" xfId="3939" xr:uid="{351C156A-5708-4881-9D14-00CDA805BBFB}"/>
    <cellStyle name="Style 160 8 2" xfId="19509" xr:uid="{C81224D0-13C6-40B3-87E4-158D19553897}"/>
    <cellStyle name="Style 160 9" xfId="6437" xr:uid="{5E16B959-FAB3-41C7-AC36-47915B28A0A0}"/>
    <cellStyle name="Style 160 9 2" xfId="21239" xr:uid="{1938A510-A40F-4332-88BC-5CD6B742C24C}"/>
    <cellStyle name="Style 160_ADDON" xfId="20494" xr:uid="{3888B015-75D5-482D-A9D7-E440DEE3E454}"/>
    <cellStyle name="Style 161" xfId="1219" xr:uid="{68A73367-A5B4-452A-8F32-196DBBAD5056}"/>
    <cellStyle name="Style 161 2" xfId="1220" xr:uid="{C967696C-5517-43A2-843F-27139DFB7A7A}"/>
    <cellStyle name="Style 161 2 2" xfId="1221" xr:uid="{6B5D66BE-6256-4205-B162-392160268A69}"/>
    <cellStyle name="Style 161 2 2 2" xfId="1222" xr:uid="{28F01CF9-C4EE-4609-9E34-FA0F10242412}"/>
    <cellStyle name="Style 161 2 2 2 2" xfId="1223" xr:uid="{093C60C1-BD5E-45A2-84E1-E7A9C2C6DA62}"/>
    <cellStyle name="Style 161 2 2 2 2 2" xfId="1224" xr:uid="{AFB3F8FD-8D48-46A8-A5E9-EE2715188CD7}"/>
    <cellStyle name="Style 161 2 2 2 2 2 2" xfId="6438" xr:uid="{58356B35-0BCC-45F3-8219-2DDBB1805A9A}"/>
    <cellStyle name="Style 161 2 2 2 2 3" xfId="6439" xr:uid="{E49183A8-B525-485A-826C-FA8F5F423909}"/>
    <cellStyle name="Style 161 2 2 2 3" xfId="1225" xr:uid="{9BB68783-A32A-42F9-B4BB-DA46976B31F6}"/>
    <cellStyle name="Style 161 2 2 2 3 2" xfId="6440" xr:uid="{DAA53783-BB80-413E-8C52-3BF2145AAACB}"/>
    <cellStyle name="Style 161 2 2 2 4" xfId="6441" xr:uid="{4BD40841-81B1-4EC0-8299-62B3F26537FE}"/>
    <cellStyle name="Style 161 2 2 3" xfId="1226" xr:uid="{72015A48-58F4-4E00-8044-B04046EA1A86}"/>
    <cellStyle name="Style 161 2 2 3 2" xfId="1227" xr:uid="{FE7B6F84-E005-4576-A94A-169CCC93B55C}"/>
    <cellStyle name="Style 161 2 2 3 2 2" xfId="6442" xr:uid="{5F7C688C-24E4-4668-8361-2B53967593F4}"/>
    <cellStyle name="Style 161 2 2 3 3" xfId="6443" xr:uid="{3A7B74D2-A647-4750-8042-7F6B6AA824F4}"/>
    <cellStyle name="Style 161 2 2 4" xfId="1228" xr:uid="{314427CE-7702-49E4-ABE3-B459BDC6090C}"/>
    <cellStyle name="Style 161 2 2 4 2" xfId="6444" xr:uid="{B158B5AD-CFBB-4A84-9198-015D47FDBFCC}"/>
    <cellStyle name="Style 161 2 2 5" xfId="6445" xr:uid="{25F085CA-6840-4C1F-A126-A0F91362F29D}"/>
    <cellStyle name="Style 161 2 3" xfId="1229" xr:uid="{7A17B129-2905-4BE4-B921-0E15360F9177}"/>
    <cellStyle name="Style 161 2 3 2" xfId="1230" xr:uid="{2FB2F56A-BE33-4685-A5EF-04B70B9FB6C4}"/>
    <cellStyle name="Style 161 2 3 2 2" xfId="1231" xr:uid="{372AE389-33E3-4316-ACA5-EE4D27F253E9}"/>
    <cellStyle name="Style 161 2 3 2 2 2" xfId="6446" xr:uid="{902D3208-0E55-4F0B-B6D5-3995699D81DC}"/>
    <cellStyle name="Style 161 2 3 2 3" xfId="6447" xr:uid="{EAFC08CD-B25B-447A-B19C-5A59627165D2}"/>
    <cellStyle name="Style 161 2 3 3" xfId="1232" xr:uid="{BECB5DB3-8D5C-487F-B272-85B6FEC547E4}"/>
    <cellStyle name="Style 161 2 3 3 2" xfId="6448" xr:uid="{3CE08C9D-45A4-4D3D-9024-6411B95CD4BC}"/>
    <cellStyle name="Style 161 2 3 4" xfId="6449" xr:uid="{2650837A-61AF-4882-8078-6B47483BE8C1}"/>
    <cellStyle name="Style 161 2 4" xfId="1233" xr:uid="{C87F8B2C-0C22-48F6-AF01-81D9DFFBAA6F}"/>
    <cellStyle name="Style 161 2 4 2" xfId="1234" xr:uid="{D58E856E-E800-45C7-9168-DEFB05353F48}"/>
    <cellStyle name="Style 161 2 4 2 2" xfId="6450" xr:uid="{9EC0B9B9-62C6-480E-B059-E64D9342D666}"/>
    <cellStyle name="Style 161 2 4 3" xfId="6451" xr:uid="{8282A2AB-B4E6-4295-83E2-20ED569FFACF}"/>
    <cellStyle name="Style 161 2 5" xfId="1235" xr:uid="{A256B5E4-7F21-4CE4-8AE6-2C70ACD1E129}"/>
    <cellStyle name="Style 161 2 5 2" xfId="6452" xr:uid="{CB391060-1E3A-404B-A316-37A58BD38AF2}"/>
    <cellStyle name="Style 161 2 6" xfId="6453" xr:uid="{FD04E2DB-E650-4AA0-85B7-9016009DF817}"/>
    <cellStyle name="Style 161 3" xfId="1236" xr:uid="{FE6431D4-D640-42C5-87D3-BF608F8CC915}"/>
    <cellStyle name="Style 161 3 2" xfId="1237" xr:uid="{DB6CA963-6407-4400-80DE-872B79BCB1AE}"/>
    <cellStyle name="Style 161 3 2 2" xfId="1238" xr:uid="{F426A2F0-434D-474B-ABEA-C786A7A78D06}"/>
    <cellStyle name="Style 161 3 2 2 2" xfId="1239" xr:uid="{88756BBC-13A4-4FF4-A13B-99E254DFC8BF}"/>
    <cellStyle name="Style 161 3 2 2 2 2" xfId="1240" xr:uid="{31A13E00-43F9-48FC-98DA-0DBD85497B42}"/>
    <cellStyle name="Style 161 3 2 2 2 2 2" xfId="6454" xr:uid="{644F6BA4-29AE-4591-8F5F-2E6417697017}"/>
    <cellStyle name="Style 161 3 2 2 2 3" xfId="6455" xr:uid="{C197CB72-0BB4-4B98-B411-102DDF4DA4CA}"/>
    <cellStyle name="Style 161 3 2 2 3" xfId="1241" xr:uid="{36839397-60CF-4BD0-A61F-F1591D019C8B}"/>
    <cellStyle name="Style 161 3 2 2 3 2" xfId="6456" xr:uid="{425E446F-FA8D-403F-8427-BEA41AAED621}"/>
    <cellStyle name="Style 161 3 2 2 4" xfId="6457" xr:uid="{E0FEF6AE-9FDF-4D67-B646-B65E6C6CD4DF}"/>
    <cellStyle name="Style 161 3 2 3" xfId="1242" xr:uid="{B29949FC-03C7-48C0-8032-7043E997B5D5}"/>
    <cellStyle name="Style 161 3 2 3 2" xfId="1243" xr:uid="{3677B8D4-EEEB-4A7A-93DB-2FA5171C2B45}"/>
    <cellStyle name="Style 161 3 2 3 2 2" xfId="6458" xr:uid="{546B1EEB-D204-4487-A62C-D2C590F392CA}"/>
    <cellStyle name="Style 161 3 2 3 3" xfId="6459" xr:uid="{5DDE81C6-CF39-47BF-ACC3-0C1F3BA32BDF}"/>
    <cellStyle name="Style 161 3 2 4" xfId="1244" xr:uid="{FF5C64FA-93A0-4E75-8FA4-40B18A207A42}"/>
    <cellStyle name="Style 161 3 2 4 2" xfId="6460" xr:uid="{11692942-8684-4C9F-BB49-96DB4EA771F4}"/>
    <cellStyle name="Style 161 3 2 5" xfId="6461" xr:uid="{F8405A78-E4FF-4B19-9B16-5A1B9E1C5A8A}"/>
    <cellStyle name="Style 161 3 3" xfId="1245" xr:uid="{680959B6-3881-430F-AB45-7EBCCD936F43}"/>
    <cellStyle name="Style 161 3 3 2" xfId="1246" xr:uid="{704B19A2-FA2B-4BCA-A4BE-B6DB990C214A}"/>
    <cellStyle name="Style 161 3 3 2 2" xfId="1247" xr:uid="{A6280260-11CE-4ECB-BD7C-B3B62EA29495}"/>
    <cellStyle name="Style 161 3 3 2 2 2" xfId="1248" xr:uid="{4090E38C-F722-45A9-A424-49D64D5363AF}"/>
    <cellStyle name="Style 161 3 3 2 2 2 2" xfId="6462" xr:uid="{9E62E41F-DEA0-4E07-B4DA-78BD8159EC9C}"/>
    <cellStyle name="Style 161 3 3 2 2 3" xfId="6463" xr:uid="{69855B97-91C1-4BDF-BE8F-65982B7452EE}"/>
    <cellStyle name="Style 161 3 3 2 3" xfId="1249" xr:uid="{2CFF2427-491B-4BE3-9030-F386EA4517E1}"/>
    <cellStyle name="Style 161 3 3 2 3 2" xfId="6464" xr:uid="{7A7E85F7-396C-474B-A8ED-57EA04EA7744}"/>
    <cellStyle name="Style 161 3 3 2 4" xfId="6465" xr:uid="{A47D3712-5B80-416B-A373-395BD0D806C5}"/>
    <cellStyle name="Style 161 3 3 3" xfId="1250" xr:uid="{D840DF8A-619D-4A4A-AFED-A519A5190D29}"/>
    <cellStyle name="Style 161 3 3 3 2" xfId="6466" xr:uid="{FA381A4A-6BE1-4DFC-88E3-6BFE937E828F}"/>
    <cellStyle name="Style 161 3 3 4" xfId="3940" xr:uid="{70DC3634-8E39-4901-939B-56DB0C057D30}"/>
    <cellStyle name="Style 161 3 3 5" xfId="6467" xr:uid="{AC5A9FA6-862F-4D1A-B4F1-33D1095839DD}"/>
    <cellStyle name="Style 161 3 4" xfId="1251" xr:uid="{BAA13DC1-778D-420D-9042-7C5A4715FA99}"/>
    <cellStyle name="Style 161 3 4 2" xfId="1252" xr:uid="{BBD023B0-6893-43AA-88A1-0EB19F67F4A4}"/>
    <cellStyle name="Style 161 3 4 2 2" xfId="6468" xr:uid="{17D9874A-9E25-4DE1-B864-C428157E76B3}"/>
    <cellStyle name="Style 161 3 4 3" xfId="6469" xr:uid="{F289DA97-E2C4-41FD-AD50-1F1204FDDB82}"/>
    <cellStyle name="Style 161 3 5" xfId="1253" xr:uid="{403FB4FA-C360-4021-A4B1-264AFA45038E}"/>
    <cellStyle name="Style 161 3 5 2" xfId="6470" xr:uid="{53BE7B0C-F285-4ED7-8FC2-AE47746296A8}"/>
    <cellStyle name="Style 161 3 6" xfId="6471" xr:uid="{27741023-6512-4132-889D-3010FF1F3A6A}"/>
    <cellStyle name="Style 161 4" xfId="1254" xr:uid="{D02E7E14-FB7C-4826-A80C-ACC746213A97}"/>
    <cellStyle name="Style 161 4 2" xfId="1255" xr:uid="{FBC0220B-EEB8-4777-B467-F1B6AB888C02}"/>
    <cellStyle name="Style 161 4 2 2" xfId="1256" xr:uid="{13131D5B-1995-4C59-986E-9E510A409A9F}"/>
    <cellStyle name="Style 161 4 2 2 2" xfId="1257" xr:uid="{EAC24EF1-4BCE-40D3-95E2-3AF7DA80A465}"/>
    <cellStyle name="Style 161 4 2 2 2 2" xfId="6472" xr:uid="{59CF0605-D487-422B-9A01-BF70965F6D68}"/>
    <cellStyle name="Style 161 4 2 2 3" xfId="6473" xr:uid="{F25AB528-6458-4C30-ACF3-724B0E45829F}"/>
    <cellStyle name="Style 161 4 2 3" xfId="1258" xr:uid="{6CD8C999-716B-4D92-9019-BDFDA1305190}"/>
    <cellStyle name="Style 161 4 2 3 2" xfId="6474" xr:uid="{CB11011B-F218-46F0-B7DC-F637C1651052}"/>
    <cellStyle name="Style 161 4 2 4" xfId="6475" xr:uid="{9BE40229-698B-48B6-AE00-821A5BF68F83}"/>
    <cellStyle name="Style 161 4 3" xfId="1259" xr:uid="{1DAF134E-B1ED-4E43-A165-34524D0CC541}"/>
    <cellStyle name="Style 161 4 3 2" xfId="6476" xr:uid="{3977B9AF-D861-465C-8B65-D0E7B8034234}"/>
    <cellStyle name="Style 161 4 4" xfId="3941" xr:uid="{D4C91E8F-19A0-42AC-9DD4-F3E9E89708A6}"/>
    <cellStyle name="Style 161 4 5" xfId="6477" xr:uid="{63B4489F-243A-4388-9410-5D4A270FA177}"/>
    <cellStyle name="Style 161 5" xfId="1260" xr:uid="{27FE5009-1FEA-46DF-8521-A8DC8A8EB951}"/>
    <cellStyle name="Style 161 5 2" xfId="1261" xr:uid="{8CB8AEC0-27C2-41F7-8EFA-219456B0514C}"/>
    <cellStyle name="Style 161 5 2 2" xfId="6478" xr:uid="{7A4F6509-2137-40E8-9975-B3147C53D4E2}"/>
    <cellStyle name="Style 161 5 3" xfId="6479" xr:uid="{0FC15061-7CF6-449D-8D2B-CC62B59980A7}"/>
    <cellStyle name="Style 161 6" xfId="1262" xr:uid="{869C74C2-E577-40A4-BD27-EB92FB082EA8}"/>
    <cellStyle name="Style 161 6 2" xfId="2734" xr:uid="{4A0B7CDC-A9D4-49C9-BECD-0A77121946D3}"/>
    <cellStyle name="Style 161 6 2 2" xfId="3942" xr:uid="{F2A4616F-C1F4-4BD0-8BF5-F19492F520AA}"/>
    <cellStyle name="Style 161 6 3" xfId="6480" xr:uid="{74AB8064-1294-4291-ACBA-BC07D767A1A9}"/>
    <cellStyle name="Style 161 7" xfId="2733" xr:uid="{AB12DE51-8ADA-43C8-8BE6-9AB1DF2491E2}"/>
    <cellStyle name="Style 161 7 2" xfId="3944" xr:uid="{4C10263B-1412-4A91-BACD-E86749FDA65C}"/>
    <cellStyle name="Style 161 7 3" xfId="3943" xr:uid="{6704F964-FF06-4916-AAAE-44F426E7DC30}"/>
    <cellStyle name="Style 161 8" xfId="3945" xr:uid="{F45F1E78-8F2D-43C3-A774-CBAFF2842B2A}"/>
    <cellStyle name="Style 161 9" xfId="6481" xr:uid="{AFAABE7F-A45F-475F-B3CF-7A2CF35C2213}"/>
    <cellStyle name="Style 161 9 2" xfId="21240" xr:uid="{32FEDE83-38AE-4F74-A8C4-A436BF35A40D}"/>
    <cellStyle name="Style 161_ADDON" xfId="20515" xr:uid="{F3D6A4E1-A646-4A5D-AB79-32CEA8C19068}"/>
    <cellStyle name="Style 162" xfId="1263" xr:uid="{028F0EFF-057D-43D4-BF5D-13D72FCBC980}"/>
    <cellStyle name="Style 162 10" xfId="18570" xr:uid="{90D5F9F1-CB24-4181-BCFE-B5B012F5114C}"/>
    <cellStyle name="Style 162 2" xfId="1264" xr:uid="{342AA14A-CC90-48C1-8245-A62F702B65F6}"/>
    <cellStyle name="Style 162 2 2" xfId="6482" xr:uid="{24741C93-ADAB-4224-AD13-4E04526FA78A}"/>
    <cellStyle name="Style 162 2 2 2" xfId="23039" xr:uid="{0479F052-A6BF-4023-A523-508215D19B39}"/>
    <cellStyle name="Style 162 2 3" xfId="18571" xr:uid="{C069B30A-249A-4239-9765-06223C8502B0}"/>
    <cellStyle name="Style 162 3" xfId="1265" xr:uid="{A88060E5-78A1-4E14-9AFB-6E6407D4B62A}"/>
    <cellStyle name="Style 162 3 2" xfId="1266" xr:uid="{E0D8E17B-57FC-4044-A53B-36B46BC98BAF}"/>
    <cellStyle name="Style 162 3 2 2" xfId="18573" xr:uid="{6D28DC43-217C-4487-A5D4-B6923312C15A}"/>
    <cellStyle name="Style 162 3 3" xfId="1267" xr:uid="{69CABC93-09C9-4771-BD88-A8BC85FB40D4}"/>
    <cellStyle name="Style 162 3 3 2" xfId="1268" xr:uid="{4815F39E-7928-457C-A269-749B113F0B28}"/>
    <cellStyle name="Style 162 3 3 2 2" xfId="18575" xr:uid="{86111F93-1399-42EA-9857-6A9FFF281FA0}"/>
    <cellStyle name="Style 162 3 3 3" xfId="3946" xr:uid="{940C6437-61CC-4E11-90BC-5E5B34AE74A7}"/>
    <cellStyle name="Style 162 3 3 3 2" xfId="18576" xr:uid="{2BE0A99C-3EB2-4486-9586-B1BC73EEA6A6}"/>
    <cellStyle name="Style 162 3 3 4" xfId="3947" xr:uid="{AFD21B1B-6E80-4E2B-B6AB-B0A621F5AD80}"/>
    <cellStyle name="Style 162 3 3 4 2" xfId="19510" xr:uid="{049C0E99-512C-46CD-87CE-473640A92509}"/>
    <cellStyle name="Style 162 3 3 5" xfId="18574" xr:uid="{7C1FFFF1-7543-4912-864B-0FDEC1DCE144}"/>
    <cellStyle name="Style 162 3 4" xfId="1269" xr:uid="{A4B86D5F-2BA7-4022-B28D-8D4995440A0D}"/>
    <cellStyle name="Style 162 3 4 2" xfId="1270" xr:uid="{0002537D-FADA-416B-AA6C-4C8483452B4E}"/>
    <cellStyle name="Style 162 3 4 2 2" xfId="18578" xr:uid="{AEA53599-F3AB-4C0B-BEDE-3C03A28F5DEB}"/>
    <cellStyle name="Style 162 3 4 3" xfId="18577" xr:uid="{25E9F700-C131-4CE9-878B-CF71DDC9864F}"/>
    <cellStyle name="Style 162 3 5" xfId="3948" xr:uid="{A47D3629-1EA4-47F0-8C0F-3F2D10A37301}"/>
    <cellStyle name="Style 162 3 5 2" xfId="19511" xr:uid="{AAD266F1-911D-4829-B517-AC0761D56D6F}"/>
    <cellStyle name="Style 162 3 6" xfId="18572" xr:uid="{25D4478F-E41B-486F-8224-E6A47D9127C2}"/>
    <cellStyle name="Style 162 4" xfId="1271" xr:uid="{D0871773-3707-4822-A1F3-8B20F8FA1752}"/>
    <cellStyle name="Style 162 4 2" xfId="1272" xr:uid="{C24E80A2-0F34-44BB-BD2D-649E13CE4E5A}"/>
    <cellStyle name="Style 162 4 2 2" xfId="18580" xr:uid="{0D351CDB-3C6B-4418-9008-B22D23A2F74E}"/>
    <cellStyle name="Style 162 4 3" xfId="3949" xr:uid="{172FAC07-8F81-410F-B382-D7AE70D2E548}"/>
    <cellStyle name="Style 162 4 3 2" xfId="18581" xr:uid="{F4DC0034-675D-4A12-9D6D-7E7FC7F94858}"/>
    <cellStyle name="Style 162 4 4" xfId="3950" xr:uid="{8E1855A8-86B5-4D8E-B4B2-D3DEF525D288}"/>
    <cellStyle name="Style 162 4 4 2" xfId="19512" xr:uid="{64E7072D-32F8-41C8-B44F-2DBE9B29473F}"/>
    <cellStyle name="Style 162 4 5" xfId="18579" xr:uid="{4571395A-DC48-456B-B827-D321B0CF6EF2}"/>
    <cellStyle name="Style 162 5" xfId="1273" xr:uid="{1128D099-8A48-4FD5-A098-237D53D9E7CA}"/>
    <cellStyle name="Style 162 5 2" xfId="1274" xr:uid="{AECAEDFC-770B-4A09-841E-4620BBAF5672}"/>
    <cellStyle name="Style 162 5 2 2" xfId="18583" xr:uid="{5B4DD1E0-D523-402C-AA41-AF279E459076}"/>
    <cellStyle name="Style 162 5 3" xfId="18582" xr:uid="{9C485892-C532-4EA2-9CB1-79B75C95D66A}"/>
    <cellStyle name="Style 162 6" xfId="1275" xr:uid="{6FFF17C9-564F-42D0-9FFD-C5B992F781BB}"/>
    <cellStyle name="Style 162 6 2" xfId="1276" xr:uid="{0FACBDDF-2478-4D63-9C9A-BC7E28820680}"/>
    <cellStyle name="Style 162 6 2 2" xfId="19513" xr:uid="{82508593-BB37-41C7-A8B8-B9C0A35AD4C8}"/>
    <cellStyle name="Style 162 6 3" xfId="2736" xr:uid="{98597E00-AEAE-4C57-8FBF-CEA1DAA1FBA9}"/>
    <cellStyle name="Style 162 6 3 2" xfId="22516" xr:uid="{4A0B7068-2ABD-4691-84DE-7FB729B3C347}"/>
    <cellStyle name="Style 162 6 4" xfId="18584" xr:uid="{17C03640-D46F-43AD-B5AE-2BA3C056AA55}"/>
    <cellStyle name="Style 162 7" xfId="2735" xr:uid="{898E440E-4155-45AD-934D-AB427CEB30BB}"/>
    <cellStyle name="Style 162 7 2" xfId="3952" xr:uid="{9FDBBD9B-F0A8-409F-9327-3115187DF792}"/>
    <cellStyle name="Style 162 7 2 2" xfId="19514" xr:uid="{82115954-071C-4D3A-9A0D-2C8F85B54F2B}"/>
    <cellStyle name="Style 162 7 3" xfId="3951" xr:uid="{83B4D3DB-4ECF-438E-A83D-305147401AB1}"/>
    <cellStyle name="Style 162 7 3 2" xfId="33678" xr:uid="{4B88A141-6105-453A-964D-E9D6FFC10C4D}"/>
    <cellStyle name="Style 162 7 4" xfId="18585" xr:uid="{3380BE22-AE96-4622-955A-889B0391F0E4}"/>
    <cellStyle name="Style 162 8" xfId="3953" xr:uid="{7799289B-A5B0-4A6A-BE81-1166517962E4}"/>
    <cellStyle name="Style 162 8 2" xfId="19515" xr:uid="{199DA9B1-2B97-4D3A-B69F-CC9D10C217F5}"/>
    <cellStyle name="Style 162 9" xfId="6483" xr:uid="{0570CB8A-81FD-4D9F-A4DF-F71F61A64041}"/>
    <cellStyle name="Style 162 9 2" xfId="21241" xr:uid="{10BF1369-8CFF-4197-9B15-D617157C1455}"/>
    <cellStyle name="Style 162_ADDON" xfId="20495" xr:uid="{11D58A61-7C22-4FD0-A69F-FE7D500DAE28}"/>
    <cellStyle name="Style 163" xfId="1277" xr:uid="{7864CAB1-47D0-4F63-B9AD-A4F4366680D7}"/>
    <cellStyle name="Style 163 10" xfId="1278" xr:uid="{0DE7CCA9-DE3E-4D56-9BED-22447EA730B3}"/>
    <cellStyle name="Style 163 10 2" xfId="1279" xr:uid="{670A44AE-33C9-4156-8D05-49B01C7C2BD3}"/>
    <cellStyle name="Style 163 10 2 2" xfId="3954" xr:uid="{11CBB50F-0BF3-404B-9A95-E8E704555879}"/>
    <cellStyle name="Style 163 10 2 2 2" xfId="21862" xr:uid="{A5AB1038-7FC2-4B65-A63C-99A738C3AE3C}"/>
    <cellStyle name="Style 163 10 2 3" xfId="19516" xr:uid="{F6F14E77-7A07-428C-A2DC-89497B251377}"/>
    <cellStyle name="Style 163 10 3" xfId="2737" xr:uid="{6CEF2FEF-5F1B-4315-BF5B-FD2A2EBF4B71}"/>
    <cellStyle name="Style 163 10 3 2" xfId="21861" xr:uid="{09162BA0-5A62-4A53-8D5A-0C8C45E94995}"/>
    <cellStyle name="Style 163 10 4" xfId="18587" xr:uid="{51DA9DEE-EF71-4ED0-B81C-E0906DE99226}"/>
    <cellStyle name="Style 163 11" xfId="1280" xr:uid="{C73E0547-A212-47CC-9782-9362F81D5A3B}"/>
    <cellStyle name="Style 163 11 2" xfId="1281" xr:uid="{75613B5A-7FC1-4B98-A543-61192B0ABFCA}"/>
    <cellStyle name="Style 163 11 2 2" xfId="3956" xr:uid="{2698B4A0-840D-4F78-B4AF-ABADA0C3346B}"/>
    <cellStyle name="Style 163 11 2 2 2" xfId="21864" xr:uid="{527E555B-B771-48A6-A580-28D011A35C04}"/>
    <cellStyle name="Style 163 11 2 3" xfId="19517" xr:uid="{36B935A4-6BA0-43F0-8EF6-72B65DC112DD}"/>
    <cellStyle name="Style 163 11 3" xfId="3955" xr:uid="{017272DD-9BAC-4113-8B3A-2D5B28D795EA}"/>
    <cellStyle name="Style 163 11 3 2" xfId="21863" xr:uid="{BD30C9DF-34D4-46A2-954C-533C9D103263}"/>
    <cellStyle name="Style 163 11 4" xfId="18588" xr:uid="{73C6593D-7D81-40C0-B48D-2266A1A5A27C}"/>
    <cellStyle name="Style 163 12" xfId="1282" xr:uid="{98D1AA0F-BD04-4E63-9620-62DB2B01A73E}"/>
    <cellStyle name="Style 163 12 2" xfId="3957" xr:uid="{6030D6CA-D102-455A-A762-9326F54A801E}"/>
    <cellStyle name="Style 163 12 2 2" xfId="21865" xr:uid="{A7A1B0EE-637E-41FD-87B2-4AD5DD1B17EB}"/>
    <cellStyle name="Style 163 12 3" xfId="6484" xr:uid="{36219C1F-70AF-41BE-BCDE-AF6F58B9BB04}"/>
    <cellStyle name="Style 163 12 3 2" xfId="23040" xr:uid="{55E93A72-27C8-4382-95FF-8E01C944ADE6}"/>
    <cellStyle name="Style 163 12 4" xfId="6485" xr:uid="{6DA5FE10-DB5D-4930-BDF3-DB6D842C01A1}"/>
    <cellStyle name="Style 163 12 4 2" xfId="23041" xr:uid="{41BD1A11-2CA6-40F6-A60E-F4D691BC1C3F}"/>
    <cellStyle name="Style 163 12 5" xfId="6486" xr:uid="{369F553A-4627-4F48-BA20-A3FD4022B1A6}"/>
    <cellStyle name="Style 163 12 5 2" xfId="23042" xr:uid="{1CB9F5ED-D18A-499B-8994-03F80C411850}"/>
    <cellStyle name="Style 163 12 6" xfId="6487" xr:uid="{B0B387F2-09DE-4188-BEDE-1C0C52801334}"/>
    <cellStyle name="Style 163 12 6 2" xfId="23043" xr:uid="{8A3A6011-F436-49FD-9E4E-CF7538F074EC}"/>
    <cellStyle name="Style 163 12 7" xfId="19518" xr:uid="{1F8DCAA8-58CC-4DDE-9F57-A95696EB949D}"/>
    <cellStyle name="Style 163 13" xfId="6488" xr:uid="{9FE25F2C-3D20-4CE3-9BBA-C653D3686316}"/>
    <cellStyle name="Style 163 13 2" xfId="6489" xr:uid="{CF628C9D-A9AC-4831-B4EF-20B78805D242}"/>
    <cellStyle name="Style 163 13 2 2" xfId="23044" xr:uid="{32A104F6-02AA-49C1-AE20-2255D83DB838}"/>
    <cellStyle name="Style 163 13 3" xfId="6490" xr:uid="{541D7CE2-76BA-43A3-BB87-27EA095806B6}"/>
    <cellStyle name="Style 163 13 3 2" xfId="23045" xr:uid="{5403F27C-C1C6-45EE-A112-67F5B9FBCD1B}"/>
    <cellStyle name="Style 163 13 4" xfId="21242" xr:uid="{931FBDA1-70C0-437D-B9C7-EFB2A4969149}"/>
    <cellStyle name="Style 163 14" xfId="6491" xr:uid="{BA1CC314-8C5F-482E-8CE1-62725801B618}"/>
    <cellStyle name="Style 163 14 2" xfId="6492" xr:uid="{4D728313-441D-469D-9157-7A0C849EB1FD}"/>
    <cellStyle name="Style 163 14 2 2" xfId="23047" xr:uid="{FBE1D08F-6576-4D47-878A-CD2D6CDCFFCC}"/>
    <cellStyle name="Style 163 14 3" xfId="23046" xr:uid="{219339BA-F781-4698-86A7-BDAE6B23FEB1}"/>
    <cellStyle name="Style 163 15" xfId="6493" xr:uid="{6091DD76-3E13-4661-B82F-CD118338B39F}"/>
    <cellStyle name="Style 163 15 2" xfId="6494" xr:uid="{BB99E1DF-4865-426D-BD77-8579348DB12F}"/>
    <cellStyle name="Style 163 15 2 2" xfId="23049" xr:uid="{EAAE1383-8A88-4D02-B40E-974BFB69227B}"/>
    <cellStyle name="Style 163 15 3" xfId="23048" xr:uid="{AF881595-7050-47B7-BA93-36EEE28B636B}"/>
    <cellStyle name="Style 163 16" xfId="18586" xr:uid="{6E41C159-C87B-4FAD-A674-4965A5C69F37}"/>
    <cellStyle name="Style 163 2" xfId="1283" xr:uid="{34B31EBF-805E-4B1C-B105-53DAF1A40F35}"/>
    <cellStyle name="Style 163 2 2" xfId="2927" xr:uid="{724DB730-1B5F-4444-A950-7AC5B4428D17}"/>
    <cellStyle name="Style 163 2 2 2" xfId="21243" xr:uid="{2325505E-0F7D-4A0D-8B26-F9D331FAB7D9}"/>
    <cellStyle name="Style 163 2 3" xfId="18589" xr:uid="{42CC44F0-C4C4-47E7-996E-9304496C5C97}"/>
    <cellStyle name="Style 163 3" xfId="1284" xr:uid="{D67A16FD-2D78-4558-BD87-92ADC834A876}"/>
    <cellStyle name="Style 163 3 2" xfId="1285" xr:uid="{CAFEE7BD-80A7-4495-B5F7-D17096E474CB}"/>
    <cellStyle name="Style 163 3 2 2" xfId="1286" xr:uid="{1A382349-5D48-4580-A9B0-B40B49E69609}"/>
    <cellStyle name="Style 163 3 2 2 2" xfId="3958" xr:uid="{172930E6-1BDE-4A11-BE36-5380D0C6EF97}"/>
    <cellStyle name="Style 163 3 2 2 2 2" xfId="21866" xr:uid="{30478131-2AF9-4651-B401-5B5B24AF0181}"/>
    <cellStyle name="Style 163 3 2 2 3" xfId="18592" xr:uid="{6E86FF11-4E59-418A-BD48-B9B748A7532B}"/>
    <cellStyle name="Style 163 3 2 3" xfId="2929" xr:uid="{8B384D3F-0ED7-4E91-B8A0-8F20C7FF64B9}"/>
    <cellStyle name="Style 163 3 2 3 2" xfId="21245" xr:uid="{34DD77BB-E6AC-4C27-8C90-3797AF1E51A1}"/>
    <cellStyle name="Style 163 3 2 4" xfId="18591" xr:uid="{0D3F3CB5-B936-4251-98F7-A35E8D12F5FE}"/>
    <cellStyle name="Style 163 3 3" xfId="1287" xr:uid="{C107C02F-34BA-4080-846B-AB2D3B8998F2}"/>
    <cellStyle name="Style 163 3 3 2" xfId="1288" xr:uid="{8B8C1186-3DFA-45C4-9CB2-490C1103A133}"/>
    <cellStyle name="Style 163 3 3 2 2" xfId="3960" xr:uid="{90A5C6D8-838D-43D1-A44B-8DF659C817AB}"/>
    <cellStyle name="Style 163 3 3 2 2 2" xfId="21868" xr:uid="{1247D999-4D0F-48F9-82EA-B31D87A72470}"/>
    <cellStyle name="Style 163 3 3 2 3" xfId="18594" xr:uid="{C87CB0EB-DF26-4A9D-A6C7-D5339E816E48}"/>
    <cellStyle name="Style 163 3 3 3" xfId="1289" xr:uid="{4D059357-6689-4845-9DE4-454937F45CA1}"/>
    <cellStyle name="Style 163 3 3 3 2" xfId="1290" xr:uid="{849C04CF-5695-4DE3-8AC4-6839E7230A5D}"/>
    <cellStyle name="Style 163 3 3 3 2 2" xfId="3962" xr:uid="{95CB016E-5E04-4353-947F-D70AC4F827E7}"/>
    <cellStyle name="Style 163 3 3 3 2 2 2" xfId="21870" xr:uid="{0F0542BD-3E47-46F2-970D-A88AB4A38334}"/>
    <cellStyle name="Style 163 3 3 3 2 3" xfId="18596" xr:uid="{0F8C79A8-F76D-4CD5-83BF-97CE3542D8E6}"/>
    <cellStyle name="Style 163 3 3 3 3" xfId="3963" xr:uid="{06313C36-DA1C-442F-88F9-1AD14F75CDB7}"/>
    <cellStyle name="Style 163 3 3 3 3 2" xfId="18597" xr:uid="{60D1DFC5-D110-4D92-B7AD-B95410E73197}"/>
    <cellStyle name="Style 163 3 3 3 4" xfId="3964" xr:uid="{15C43947-C998-4A42-8240-4A3504D7F360}"/>
    <cellStyle name="Style 163 3 3 3 4 2" xfId="19519" xr:uid="{D90B4A47-AFC7-4899-A97A-662002F0C2F5}"/>
    <cellStyle name="Style 163 3 3 3 5" xfId="3961" xr:uid="{050F9205-3656-4192-9AF1-722DB3F9A132}"/>
    <cellStyle name="Style 163 3 3 3 5 2" xfId="21869" xr:uid="{E9EE7DE0-2CE9-484D-8078-DF0B8208528E}"/>
    <cellStyle name="Style 163 3 3 3 6" xfId="18595" xr:uid="{7FD480E9-3FD5-418A-A081-AB6C3225770F}"/>
    <cellStyle name="Style 163 3 3 4" xfId="1291" xr:uid="{A882068D-B1B3-4070-801E-C0C5A8A5DFAA}"/>
    <cellStyle name="Style 163 3 3 4 2" xfId="1292" xr:uid="{C51CC16E-91D3-471A-B0C4-1D8C96B02206}"/>
    <cellStyle name="Style 163 3 3 4 2 2" xfId="3966" xr:uid="{81955969-6F32-42BD-BDC9-AADDA63C96B0}"/>
    <cellStyle name="Style 163 3 3 4 2 2 2" xfId="21872" xr:uid="{DB1CE406-FA64-4596-92D6-79E02C961275}"/>
    <cellStyle name="Style 163 3 3 4 2 3" xfId="18599" xr:uid="{C670ABA9-2890-4959-AAA9-926104DB3121}"/>
    <cellStyle name="Style 163 3 3 4 3" xfId="3965" xr:uid="{AB4EBCB0-92DE-4B14-B558-EF5E3992A34D}"/>
    <cellStyle name="Style 163 3 3 4 3 2" xfId="21871" xr:uid="{119BF00A-C2C7-49A4-BE87-13207015F3A0}"/>
    <cellStyle name="Style 163 3 3 4 4" xfId="18598" xr:uid="{F9639F28-B42F-49DE-934C-6D870FA98924}"/>
    <cellStyle name="Style 163 3 3 5" xfId="3967" xr:uid="{A0E4895A-5B14-4B0D-B554-2D9DDA99AE1D}"/>
    <cellStyle name="Style 163 3 3 5 2" xfId="19520" xr:uid="{471440FA-6786-4A92-A3BD-1F1F6EC89391}"/>
    <cellStyle name="Style 163 3 3 6" xfId="3959" xr:uid="{05EBDF16-863E-44A7-871B-AFBC5566B7AC}"/>
    <cellStyle name="Style 163 3 3 6 2" xfId="21867" xr:uid="{1A9C710D-097B-4CDC-88CA-A6A653C7A30D}"/>
    <cellStyle name="Style 163 3 3 7" xfId="18593" xr:uid="{359282D8-A1EC-433A-920B-3E53885BD884}"/>
    <cellStyle name="Style 163 3 4" xfId="1293" xr:uid="{0BE602DB-88D1-42D8-AD70-F7ADA573E039}"/>
    <cellStyle name="Style 163 3 4 2" xfId="3969" xr:uid="{C27115DB-564A-4CE0-87BB-E1674F9406E5}"/>
    <cellStyle name="Style 163 3 4 2 2" xfId="18601" xr:uid="{2CC71FFE-9136-48CC-95B6-33EDA38F3167}"/>
    <cellStyle name="Style 163 3 4 3" xfId="3970" xr:uid="{3DD60298-AA0D-4251-9FD5-D4665323EA35}"/>
    <cellStyle name="Style 163 3 4 3 2" xfId="19521" xr:uid="{D63A9CB9-E205-490A-A641-81B690276BD6}"/>
    <cellStyle name="Style 163 3 4 4" xfId="3968" xr:uid="{BB0B633C-47DF-4E1B-A664-4ABF30470BAD}"/>
    <cellStyle name="Style 163 3 4 4 2" xfId="21873" xr:uid="{802C88B4-043F-4AC0-87D9-A06924023A65}"/>
    <cellStyle name="Style 163 3 4 5" xfId="18600" xr:uid="{551D712F-71DD-4E6D-AB9A-E8A0FB0C6BD3}"/>
    <cellStyle name="Style 163 3 5" xfId="3971" xr:uid="{F0D2216C-EE6B-47C4-B4E7-BBD7250CEE5B}"/>
    <cellStyle name="Style 163 3 5 2" xfId="6495" xr:uid="{43C65C8A-99EC-4A89-BCA2-766729392B34}"/>
    <cellStyle name="Style 163 3 5 2 2" xfId="21874" xr:uid="{88741CA5-83F6-4D22-81D8-2B146987AE4A}"/>
    <cellStyle name="Style 163 3 5 3" xfId="18602" xr:uid="{3B2561B7-86B8-4462-876E-58950D4C6FD3}"/>
    <cellStyle name="Style 163 3 6" xfId="2928" xr:uid="{55D4E4DE-587B-4F70-86A2-B745E7790AC8}"/>
    <cellStyle name="Style 163 3 6 2" xfId="21244" xr:uid="{52973ED3-98B9-4335-AEC5-5BD706EC6F86}"/>
    <cellStyle name="Style 163 3 7" xfId="18590" xr:uid="{B8772D18-2266-427A-AA6E-BB1A268009C2}"/>
    <cellStyle name="Style 163 4" xfId="1294" xr:uid="{E11BA3B4-A9D4-463F-90C9-4E3808D80F73}"/>
    <cellStyle name="Style 163 4 2" xfId="1295" xr:uid="{DA2288DA-857A-4EEF-83F8-20865D861738}"/>
    <cellStyle name="Style 163 4 2 2" xfId="1296" xr:uid="{D00909BD-F370-4201-983D-06CE45AF640E}"/>
    <cellStyle name="Style 163 4 2 2 2" xfId="3973" xr:uid="{4A500538-B097-4D25-A393-105A7E47F376}"/>
    <cellStyle name="Style 163 4 2 2 2 2" xfId="21876" xr:uid="{237B5EBF-4E60-4F93-A17E-47F307A96C24}"/>
    <cellStyle name="Style 163 4 2 2 3" xfId="18604" xr:uid="{F2A7D3D7-15E0-4CAC-A384-B512BE90A76D}"/>
    <cellStyle name="Style 163 4 2 3" xfId="1297" xr:uid="{3F92AB9D-CECC-4C6E-BE88-A49F68FD5AC3}"/>
    <cellStyle name="Style 163 4 2 3 2" xfId="1298" xr:uid="{C555FC8E-A420-45EF-86A0-28432CA99389}"/>
    <cellStyle name="Style 163 4 2 3 2 2" xfId="3975" xr:uid="{A6B1C900-9B9B-41A6-9BF7-B0C2070F6B9D}"/>
    <cellStyle name="Style 163 4 2 3 2 2 2" xfId="21878" xr:uid="{33CC2088-32CA-406A-8E9F-DA889BDC769B}"/>
    <cellStyle name="Style 163 4 2 3 2 3" xfId="18606" xr:uid="{0B26B6B7-F09F-4E4F-BDAC-B0B5298B6A8E}"/>
    <cellStyle name="Style 163 4 2 3 3" xfId="3976" xr:uid="{EA0784F0-8F83-472F-A55B-A2DF32ED46FB}"/>
    <cellStyle name="Style 163 4 2 3 3 2" xfId="18607" xr:uid="{42F1D316-CFB5-4AD6-A49B-C334A18F0054}"/>
    <cellStyle name="Style 163 4 2 3 4" xfId="3977" xr:uid="{F369BE98-4CA4-4EF3-8CAE-6C87D182B01F}"/>
    <cellStyle name="Style 163 4 2 3 4 2" xfId="19522" xr:uid="{809790E5-EA76-4B40-A60A-C45671B83AE0}"/>
    <cellStyle name="Style 163 4 2 3 5" xfId="3974" xr:uid="{302345DE-8658-4A98-B3AB-D83990F66B41}"/>
    <cellStyle name="Style 163 4 2 3 5 2" xfId="21877" xr:uid="{DA283274-EE6F-4A03-9150-5C40AC6A5025}"/>
    <cellStyle name="Style 163 4 2 3 6" xfId="18605" xr:uid="{67660D26-C37B-4CFB-B8F5-1FE8740BE2F0}"/>
    <cellStyle name="Style 163 4 2 4 2" xfId="1299" xr:uid="{9010A7E5-78CE-473D-8B05-ED861914945E}"/>
    <cellStyle name="Style 163 4 2 4 2 2 2" xfId="21879" xr:uid="{EDA40635-421C-4BFD-A1AD-301A54CBCB03}"/>
    <cellStyle name="Style 163 4 2 4 3" xfId="3978" xr:uid="{C42C8F28-C2B1-4FA6-891B-0A17127098A6}"/>
    <cellStyle name="Style 163 4 2 4 4" xfId="18608" xr:uid="{0FD3776A-7C70-4332-B9AB-B92A3DDC77E8}"/>
    <cellStyle name="Style 163 4 2 5 2" xfId="19523" xr:uid="{A3587E91-D6ED-4347-810C-BB23595C8E9C}"/>
    <cellStyle name="Style 163 4 2 6 2" xfId="21875" xr:uid="{C0AE1C0D-2FAE-48FA-9D75-1726B9743CBB}"/>
    <cellStyle name="Style 163 4 3" xfId="1300" xr:uid="{F0146A03-00DA-418F-BBD0-789588D7DBBA}"/>
    <cellStyle name="Style 163 4 4" xfId="3979" xr:uid="{A92B8217-1AEB-4420-83B4-833DEDD7CDFE}"/>
    <cellStyle name="Style 163 4 5" xfId="3972" xr:uid="{11137519-FCD9-4869-BADD-3289CA80D8C7}"/>
    <cellStyle name="Style 163 4 7" xfId="18603" xr:uid="{041C5E52-1351-4661-991C-EE764C4C69F4}"/>
    <cellStyle name="Style 163 5 2 2 2" xfId="3981" xr:uid="{1A92F5F9-B0F7-49E3-A200-E62D7C50C673}"/>
    <cellStyle name="Style 163 5 2 3 2" xfId="1301" xr:uid="{C2B45525-75E3-4AEA-B35B-B3E48C7C1857}"/>
    <cellStyle name="Style 163 5 2 3 3" xfId="3983" xr:uid="{DD9DD83F-752D-48FE-936A-3A90D8F6F5E0}"/>
    <cellStyle name="Style 163 5 2 3 5" xfId="3982" xr:uid="{C90905F1-04A1-4A9F-A19C-D9A54F78A775}"/>
    <cellStyle name="Style 163 5 2 4 2" xfId="1302" xr:uid="{EF4D0C23-E0EF-414E-9F83-1208F8E6BAA5}"/>
    <cellStyle name="Style 163 5 2 4 3" xfId="3984" xr:uid="{A3AEC6DC-62BD-4ADE-B236-846580AB02E7}"/>
    <cellStyle name="Style 163 5 2 5 2" xfId="19524" xr:uid="{69AB55EC-9112-44B9-9163-4AE22F5311CF}"/>
    <cellStyle name="Style 163 5 3" xfId="1303" xr:uid="{FBA2F4AE-1F28-4466-B7B5-8ECEFC2066FE}"/>
    <cellStyle name="Style 163 5 4" xfId="3985" xr:uid="{7E9586E5-716D-478A-884E-CE027B4B0623}"/>
    <cellStyle name="Style 163 5 5" xfId="3980" xr:uid="{B7EE10D1-E18F-4D1D-B6E5-F1E4DC77FBDA}"/>
    <cellStyle name="Style 163 5 7" xfId="18609" xr:uid="{1B838C36-B10C-4E24-B954-DB2982D24188}"/>
    <cellStyle name="Style 163 6 2 2 2" xfId="21880" xr:uid="{343CD17E-00B0-490C-9A6B-D23529CC4332}"/>
    <cellStyle name="Style 163 6 3 2 2" xfId="3987" xr:uid="{9CFC4DBF-14CF-4205-B4F0-F87BF77B9D10}"/>
    <cellStyle name="Style 163 6 3 3 2" xfId="18610" xr:uid="{0F8B8ECE-E27C-4C57-8EBA-4F32A42F5C3E}"/>
    <cellStyle name="Style 163 6 3 5 2" xfId="21881" xr:uid="{C9405136-0A77-4990-8790-7099E50DD897}"/>
    <cellStyle name="Style 163 6 4 2 2" xfId="3988" xr:uid="{DD496530-C62B-4451-BDE0-586505C86654}"/>
    <cellStyle name="Style 163 6 4 3 2" xfId="21882" xr:uid="{4015E7AC-135E-4E73-87B2-112471D65DCC}"/>
    <cellStyle name="Style 163 6 6" xfId="3986" xr:uid="{CD069997-4B7A-431D-A09B-69B55ED3F995}"/>
    <cellStyle name="Style 163 7 2" xfId="1304" xr:uid="{2A49B1A8-73FC-4A5A-B37F-3417F74E91CD}"/>
    <cellStyle name="Style 163 7 3" xfId="3990" xr:uid="{0D125253-5A00-4427-A5EA-5D2E0DE34005}"/>
    <cellStyle name="Style 163 7 5" xfId="3989" xr:uid="{86677E0A-4AF3-4BA4-A57A-66874422ECEC}"/>
    <cellStyle name="Style 163 8 2" xfId="1305" xr:uid="{5FEC8674-C5ED-43A6-9D0C-5B11B67614AB}"/>
    <cellStyle name="Style 163 8 3" xfId="3992" xr:uid="{772655EC-7699-41E1-92FD-144E236D1BD5}"/>
    <cellStyle name="Style 163 8 5" xfId="3991" xr:uid="{AB7E3AF1-C375-4952-8361-95AD67A23A2F}"/>
    <cellStyle name="Style 163 9 2" xfId="1306" xr:uid="{A7C0B930-0CB7-482F-A5B7-44B8739A776B}"/>
    <cellStyle name="Style 163 9 3" xfId="2738" xr:uid="{905FCEA6-3771-41C8-BBD1-104ABC9CC1A5}"/>
    <cellStyle name="Style 164" xfId="1307" xr:uid="{554B2474-5B6D-423B-81CE-47F92B009934}"/>
    <cellStyle name="Style 164 2 2 2 2" xfId="1308" xr:uid="{7AFA900F-7FA8-458B-BE9E-7598A50E2FBF}"/>
    <cellStyle name="Style 164 2 2 2 3" xfId="1309" xr:uid="{A4483332-C1C6-41E1-B4B5-3A223883AC74}"/>
    <cellStyle name="Style 164 2 2 3 2" xfId="1310" xr:uid="{A6F0870A-84F8-468A-BCBA-ADF72225CE44}"/>
    <cellStyle name="Style 164 2 2 4 2" xfId="6496" xr:uid="{6C82D1AF-94CB-4F4A-992C-595C739F551E}"/>
    <cellStyle name="Style 164 2 3 2 2" xfId="1311" xr:uid="{BDA1344C-C7E7-463D-AF5B-B2C3785F966B}"/>
    <cellStyle name="Style 164 2 3 3 2" xfId="6497" xr:uid="{A89E5D8C-A1A2-47D5-9CF3-D0A935B33D9F}"/>
    <cellStyle name="Style 164 2 4 2 2" xfId="6498" xr:uid="{E005BC6D-9114-4E76-A2A4-A4162D0DE321}"/>
    <cellStyle name="Style 164 2 6" xfId="6499" xr:uid="{AB226FDE-CD31-4783-986F-F280BFA592AD}"/>
    <cellStyle name="Style 164 3 2 2 2" xfId="1312" xr:uid="{A432DA15-15D2-4A96-A7E2-05C2BF237D3A}"/>
    <cellStyle name="Style 164 3 2 2 3" xfId="1313" xr:uid="{1E3F2D41-55A9-4256-874B-63A8B1983650}"/>
    <cellStyle name="Style 164 3 2 3 2" xfId="1314" xr:uid="{D60FFBC8-91EE-4627-A0B9-13D6D3486E15}"/>
    <cellStyle name="Style 164 3 2 4 2" xfId="6500" xr:uid="{8DD41973-F1D4-42DE-92E9-AA7DA450DB08}"/>
    <cellStyle name="Style 164 3 3 2 2" xfId="1315" xr:uid="{9768EE00-B521-4559-A74E-3C06467B5373}"/>
    <cellStyle name="Style 164 3 3 2 3" xfId="1316" xr:uid="{913A7A74-D85D-4171-8DB6-178DD8F43236}"/>
    <cellStyle name="Style 164 3 3 3 2" xfId="6501" xr:uid="{BE678106-8D49-46D7-9D15-E74A1B7D420A}"/>
    <cellStyle name="Style 164 3 4 2" xfId="1317" xr:uid="{72131DD2-B7B8-4B7B-96E9-68E06E302352}"/>
    <cellStyle name="Style 164 3 5 2" xfId="6502" xr:uid="{0A5DB774-AC6C-4E86-9A45-8B635EB3632C}"/>
    <cellStyle name="Style 164 4 2 2" xfId="1318" xr:uid="{796CD386-DB18-4D5D-AC15-13F37919E7EA}"/>
    <cellStyle name="Style 164 4 2 3" xfId="1319" xr:uid="{4315B683-D478-421A-AB58-01B9387B4F0A}"/>
    <cellStyle name="Style 164 4 3 2" xfId="6503" xr:uid="{3FAF233E-88A0-4009-8A19-E83C9AA6C931}"/>
    <cellStyle name="Style 164 5 2" xfId="1320" xr:uid="{87A32104-DF7A-47DF-9F4C-71A9D5170F7B}"/>
    <cellStyle name="Style 164 6 2" xfId="2739" xr:uid="{FACBFF06-A5E4-4751-A8C7-4FF3BA5F5576}"/>
    <cellStyle name="Style 164 7 2" xfId="3993" xr:uid="{E12CBFFD-32FF-4484-AA08-CEA9151F39B7}"/>
    <cellStyle name="Style 164 9 2" xfId="21246" xr:uid="{4C86284F-2723-4684-9259-464FFED657E6}"/>
    <cellStyle name="Style 165 2 2" xfId="1321" xr:uid="{C1F4E108-7F95-4BB3-B916-CE219F34FAF5}"/>
    <cellStyle name="Style 165 2 2 2 2 2 2" xfId="6504" xr:uid="{D1AFACC0-ED24-4C93-A00C-E1684A719912}"/>
    <cellStyle name="Style 165 2 2 2 4" xfId="6505" xr:uid="{AAF4D8E6-4114-4EB8-9819-327D36DCF4A5}"/>
    <cellStyle name="Style 165 2 2 3 3" xfId="6506" xr:uid="{C79A7044-D43A-48E6-BAA0-43BF57571926}"/>
    <cellStyle name="Style 165 2 3" xfId="1322" xr:uid="{C991437B-C4F8-4539-A513-718841693592}"/>
    <cellStyle name="Style 165 2 3 2 3" xfId="6507" xr:uid="{D80CA032-EADA-48BC-ADCE-D66F9DCBE5ED}"/>
    <cellStyle name="Style 165 2 4" xfId="1323" xr:uid="{B6A4BB15-5001-4675-ABD5-40AD24364361}"/>
    <cellStyle name="Style 165 2 5" xfId="1324" xr:uid="{6F0B15B8-47F6-4637-829A-8AEADB7FA6A9}"/>
    <cellStyle name="Style 165 3 2" xfId="1325" xr:uid="{A2DC37EF-BFC3-45F1-847F-DA888C15AFD1}"/>
    <cellStyle name="Style 165 3 2 2 2 2 2" xfId="6508" xr:uid="{0C3C7C26-E08C-4A7E-99C8-3A01C5618481}"/>
    <cellStyle name="Style 165 3 2 2 4" xfId="6509" xr:uid="{7B07EA14-2F93-4C5E-A677-6DF196BE5EB5}"/>
    <cellStyle name="Style 165 3 2 3 3" xfId="6510" xr:uid="{EA95D4DA-B02F-427E-B0D2-27FEB14A0675}"/>
    <cellStyle name="Style 165 3 3" xfId="1326" xr:uid="{0F9F5446-EF9B-4261-B005-A13F3DF44458}"/>
    <cellStyle name="Style 165 3 3 2 2 2 2" xfId="6511" xr:uid="{562C6028-B649-40DF-913C-824AC7CF487F}"/>
    <cellStyle name="Style 165 3 3 2 4" xfId="6512" xr:uid="{C00FF9B6-A962-4B6B-B82D-9AB57E9D2F23}"/>
    <cellStyle name="Style 165 3 3 5" xfId="6513" xr:uid="{9EBD41BC-D0E0-4CA0-88E2-63796970166B}"/>
    <cellStyle name="Style 165 3 4 3" xfId="6514" xr:uid="{F48C42F5-20DF-48AD-94C7-74D14C099223}"/>
    <cellStyle name="Style 165 4" xfId="1327" xr:uid="{67EFCC34-63CE-4812-8BC6-75028A672974}"/>
    <cellStyle name="Style 165 4 2 2 2 2" xfId="6515" xr:uid="{ED50702A-F86C-47F9-BB57-EB178D47A136}"/>
    <cellStyle name="Style 165 4 2 4" xfId="6516" xr:uid="{F75F8C02-2551-4110-B97F-78DF3F7175C0}"/>
    <cellStyle name="Style 165 4 5" xfId="6517" xr:uid="{3779029F-47AF-422A-B748-B9337ACF1C03}"/>
    <cellStyle name="Style 165 5 3" xfId="6518" xr:uid="{6222FDE5-0140-4B17-AE63-1ECD54863CCB}"/>
    <cellStyle name="Style 165 6 3" xfId="6519" xr:uid="{9AD68A9E-46EF-4DFB-B666-2ADE1E0C3665}"/>
    <cellStyle name="Style 165 8" xfId="3994" xr:uid="{220A9ED0-51FB-4E78-8A11-569D1C2CF7DB}"/>
    <cellStyle name="Style 21" xfId="1328" xr:uid="{A12921B0-DD3F-466E-99DD-9146FEE76203}"/>
    <cellStyle name="Style 21 10 2 2 2" xfId="21883" xr:uid="{88F204C5-4BE1-4D4A-A0DF-16B877635E73}"/>
    <cellStyle name="Style 21 10 4" xfId="18611" xr:uid="{B52245BF-D9AE-4D09-BDB2-C697972063AB}"/>
    <cellStyle name="Style 21 11 2 2 2" xfId="21884" xr:uid="{5CFA45C1-A05C-4DB8-8DB0-1D629C2AC2C0}"/>
    <cellStyle name="Style 21 11 4" xfId="18612" xr:uid="{7D0F9527-4642-4ADA-B971-7391450FAA54}"/>
    <cellStyle name="Style 21 12 3" xfId="6520" xr:uid="{A7068E57-3301-40E8-A14E-E6AAC77931D3}"/>
    <cellStyle name="Style 21 12 5" xfId="6521" xr:uid="{9C868401-8BB9-40C4-93AE-2D79AAB0C95E}"/>
    <cellStyle name="Style 21 12 7" xfId="19525" xr:uid="{D61F1D78-F7FE-4C09-AB02-DD108476A150}"/>
    <cellStyle name="Style 21 13 3" xfId="6522" xr:uid="{01020B74-5D9A-454E-AA38-C974721B9115}"/>
    <cellStyle name="Style 21 14 2" xfId="6523" xr:uid="{C4C95380-E831-4F4B-9994-A4606133E830}"/>
    <cellStyle name="Style 21 15 2" xfId="6524" xr:uid="{535CEC86-A088-4F08-AA2B-C165B3467E05}"/>
    <cellStyle name="Style 21 2" xfId="1329" xr:uid="{59C0B0D1-6EAE-44C2-AB8A-5AEC48025B7E}"/>
    <cellStyle name="Style 21 3" xfId="1330" xr:uid="{80798C98-B286-4F2A-92C5-070AD3B2648A}"/>
    <cellStyle name="Style 21 3 2 2 2 2" xfId="21885" xr:uid="{92A6DEE7-FE8C-4035-8035-AEC2924D3BEE}"/>
    <cellStyle name="Style 21 3 2 4" xfId="18613" xr:uid="{C6EA8B6F-369E-44BF-B1FB-724863DBE362}"/>
    <cellStyle name="Style 21 3 3 2 2 2" xfId="21886" xr:uid="{3EFEDD07-2A1F-4FB5-8847-27310E9A2726}"/>
    <cellStyle name="Style 21 3 3 3 2 2" xfId="3996" xr:uid="{8C9B40B4-2A52-401A-B124-D9B0CF62ECC2}"/>
    <cellStyle name="Style 21 3 3 3 3 2" xfId="18614" xr:uid="{231DDF26-1371-4E23-B0A0-5933731A8D59}"/>
    <cellStyle name="Style 21 3 3 3 5 2" xfId="21887" xr:uid="{3CFA9AF2-0E6F-4EEF-AE72-A18C1DFB3A35}"/>
    <cellStyle name="Style 21 3 3 4 2 2" xfId="3997" xr:uid="{F0AE5BAA-6246-49A6-BC36-D7F8EB2FDF5E}"/>
    <cellStyle name="Style 21 3 3 4 3 2" xfId="21888" xr:uid="{5899D902-122B-4EBF-8D84-C1040C292267}"/>
    <cellStyle name="Style 21 3 3 6" xfId="3995" xr:uid="{04E150E6-B813-478A-A976-00F590B3AEC5}"/>
    <cellStyle name="Style 21 3 4 2" xfId="3999" xr:uid="{381F53D2-C54C-4DA9-8DED-2D90D75D49A4}"/>
    <cellStyle name="Style 21 3 4 4" xfId="3998" xr:uid="{E3FCF6AB-9195-4837-8FB4-8EEAAA870601}"/>
    <cellStyle name="Style 21 3 5 2" xfId="6525" xr:uid="{D2EDC1D5-F2AF-42B0-8D1C-D07100A70602}"/>
    <cellStyle name="Style 21 3 6 2" xfId="21247" xr:uid="{A68843DB-4F88-4015-987B-DF77EE70FEF8}"/>
    <cellStyle name="Style 21 4 2 2" xfId="1331" xr:uid="{90FE5F62-1CB1-40B3-8ECD-740A1BFDB94B}"/>
    <cellStyle name="Style 21 4 2 3" xfId="1332" xr:uid="{316E1380-2B86-49D9-BF32-7A6F5AD743C6}"/>
    <cellStyle name="Style 21 4 2 3 2 3" xfId="18616" xr:uid="{1D7F2225-0898-407F-80A4-FFBD2EE947E5}"/>
    <cellStyle name="Style 21 4 2 3 4 2" xfId="19526" xr:uid="{89E8014F-0250-46C5-B930-8509E4ABCD62}"/>
    <cellStyle name="Style 21 4 2 4" xfId="1333" xr:uid="{A1427632-0345-4B13-A188-8F48ED6946CF}"/>
    <cellStyle name="Style 21 4 2 4 2 3" xfId="18617" xr:uid="{C1115581-8785-48F5-BC0D-EF996E326A35}"/>
    <cellStyle name="Style 21 4 2 5" xfId="4000" xr:uid="{B36A603E-CF84-4511-9A36-275A7E1DD25A}"/>
    <cellStyle name="Style 21 4 2 7" xfId="18615" xr:uid="{857273F1-5772-4B71-AF05-0833F92EC1CC}"/>
    <cellStyle name="Style 21 4 3 3" xfId="18618" xr:uid="{A4D073EF-0F36-4D53-B2B2-481D54B29E26}"/>
    <cellStyle name="Style 21 4 4 3" xfId="18619" xr:uid="{E4A3C0FE-D1E6-41C8-98FD-01191EB87D2A}"/>
    <cellStyle name="Style 21 4 6 2" xfId="21248" xr:uid="{0A9D9818-10C0-4F01-A5D1-987892AD8B5F}"/>
    <cellStyle name="Style 21 5 2 2" xfId="1334" xr:uid="{6F893118-AE00-4AB9-8647-432335533A81}"/>
    <cellStyle name="Style 21 5 2 3" xfId="1335" xr:uid="{86ADA6F2-602D-4DE2-9BC5-923171C1B30E}"/>
    <cellStyle name="Style 21 5 2 3 2 3" xfId="18622" xr:uid="{DB8437C9-03C4-444B-9D2A-099DA898ACF1}"/>
    <cellStyle name="Style 21 5 2 3 4 2" xfId="19527" xr:uid="{4B89D051-B38F-4491-874F-800D7B097A83}"/>
    <cellStyle name="Style 21 5 2 3 5 2" xfId="21889" xr:uid="{209866B6-0FCF-48A4-838F-701895D2F10E}"/>
    <cellStyle name="Style 21 5 2 4" xfId="1336" xr:uid="{A0F50865-6370-419E-82BB-E742F8E4E654}"/>
    <cellStyle name="Style 21 5 2 4 2 2" xfId="4002" xr:uid="{5EBC389D-9D36-42D9-8D52-4BFF7720ED7F}"/>
    <cellStyle name="Style 21 5 2 4 2 3" xfId="18623" xr:uid="{728B5D14-53F3-44FD-A301-AE445B312726}"/>
    <cellStyle name="Style 21 5 2 4 3 2" xfId="21890" xr:uid="{703D86F9-7AE8-40B5-9764-94724A0B1A3D}"/>
    <cellStyle name="Style 21 5 2 5" xfId="4003" xr:uid="{43B5DECD-582B-4896-95D0-BC76EDA18AE8}"/>
    <cellStyle name="Style 21 5 2 6" xfId="4001" xr:uid="{DB876A20-470A-4962-A811-BAEAFB0BE740}"/>
    <cellStyle name="Style 21 5 2 7" xfId="18621" xr:uid="{5BEDE19C-B033-400D-8B81-14B8AC234618}"/>
    <cellStyle name="Style 21 5 3 2" xfId="4004" xr:uid="{2780709E-0BE7-4FE9-81BB-A6CAFEFAA156}"/>
    <cellStyle name="Style 21 5 3 3" xfId="18624" xr:uid="{C5D7AC08-D82E-44A5-AC30-00FE42752E08}"/>
    <cellStyle name="Style 21 5 4 2" xfId="4005" xr:uid="{B9ABD0EA-A5A1-4D3E-92D7-BF172BCA6576}"/>
    <cellStyle name="Style 21 5 4 3" xfId="18625" xr:uid="{CCB0A17F-9A64-469C-B218-F0EF5D6CFE41}"/>
    <cellStyle name="Style 21 5 5 2" xfId="20650" xr:uid="{F37C49D7-E87D-471D-B07F-0A9B85B14908}"/>
    <cellStyle name="Style 21 5 6 2" xfId="21249" xr:uid="{F8D398F2-F83C-44FF-A404-D8C720139C19}"/>
    <cellStyle name="Style 21 5 7" xfId="18620" xr:uid="{0BEDACE8-8241-488F-95CC-A1072511E6B7}"/>
    <cellStyle name="Style 21 6" xfId="1337" xr:uid="{BA9297E6-088C-4009-BFBA-4545DCFDC69E}"/>
    <cellStyle name="Style 21 6 2" xfId="1338" xr:uid="{8F5DBEDB-3F22-48FB-9C2D-4DB912EDD653}"/>
    <cellStyle name="Style 21 6 2 2" xfId="4007" xr:uid="{ABFEB53C-29F6-4628-A877-348C3F95D457}"/>
    <cellStyle name="Style 21 6 2 2 2" xfId="21892" xr:uid="{2C7B99CF-E311-49C3-BF17-698047B2524D}"/>
    <cellStyle name="Style 21 6 2 3" xfId="18627" xr:uid="{8C888A80-A111-4C39-9A02-3B990C2BCE3C}"/>
    <cellStyle name="Style 21 6 3" xfId="1339" xr:uid="{07C702EF-D200-4499-AD3E-1DEF683A16DA}"/>
    <cellStyle name="Style 21 6 3 2" xfId="1340" xr:uid="{995E1E7A-0840-4FEB-8674-834D3FB61B64}"/>
    <cellStyle name="Style 21 6 3 2 2" xfId="4009" xr:uid="{3F44B54A-0E3E-47BD-AABD-BAA2A5E95D01}"/>
    <cellStyle name="Style 21 6 3 2 2 2" xfId="21894" xr:uid="{E962908D-82D5-4B8B-ABD8-B6A74A4EE949}"/>
    <cellStyle name="Style 21 6 3 2 3" xfId="18629" xr:uid="{13A7EE6B-357D-4E3D-9F16-FA273A69AF0A}"/>
    <cellStyle name="Style 21 6 3 3" xfId="4010" xr:uid="{5F896229-41FA-4D9C-B74E-3C78159A028E}"/>
    <cellStyle name="Style 21 6 3 3 2" xfId="18630" xr:uid="{8A85BC20-69A9-4AA1-97AA-F04EF02B5917}"/>
    <cellStyle name="Style 21 6 3 4" xfId="4011" xr:uid="{1EC4312E-E266-492F-8EC0-E5468DE0B299}"/>
    <cellStyle name="Style 21 6 3 4 2" xfId="19528" xr:uid="{5C88884C-DD74-49AC-B5F3-3A66C1C851B2}"/>
    <cellStyle name="Style 21 6 3 5" xfId="4008" xr:uid="{0D65A0AA-47E6-4CF3-8170-498C02590AF2}"/>
    <cellStyle name="Style 21 6 3 5 2" xfId="21893" xr:uid="{A7852479-FBCD-47B1-B97B-7B91D9BCE510}"/>
    <cellStyle name="Style 21 6 3 6" xfId="18628" xr:uid="{2A9C212B-500F-49D8-B913-3462D2B81AA0}"/>
    <cellStyle name="Style 21 6 4" xfId="1341" xr:uid="{87A9ECB5-E189-4A57-8646-304D58F6F4DA}"/>
    <cellStyle name="Style 21 6 4 2" xfId="1342" xr:uid="{999EDED4-621E-4432-AFEA-0CD390ECA047}"/>
    <cellStyle name="Style 21 6 4 2 2" xfId="4013" xr:uid="{C0143453-6812-4F5C-BC13-B5284A369120}"/>
    <cellStyle name="Style 21 6 4 2 2 2" xfId="21896" xr:uid="{EDD7C177-9064-4F6C-8150-3AC677AAB893}"/>
    <cellStyle name="Style 21 6 4 2 3" xfId="18632" xr:uid="{A5A53695-F5F1-4927-83BA-46079CDEF75C}"/>
    <cellStyle name="Style 21 6 4 3" xfId="4012" xr:uid="{EC05BAC8-ABB3-4628-8E36-9C1AA64A36B3}"/>
    <cellStyle name="Style 21 6 4 3 2" xfId="21895" xr:uid="{3771C38D-222C-44F8-AD2B-48E641DED0E4}"/>
    <cellStyle name="Style 21 6 4 4" xfId="18631" xr:uid="{5CA6C018-4009-46AB-AA6D-127EAF2A4D13}"/>
    <cellStyle name="Style 21 6 5" xfId="4014" xr:uid="{2E81AC1A-1298-4366-8F3C-0A61C93F93A4}"/>
    <cellStyle name="Style 21 6 5 2" xfId="19529" xr:uid="{24745201-464E-45E1-AE55-AEC2715A7319}"/>
    <cellStyle name="Style 21 6 6" xfId="4006" xr:uid="{A9869B1E-8726-4D2C-9624-96DFCD5DBC06}"/>
    <cellStyle name="Style 21 6 6 2" xfId="21891" xr:uid="{7DB80643-D7EC-4ADF-8376-B359617ECC2A}"/>
    <cellStyle name="Style 21 6 7" xfId="18626" xr:uid="{CE187924-22F4-421C-9D13-F7D93EFF41EA}"/>
    <cellStyle name="Style 21 7" xfId="1343" xr:uid="{5B3F95A0-10E1-423D-AD05-F1A4800E6EC2}"/>
    <cellStyle name="Style 21 7 2" xfId="1344" xr:uid="{073BBB4D-6664-4A26-82EA-66D2156A44B1}"/>
    <cellStyle name="Style 21 7 2 2" xfId="4016" xr:uid="{E7BAAD5D-BF98-442C-9E01-2C933B0645B2}"/>
    <cellStyle name="Style 21 7 2 2 2" xfId="21898" xr:uid="{71ED93C5-5457-4123-A9E9-69B55E6B2F4B}"/>
    <cellStyle name="Style 21 7 2 3" xfId="18634" xr:uid="{B2CFBD0C-8F5B-42E9-B8C8-9384A2E0730E}"/>
    <cellStyle name="Style 21 7 3" xfId="4017" xr:uid="{7DF6C18D-0BB9-48BA-A198-B9AE2C05656C}"/>
    <cellStyle name="Style 21 7 3 2" xfId="18635" xr:uid="{45A49EB1-9299-443C-9AAB-B66D1F267971}"/>
    <cellStyle name="Style 21 7 4" xfId="4018" xr:uid="{AEFF6CA6-D89C-47BC-BAF3-7DA7E0877153}"/>
    <cellStyle name="Style 21 7 4 2" xfId="19530" xr:uid="{85F55FF9-5CEB-4173-949C-9125674A8B24}"/>
    <cellStyle name="Style 21 7 5" xfId="4015" xr:uid="{B6C5BD81-F687-4F39-8EA0-FAF2CF581EBF}"/>
    <cellStyle name="Style 21 7 5 2" xfId="21897" xr:uid="{35B51A13-E10C-4EC4-8B33-AD8A0FF975F1}"/>
    <cellStyle name="Style 21 7 6" xfId="18633" xr:uid="{1CD118CD-06DF-4303-A8B0-6CF8D675EE76}"/>
    <cellStyle name="Style 21 8" xfId="1345" xr:uid="{805FD5D0-10F0-4910-956E-3D7BFC8B940F}"/>
    <cellStyle name="Style 21 8 2" xfId="1346" xr:uid="{7A594276-3159-4215-A191-E8622A3FBEC8}"/>
    <cellStyle name="Style 21 8 2 2" xfId="4020" xr:uid="{6ADAAE6A-4C5F-4499-8DC1-42B0F769C413}"/>
    <cellStyle name="Style 21 8 2 2 2" xfId="21900" xr:uid="{692EFD69-2F79-409A-BBF6-242077288917}"/>
    <cellStyle name="Style 21 8 2 3" xfId="18637" xr:uid="{3C02BBB9-D933-4F7B-B09A-F3B041D63D74}"/>
    <cellStyle name="Style 21 8 3" xfId="4021" xr:uid="{35050407-733E-4A23-BEA0-10018444036B}"/>
    <cellStyle name="Style 21 8 3 2" xfId="18638" xr:uid="{BB4C7A26-08C3-4AA1-BB41-F6656BAFDED6}"/>
    <cellStyle name="Style 21 8 4" xfId="4022" xr:uid="{49FFD39A-B4C5-4F0B-A3CC-1B06CCE866EF}"/>
    <cellStyle name="Style 21 8 4 2" xfId="19531" xr:uid="{BE8FA880-6FA0-427F-A31C-B9FB0CC7415D}"/>
    <cellStyle name="Style 21 8 5" xfId="4019" xr:uid="{2FEE6E96-BD36-4F59-B2FA-B3B154F7F407}"/>
    <cellStyle name="Style 21 8 5 2" xfId="21899" xr:uid="{A9C571C1-0852-4F79-8D1C-2AF43B731189}"/>
    <cellStyle name="Style 21 8 6" xfId="18636" xr:uid="{441C63AC-9BA4-4241-AA9F-CD3FA985E9F9}"/>
    <cellStyle name="Style 21 9" xfId="1347" xr:uid="{836C0D27-AECF-4525-8096-6DCAB5E82426}"/>
    <cellStyle name="Style 21 9 2" xfId="1348" xr:uid="{F60167DC-E766-4C1E-A360-72111AE62EAD}"/>
    <cellStyle name="Style 21 9 2 2" xfId="4023" xr:uid="{C8D689B6-FEBA-48AD-8C44-D0777037CAF7}"/>
    <cellStyle name="Style 21 9 2 2 2" xfId="21902" xr:uid="{42388AF1-6AD6-4A52-BC50-91DA6111A0F6}"/>
    <cellStyle name="Style 21 9 2 3" xfId="19532" xr:uid="{078393B7-C75B-4349-8278-02E0AB0490D4}"/>
    <cellStyle name="Style 21 9 3" xfId="2740" xr:uid="{9317521D-B116-4C37-95E5-7DD37BAD5AF1}"/>
    <cellStyle name="Style 21 9 3 2" xfId="21901" xr:uid="{69DA400D-5FA1-428F-AA3F-461F6E9CE8E0}"/>
    <cellStyle name="Style 21 9 4" xfId="18639" xr:uid="{5A091890-18D5-4FC1-92FE-520AB118F0C4}"/>
    <cellStyle name="Style 21_ADDON" xfId="20516" xr:uid="{6ABAFAE6-6E68-4014-A1A6-00A48853181E}"/>
    <cellStyle name="Style 22" xfId="1349" xr:uid="{BC136F85-C8C4-4953-9702-42AF37F9DC77}"/>
    <cellStyle name="Style 22 10" xfId="18640" xr:uid="{0B4BD06F-5E3F-4FDA-87BA-598FC8875DBE}"/>
    <cellStyle name="Style 22 2" xfId="1350" xr:uid="{98F018A9-FC1B-48F2-9FD8-8AD8CAF8AB4F}"/>
    <cellStyle name="Style 22 2 2" xfId="6526" xr:uid="{1279F69B-917C-4A8D-9499-E8DE0E8B02E3}"/>
    <cellStyle name="Style 22 2 2 2" xfId="23050" xr:uid="{60940F31-073A-4C8A-9A31-282A44BFC55F}"/>
    <cellStyle name="Style 22 2 3" xfId="18641" xr:uid="{11739105-DA5C-48C6-970E-280C52C0DD0A}"/>
    <cellStyle name="Style 22 3" xfId="1351" xr:uid="{ECAAC330-ADC0-4F87-943C-FE8C63126CEE}"/>
    <cellStyle name="Style 22 3 2" xfId="1352" xr:uid="{6AD834DC-96E1-4ACB-BF2F-34F7EBE7D0DD}"/>
    <cellStyle name="Style 22 3 2 2" xfId="18643" xr:uid="{424C71A3-E046-4485-99F4-A94628C2D35A}"/>
    <cellStyle name="Style 22 3 3" xfId="1353" xr:uid="{12E25654-CC14-48EE-A939-3AAFADA0055C}"/>
    <cellStyle name="Style 22 3 3 2" xfId="1354" xr:uid="{5F1DEDCF-26B3-497B-AD4F-0743782082D1}"/>
    <cellStyle name="Style 22 3 3 2 2" xfId="18645" xr:uid="{889593D3-8532-430D-BEA1-398945363857}"/>
    <cellStyle name="Style 22 3 3 3" xfId="4024" xr:uid="{F0AD48C0-E3A2-438F-8018-F6394F582D3B}"/>
    <cellStyle name="Style 22 3 3 3 2" xfId="18646" xr:uid="{79E66234-C392-4766-AB6D-BB7855266A76}"/>
    <cellStyle name="Style 22 3 3 4" xfId="4025" xr:uid="{6F3BCF50-D01F-4304-978B-8963F38FDEEB}"/>
    <cellStyle name="Style 22 3 3 4 2" xfId="19533" xr:uid="{0CB22A6D-B745-4650-B979-72EFCBE0110C}"/>
    <cellStyle name="Style 22 3 3 5" xfId="18644" xr:uid="{941FB4C3-0671-4487-8B9A-8070D1322330}"/>
    <cellStyle name="Style 22 3 4" xfId="1355" xr:uid="{30D50127-3CBE-4D48-A16A-01781165E42F}"/>
    <cellStyle name="Style 22 3 4 2" xfId="1356" xr:uid="{7850B3F2-C386-428D-8EB1-1AE9BBC52262}"/>
    <cellStyle name="Style 22 3 4 2 2" xfId="18648" xr:uid="{9FEE638D-712F-4940-A542-93E137914246}"/>
    <cellStyle name="Style 22 3 4 3" xfId="18647" xr:uid="{74C77243-4633-4C4E-BF3E-CB191D92CC58}"/>
    <cellStyle name="Style 22 3 5" xfId="4026" xr:uid="{5C0DA366-AE75-4BA2-84EA-D2D878B7DB2C}"/>
    <cellStyle name="Style 22 3 5 2" xfId="19534" xr:uid="{B8BC597E-C152-40CF-95FD-D901F87EEBB7}"/>
    <cellStyle name="Style 22 3 6" xfId="18642" xr:uid="{E66AD90F-68EA-4F24-87ED-AD811A5D82EB}"/>
    <cellStyle name="Style 22 4" xfId="1357" xr:uid="{A1792A60-9E77-4292-864E-0B08C5AF75B7}"/>
    <cellStyle name="Style 22 4 2" xfId="1358" xr:uid="{AA7D2E10-10E2-40D9-BC54-AC2771F9705C}"/>
    <cellStyle name="Style 22 4 2 2" xfId="18650" xr:uid="{C13B534B-D181-44AA-BBDA-5A8381FD6A7B}"/>
    <cellStyle name="Style 22 4 3" xfId="4027" xr:uid="{800B49FF-814C-4677-850C-F3DD652C9744}"/>
    <cellStyle name="Style 22 4 3 2" xfId="18651" xr:uid="{509CEDBE-F05B-4996-BD89-F299BE27B3C7}"/>
    <cellStyle name="Style 22 4 4" xfId="4028" xr:uid="{5725F894-493F-4270-B17E-4368CB636A06}"/>
    <cellStyle name="Style 22 4 4 2" xfId="19535" xr:uid="{135BC681-E786-4D99-BABE-59F73271B836}"/>
    <cellStyle name="Style 22 4 5" xfId="18649" xr:uid="{6E456230-91BA-45CC-82E6-DA15B2CCCA1C}"/>
    <cellStyle name="Style 22 5" xfId="1359" xr:uid="{A9FAB887-3E9F-4F64-8482-A239EFA49525}"/>
    <cellStyle name="Style 22 5 2" xfId="1360" xr:uid="{46821B1B-2ADA-40A2-9169-319D0FF46947}"/>
    <cellStyle name="Style 22 5 2 2" xfId="18653" xr:uid="{EC6AD402-CF71-404E-A7AE-A3FCE4D5B3F4}"/>
    <cellStyle name="Style 22 5 3" xfId="18652" xr:uid="{CB17824E-B250-4D0D-966D-1532017BA67C}"/>
    <cellStyle name="Style 22 6" xfId="1361" xr:uid="{F4D242D1-690D-4086-A003-9258D867EF53}"/>
    <cellStyle name="Style 22 6 2" xfId="1362" xr:uid="{E7798547-7C90-4B66-A7D2-993FF2B0857C}"/>
    <cellStyle name="Style 22 6 2 2" xfId="19536" xr:uid="{0158CB17-BED2-4935-A00F-4FF909DC8148}"/>
    <cellStyle name="Style 22 6 3" xfId="2742" xr:uid="{E621E705-65B4-42BE-BACF-0E9DCE76B286}"/>
    <cellStyle name="Style 22 6 3 2" xfId="22517" xr:uid="{62450B31-F248-4182-9821-D41C8D995E61}"/>
    <cellStyle name="Style 22 6 4" xfId="18654" xr:uid="{FA7155F9-53BD-4DDC-B644-1E6E67B390E6}"/>
    <cellStyle name="Style 22 7" xfId="2741" xr:uid="{6B251E8F-5A4E-4A0D-87D9-95F317532C4D}"/>
    <cellStyle name="Style 22 7 2" xfId="4030" xr:uid="{95B56A64-48D9-486C-AD47-FF70C875BD13}"/>
    <cellStyle name="Style 22 7 2 2" xfId="19537" xr:uid="{45CB425F-2430-43A2-9296-2FAF3805B2A9}"/>
    <cellStyle name="Style 22 7 3" xfId="4029" xr:uid="{E7731E6D-FFC9-446C-B86F-68568E0604D3}"/>
    <cellStyle name="Style 22 7 3 2" xfId="33679" xr:uid="{AF780F2C-B14D-4218-B629-FBD89F261904}"/>
    <cellStyle name="Style 22 7 4" xfId="18655" xr:uid="{B1771390-8AE6-4DFF-A066-891C4DCD92D2}"/>
    <cellStyle name="Style 22 8" xfId="4031" xr:uid="{0B858C46-86AD-4661-B681-4A6EE7960FAC}"/>
    <cellStyle name="Style 22 8 2" xfId="19538" xr:uid="{13E54F7E-A9E1-4BB4-8E47-F0D618A3E035}"/>
    <cellStyle name="Style 22 9" xfId="6527" xr:uid="{84FE8DA8-D2C1-4D40-BE10-C194652DEC96}"/>
    <cellStyle name="Style 22 9 2" xfId="21250" xr:uid="{6BEC4216-A571-4CE9-BE1F-63941FCAF61B}"/>
    <cellStyle name="Style 22_ADDON" xfId="20496" xr:uid="{87818EB8-D525-4F89-B4F1-DA0600B7FA23}"/>
    <cellStyle name="Style 23" xfId="1363" xr:uid="{D6653E4D-E86E-48C7-ACC1-E0DCCA08D9D0}"/>
    <cellStyle name="Style 23 2" xfId="1364" xr:uid="{DC73B567-EB99-4356-A9B2-56C629716B7A}"/>
    <cellStyle name="Style 23 2 2" xfId="1365" xr:uid="{BD0160D9-1DCC-4D02-918D-1DC832999DCC}"/>
    <cellStyle name="Style 23 2 2 2" xfId="1366" xr:uid="{DC52AB57-D1C8-4433-A99B-02E676E33284}"/>
    <cellStyle name="Style 23 2 2 2 2" xfId="1367" xr:uid="{5BBB11EE-8D82-45DC-A8DB-AC5441B4634C}"/>
    <cellStyle name="Style 23 2 2 2 2 2" xfId="1368" xr:uid="{9E64F724-357E-4950-B8C5-AEF054B2EFAC}"/>
    <cellStyle name="Style 23 2 2 2 2 2 2" xfId="6528" xr:uid="{79686513-2C40-435C-926A-D76E7B37243C}"/>
    <cellStyle name="Style 23 2 2 2 2 3" xfId="6529" xr:uid="{6BDD1316-3FE1-438C-8BE0-E966379AF746}"/>
    <cellStyle name="Style 23 2 2 2 3" xfId="1369" xr:uid="{D0BC1CE9-B5E4-497B-9B76-B0C4B10D8879}"/>
    <cellStyle name="Style 23 2 2 2 3 2" xfId="6530" xr:uid="{5394E3C0-8323-4A51-BD5E-3291DDC22ED0}"/>
    <cellStyle name="Style 23 2 2 2 4" xfId="6531" xr:uid="{5204B419-DC6D-4628-BE1A-78BEBB678FEA}"/>
    <cellStyle name="Style 23 2 2 3" xfId="1370" xr:uid="{1572B615-5916-45AE-AF03-1F2EDED3F66E}"/>
    <cellStyle name="Style 23 2 2 3 2" xfId="1371" xr:uid="{8579914C-EEB8-43C5-8997-1AC2458E9587}"/>
    <cellStyle name="Style 23 2 2 3 2 2" xfId="6532" xr:uid="{62432678-073F-4D6B-9D81-A3020F5A8A96}"/>
    <cellStyle name="Style 23 2 2 3 3" xfId="6533" xr:uid="{F4B37A88-03E3-41CC-B5D9-A3F91E5C479D}"/>
    <cellStyle name="Style 23 2 2 4" xfId="1372" xr:uid="{654A7FA0-3F9C-4929-A24E-2FF3D3EFE853}"/>
    <cellStyle name="Style 23 2 2 4 2" xfId="6534" xr:uid="{C89494B0-1518-470C-AD30-05D1A07C244D}"/>
    <cellStyle name="Style 23 2 2 5" xfId="6535" xr:uid="{C2D70C4A-C962-41A4-9E77-106CC5457F27}"/>
    <cellStyle name="Style 23 2 3" xfId="1373" xr:uid="{C3E2ECC4-3C90-4BE1-AB30-14D09631B622}"/>
    <cellStyle name="Style 23 2 3 2" xfId="1374" xr:uid="{23FA437F-3664-4CEF-B100-D205D667CFA6}"/>
    <cellStyle name="Style 23 2 3 2 2" xfId="1375" xr:uid="{65D5BDE4-D7A1-4FF6-BEC3-BE9EC3DD924C}"/>
    <cellStyle name="Style 23 2 3 2 2 2" xfId="6536" xr:uid="{E48A881E-04A3-4AAA-BA8B-CF0619E23351}"/>
    <cellStyle name="Style 23 2 3 2 3" xfId="6537" xr:uid="{6240A9D0-7198-4E00-9894-93A390CB811E}"/>
    <cellStyle name="Style 23 2 3 3" xfId="1376" xr:uid="{D9B31413-F7AA-4C51-BE30-BF2EDD711430}"/>
    <cellStyle name="Style 23 2 3 3 2" xfId="6538" xr:uid="{7DC064BB-335D-4A92-A7DC-12ADE6CB6ADF}"/>
    <cellStyle name="Style 23 2 3 4" xfId="6539" xr:uid="{2D611C81-1975-4A99-9EA5-DCBF41F10C58}"/>
    <cellStyle name="Style 23 2 4" xfId="1377" xr:uid="{425B13B5-DAAB-4B90-9002-91762DC44672}"/>
    <cellStyle name="Style 23 2 4 2" xfId="1378" xr:uid="{849E895D-220A-426A-85C4-231D85E94829}"/>
    <cellStyle name="Style 23 2 4 2 2" xfId="6540" xr:uid="{BFC21B39-6E1D-4445-9E47-F4744BAD6CB7}"/>
    <cellStyle name="Style 23 2 4 3" xfId="6541" xr:uid="{39DBE64B-0872-40ED-9597-569EB792F0D7}"/>
    <cellStyle name="Style 23 2 5" xfId="1379" xr:uid="{A4C97865-828C-4BC1-8F42-21E7850DD90C}"/>
    <cellStyle name="Style 23 2 5 2" xfId="6542" xr:uid="{16C6F4DA-2155-42F9-B3D7-B508D6EAA767}"/>
    <cellStyle name="Style 23 2 6" xfId="6543" xr:uid="{04E414F3-7159-42BE-97D4-6C011AE33382}"/>
    <cellStyle name="Style 23 3" xfId="1380" xr:uid="{67A85E7D-445F-4E16-8147-D761A73840AF}"/>
    <cellStyle name="Style 23 3 2" xfId="1381" xr:uid="{135C3270-4335-46FC-A1E1-113E7DDECC59}"/>
    <cellStyle name="Style 23 3 2 2" xfId="1382" xr:uid="{AC60AD67-4959-4EC7-8124-6E7C8871C3F6}"/>
    <cellStyle name="Style 23 3 2 2 2" xfId="1383" xr:uid="{D2C66D4B-66E1-47F5-91B4-6C9CFD3AB36D}"/>
    <cellStyle name="Style 23 3 2 2 2 2" xfId="1384" xr:uid="{DC8F030B-4E54-4F7E-89F1-89D91395766C}"/>
    <cellStyle name="Style 23 3 2 2 2 2 2" xfId="6544" xr:uid="{05B36233-5167-4655-977F-5353E13EB3E1}"/>
    <cellStyle name="Style 23 3 2 2 2 3" xfId="6545" xr:uid="{40200BBE-8B73-4A28-B8D8-158AD91C589C}"/>
    <cellStyle name="Style 23 3 2 2 3" xfId="1385" xr:uid="{683E0E58-BCC6-4CAD-A08B-D1DE9C8BF106}"/>
    <cellStyle name="Style 23 3 2 2 3 2" xfId="6546" xr:uid="{4CCC75FE-0EAC-40C9-BCC4-9AB138BA34AA}"/>
    <cellStyle name="Style 23 3 2 2 4" xfId="6547" xr:uid="{490D0B5C-AB40-4846-BE07-4993801DFBE0}"/>
    <cellStyle name="Style 23 3 2 3" xfId="1386" xr:uid="{A0C0B9D2-61C8-4FC0-B578-0F768580DFA8}"/>
    <cellStyle name="Style 23 3 2 3 2" xfId="1387" xr:uid="{E3F5EFFD-5FF6-47A2-8AA7-89937EAEFD0A}"/>
    <cellStyle name="Style 23 3 2 3 2 2" xfId="6548" xr:uid="{F0B13857-21F4-4ED8-8517-8EBB402995CC}"/>
    <cellStyle name="Style 23 3 2 3 3" xfId="6549" xr:uid="{E2FB6A84-6F47-429F-8148-1F08BC3E612D}"/>
    <cellStyle name="Style 23 3 2 4" xfId="1388" xr:uid="{9855AD1B-A1E8-48BE-9B78-CBFF11D1AEDF}"/>
    <cellStyle name="Style 23 3 2 4 2" xfId="6550" xr:uid="{2005B000-E914-405C-8005-61A80972EFD5}"/>
    <cellStyle name="Style 23 3 2 5" xfId="6551" xr:uid="{FF3BA79D-33F2-4B92-9AF9-86FA3F083E77}"/>
    <cellStyle name="Style 23 3 3" xfId="1389" xr:uid="{D270D4AF-BCE4-4F30-BF4A-6A44F3077EF4}"/>
    <cellStyle name="Style 23 3 3 2" xfId="1390" xr:uid="{90CBFA3E-E428-4132-B1CA-A131C7059EE7}"/>
    <cellStyle name="Style 23 3 3 2 2" xfId="1391" xr:uid="{A675EECF-DE44-47E5-93E6-FBAFFC22C50F}"/>
    <cellStyle name="Style 23 3 3 2 2 2" xfId="1392" xr:uid="{E237733C-3108-411C-BC45-35B45B87AABA}"/>
    <cellStyle name="Style 23 3 3 2 2 2 2" xfId="6552" xr:uid="{11DB2080-ADA3-4B36-87F6-C303A683C17F}"/>
    <cellStyle name="Style 23 3 3 2 2 3" xfId="6553" xr:uid="{AA2574B5-5332-4CA0-8B86-B3CE08DA73B0}"/>
    <cellStyle name="Style 23 3 3 2 3" xfId="1393" xr:uid="{E1DD0812-0DB3-4A3F-9E72-9B381DE2C194}"/>
    <cellStyle name="Style 23 3 3 2 3 2" xfId="6554" xr:uid="{FDA51777-15B2-4C83-8F84-84E883C75B78}"/>
    <cellStyle name="Style 23 3 3 2 4" xfId="6555" xr:uid="{3E6B1722-EE91-4E51-8D47-2F415BF33790}"/>
    <cellStyle name="Style 23 3 3 3" xfId="1394" xr:uid="{7F23BB05-6FEF-4407-BF8F-C3A42096A23F}"/>
    <cellStyle name="Style 23 3 3 3 2" xfId="6556" xr:uid="{C2580576-A19F-4C3B-B57B-89FB7BE09261}"/>
    <cellStyle name="Style 23 3 3 4" xfId="4032" xr:uid="{A809A2E7-477D-4E69-9803-58B3AF2D9CE0}"/>
    <cellStyle name="Style 23 3 3 5" xfId="6557" xr:uid="{C4B5A8CD-1E7E-461E-BBE3-1C837B1D647A}"/>
    <cellStyle name="Style 23 3 4" xfId="1395" xr:uid="{58ED748E-D2BF-4AE7-9019-E7C61F26461B}"/>
    <cellStyle name="Style 23 3 4 2" xfId="1396" xr:uid="{E8917AB4-E583-43B0-83C6-317FD9C05C54}"/>
    <cellStyle name="Style 23 3 4 2 2" xfId="6558" xr:uid="{CD85307F-FE6B-42EC-A299-EB92C5B3EC6E}"/>
    <cellStyle name="Style 23 3 4 3" xfId="6559" xr:uid="{3D318288-1923-4540-BDAD-422B2B49BFAB}"/>
    <cellStyle name="Style 23 3 5" xfId="1397" xr:uid="{0AE9587E-4BEE-4F7E-BD01-19B1BFAE2EB2}"/>
    <cellStyle name="Style 23 3 5 2" xfId="6560" xr:uid="{38B1E084-7D2E-4D62-8871-255EC04208AC}"/>
    <cellStyle name="Style 23 3 6" xfId="6561" xr:uid="{A0A84907-3D7A-4357-BE70-A6A532F98766}"/>
    <cellStyle name="Style 23 4" xfId="1398" xr:uid="{E7A5F5B3-0CF0-4F15-8DFF-82A232533748}"/>
    <cellStyle name="Style 23 4 2" xfId="1399" xr:uid="{19EEC83A-79EE-4AE7-99F7-F6983CF500AB}"/>
    <cellStyle name="Style 23 4 2 2" xfId="1400" xr:uid="{C36B34D6-D19B-4FCA-A896-A65C74BA43E7}"/>
    <cellStyle name="Style 23 4 2 2 2" xfId="1401" xr:uid="{63E1A541-2F0E-4DED-92D7-DBE5FB4E9A94}"/>
    <cellStyle name="Style 23 4 2 2 2 2" xfId="6562" xr:uid="{85908900-F60A-4667-90FA-15523FDF071D}"/>
    <cellStyle name="Style 23 4 2 2 3" xfId="6563" xr:uid="{6BA7153C-783E-4326-B6FD-BA7FEE24EF97}"/>
    <cellStyle name="Style 23 4 2 3" xfId="1402" xr:uid="{253ACC54-3953-4DBD-A931-11A66607A0CE}"/>
    <cellStyle name="Style 23 4 2 3 2" xfId="6564" xr:uid="{248F972A-6EA0-466B-8094-FA142B8BD5C1}"/>
    <cellStyle name="Style 23 4 2 4" xfId="6565" xr:uid="{8F53B68B-C0E1-41EE-AB22-B4F6CD27EDC0}"/>
    <cellStyle name="Style 23 4 3" xfId="1403" xr:uid="{6A09933B-61D4-4179-9FC3-C7566F92441C}"/>
    <cellStyle name="Style 23 4 3 2" xfId="6566" xr:uid="{39DEE6F3-BF91-42EE-9F31-3A260A98161C}"/>
    <cellStyle name="Style 23 4 4" xfId="4033" xr:uid="{8F2D0FA7-03E1-4431-9F49-BA4673558147}"/>
    <cellStyle name="Style 23 4 5" xfId="6567" xr:uid="{8EF30CE3-E428-4F33-AB4F-12321ADB0FDB}"/>
    <cellStyle name="Style 23 5" xfId="1404" xr:uid="{E16FE040-C3DC-4DF7-B33A-E0E9BC68ABD5}"/>
    <cellStyle name="Style 23 5 2" xfId="1405" xr:uid="{449D05D7-0C6D-4338-8C1F-09B45DBB752F}"/>
    <cellStyle name="Style 23 5 2 2" xfId="6568" xr:uid="{0A3C8432-E1B0-4392-8FB3-5FE2768BC5FC}"/>
    <cellStyle name="Style 23 5 3" xfId="6569" xr:uid="{D7DB72F3-4F04-4D66-ABDF-7E184019B833}"/>
    <cellStyle name="Style 23 6" xfId="1406" xr:uid="{E1F83D8C-75F7-4302-BE65-08A010F1FCE2}"/>
    <cellStyle name="Style 23 6 2" xfId="2744" xr:uid="{A83F63C8-3D15-401A-9BA2-71DD376848B9}"/>
    <cellStyle name="Style 23 6 2 2" xfId="4034" xr:uid="{7A4D84A6-B64E-4DF1-AC78-794C95FE0E7A}"/>
    <cellStyle name="Style 23 6 3" xfId="6570" xr:uid="{BAA69769-05D4-4577-8FD8-279E4773537D}"/>
    <cellStyle name="Style 23 7" xfId="2743" xr:uid="{9D18265E-4F9A-4073-84F6-C27B39B66588}"/>
    <cellStyle name="Style 23 7 2" xfId="4036" xr:uid="{09344D3A-0910-4123-9840-E9753E42A5F1}"/>
    <cellStyle name="Style 23 7 3" xfId="4035" xr:uid="{8E971CD9-8827-4ED9-A4A8-15D305A2DB07}"/>
    <cellStyle name="Style 23 8" xfId="4037" xr:uid="{3DA7CF3E-BA33-4062-8647-420925B08B2C}"/>
    <cellStyle name="Style 23 9" xfId="6571" xr:uid="{D4A7D3A4-47D5-4C22-B5BC-B9C88F1F1840}"/>
    <cellStyle name="Style 23 9 2" xfId="21251" xr:uid="{3A3CE3FE-6DBA-4D24-9AED-24C815F97231}"/>
    <cellStyle name="Style 23_ADDON" xfId="20517" xr:uid="{F5A632FA-0226-4664-88AB-DC43AB4D78D4}"/>
    <cellStyle name="Style 24" xfId="1407" xr:uid="{64801112-5834-46F6-A290-D6DD225F260B}"/>
    <cellStyle name="Style 24 10" xfId="18656" xr:uid="{912852E0-426F-49D3-AFA7-10AD336E7BC9}"/>
    <cellStyle name="Style 24 2" xfId="1408" xr:uid="{21C8EDFA-0F44-4E97-9BA2-718887310908}"/>
    <cellStyle name="Style 24 2 2" xfId="6572" xr:uid="{B818EAA6-4DDF-4408-9AED-673CC6212B97}"/>
    <cellStyle name="Style 24 2 2 2" xfId="23051" xr:uid="{A529A7FF-3123-485D-91B6-5DCC4597662A}"/>
    <cellStyle name="Style 24 2 3" xfId="18657" xr:uid="{EB09AA8D-0044-47BF-89A1-EE1EBC500488}"/>
    <cellStyle name="Style 24 3" xfId="1409" xr:uid="{B10B8F15-905D-40FB-97BC-C4B8D2096BDE}"/>
    <cellStyle name="Style 24 3 2" xfId="1410" xr:uid="{A36930A0-2785-4D96-925B-D759ED074851}"/>
    <cellStyle name="Style 24 3 2 2" xfId="18659" xr:uid="{26A21A7B-AAB6-462B-B513-3E197F1FCDF5}"/>
    <cellStyle name="Style 24 3 3" xfId="1411" xr:uid="{29727D4E-F422-48D8-A74B-686BE2650EBE}"/>
    <cellStyle name="Style 24 3 3 2" xfId="1412" xr:uid="{2508E89B-629D-4E2C-92CD-8D6310BCA9E9}"/>
    <cellStyle name="Style 24 3 3 2 2" xfId="18661" xr:uid="{068A7C13-323D-4146-8CC8-8C3DB59B23B5}"/>
    <cellStyle name="Style 24 3 3 3" xfId="4038" xr:uid="{B550D951-F9EF-4581-BC85-BB03933BF102}"/>
    <cellStyle name="Style 24 3 3 3 2" xfId="18662" xr:uid="{EE4CAE46-BBF8-42DF-B5B4-107BF3D994BC}"/>
    <cellStyle name="Style 24 3 3 4" xfId="4039" xr:uid="{3F6E20D5-D021-4B3F-8CB5-A4CA2E2D2D51}"/>
    <cellStyle name="Style 24 3 3 4 2" xfId="19539" xr:uid="{EA44B501-2609-467C-8226-C2E25FF07A92}"/>
    <cellStyle name="Style 24 3 3 5" xfId="18660" xr:uid="{33802C59-8283-4B8C-B4D4-98C15BACD6BD}"/>
    <cellStyle name="Style 24 3 4" xfId="1413" xr:uid="{04B8CAF3-EFC5-4E8F-A457-8A5628F4DAE9}"/>
    <cellStyle name="Style 24 3 4 2" xfId="1414" xr:uid="{4A3C6345-0D3F-4B33-85E3-ACA12831EA98}"/>
    <cellStyle name="Style 24 3 4 2 2" xfId="18664" xr:uid="{63D225A1-EA2B-49A6-98CC-88548B946622}"/>
    <cellStyle name="Style 24 3 4 3" xfId="18663" xr:uid="{A3561BF3-1618-4E47-85D5-F64BD0FD0993}"/>
    <cellStyle name="Style 24 3 5" xfId="4040" xr:uid="{27EEB90D-4D59-430B-84E4-5046BB072E39}"/>
    <cellStyle name="Style 24 3 6" xfId="18658" xr:uid="{5E65EC7B-F18D-476B-86A4-1A1F0999D366}"/>
    <cellStyle name="Style 24 4 2" xfId="1415" xr:uid="{E62BFDB6-8D16-4D75-9648-6D6FA40798CC}"/>
    <cellStyle name="Style 24 4 3" xfId="4041" xr:uid="{22999662-5FCF-40E8-97B4-1B3483C78600}"/>
    <cellStyle name="Style 24 4 4" xfId="4042" xr:uid="{6D4AF498-A733-4870-A8CE-26CD3BF0EA03}"/>
    <cellStyle name="Style 24 4 5" xfId="18665" xr:uid="{71EEFDFA-5D14-41C1-81B4-F7C5AEAB7FFC}"/>
    <cellStyle name="Style 24 5 2" xfId="1416" xr:uid="{D0F785C0-F6BD-496B-9E4E-FDAF5EE29589}"/>
    <cellStyle name="Style 24 5 3" xfId="18666" xr:uid="{1B8A83AA-4AA4-495C-8FBD-FB0EDA137EA4}"/>
    <cellStyle name="Style 24 6 2" xfId="1417" xr:uid="{66B65507-8AA2-4D80-B461-56EF64AF8006}"/>
    <cellStyle name="Style 24 6 3" xfId="2745" xr:uid="{2BF364E0-6328-4AAC-8BC3-94518EC23B8C}"/>
    <cellStyle name="Style 24 6 4" xfId="18667" xr:uid="{5AF94770-83EA-49DA-8CBA-4761BCB6C2BE}"/>
    <cellStyle name="Style 24 7 2" xfId="4044" xr:uid="{E8136A0B-2CEE-4199-A661-F90E5C8504F1}"/>
    <cellStyle name="Style 24 7 3" xfId="4043" xr:uid="{CF75ED22-1C4A-44DD-AC64-C682C8F10234}"/>
    <cellStyle name="Style 24 7 4" xfId="18668" xr:uid="{1DAE15BB-A69C-442E-8091-37535D285BB9}"/>
    <cellStyle name="Style 24 8 2" xfId="19540" xr:uid="{EE683278-D471-4694-BF4E-9102902C876F}"/>
    <cellStyle name="Style 24 9 2" xfId="21252" xr:uid="{D2C2E29B-EA84-4D1A-AAEE-311D61AEF711}"/>
    <cellStyle name="Style 25" xfId="1418" xr:uid="{15FFB600-C528-4120-BC8D-672B401DD5FD}"/>
    <cellStyle name="Style 25 10 2" xfId="1419" xr:uid="{EC0A2A7D-B40C-483B-B49F-9E75365B79C2}"/>
    <cellStyle name="Style 25 10 2 2 2" xfId="21903" xr:uid="{2E316A0B-42AC-40A5-8BE7-66A190EFB9EB}"/>
    <cellStyle name="Style 25 10 3" xfId="2746" xr:uid="{1711B4BE-8444-4ECD-B305-B618DCF5E027}"/>
    <cellStyle name="Style 25 10 4" xfId="18669" xr:uid="{25DCDFBF-8D47-4B8B-B3ED-5A20E447B142}"/>
    <cellStyle name="Style 25 11 2" xfId="1420" xr:uid="{ED18D6FC-D630-4341-ABC1-23E802B55CBF}"/>
    <cellStyle name="Style 25 11 2 2 2" xfId="21904" xr:uid="{322823EE-73A3-428A-98C4-19574CB052A3}"/>
    <cellStyle name="Style 25 11 3" xfId="4045" xr:uid="{CB2EEE2A-A2E9-4878-BED1-C98DED5FB85F}"/>
    <cellStyle name="Style 25 11 4" xfId="18670" xr:uid="{442F1EA1-FA3B-4C46-8F1A-967E41201C7C}"/>
    <cellStyle name="Style 25 12 2" xfId="4046" xr:uid="{0BEEF908-1287-477A-9F3C-34852E948BFC}"/>
    <cellStyle name="Style 25 12 3" xfId="6573" xr:uid="{031C7C07-3B38-434A-AF38-3F300A2D4219}"/>
    <cellStyle name="Style 25 12 4" xfId="6574" xr:uid="{0DBB091D-3E5F-4FA3-BEFD-80CEA2E85605}"/>
    <cellStyle name="Style 25 12 5" xfId="6575" xr:uid="{D9B71506-4A05-42D0-8FCD-2C0F569EC673}"/>
    <cellStyle name="Style 25 12 6" xfId="6576" xr:uid="{D3F36DF8-E22A-48D6-B8D7-80DAE72F217F}"/>
    <cellStyle name="Style 25 12 7" xfId="19541" xr:uid="{077B07B8-0055-4BE7-9872-48FF7FA769EA}"/>
    <cellStyle name="Style 25 13 2" xfId="6577" xr:uid="{562AB925-F514-4CE1-8BA4-15D0CB1D29DA}"/>
    <cellStyle name="Style 25 13 3" xfId="6578" xr:uid="{F1909850-153A-4D82-AAED-5293947C1407}"/>
    <cellStyle name="Style 25 13 4" xfId="21253" xr:uid="{C75A422C-07F5-42C8-8E7B-A9CEC18313D8}"/>
    <cellStyle name="Style 25 14 2" xfId="6579" xr:uid="{571E9D48-7E5B-45EF-8E76-D1BB9DDCA574}"/>
    <cellStyle name="Style 25 14 3" xfId="23052" xr:uid="{C2D9DECE-0F45-41D6-A9AC-2229AB1716BD}"/>
    <cellStyle name="Style 25 15 2" xfId="6580" xr:uid="{2AB89BB8-3E27-4883-B5BE-C3A1ADE52970}"/>
    <cellStyle name="Style 25 15 3" xfId="23053" xr:uid="{486B278B-DA78-4CE3-A3F2-6870598BF331}"/>
    <cellStyle name="Style 25 2" xfId="1421" xr:uid="{CD4C069E-6A17-4CA6-A6E9-91ADC8B14D11}"/>
    <cellStyle name="Style 25 2 2 2" xfId="21254" xr:uid="{87F7D233-995E-424C-9556-6583690C6F6D}"/>
    <cellStyle name="Style 25 3" xfId="1422" xr:uid="{C11159CA-2DE1-49D5-A8F0-1BC237388C5B}"/>
    <cellStyle name="Style 25 3 2 2" xfId="1423" xr:uid="{726FF3BB-F7F5-485E-900D-14E2061E1CDB}"/>
    <cellStyle name="Style 25 3 2 2 2 2" xfId="21905" xr:uid="{E6B02BDF-B742-459A-A936-EFF1B560DE67}"/>
    <cellStyle name="Style 25 3 2 3" xfId="2931" xr:uid="{60C60006-CB05-4EDF-8EA1-B44E0A4F849B}"/>
    <cellStyle name="Style 25 3 2 4" xfId="18672" xr:uid="{36296B1A-5B6B-443B-B268-5D8447C72AD8}"/>
    <cellStyle name="Style 25 3 3 2" xfId="1424" xr:uid="{E410B8D9-119B-4D2C-98B8-C55F41943434}"/>
    <cellStyle name="Style 25 3 3 2 2 2" xfId="21906" xr:uid="{6542C535-6910-402E-89F8-58A213D26218}"/>
    <cellStyle name="Style 25 3 3 3" xfId="1425" xr:uid="{02C7B43A-CE42-4508-BC5B-9C0E597AC7EE}"/>
    <cellStyle name="Style 25 3 3 3 2 2" xfId="4048" xr:uid="{D2EBD5C1-264F-48A3-9AC9-47FF89257BA0}"/>
    <cellStyle name="Style 25 3 3 3 2 3" xfId="18674" xr:uid="{B8E51568-E97F-4D35-A697-9C945D9ADB6F}"/>
    <cellStyle name="Style 25 3 3 3 3 2" xfId="18675" xr:uid="{9B3819CD-D787-46F4-9623-21B3276CDD44}"/>
    <cellStyle name="Style 25 3 3 3 4 2" xfId="19542" xr:uid="{54B9058A-4C32-46B3-8697-B6FC5D8CEAF5}"/>
    <cellStyle name="Style 25 3 3 3 5 2" xfId="21907" xr:uid="{5B63604E-4E2B-408E-9DF1-CA51A8537CC3}"/>
    <cellStyle name="Style 25 3 3 4" xfId="1426" xr:uid="{AF8F55CA-8F4B-4D62-8177-369272F6F61A}"/>
    <cellStyle name="Style 25 3 3 4 2 2" xfId="4049" xr:uid="{59F9EA8E-25C6-4ED0-9CC8-F594416445AA}"/>
    <cellStyle name="Style 25 3 3 4 2 3" xfId="18676" xr:uid="{88A19293-0F3A-440A-9754-09FC2D77349B}"/>
    <cellStyle name="Style 25 3 3 4 3 2" xfId="21908" xr:uid="{A1C00929-6B0B-4924-A9AD-1F3A047125D1}"/>
    <cellStyle name="Style 25 3 3 5" xfId="4050" xr:uid="{8F40E5C5-F98C-495E-8871-44EA61767FFD}"/>
    <cellStyle name="Style 25 3 3 6" xfId="4047" xr:uid="{A26FC13C-6FC4-49BE-88CC-F41DD653491F}"/>
    <cellStyle name="Style 25 3 3 7" xfId="18673" xr:uid="{376B8E59-B085-4405-A9DC-0943DF06C90E}"/>
    <cellStyle name="Style 25 3 4 2" xfId="4052" xr:uid="{41FBEB92-E066-47C7-AE0F-F0F5F398D071}"/>
    <cellStyle name="Style 25 3 4 3" xfId="4053" xr:uid="{9CA0157F-6CE8-488F-B20F-D3942025BCA1}"/>
    <cellStyle name="Style 25 3 4 4" xfId="4051" xr:uid="{B8607E7F-B0AB-45DB-B904-E367164E4CFA}"/>
    <cellStyle name="Style 25 3 4 5" xfId="18677" xr:uid="{681D6DAB-7BDC-4581-A22D-20C915F6088D}"/>
    <cellStyle name="Style 25 3 5 2" xfId="6581" xr:uid="{EC02FBE2-3C74-4F68-81BD-572B70071E05}"/>
    <cellStyle name="Style 25 3 5 3" xfId="18678" xr:uid="{0E5ED062-FFC3-41D6-AB9D-A8B90E42061D}"/>
    <cellStyle name="Style 25 3 6" xfId="2930" xr:uid="{59A09349-CCB4-4713-993D-0B5F31332E00}"/>
    <cellStyle name="Style 25 3 6 2" xfId="21255" xr:uid="{F6C02026-6B4B-435E-8485-418D1ACF2D8B}"/>
    <cellStyle name="Style 25 3 7" xfId="18671" xr:uid="{95557A90-E26D-45C7-9D6E-1C1CB3A6E29C}"/>
    <cellStyle name="Style 25 4" xfId="1427" xr:uid="{475BC71C-60CB-42B7-BC0A-4248EE91066A}"/>
    <cellStyle name="Style 25 4 2" xfId="1428" xr:uid="{A69EF27B-0D59-4C0E-AC4B-65A2526668B5}"/>
    <cellStyle name="Style 25 4 2 2" xfId="1429" xr:uid="{CE54E862-C496-4685-982F-C74C4C03C928}"/>
    <cellStyle name="Style 25 4 2 2 2" xfId="4056" xr:uid="{FFF44EC8-5B9C-4F78-9831-F38C3D779865}"/>
    <cellStyle name="Style 25 4 2 2 2 2" xfId="21910" xr:uid="{410D2DFA-116D-4576-98A3-6D4A687CC212}"/>
    <cellStyle name="Style 25 4 2 2 3" xfId="18681" xr:uid="{2A7FAA2F-DB15-41B1-AD5A-B1571C8849BB}"/>
    <cellStyle name="Style 25 4 2 3" xfId="1430" xr:uid="{0F46BF35-B460-4865-8100-375A7C235804}"/>
    <cellStyle name="Style 25 4 2 3 2" xfId="1431" xr:uid="{CD40DC73-4B82-4CCA-BF11-7DA4F2B07F02}"/>
    <cellStyle name="Style 25 4 2 3 2 2" xfId="4058" xr:uid="{22783CB6-B5C8-40B2-86BA-DE5DAE25A8D2}"/>
    <cellStyle name="Style 25 4 2 3 2 2 2" xfId="21912" xr:uid="{798BF24F-067A-4D74-A719-528A54F1E99D}"/>
    <cellStyle name="Style 25 4 2 3 2 3" xfId="18683" xr:uid="{D4A81B56-1A84-4F71-B705-4E3592757B56}"/>
    <cellStyle name="Style 25 4 2 3 3" xfId="4059" xr:uid="{E3D4821E-783C-44E9-969D-D4618AB9875B}"/>
    <cellStyle name="Style 25 4 2 3 3 2" xfId="18684" xr:uid="{6EA5ACCB-739D-4C6C-9C42-5FD556AD682C}"/>
    <cellStyle name="Style 25 4 2 3 4" xfId="4060" xr:uid="{F5C7953A-935D-44ED-BD83-49291B360896}"/>
    <cellStyle name="Style 25 4 2 3 4 2" xfId="19543" xr:uid="{7A062BD8-0382-40CF-9293-ADD305EDE140}"/>
    <cellStyle name="Style 25 4 2 3 5" xfId="4057" xr:uid="{33A79DD9-F9B0-4C07-AC0F-7FB1388A5CBC}"/>
    <cellStyle name="Style 25 4 2 3 5 2" xfId="21911" xr:uid="{63400E74-7BFF-49C8-9F2D-DF8AAD778CDD}"/>
    <cellStyle name="Style 25 4 2 3 6" xfId="18682" xr:uid="{83A0DB55-E8EB-4F9B-8107-B775C5E05165}"/>
    <cellStyle name="Style 25 4 2 4" xfId="1432" xr:uid="{F319EBC2-7A93-440E-9F0B-F5519FEDD18D}"/>
    <cellStyle name="Style 25 4 2 4 2" xfId="1433" xr:uid="{DD725089-30D6-4BCE-B434-13A0E378BB31}"/>
    <cellStyle name="Style 25 4 2 4 2 2" xfId="4062" xr:uid="{88B7AC99-298B-4F53-925F-2782B153658F}"/>
    <cellStyle name="Style 25 4 2 4 2 2 2" xfId="21914" xr:uid="{6A42B49D-A521-45C9-B6EE-2B5C95FA0E5A}"/>
    <cellStyle name="Style 25 4 2 4 2 3" xfId="18686" xr:uid="{34E56172-E87C-406C-AC2F-8B224C030AA1}"/>
    <cellStyle name="Style 25 4 2 4 3" xfId="4061" xr:uid="{AA0124CC-4ABB-418F-89F2-EC6D495DE5E1}"/>
    <cellStyle name="Style 25 4 2 4 3 2" xfId="21913" xr:uid="{847A31FE-14D9-4409-8E04-48EC75BF932F}"/>
    <cellStyle name="Style 25 4 2 4 4" xfId="18685" xr:uid="{8E1EB314-AD47-4C23-9228-250C9AD19EC9}"/>
    <cellStyle name="Style 25 4 2 5" xfId="4063" xr:uid="{7DB70FA9-EA57-4037-9352-B3E7963AEE89}"/>
    <cellStyle name="Style 25 4 2 5 2" xfId="19544" xr:uid="{6FC9F21C-A8EB-460B-B8C9-CCF124F2A98D}"/>
    <cellStyle name="Style 25 4 2 6" xfId="4055" xr:uid="{E60F255B-2655-48C0-B294-3A6C0BAD5B30}"/>
    <cellStyle name="Style 25 4 2 6 2" xfId="21909" xr:uid="{8D08671D-2A35-4A08-AEAC-80C79D195652}"/>
    <cellStyle name="Style 25 4 2 7" xfId="18680" xr:uid="{DA7C28BF-C76A-46F9-9BB9-3B0F904241E3}"/>
    <cellStyle name="Style 25 4 3" xfId="1434" xr:uid="{B0CC98B0-D8FE-4C61-B3A0-5B944C981F83}"/>
    <cellStyle name="Style 25 4 3 2" xfId="4064" xr:uid="{B22132B9-1339-40A0-8B38-142B2EF3AEB1}"/>
    <cellStyle name="Style 25 4 3 2 2" xfId="21915" xr:uid="{1F426600-6185-4663-BE42-3941653C35DC}"/>
    <cellStyle name="Style 25 4 3 3" xfId="18687" xr:uid="{A06049DA-3697-42EF-9494-6D6E2279E8F6}"/>
    <cellStyle name="Style 25 4 4" xfId="4065" xr:uid="{041268C3-8A71-4996-ADEB-A4BD6C20BED3}"/>
    <cellStyle name="Style 25 4 4 2" xfId="4066" xr:uid="{968497B8-7D8F-4DDB-BB02-DEBCB43625BD}"/>
    <cellStyle name="Style 25 4 4 2 2" xfId="19545" xr:uid="{3B9C8660-4DA7-455C-94E9-21CE58B3E985}"/>
    <cellStyle name="Style 25 4 4 3" xfId="18688" xr:uid="{582FABC0-ABB1-4965-81BA-CF0767F7EED1}"/>
    <cellStyle name="Style 25 4 5" xfId="4054" xr:uid="{22EA4B87-5A64-4DEA-A004-24E29F834F0D}"/>
    <cellStyle name="Style 25 4 5 2" xfId="20651" xr:uid="{7402827A-A8D2-4967-8E83-D190DB5D38EA}"/>
    <cellStyle name="Style 25 4 6" xfId="2932" xr:uid="{231CB850-F304-48F3-81F3-F0F180A28DA3}"/>
    <cellStyle name="Style 25 4 6 2" xfId="21256" xr:uid="{5D1F4BB4-3379-4946-A911-5E3EE6A39528}"/>
    <cellStyle name="Style 25 4 7" xfId="18679" xr:uid="{F6620239-F7A8-4864-8855-15768035D8D2}"/>
    <cellStyle name="Style 25 5" xfId="1435" xr:uid="{812F2029-D32E-4C19-A42E-D92BC735ADF6}"/>
    <cellStyle name="Style 25 5 2" xfId="1436" xr:uid="{97AE3C18-B645-40F3-91B5-DEBABC5832BB}"/>
    <cellStyle name="Style 25 5 2 2" xfId="1437" xr:uid="{5B67EEB2-822B-4645-AB48-04EE0558CA12}"/>
    <cellStyle name="Style 25 5 2 2 2" xfId="4069" xr:uid="{FBB7CDF4-1055-44A2-AA84-25D70AEA3C8B}"/>
    <cellStyle name="Style 25 5 2 2 2 2" xfId="21917" xr:uid="{B84C0304-C91C-4633-96E3-B5FFC0D706E2}"/>
    <cellStyle name="Style 25 5 2 2 3" xfId="18691" xr:uid="{7D045514-B167-4417-A474-FAE58402DA40}"/>
    <cellStyle name="Style 25 5 2 3" xfId="1438" xr:uid="{14BA458E-52C1-4739-8D4A-CDBC0E786A30}"/>
    <cellStyle name="Style 25 5 2 3 2" xfId="1439" xr:uid="{FAE7FBDA-83C9-4C32-B3DA-FB3809D5D332}"/>
    <cellStyle name="Style 25 5 2 3 2 2" xfId="4071" xr:uid="{5CB6F906-10D0-4A39-9A61-9779E74299C8}"/>
    <cellStyle name="Style 25 5 2 3 2 2 2" xfId="21919" xr:uid="{A4582C63-6AAA-4650-A42C-001CB11DA6E6}"/>
    <cellStyle name="Style 25 5 2 3 2 3" xfId="18693" xr:uid="{282A7847-8118-471A-82B7-61B1B2F95C12}"/>
    <cellStyle name="Style 25 5 2 3 3" xfId="4072" xr:uid="{C7077998-21AF-4C95-811F-E19A515A8547}"/>
    <cellStyle name="Style 25 5 2 3 3 2" xfId="18694" xr:uid="{364F3FFF-640D-4F56-BC25-149B019B494C}"/>
    <cellStyle name="Style 25 5 2 3 4" xfId="4073" xr:uid="{E7A4F09E-32C6-49AC-8FA7-695FC9E136DA}"/>
    <cellStyle name="Style 25 5 2 3 4 2" xfId="19546" xr:uid="{69242C5D-A932-4827-BF6A-DDF5CE928B82}"/>
    <cellStyle name="Style 25 5 2 3 5" xfId="4070" xr:uid="{13810358-3F28-4C70-A22C-6E7C77DFAF60}"/>
    <cellStyle name="Style 25 5 2 3 5 2" xfId="21918" xr:uid="{9465EDCF-6204-430B-B3D7-AD118CB98DEA}"/>
    <cellStyle name="Style 25 5 2 3 6" xfId="18692" xr:uid="{1A7768AE-6DC8-4C72-8512-2B13C0229D28}"/>
    <cellStyle name="Style 25 5 2 4" xfId="1440" xr:uid="{7956BE90-0922-45E8-9802-2C65923EF37F}"/>
    <cellStyle name="Style 25 5 2 4 2" xfId="1441" xr:uid="{0A1B3D84-0334-4E87-AE3B-00300CF5021E}"/>
    <cellStyle name="Style 25 5 2 4 2 2" xfId="4075" xr:uid="{16BEE427-A78D-4A76-835F-D4219BC5625E}"/>
    <cellStyle name="Style 25 5 2 4 2 2 2" xfId="21921" xr:uid="{DB91990C-56C3-4C70-9752-086DD78A5F49}"/>
    <cellStyle name="Style 25 5 2 4 2 3" xfId="18696" xr:uid="{DBCCD062-DF47-4CD9-8072-5D0DDDD932CB}"/>
    <cellStyle name="Style 25 5 2 4 3" xfId="4074" xr:uid="{716EEB10-8949-4E13-B1C7-CED8F1335075}"/>
    <cellStyle name="Style 25 5 2 4 3 2" xfId="21920" xr:uid="{2CD2C395-5A12-4E19-A415-5488E0616D16}"/>
    <cellStyle name="Style 25 5 2 4 4" xfId="18695" xr:uid="{D74A9E0C-9F03-40D5-8BB9-A8991B221664}"/>
    <cellStyle name="Style 25 5 2 5" xfId="4076" xr:uid="{A3A6DE47-2B82-4704-9B03-984B68533DC0}"/>
    <cellStyle name="Style 25 5 2 5 2" xfId="19547" xr:uid="{E29DC459-F153-40F9-8A0C-BD47FD2B4A23}"/>
    <cellStyle name="Style 25 5 2 6" xfId="4068" xr:uid="{40E3D40B-8603-4D26-9603-C5D97F0C88F7}"/>
    <cellStyle name="Style 25 5 2 6 2" xfId="21916" xr:uid="{68F6AAB8-BD37-4261-8DC4-7762DF9A4705}"/>
    <cellStyle name="Style 25 5 2 7" xfId="18690" xr:uid="{2FF85BE4-DF21-464F-85B4-35ABD573E755}"/>
    <cellStyle name="Style 25 5 3" xfId="1442" xr:uid="{B9EB0561-FAF6-48AC-A784-63C83D967948}"/>
    <cellStyle name="Style 25 5 3 2" xfId="4077" xr:uid="{D87FB0C1-5B2F-43A2-8C27-ABEF114CBE4E}"/>
    <cellStyle name="Style 25 5 3 2 2" xfId="21922" xr:uid="{D5D6ADF2-C096-4649-A806-57AB67D6F8A9}"/>
    <cellStyle name="Style 25 5 3 3" xfId="18697" xr:uid="{E0B508E9-64B4-4EE4-840D-F53D8EEF1A91}"/>
    <cellStyle name="Style 25 5 4" xfId="4078" xr:uid="{13B38307-5D05-4BAE-9A74-2544D8D572B8}"/>
    <cellStyle name="Style 25 5 4 2" xfId="4079" xr:uid="{A45E844E-1D15-4E32-B726-4990511AEF44}"/>
    <cellStyle name="Style 25 5 4 2 2" xfId="19548" xr:uid="{503A239E-BEA6-431F-A9AF-382C0B57B873}"/>
    <cellStyle name="Style 25 5 4 3" xfId="18698" xr:uid="{DCBA61A1-13DD-4CFE-B555-90CFB10AA3D6}"/>
    <cellStyle name="Style 25 5 5" xfId="4067" xr:uid="{03C68493-ADDE-45DB-8D98-EF6079A14B4E}"/>
    <cellStyle name="Style 25 5 5 2" xfId="20652" xr:uid="{88C8F276-D649-4805-8C0B-C42A45C8C4EB}"/>
    <cellStyle name="Style 25 5 6" xfId="2933" xr:uid="{31E8999C-F555-4658-AE03-7238A9A87425}"/>
    <cellStyle name="Style 25 5 6 2" xfId="21257" xr:uid="{32808FEB-9D75-4BA1-94E1-60C6D493B14B}"/>
    <cellStyle name="Style 25 5 7" xfId="18689" xr:uid="{9B4AB976-8145-4CD8-B59C-9C09BA464CCB}"/>
    <cellStyle name="Style 25 6" xfId="1443" xr:uid="{7346CD86-45AB-47C3-9E74-A696DD1E885A}"/>
    <cellStyle name="Style 25 6 2" xfId="1444" xr:uid="{173A01BB-BB3A-46FE-B713-498B4AD06C8F}"/>
    <cellStyle name="Style 25 6 2 2" xfId="4081" xr:uid="{4190AEDB-226F-42F0-9447-76A13BBF23DF}"/>
    <cellStyle name="Style 25 6 2 2 2" xfId="21924" xr:uid="{91866EBA-1214-40EE-A68A-D9A6B8AFC6D1}"/>
    <cellStyle name="Style 25 6 2 3" xfId="18700" xr:uid="{655025A2-DD0D-4BAE-9123-10001F291700}"/>
    <cellStyle name="Style 25 6 3" xfId="1445" xr:uid="{97A60BEB-B268-4793-AA32-1FA303364FC0}"/>
    <cellStyle name="Style 25 6 3 2" xfId="1446" xr:uid="{A4C2DC7D-1C0F-4E3E-87F0-1BC8B171F19F}"/>
    <cellStyle name="Style 25 6 3 2 2" xfId="4083" xr:uid="{CA656FA9-18D7-4422-AABD-E17447B5EEC2}"/>
    <cellStyle name="Style 25 6 3 2 2 2" xfId="21926" xr:uid="{31EC7BAF-F581-480E-B558-332295D56C19}"/>
    <cellStyle name="Style 25 6 3 2 3" xfId="18702" xr:uid="{AE8FFD5E-9040-4231-93C0-1981610AE6B8}"/>
    <cellStyle name="Style 25 6 3 3" xfId="4084" xr:uid="{99D50233-1F26-4ED5-814D-D9E91B445FF0}"/>
    <cellStyle name="Style 25 6 3 3 2" xfId="18703" xr:uid="{224F4C42-9130-44EF-B648-4365F42BFC85}"/>
    <cellStyle name="Style 25 6 3 4" xfId="4085" xr:uid="{563AA175-301C-4A23-BD8D-BFFD34278B3D}"/>
    <cellStyle name="Style 25 6 3 4 2" xfId="19549" xr:uid="{1F13B895-C1A7-4947-A60E-62BA6F2EC3B4}"/>
    <cellStyle name="Style 25 6 3 5" xfId="4082" xr:uid="{1588AB9F-D1F4-4F4A-9CCB-1B84459BBAAB}"/>
    <cellStyle name="Style 25 6 3 5 2" xfId="21925" xr:uid="{D10722D7-C6B7-4098-B7EA-CB4555B67D5C}"/>
    <cellStyle name="Style 25 6 3 6" xfId="18701" xr:uid="{BD607779-8DD7-4D4D-9234-2F0F5B1FC910}"/>
    <cellStyle name="Style 25 6 4" xfId="1447" xr:uid="{539E54B9-C2C5-48AE-A8F9-556CFAC0C2E2}"/>
    <cellStyle name="Style 25 6 4 2" xfId="1448" xr:uid="{DBB7921C-5E1E-4501-A382-48BDE4C62D7F}"/>
    <cellStyle name="Style 25 6 4 2 2" xfId="4087" xr:uid="{295AFBAD-B67D-4D81-9EED-16967BCA6B8C}"/>
    <cellStyle name="Style 25 6 4 2 2 2" xfId="21928" xr:uid="{E50D1A78-6DBC-4E73-9F66-911D069E6B66}"/>
    <cellStyle name="Style 25 6 4 2 3" xfId="18705" xr:uid="{16FBAD7F-CB7B-4BB1-923F-7CD2A8303098}"/>
    <cellStyle name="Style 25 6 4 3" xfId="4086" xr:uid="{32CC37E5-716C-446E-88C3-2F9C8A553B1B}"/>
    <cellStyle name="Style 25 6 4 3 2" xfId="21927" xr:uid="{2782A46C-1466-4CE3-9C96-15286FCD414F}"/>
    <cellStyle name="Style 25 6 4 4" xfId="18704" xr:uid="{C8A32BFD-83C1-4AEB-B437-479539FEE2D7}"/>
    <cellStyle name="Style 25 6 5" xfId="4088" xr:uid="{CE1C54DD-8AB4-4F5D-8737-129D6407C354}"/>
    <cellStyle name="Style 25 6 5 2" xfId="19550" xr:uid="{2701501D-9E0C-4CD3-A9C3-8375A09D5D1F}"/>
    <cellStyle name="Style 25 6 6" xfId="4080" xr:uid="{1AED1429-D1EF-4948-B61D-E0905615AC01}"/>
    <cellStyle name="Style 25 6 6 2" xfId="21923" xr:uid="{04BF4AA3-8264-4F3F-BECD-F009C120B5FE}"/>
    <cellStyle name="Style 25 6 7" xfId="18699" xr:uid="{6F22FBA2-B9B7-45CE-8841-96294CB0A658}"/>
    <cellStyle name="Style 25 7" xfId="1449" xr:uid="{81F16F92-2A57-4E3D-9C12-26F06F1F9B14}"/>
    <cellStyle name="Style 25 7 2" xfId="1450" xr:uid="{2FEFDCFA-E2A2-4D66-9C02-AC2C627D6263}"/>
    <cellStyle name="Style 25 7 2 2" xfId="4090" xr:uid="{D32F18A1-E53F-4C09-8A29-244AD260AC80}"/>
    <cellStyle name="Style 25 7 2 2 2" xfId="21930" xr:uid="{30B11808-9C66-4FD8-B1D7-2261F0B687AF}"/>
    <cellStyle name="Style 25 7 2 3" xfId="18707" xr:uid="{DEE43661-305C-4854-9281-68C15DA6B0CB}"/>
    <cellStyle name="Style 25 7 3" xfId="4091" xr:uid="{DD6B7672-9C58-4BFC-85CF-E56E0012C8E8}"/>
    <cellStyle name="Style 25 7 3 2" xfId="18708" xr:uid="{5A9803F0-CCA8-4EB1-A289-22B1F47FCDFC}"/>
    <cellStyle name="Style 25 7 4" xfId="4092" xr:uid="{42C728CC-8502-434E-BD3F-D36F5160E0BA}"/>
    <cellStyle name="Style 25 7 4 2" xfId="19551" xr:uid="{B7F01D01-7B9F-43B4-806B-0B1057661BEC}"/>
    <cellStyle name="Style 25 7 5" xfId="4089" xr:uid="{B1F8C66B-4006-4C36-814D-D175C9B4BBAC}"/>
    <cellStyle name="Style 25 7 5 2" xfId="21929" xr:uid="{A9138F29-4B95-49E6-8E33-62CAC428F1FF}"/>
    <cellStyle name="Style 25 7 6" xfId="18706" xr:uid="{E4B921F0-7F37-461C-ADD2-0ABC9692E88E}"/>
    <cellStyle name="Style 25 8" xfId="1451" xr:uid="{7A643D6E-DDA0-40B2-A9CB-F098533AC13F}"/>
    <cellStyle name="Style 25 8 2" xfId="1452" xr:uid="{223A4A25-FDAD-4CCB-B8A0-B6AC059B96D1}"/>
    <cellStyle name="Style 25 8 2 2" xfId="4094" xr:uid="{BEEA3A8A-4EFA-42DD-BBA2-FBD7CE7C8D74}"/>
    <cellStyle name="Style 25 8 2 2 2" xfId="21932" xr:uid="{107B7F67-29DC-4C01-94DE-4962E2C633FB}"/>
    <cellStyle name="Style 25 8 2 3" xfId="18710" xr:uid="{B267A8DD-BAFD-4C09-93DC-379B7567BCF7}"/>
    <cellStyle name="Style 25 8 3" xfId="4095" xr:uid="{1621FD59-15FC-4069-979B-FF9AD4CDB127}"/>
    <cellStyle name="Style 25 8 3 2" xfId="18711" xr:uid="{186E8612-7229-4FAC-A324-676586F842B8}"/>
    <cellStyle name="Style 25 8 4" xfId="4096" xr:uid="{293736E5-B73B-45FC-B7C0-9096B49364CB}"/>
    <cellStyle name="Style 25 8 4 2" xfId="19552" xr:uid="{DD406F6E-6438-4434-BB8A-1618B331A21F}"/>
    <cellStyle name="Style 25 8 5" xfId="4093" xr:uid="{F52A4AC4-58B4-4FB2-B473-206F02B73367}"/>
    <cellStyle name="Style 25 8 5 2" xfId="21931" xr:uid="{D5872662-D722-4912-A493-8841ADC35051}"/>
    <cellStyle name="Style 25 8 6" xfId="18709" xr:uid="{52B2585A-AF80-44EB-9A70-767C2864BA33}"/>
    <cellStyle name="Style 25 9" xfId="1453" xr:uid="{AD45515A-EBE3-4518-8DDE-D646CC8F30ED}"/>
    <cellStyle name="Style 25 9 2" xfId="1454" xr:uid="{4D238536-D40B-4FA5-A295-24BC9B189B9A}"/>
    <cellStyle name="Style 25 9 2 2" xfId="4097" xr:uid="{723B95C8-9096-4E71-80B7-2111D9BA50C7}"/>
    <cellStyle name="Style 25 9 2 2 2" xfId="21934" xr:uid="{1D04793C-355B-4B05-8407-BA366FBA8C4C}"/>
    <cellStyle name="Style 25 9 2 3" xfId="19553" xr:uid="{5181C238-5A46-4D58-978F-BDB8B8A1FDCE}"/>
    <cellStyle name="Style 25 9 3" xfId="2747" xr:uid="{05C94417-5005-476D-A6C2-1CE28460F112}"/>
    <cellStyle name="Style 25 9 3 2" xfId="21933" xr:uid="{2F696963-5EAC-4A5F-B39B-C6DEA8800FCB}"/>
    <cellStyle name="Style 25 9 4" xfId="18712" xr:uid="{918DEF86-F5C6-4EC4-96BB-45D9E07D2D2A}"/>
    <cellStyle name="Style 25_ADDON" xfId="20518" xr:uid="{5B0AA29A-3A8C-4966-90C6-453839EF8CE9}"/>
    <cellStyle name="Style 26" xfId="1455" xr:uid="{64C27EAA-4D50-4D52-96EC-EE1130697E69}"/>
    <cellStyle name="Style 26 2" xfId="1456" xr:uid="{BBF2E7ED-880B-4DA3-B763-A2A22DCC68E9}"/>
    <cellStyle name="Style 26 2 2" xfId="1457" xr:uid="{E7759B4A-9A14-4527-9E34-BED7BCF4B98B}"/>
    <cellStyle name="Style 26 2 2 2" xfId="1458" xr:uid="{738596EC-BCFF-4D0F-AF47-098FA7A8CC56}"/>
    <cellStyle name="Style 26 2 2 2 2" xfId="1459" xr:uid="{4829B1F2-8889-42CB-A8A1-78B2FA145F11}"/>
    <cellStyle name="Style 26 2 2 2 2 2" xfId="1460" xr:uid="{2E67C0DA-9A47-44EF-A608-062083043274}"/>
    <cellStyle name="Style 26 2 2 2 2 2 2" xfId="6582" xr:uid="{D22AF6B6-C745-4975-9943-D201A049E55F}"/>
    <cellStyle name="Style 26 2 2 2 2 3" xfId="6583" xr:uid="{BBC50CBF-F941-4817-A2CE-17242F5D4CE1}"/>
    <cellStyle name="Style 26 2 2 2 3" xfId="1461" xr:uid="{5F6C29C3-8AE3-4618-B67E-ADECC93FDB3E}"/>
    <cellStyle name="Style 26 2 2 2 3 2" xfId="6584" xr:uid="{01A297B0-FD73-423D-916E-0EF57B7DC489}"/>
    <cellStyle name="Style 26 2 2 2 4" xfId="6585" xr:uid="{8D3945D8-8D41-4FFA-AEF5-CD1ACBEC3E22}"/>
    <cellStyle name="Style 26 2 2 3" xfId="1462" xr:uid="{4AA31BAD-7DDC-4DC3-B5E1-CD2FFF2A790B}"/>
    <cellStyle name="Style 26 2 2 3 2" xfId="1463" xr:uid="{E192B2DF-B013-4706-9C69-12B63141FF69}"/>
    <cellStyle name="Style 26 2 2 3 2 2" xfId="6586" xr:uid="{4A5437FF-4808-44C9-B894-961432531CC8}"/>
    <cellStyle name="Style 26 2 2 3 3" xfId="6587" xr:uid="{C9C56B56-7B08-4288-A2CE-3D6061BA20A1}"/>
    <cellStyle name="Style 26 2 2 4" xfId="1464" xr:uid="{D02B6214-6163-4E93-A80F-2E7429E18F59}"/>
    <cellStyle name="Style 26 2 2 4 2" xfId="6588" xr:uid="{99428CBE-411F-4C2A-B36E-E80CD8BD8D8E}"/>
    <cellStyle name="Style 26 2 2 5" xfId="6589" xr:uid="{141F4563-D5B2-4DB9-B589-09F6ADD22CCE}"/>
    <cellStyle name="Style 26 2 3" xfId="1465" xr:uid="{A67B5168-AD7F-49BA-B7BB-C97DA2CAEC71}"/>
    <cellStyle name="Style 26 2 3 2" xfId="1466" xr:uid="{6E628DF9-8786-4497-B274-45A76913E7F6}"/>
    <cellStyle name="Style 26 2 3 2 2" xfId="1467" xr:uid="{8443437E-8A3E-426D-AD76-0C24EF1E0CC8}"/>
    <cellStyle name="Style 26 2 3 2 2 2" xfId="6590" xr:uid="{5A6C808B-A2CD-4A54-922B-8D875EA2B8A6}"/>
    <cellStyle name="Style 26 2 3 2 3" xfId="6591" xr:uid="{DFA45CC6-682B-410E-A61B-B9B805456521}"/>
    <cellStyle name="Style 26 2 3 3" xfId="1468" xr:uid="{932AE9DE-CD60-4232-939C-7986EC92C74E}"/>
    <cellStyle name="Style 26 2 3 3 2" xfId="6592" xr:uid="{4D64EFC7-60EB-4C6C-A7B8-CDE555C2C1C2}"/>
    <cellStyle name="Style 26 2 3 4" xfId="6593" xr:uid="{3B4691A8-9712-4420-BD07-6348F4BC37AA}"/>
    <cellStyle name="Style 26 2 4" xfId="1469" xr:uid="{67F179AB-B588-4520-AC3C-8F5FE1AF0806}"/>
    <cellStyle name="Style 26 2 4 2" xfId="1470" xr:uid="{14F378C1-9F1C-42D1-A2F3-BB4013137546}"/>
    <cellStyle name="Style 26 2 4 2 2" xfId="6594" xr:uid="{79CA99C7-A653-493D-A96A-C075442B9304}"/>
    <cellStyle name="Style 26 2 4 3" xfId="6595" xr:uid="{A1DCA3B7-FEF0-4CFC-8703-3E71E496CD7F}"/>
    <cellStyle name="Style 26 2 5" xfId="1471" xr:uid="{1CE75BD9-AAFB-419C-AC1A-2C152862A18E}"/>
    <cellStyle name="Style 26 2 5 2" xfId="6596" xr:uid="{BF46B9E3-909D-4448-A819-F20C7DF02ABE}"/>
    <cellStyle name="Style 26 2 6" xfId="6597" xr:uid="{242A9004-44E0-4BE2-ACB1-7A0C26A3DE2C}"/>
    <cellStyle name="Style 26 3" xfId="1472" xr:uid="{99A60F5A-970C-43BC-8193-12A4A9E2863B}"/>
    <cellStyle name="Style 26 3 2" xfId="1473" xr:uid="{0FE2B7B3-76BA-4A82-BA17-4F9EF050AEB1}"/>
    <cellStyle name="Style 26 3 2 2" xfId="1474" xr:uid="{5DA77379-46A8-4254-BD21-A5AB15E3D44F}"/>
    <cellStyle name="Style 26 3 2 2 2" xfId="1475" xr:uid="{F95FFC7D-68BE-4384-A431-661785EC685B}"/>
    <cellStyle name="Style 26 3 2 2 2 2" xfId="1476" xr:uid="{7E5954D0-FAAB-44E5-963A-A2BD2FB0394A}"/>
    <cellStyle name="Style 26 3 2 2 2 2 2" xfId="6598" xr:uid="{9ADB001C-2B61-4845-8787-54EB28A3D085}"/>
    <cellStyle name="Style 26 3 2 2 2 3" xfId="6599" xr:uid="{99BBFA99-6CEC-4896-A92E-FD0E9160BE1F}"/>
    <cellStyle name="Style 26 3 2 2 3" xfId="1477" xr:uid="{E9C2BD34-2301-4B6C-B7D9-A7DDAD7C3512}"/>
    <cellStyle name="Style 26 3 2 2 3 2" xfId="6600" xr:uid="{0C73F59D-DF3D-4A02-A417-47663B1980D7}"/>
    <cellStyle name="Style 26 3 2 2 4" xfId="6601" xr:uid="{A9539478-7B61-4FD9-A026-031FE9AFED7E}"/>
    <cellStyle name="Style 26 3 2 3" xfId="1478" xr:uid="{953A67D8-5E47-4EB6-BE52-3C654B9EE4C7}"/>
    <cellStyle name="Style 26 3 2 3 2" xfId="1479" xr:uid="{A07FE599-9226-4165-9AC1-F1A1D623676C}"/>
    <cellStyle name="Style 26 3 2 3 2 2" xfId="6602" xr:uid="{58897080-B56D-48E1-B885-BD957C27F6ED}"/>
    <cellStyle name="Style 26 3 2 3 3" xfId="6603" xr:uid="{D23228EA-80F4-4564-9CF2-ED20F16870C2}"/>
    <cellStyle name="Style 26 3 2 4" xfId="1480" xr:uid="{5CC7FB4A-8043-4583-A83E-ACE9C2CABA63}"/>
    <cellStyle name="Style 26 3 2 4 2" xfId="6604" xr:uid="{D1FA2539-45F8-410E-9030-3E49DC515E4F}"/>
    <cellStyle name="Style 26 3 2 5" xfId="6605" xr:uid="{CEC81AB6-14DF-4C74-B8C4-D14FC7C036D1}"/>
    <cellStyle name="Style 26 3 3" xfId="1481" xr:uid="{70A4FBAB-965D-485B-A554-2F305975D635}"/>
    <cellStyle name="Style 26 3 3 2" xfId="1482" xr:uid="{430DD535-8B8E-47F6-9D4A-C03FC3BB6982}"/>
    <cellStyle name="Style 26 3 3 2 2 2" xfId="1483" xr:uid="{744E9A9D-985A-4285-8EAF-4304551D0DE6}"/>
    <cellStyle name="Style 26 3 3 2 2 3" xfId="6606" xr:uid="{9EF49558-9D18-4C2B-AEE3-ABBACF2DD43D}"/>
    <cellStyle name="Style 26 3 3 2 3 2" xfId="6607" xr:uid="{480D32AB-CB26-4887-ACDA-49B7602A5EA6}"/>
    <cellStyle name="Style 26 3 3 3" xfId="1484" xr:uid="{3F84B1E8-989A-4FBB-A386-8E452A06CBC5}"/>
    <cellStyle name="Style 26 3 3 4" xfId="4098" xr:uid="{F9B9EDBB-0AF8-4164-A04F-D9D38723512D}"/>
    <cellStyle name="Style 26 3 4" xfId="1485" xr:uid="{1FC626E1-E298-4F31-A49F-3FAAB5D074A3}"/>
    <cellStyle name="Style 26 3 4 2 2" xfId="6608" xr:uid="{977E6FBF-83D6-4F7A-9D2B-B3F8F044664D}"/>
    <cellStyle name="Style 26 3 5" xfId="1486" xr:uid="{E53455A5-1DD8-46F4-B64A-FC09B808D686}"/>
    <cellStyle name="Style 26 3 6" xfId="6609" xr:uid="{42F74143-0EB2-44C7-902F-2A8B7D08130C}"/>
    <cellStyle name="Style 26 4 2" xfId="1487" xr:uid="{B7A59B0D-42B8-49AE-819A-3297DA913561}"/>
    <cellStyle name="Style 26 4 2 2 2" xfId="1488" xr:uid="{D0093DDF-1584-49A9-8CF9-941814583E27}"/>
    <cellStyle name="Style 26 4 2 2 3" xfId="6610" xr:uid="{B59615EF-F767-4586-81D9-409AB75EE2CA}"/>
    <cellStyle name="Style 26 4 2 3 2" xfId="6611" xr:uid="{23A3B95A-4F2B-4EF7-A2BA-891A6B295D86}"/>
    <cellStyle name="Style 26 4 3" xfId="1489" xr:uid="{29E4C5CB-63B7-4D59-9D48-B65059C71B79}"/>
    <cellStyle name="Style 26 4 4" xfId="4099" xr:uid="{BA82F742-D90B-47DC-9CD6-74F02AEA853E}"/>
    <cellStyle name="Style 26 5" xfId="1490" xr:uid="{678A9463-F104-4D0B-8B83-02AB84F13489}"/>
    <cellStyle name="Style 26 5 2 2" xfId="6612" xr:uid="{8B4D5CCB-0F15-48BE-B2A6-6106098E050E}"/>
    <cellStyle name="Style 26 6" xfId="1491" xr:uid="{6AC90369-35D0-471A-AE47-1DA411E062E4}"/>
    <cellStyle name="Style 26 6 2 2" xfId="4100" xr:uid="{79A7723A-1F66-4071-8CB1-C95E59B28440}"/>
    <cellStyle name="Style 26 7" xfId="2748" xr:uid="{CBD5D264-2618-4015-9E78-76160C317AD5}"/>
    <cellStyle name="Style 26 7 3" xfId="4101" xr:uid="{E755D4C4-10BE-4EF3-A968-DE50CE69A41C}"/>
    <cellStyle name="Style 26 9" xfId="6613" xr:uid="{07D781EB-6346-4923-B94C-7D06B3C6230D}"/>
    <cellStyle name="Style 26_ADDON" xfId="20519" xr:uid="{DCA59966-ED4C-447E-BDD1-0BE6189AADA0}"/>
    <cellStyle name="Style 27 2" xfId="1492" xr:uid="{0F3C191D-6354-4E8E-B92E-0CF606F110EB}"/>
    <cellStyle name="Style 27 2 2 2" xfId="1493" xr:uid="{2B390A63-74B4-4A92-9559-2B34A7DBF006}"/>
    <cellStyle name="Style 27 2 2 2 2 2" xfId="1494" xr:uid="{2C4AAB48-5F21-433E-AAF9-432DF2EA8499}"/>
    <cellStyle name="Style 27 2 2 2 2 3" xfId="6614" xr:uid="{90C4E000-EEAC-4C2F-89C4-750A59C381CB}"/>
    <cellStyle name="Style 27 2 2 2 3 2" xfId="6615" xr:uid="{42B74913-24DE-4100-AFD2-545E2842FB35}"/>
    <cellStyle name="Style 27 2 2 3" xfId="1495" xr:uid="{26103674-B824-47A9-9A75-3EC1CE22A55D}"/>
    <cellStyle name="Style 27 2 2 3 2 2" xfId="6616" xr:uid="{5A9C6E53-3A22-4779-A967-F1B31493E48C}"/>
    <cellStyle name="Style 27 2 2 4" xfId="1496" xr:uid="{1EFC3CFF-C6EC-476D-B0E9-38BD06F96655}"/>
    <cellStyle name="Style 27 2 2 5" xfId="6617" xr:uid="{A3A3E7E5-B5A1-4D7D-98E5-6ECFC23A3BD1}"/>
    <cellStyle name="Style 27 2 3 2" xfId="1497" xr:uid="{EFF567C1-53AD-4916-B89E-D7269FD0E7A8}"/>
    <cellStyle name="Style 27 2 3 2 2 2" xfId="6618" xr:uid="{C5C1E174-5506-4B44-B04F-484F5F75B689}"/>
    <cellStyle name="Style 27 2 3 3" xfId="1498" xr:uid="{C1797238-8C9C-486F-A688-C706B57F16A6}"/>
    <cellStyle name="Style 27 2 3 4" xfId="6619" xr:uid="{CE9DCDAA-B944-4242-A7FB-A5F01DD8D2B4}"/>
    <cellStyle name="Style 27 2 4 2" xfId="1499" xr:uid="{5B7D7841-118B-4923-8A4F-0E369A37F679}"/>
    <cellStyle name="Style 27 2 4 3" xfId="6620" xr:uid="{08FE277D-00F0-409B-A4AF-95B4B27FD699}"/>
    <cellStyle name="Style 27 2 5 2" xfId="6621" xr:uid="{531005FF-4AD3-4373-9EA0-EB29F6397B01}"/>
    <cellStyle name="Style 27 3" xfId="1500" xr:uid="{46E7E09A-7B96-4527-863C-04E5A45D504E}"/>
    <cellStyle name="Style 27 3 2 2 2" xfId="1501" xr:uid="{72E412E0-8A37-4E51-9FD1-B5E8FF7C7969}"/>
    <cellStyle name="Style 27 3 2 2 3" xfId="1502" xr:uid="{3095FDFE-3906-4106-B36F-BC89392AA834}"/>
    <cellStyle name="Style 27 3 2 3 2" xfId="1503" xr:uid="{D978F6BE-7618-4738-9F9D-45500B8C034F}"/>
    <cellStyle name="Style 27 3 2 4 2" xfId="6622" xr:uid="{5768751D-62FD-4D60-B731-0E5222179443}"/>
    <cellStyle name="Style 27 3 3 2 2" xfId="1504" xr:uid="{4C797A62-E3EB-4FB0-90FE-FA1C7D110E83}"/>
    <cellStyle name="Style 27 3 3 2 3" xfId="1505" xr:uid="{46F87088-26C5-44C1-885F-5E69A568A266}"/>
    <cellStyle name="Style 27 3 3 3 2" xfId="6623" xr:uid="{58064FD7-ADEF-4205-9E02-7E4EBE6188DD}"/>
    <cellStyle name="Style 27 3 4 2" xfId="1506" xr:uid="{F1F86092-4E9F-4B60-8E1C-ECAA73243D0B}"/>
    <cellStyle name="Style 27 3 5 2" xfId="6624" xr:uid="{48AA2333-2622-4CC0-87E7-5601199FE627}"/>
    <cellStyle name="Style 27 4 2 2" xfId="1507" xr:uid="{B7F89B49-279D-4132-9E12-A0C3515A3306}"/>
    <cellStyle name="Style 27 4 2 3" xfId="1508" xr:uid="{6DD78D75-83A6-4E8F-BFDB-24DA7CDA433E}"/>
    <cellStyle name="Style 27 4 3 2" xfId="6625" xr:uid="{512CF443-710A-4613-85DF-DD62DAD8D037}"/>
    <cellStyle name="Style 27 5 2" xfId="1509" xr:uid="{ED447CF4-5A61-4E00-8749-13F98DEA8CFF}"/>
    <cellStyle name="Style 27 6 2" xfId="2749" xr:uid="{6E5BB2C1-3764-40E7-86EF-0DC6665BFD9D}"/>
    <cellStyle name="Style 27 7 2" xfId="4102" xr:uid="{3EE4BDFF-09A3-4E7B-87EC-5A6E51785945}"/>
    <cellStyle name="Style 27 9 2" xfId="21258" xr:uid="{0CEA5326-13FB-41B9-95F7-92808AB72C03}"/>
    <cellStyle name="Style 35 10 2" xfId="1510" xr:uid="{0A80DF76-9851-49F9-B0BE-8FFC46340B52}"/>
    <cellStyle name="Style 35 10 3" xfId="2750" xr:uid="{16CCB1A5-3E17-4DB7-BCDA-E5E9DD4D81A6}"/>
    <cellStyle name="Style 35 11 2" xfId="1511" xr:uid="{A74FF548-2B24-4B46-A4E7-C736ACA54931}"/>
    <cellStyle name="Style 35 11 3" xfId="4103" xr:uid="{3FB6A742-8ECD-4903-AE3D-84C84C51F45F}"/>
    <cellStyle name="Style 35 12 2" xfId="4104" xr:uid="{304BDEBC-A028-4B23-8B94-6B8FE3320D7D}"/>
    <cellStyle name="Style 35 12 4" xfId="6626" xr:uid="{71689016-6437-49C8-9140-569CFF915794}"/>
    <cellStyle name="Style 35 12 6" xfId="6627" xr:uid="{7CBB89BA-A768-43A8-BE04-8A12A5EF8514}"/>
    <cellStyle name="Style 35 13 2" xfId="6628" xr:uid="{6BDB2F6E-03EB-4919-A73C-83DEE315BDAC}"/>
    <cellStyle name="Style 35 13 4" xfId="21259" xr:uid="{45ED6490-4B1C-4E8B-85C4-B0258326DAEB}"/>
    <cellStyle name="Style 35 14 3" xfId="23054" xr:uid="{A247BB06-3C92-4EC1-A593-8A38CB1264C3}"/>
    <cellStyle name="Style 35 15 3" xfId="23055" xr:uid="{00D6D3F4-DF0D-4439-97FF-61EE7B8555F4}"/>
    <cellStyle name="Style 35 2 2 2" xfId="21260" xr:uid="{77CB17ED-A5D4-4C05-B6E6-89C0E00F81C7}"/>
    <cellStyle name="Style 35 3 2 2" xfId="1512" xr:uid="{0804F322-628C-4982-978E-2661B2C4B40A}"/>
    <cellStyle name="Style 35 3 2 3" xfId="2934" xr:uid="{5956AAD5-F885-443E-B39C-C14E02C6684D}"/>
    <cellStyle name="Style 35 3 3 2" xfId="1513" xr:uid="{6DF58216-F50A-41A2-BBE4-3F9FF2A12676}"/>
    <cellStyle name="Style 35 3 3 3" xfId="1514" xr:uid="{CF94A3E8-332B-4766-92BA-56955508813C}"/>
    <cellStyle name="Style 35 3 3 3 2 3" xfId="18714" xr:uid="{730C4CD9-7F89-4366-9650-86C507CC5A56}"/>
    <cellStyle name="Style 35 3 3 3 4 2" xfId="19554" xr:uid="{6A68D494-FB04-4043-AC80-E8DC7495CA7F}"/>
    <cellStyle name="Style 35 3 3 4" xfId="1515" xr:uid="{F919C673-9C21-44CA-A5AB-9EE8CBEF19A7}"/>
    <cellStyle name="Style 35 3 3 4 2 3" xfId="18715" xr:uid="{F606F486-23BF-4E91-B7A8-09E715719026}"/>
    <cellStyle name="Style 35 3 3 5" xfId="4105" xr:uid="{0F606C27-2FCE-45D7-AF6A-F96EB4E6AE3F}"/>
    <cellStyle name="Style 35 3 3 7" xfId="18713" xr:uid="{82B86004-FEE7-4C44-9EB2-03617647B92C}"/>
    <cellStyle name="Style 35 3 4 3" xfId="4106" xr:uid="{8AAF112E-BE86-4AF1-B33E-CDF2BAA394B1}"/>
    <cellStyle name="Style 35 3 4 5" xfId="18716" xr:uid="{14CE56E8-6DAD-4D29-954A-15E49988A29F}"/>
    <cellStyle name="Style 35 3 5 3" xfId="18717" xr:uid="{0CAF5936-972F-4768-94D1-693982BA3D11}"/>
    <cellStyle name="Style 35 4" xfId="1516" xr:uid="{526AC91A-2D71-4DDA-A294-55F23CB6468E}"/>
    <cellStyle name="Style 35 4 2 2 2 2" xfId="21935" xr:uid="{EE418764-844E-4DCC-A65D-0D48335FC6F4}"/>
    <cellStyle name="Style 35 4 2 3 2 2" xfId="4108" xr:uid="{93B092C7-CB17-4E8B-A646-3B2918280F5F}"/>
    <cellStyle name="Style 35 4 2 3 3 2" xfId="18718" xr:uid="{98BB5A1F-BEA8-427F-86B1-49F0FC14FDF7}"/>
    <cellStyle name="Style 35 4 2 3 5 2" xfId="21936" xr:uid="{2085EDAE-B27F-49AB-BB1B-32EB1D9685E6}"/>
    <cellStyle name="Style 35 4 2 4 2 2" xfId="4109" xr:uid="{5E1681C1-43CE-4C70-A7F3-DE77D5E60C4A}"/>
    <cellStyle name="Style 35 4 2 4 3 2" xfId="21937" xr:uid="{6C974409-DA6B-4D78-B917-4DB076DCF8FF}"/>
    <cellStyle name="Style 35 4 2 6" xfId="4107" xr:uid="{5512A626-71AE-4842-BAAA-26C1FCBFFFD5}"/>
    <cellStyle name="Style 35 4 3 2" xfId="4110" xr:uid="{E5FCF19B-C45B-4FF4-86E6-CBB5F9CA4191}"/>
    <cellStyle name="Style 35 4 4 2" xfId="4111" xr:uid="{E25478D1-067F-480D-9869-8805AC4739E1}"/>
    <cellStyle name="Style 35 4 5 2" xfId="20653" xr:uid="{BA4A251B-F895-413C-8E96-44A2EBE1AAD9}"/>
    <cellStyle name="Style 35 5" xfId="1517" xr:uid="{439ED2D8-53C8-4A89-9724-482E65E2AE6E}"/>
    <cellStyle name="Style 35 5 2 2 2 2" xfId="21938" xr:uid="{267C8F28-4135-4D08-B371-CFA9D077BA83}"/>
    <cellStyle name="Style 35 5 2 3 2 2" xfId="4113" xr:uid="{8E3D89BF-B530-42C9-A311-E7D9433BB1B8}"/>
    <cellStyle name="Style 35 5 2 3 3 2" xfId="18719" xr:uid="{66EF7AF8-C349-4AF0-BA03-1E6B71D04CFB}"/>
    <cellStyle name="Style 35 5 2 3 5 2" xfId="21939" xr:uid="{47A9DD4D-20F4-4841-BB4F-AF67B5477B23}"/>
    <cellStyle name="Style 35 5 2 4 2 2" xfId="4114" xr:uid="{70834E7E-BCDD-46FA-8FE7-C6F2A250FAB5}"/>
    <cellStyle name="Style 35 5 2 4 3 2" xfId="21940" xr:uid="{79110F8B-7222-4016-9BD6-0B370664362A}"/>
    <cellStyle name="Style 35 5 2 6" xfId="4112" xr:uid="{AE36BDCF-BBC9-4DDE-9B44-062D40252422}"/>
    <cellStyle name="Style 35 5 3 2" xfId="4115" xr:uid="{4F86C2C2-740A-4467-AB0E-0EE2478A5CDA}"/>
    <cellStyle name="Style 35 5 4 2" xfId="4116" xr:uid="{12E4CB63-DE98-4B57-B510-979954075A1B}"/>
    <cellStyle name="Style 35 5 5 2" xfId="20654" xr:uid="{BB5D689A-A6C1-471F-8F48-68CF8A512B36}"/>
    <cellStyle name="Style 35 6" xfId="1518" xr:uid="{625975AA-821A-4EA6-AA1D-19B3B79E81C7}"/>
    <cellStyle name="Style 35 6 2 3" xfId="18720" xr:uid="{FB8E4A62-4F5B-4382-B7AC-C85464AF0431}"/>
    <cellStyle name="Style 35 6 3 2 2 2" xfId="21942" xr:uid="{C1A411B5-0833-46FB-8920-5438CB3D47EA}"/>
    <cellStyle name="Style 35 6 3 4" xfId="4117" xr:uid="{AF52D17F-88E6-4AB0-9941-42EC9B4C1491}"/>
    <cellStyle name="Style 35 6 3 6" xfId="18721" xr:uid="{A6965D05-E4E6-4534-B2A7-6C8F9FC94FD2}"/>
    <cellStyle name="Style 35 6 4 2 2 2" xfId="21943" xr:uid="{8F35BC7F-DB48-4D7F-85F4-4950FC4D637D}"/>
    <cellStyle name="Style 35 6 4 4" xfId="18722" xr:uid="{E522D3B7-E839-4C59-BF4F-7BC49354193F}"/>
    <cellStyle name="Style 35 6 6 2" xfId="21941" xr:uid="{F0AFDB20-10FE-4BC8-A2AB-D631BFB46585}"/>
    <cellStyle name="Style 35 7 2 2" xfId="4118" xr:uid="{DEDBDF6C-2465-4708-992E-DFB37B7B80A4}"/>
    <cellStyle name="Style 35 7 3 2" xfId="18723" xr:uid="{A4D2DF16-86CD-42AA-8B5A-573DC0C8A45B}"/>
    <cellStyle name="Style 35 7 5 2" xfId="21944" xr:uid="{4A451EED-F333-4429-9CEB-54E2ADB6B802}"/>
    <cellStyle name="Style 35 8 2 2" xfId="4119" xr:uid="{5CBEDEEF-E7BA-4555-88A9-E085CBEDFA27}"/>
    <cellStyle name="Style 35 8 3 2" xfId="18724" xr:uid="{9DEBC7CC-38A2-4138-92FE-E13E7CBBB249}"/>
    <cellStyle name="Style 35 8 5 2" xfId="21945" xr:uid="{6736B833-DA3C-46CC-AF59-0864AC6E7BE8}"/>
    <cellStyle name="Style 35 9 2 2" xfId="4120" xr:uid="{2C4CEB93-37C7-413C-B72B-844F34A15AD3}"/>
    <cellStyle name="Style 35 9 3 2" xfId="21946" xr:uid="{629438DF-19AA-41C8-A7AE-AE6F970C4022}"/>
    <cellStyle name="Style 36 10" xfId="18725" xr:uid="{C1C2846B-A8CB-41ED-A1FD-EC5BA865CA9D}"/>
    <cellStyle name="Style 36 2 3" xfId="18726" xr:uid="{45F85839-D053-4160-9768-CF0F21C57B5F}"/>
    <cellStyle name="Style 36 3 3" xfId="1519" xr:uid="{D1A8BF9E-CCAE-4929-B99D-86C9061FDB4F}"/>
    <cellStyle name="Style 36 3 3 3 2" xfId="18727" xr:uid="{E2E8BD70-618D-4991-AA7A-911B035A5E0A}"/>
    <cellStyle name="Style 36 3 4" xfId="1520" xr:uid="{1E986EEE-385A-4CC2-BCEA-675F91505737}"/>
    <cellStyle name="Style 36 3 5" xfId="4121" xr:uid="{EACA68EA-8C12-45EA-921C-515841A8E5A9}"/>
    <cellStyle name="Style 36 4 2" xfId="1521" xr:uid="{61FC529C-3FAC-4AF3-B7F2-C3239C8B5D15}"/>
    <cellStyle name="Style 36 4 4" xfId="4122" xr:uid="{954BB434-A3E1-4050-A0DA-45A697C8267E}"/>
    <cellStyle name="Style 36 5 2" xfId="1522" xr:uid="{37CF754D-388D-4182-A667-0179ED9C5919}"/>
    <cellStyle name="Style 36 6 2" xfId="1523" xr:uid="{8DB8B762-E6AE-428C-BABF-47CDE330EA26}"/>
    <cellStyle name="Style 36 6 4" xfId="18728" xr:uid="{AC6773D5-BD7F-4D1A-89AE-2C25BD9DA6A7}"/>
    <cellStyle name="Style 36 7 3" xfId="4123" xr:uid="{42BDC96E-413D-4D11-AE63-8C1B85B63EB0}"/>
    <cellStyle name="Style 36 8 2" xfId="19555" xr:uid="{6D9E9270-B4BE-4F6C-B09B-AEAA7E465899}"/>
    <cellStyle name="Style 37" xfId="1524" xr:uid="{B14029F0-BCA1-4831-B05F-4B97C722FE5D}"/>
    <cellStyle name="Style 37 2 2 2 2" xfId="1525" xr:uid="{62990FC6-DE69-4D3B-A92B-402F135A5F55}"/>
    <cellStyle name="Style 37 2 2 2 3" xfId="1526" xr:uid="{4233B215-B9E1-40F4-BDCB-FD198B868AF5}"/>
    <cellStyle name="Style 37 2 2 3 2" xfId="1527" xr:uid="{2718B02A-E6E7-4A9F-9079-D13208191E25}"/>
    <cellStyle name="Style 37 2 2 4 2" xfId="6629" xr:uid="{72CDB10B-7FD5-456B-B6D0-5EE63569FF89}"/>
    <cellStyle name="Style 37 2 3 2 2" xfId="1528" xr:uid="{5C371E9B-4F1A-4062-9C4B-F8424244BBB0}"/>
    <cellStyle name="Style 37 2 3 3 2" xfId="6630" xr:uid="{77B6D48E-1458-452D-ABC1-9FAA8D335204}"/>
    <cellStyle name="Style 37 2 4 2 2" xfId="6631" xr:uid="{3EE0C93E-7F7A-497C-A405-5C193306E005}"/>
    <cellStyle name="Style 37 2 6" xfId="6632" xr:uid="{B2F772EF-276A-463C-8ED0-50CBED630B0B}"/>
    <cellStyle name="Style 37 3 2 2 2" xfId="1529" xr:uid="{7E8A8D61-C1D3-4436-A2B1-A63BCF4898A5}"/>
    <cellStyle name="Style 37 3 2 2 3" xfId="1530" xr:uid="{762402D4-7E4F-4917-BDB8-52876ADFB9FD}"/>
    <cellStyle name="Style 37 3 2 3 2" xfId="1531" xr:uid="{B4A93E9F-735F-4AF5-822D-6E40D832E3E5}"/>
    <cellStyle name="Style 37 3 2 4 2" xfId="6633" xr:uid="{2AA1E618-0F54-49AA-B72E-40628804745F}"/>
    <cellStyle name="Style 37 3 3 2 2" xfId="1532" xr:uid="{F9104CB0-14F1-40F7-ACC5-79E03566810E}"/>
    <cellStyle name="Style 37 3 3 2 3" xfId="1533" xr:uid="{3949F3D6-B9D5-4D23-8BB2-1CB1A72BC230}"/>
    <cellStyle name="Style 37 3 3 3 2" xfId="6634" xr:uid="{9F586039-7F1B-45A8-A157-79161CE59D21}"/>
    <cellStyle name="Style 37 3 4 2" xfId="1534" xr:uid="{07A26DD5-738E-46DD-84E2-2D303C8D839A}"/>
    <cellStyle name="Style 37 3 5 2" xfId="6635" xr:uid="{7262DBF5-E48E-4145-95DC-FC3F58FE2AB2}"/>
    <cellStyle name="Style 37 4 2 2" xfId="1535" xr:uid="{080818D9-6BF9-4721-ACCC-FD53ABBE2B10}"/>
    <cellStyle name="Style 37 4 2 3" xfId="1536" xr:uid="{F8F2645E-8395-4CC1-878C-D07399D957FE}"/>
    <cellStyle name="Style 37 4 3 2" xfId="6636" xr:uid="{981937F5-A44A-45B1-A4CE-B8DCA54C50D5}"/>
    <cellStyle name="Style 37 5 2" xfId="1537" xr:uid="{A1CFA868-744E-4917-9C56-6B9339BA1D77}"/>
    <cellStyle name="Style 37 6 2" xfId="2751" xr:uid="{7A9AC816-3071-432F-AB79-1EB624F722D5}"/>
    <cellStyle name="Style 37 7 2" xfId="4124" xr:uid="{D108F92D-1447-431C-8BDA-53CE057154F7}"/>
    <cellStyle name="Style 37 9 2" xfId="21261" xr:uid="{5827A74F-D0BC-4636-98E7-B62AE0C706FB}"/>
    <cellStyle name="Style 38 2" xfId="1538" xr:uid="{8A2A27F8-8BE8-4A29-97E4-AD71F0CEFE4E}"/>
    <cellStyle name="Style 38 3" xfId="1539" xr:uid="{EBCC0A95-1F2A-41A5-AF8E-661B9DA1B55F}"/>
    <cellStyle name="Style 38 3 3 2" xfId="1540" xr:uid="{CCC20BCA-FCF7-4C56-B703-FA3373382006}"/>
    <cellStyle name="Style 38 3 3 4" xfId="4125" xr:uid="{56B4718F-A2EA-4B94-8F46-B15C361A0DF4}"/>
    <cellStyle name="Style 38 3 4 2" xfId="1541" xr:uid="{F23F67A2-8897-4713-9957-D260CFC8C0ED}"/>
    <cellStyle name="Style 38 3 5 2" xfId="19556" xr:uid="{53BC7967-F10E-4D6A-87DE-1DD14888CEB6}"/>
    <cellStyle name="Style 38 4 2 2" xfId="18729" xr:uid="{647EA51C-F0B8-4255-A750-A38A72F81319}"/>
    <cellStyle name="Style 38 4 4 2" xfId="19557" xr:uid="{CCBCE8FC-0B94-45F5-8697-787D56EB5C93}"/>
    <cellStyle name="Style 38 5 2 2" xfId="18730" xr:uid="{AF9AC0AA-5E58-486D-8406-95140550D71C}"/>
    <cellStyle name="Style 38 6 2" xfId="1542" xr:uid="{98CCB68D-9E12-4E99-A4DB-E4349BF7D117}"/>
    <cellStyle name="Style 38 6 3" xfId="2752" xr:uid="{4B5F38D6-42EE-46B4-A1CE-F41DB3306A01}"/>
    <cellStyle name="Style 38 6 4" xfId="18731" xr:uid="{FCF0C404-EF02-4161-B1EE-9C8F8BD049EB}"/>
    <cellStyle name="Style 38 7 2" xfId="4127" xr:uid="{C08E5D98-76C4-48F0-801D-055BCCCD1EFE}"/>
    <cellStyle name="Style 38 7 3" xfId="4126" xr:uid="{090717B9-A11D-460F-9883-B6EC79F5EA04}"/>
    <cellStyle name="Style 38 7 4" xfId="18732" xr:uid="{5B664C40-2B0C-4B82-8095-FA394BF9469E}"/>
    <cellStyle name="Style 38 8 2" xfId="19558" xr:uid="{154A45C4-3D87-4FF6-BC92-821FE1413FB8}"/>
    <cellStyle name="Style 38 9 2" xfId="21262" xr:uid="{C5E490D5-5A9F-4301-A86E-52995EEDABF7}"/>
    <cellStyle name="Style 39" xfId="1543" xr:uid="{B4F6F8DE-48AB-4AF1-B8E6-138458623568}"/>
    <cellStyle name="Style 39 10 2" xfId="1544" xr:uid="{6B1EB137-6296-4CFA-B3A6-2D561B1740A8}"/>
    <cellStyle name="Style 39 10 2 2 2" xfId="21947" xr:uid="{AE59F649-FD2B-46E8-9E76-F46015407765}"/>
    <cellStyle name="Style 39 10 3" xfId="2753" xr:uid="{A2496127-ECE1-4CD3-817B-0276D7A43CF5}"/>
    <cellStyle name="Style 39 10 4" xfId="18734" xr:uid="{5159A64E-C6BF-4048-86ED-D7DC8C6CA050}"/>
    <cellStyle name="Style 39 11 2" xfId="1545" xr:uid="{E1C00656-FF3A-426C-9E27-CF0680322D94}"/>
    <cellStyle name="Style 39 11 2 2 2" xfId="21948" xr:uid="{E93AD1F3-DEA0-44D3-80E7-7C07A8D806CF}"/>
    <cellStyle name="Style 39 11 3" xfId="4128" xr:uid="{192A9630-F387-4D82-A9D3-81049CD56879}"/>
    <cellStyle name="Style 39 11 4" xfId="18735" xr:uid="{FE945347-7A7E-4A84-99EC-860EB80E0EA9}"/>
    <cellStyle name="Style 39 12 2" xfId="4129" xr:uid="{1352B7DC-26B8-448A-A07E-85296308F283}"/>
    <cellStyle name="Style 39 12 3" xfId="6637" xr:uid="{27A8D936-1F07-4996-9AEB-767D51688B86}"/>
    <cellStyle name="Style 39 12 4" xfId="6638" xr:uid="{3C603CEA-D1AF-4883-8CD5-BF4999B8FCF8}"/>
    <cellStyle name="Style 39 12 5" xfId="6639" xr:uid="{263CADE9-2AD1-4D8E-A5FE-6405AD67DE2A}"/>
    <cellStyle name="Style 39 12 6" xfId="6640" xr:uid="{20EDFADB-4255-4699-A098-B6F53841B216}"/>
    <cellStyle name="Style 39 12 7" xfId="19559" xr:uid="{E7609E2B-5A47-4FAD-85F6-9A0988548417}"/>
    <cellStyle name="Style 39 13 2" xfId="6641" xr:uid="{3041B1A7-569B-4B25-B25D-7B6F16B3FCF2}"/>
    <cellStyle name="Style 39 13 3" xfId="6642" xr:uid="{43E346CD-86EF-489D-8134-B428621FE5C9}"/>
    <cellStyle name="Style 39 13 4" xfId="21263" xr:uid="{09551BCC-8508-4AD1-84CD-5891B60A9EE5}"/>
    <cellStyle name="Style 39 14 2" xfId="6643" xr:uid="{C26C4169-E530-4993-BC00-7B21E18466D3}"/>
    <cellStyle name="Style 39 14 2 2" xfId="23057" xr:uid="{4E064624-70B0-4F1C-ACF5-1179A57E4174}"/>
    <cellStyle name="Style 39 14 3" xfId="23056" xr:uid="{57CFDA17-CE85-4F56-9B19-C5B501B3B610}"/>
    <cellStyle name="Style 39 15" xfId="6644" xr:uid="{C8CDE174-2DEA-4B3F-B204-795E45EE05E0}"/>
    <cellStyle name="Style 39 15 2" xfId="6645" xr:uid="{53251D8A-CF8F-4E45-8D38-B2BDAC85F273}"/>
    <cellStyle name="Style 39 15 2 2" xfId="23059" xr:uid="{96C5409B-BC3C-46BF-96FB-1E7F40F89A74}"/>
    <cellStyle name="Style 39 15 3" xfId="23058" xr:uid="{203E5E44-DFA6-4E5C-871D-F6C30B423256}"/>
    <cellStyle name="Style 39 16" xfId="18733" xr:uid="{D75D5013-0ACE-4BD9-B846-59DA0048B991}"/>
    <cellStyle name="Style 39 2" xfId="1546" xr:uid="{83ABD712-F780-4CD9-898F-EBFC3476D31D}"/>
    <cellStyle name="Style 39 2 2" xfId="2935" xr:uid="{C9929E0D-6598-4076-980E-568033DAA351}"/>
    <cellStyle name="Style 39 2 2 2" xfId="21264" xr:uid="{51514FD2-6987-40B1-B4CF-38B076D72CB0}"/>
    <cellStyle name="Style 39 2 3" xfId="18736" xr:uid="{5B10D3DD-1540-4A42-A503-DB50A5AA213D}"/>
    <cellStyle name="Style 39 3" xfId="1547" xr:uid="{72FA41F4-057F-440D-955F-EF9275FDC838}"/>
    <cellStyle name="Style 39 3 2" xfId="1548" xr:uid="{2A467F56-FCE8-4FA0-A5CA-89C20F42C31F}"/>
    <cellStyle name="Style 39 3 2 2" xfId="1549" xr:uid="{00ECD79D-C7B1-4E3A-9C0A-001E226AF024}"/>
    <cellStyle name="Style 39 3 2 2 2" xfId="4130" xr:uid="{A22D81E6-BC07-4FD5-8B37-A188A754F7BA}"/>
    <cellStyle name="Style 39 3 2 2 2 2" xfId="21949" xr:uid="{7181262A-DE54-4E96-A30A-C2492BDF3DA1}"/>
    <cellStyle name="Style 39 3 2 2 3" xfId="18739" xr:uid="{BD8425ED-E3C1-474D-9A73-6863164B0B66}"/>
    <cellStyle name="Style 39 3 2 3" xfId="2937" xr:uid="{70D4C382-74EC-4C12-A110-8F7D8CF2D9CF}"/>
    <cellStyle name="Style 39 3 2 3 2" xfId="21266" xr:uid="{5D1064D7-ABB0-4B55-AD79-18E0A914A718}"/>
    <cellStyle name="Style 39 3 2 4" xfId="18738" xr:uid="{AB3CA763-090B-4702-9E10-C8DA1479955D}"/>
    <cellStyle name="Style 39 3 3" xfId="1550" xr:uid="{97E2557B-3A2F-4B0A-A13A-D78ADE12AA96}"/>
    <cellStyle name="Style 39 3 3 2" xfId="1551" xr:uid="{43EE782A-BF1D-4596-BE8F-70A34A95E262}"/>
    <cellStyle name="Style 39 3 3 2 2" xfId="4132" xr:uid="{A28712A5-F489-4FF7-A17B-93512C0B5AAE}"/>
    <cellStyle name="Style 39 3 3 2 2 2" xfId="21951" xr:uid="{F7241630-41C2-4F91-9CA5-AF1A03607FCE}"/>
    <cellStyle name="Style 39 3 3 2 3" xfId="18741" xr:uid="{B6298444-45CD-494E-B380-46E04F446CC9}"/>
    <cellStyle name="Style 39 3 3 3" xfId="1552" xr:uid="{AD17EE67-081A-489D-B043-8526EFBD155E}"/>
    <cellStyle name="Style 39 3 3 3 2" xfId="1553" xr:uid="{15159B70-F157-444F-B7E3-AB9EBF983F25}"/>
    <cellStyle name="Style 39 3 3 3 2 2" xfId="4134" xr:uid="{7BD2802E-EBEC-4713-94B1-97FD4E92A84B}"/>
    <cellStyle name="Style 39 3 3 3 2 2 2" xfId="21953" xr:uid="{F0059F92-E34C-4D2D-9975-A0A1B03EE140}"/>
    <cellStyle name="Style 39 3 3 3 2 3" xfId="18743" xr:uid="{B44D7934-0435-4252-AE8D-10E5257E16D0}"/>
    <cellStyle name="Style 39 3 3 3 3" xfId="4135" xr:uid="{020313E1-358B-441F-9829-D4D788D5BD61}"/>
    <cellStyle name="Style 39 3 3 3 3 2" xfId="18744" xr:uid="{3DB2E202-8C88-4390-B760-21892AF00766}"/>
    <cellStyle name="Style 39 3 3 3 4" xfId="4136" xr:uid="{2DE6B032-B636-4259-9B27-C028485D79D4}"/>
    <cellStyle name="Style 39 3 3 3 4 2" xfId="19560" xr:uid="{617539DD-A835-4072-82D2-34260711D5CA}"/>
    <cellStyle name="Style 39 3 3 3 5" xfId="4133" xr:uid="{DD7946EF-832D-46E8-BBAE-1311F689A16B}"/>
    <cellStyle name="Style 39 3 3 3 5 2" xfId="21952" xr:uid="{BA9A9325-15AF-4B91-82E7-D3B9C823FBB5}"/>
    <cellStyle name="Style 39 3 3 3 6" xfId="18742" xr:uid="{AB5EB12D-D76F-4BB7-B387-695616ACDA99}"/>
    <cellStyle name="Style 39 3 3 4" xfId="1554" xr:uid="{E9FB5B01-7ADB-42CF-925C-4D5788C5F81C}"/>
    <cellStyle name="Style 39 3 3 4 2" xfId="1555" xr:uid="{026BFEEB-0CFD-489B-A376-E3E017F60ECE}"/>
    <cellStyle name="Style 39 3 3 4 2 2" xfId="4138" xr:uid="{31C5B8A3-A35F-4F1A-8D5F-948C4B394DB6}"/>
    <cellStyle name="Style 39 3 3 4 2 2 2" xfId="21955" xr:uid="{5D69A3F0-F609-4FD1-8C62-42FFB250D527}"/>
    <cellStyle name="Style 39 3 3 4 2 3" xfId="18746" xr:uid="{DA21CB7A-6731-42C6-8BB2-9044983E8915}"/>
    <cellStyle name="Style 39 3 3 4 3" xfId="4137" xr:uid="{3AE433E1-10A2-4609-8CCA-A0DAF17F5001}"/>
    <cellStyle name="Style 39 3 3 4 3 2" xfId="21954" xr:uid="{E34DCC08-6C03-48BC-B921-7F98F1F4684E}"/>
    <cellStyle name="Style 39 3 3 4 4" xfId="18745" xr:uid="{09E22E77-8F25-4047-9687-7730FBFF0079}"/>
    <cellStyle name="Style 39 3 3 5" xfId="4139" xr:uid="{6E5E5BFB-9E97-4EE0-A3D4-94CF44E1A07D}"/>
    <cellStyle name="Style 39 3 3 5 2" xfId="19561" xr:uid="{257D5B52-43BA-4258-829F-66F646D23D20}"/>
    <cellStyle name="Style 39 3 3 6" xfId="4131" xr:uid="{F7BF299C-2D68-426F-A373-CF55D10AB2FE}"/>
    <cellStyle name="Style 39 3 3 6 2" xfId="21950" xr:uid="{936ED456-4F82-456C-B08A-40967F059E9F}"/>
    <cellStyle name="Style 39 3 3 7" xfId="18740" xr:uid="{9A9469C5-7F8C-4481-AD9F-DD1687BC88D9}"/>
    <cellStyle name="Style 39 3 4" xfId="1556" xr:uid="{5D3C9E81-2EC8-4A59-BA5C-88325F77D6FE}"/>
    <cellStyle name="Style 39 3 4 2" xfId="4141" xr:uid="{A0EAC5CC-123F-43A0-8F1E-73CCB9AF9806}"/>
    <cellStyle name="Style 39 3 4 2 2" xfId="18748" xr:uid="{B5F40450-907C-4A2A-B4F4-BF52B8E367AA}"/>
    <cellStyle name="Style 39 3 4 3" xfId="4142" xr:uid="{60659E87-BF74-48A0-9192-8A393F3E6A55}"/>
    <cellStyle name="Style 39 3 4 3 2" xfId="19562" xr:uid="{5B836549-6A24-403F-821F-1F73115D53E1}"/>
    <cellStyle name="Style 39 3 4 4" xfId="4140" xr:uid="{64531B55-2C6E-406C-8E43-ACD16D2B2B5F}"/>
    <cellStyle name="Style 39 3 4 4 2" xfId="21956" xr:uid="{EEFD6A4D-8889-45F9-A614-E1737A7DA246}"/>
    <cellStyle name="Style 39 3 4 5" xfId="18747" xr:uid="{7214D06D-E3AF-474D-B85E-2BEE1EC56841}"/>
    <cellStyle name="Style 39 3 5" xfId="4143" xr:uid="{1B16BB45-749C-4397-B300-E9AEB81AC7B1}"/>
    <cellStyle name="Style 39 3 5 2" xfId="6646" xr:uid="{2DC49488-5900-40B2-8BD8-9E8437041176}"/>
    <cellStyle name="Style 39 3 5 2 2" xfId="21957" xr:uid="{C477D5CA-5484-42D7-850F-996F9053616C}"/>
    <cellStyle name="Style 39 3 5 3" xfId="18749" xr:uid="{0119E75E-705A-41FC-99E6-9CBCA1BE60C0}"/>
    <cellStyle name="Style 39 3 6" xfId="2936" xr:uid="{B4144D62-640D-4C76-B9D1-A07993BF45AB}"/>
    <cellStyle name="Style 39 3 6 2" xfId="21265" xr:uid="{BEFDF0C1-C6B2-4F36-92AB-2706F20295BB}"/>
    <cellStyle name="Style 39 3 7" xfId="18737" xr:uid="{470F16B4-2F98-4C90-8ED9-CB57424B24A2}"/>
    <cellStyle name="Style 39 4" xfId="1557" xr:uid="{651605E2-08A5-4FE3-A7AC-59AD34EB3DF3}"/>
    <cellStyle name="Style 39 4 2" xfId="1558" xr:uid="{E15EFF19-58EE-495F-A963-9407AF33FAE1}"/>
    <cellStyle name="Style 39 4 2 2" xfId="1559" xr:uid="{ADF32E04-0BE5-479E-B145-BC19972499F6}"/>
    <cellStyle name="Style 39 4 2 2 2" xfId="4146" xr:uid="{D4DDD17A-1EDE-444B-8168-1CAE62EE5117}"/>
    <cellStyle name="Style 39 4 2 2 2 2" xfId="21959" xr:uid="{658602C9-1D75-4383-A1CA-672B6C42ADB4}"/>
    <cellStyle name="Style 39 4 2 2 3" xfId="18752" xr:uid="{66BF4F30-4EDC-4744-8DB6-64431A1599EB}"/>
    <cellStyle name="Style 39 4 2 3" xfId="1560" xr:uid="{7F298179-6EA1-4D34-AB23-BECD523BE09D}"/>
    <cellStyle name="Style 39 4 2 3 2" xfId="1561" xr:uid="{F10D309D-48DF-4302-A8DE-33EF3914F844}"/>
    <cellStyle name="Style 39 4 2 3 2 2" xfId="4148" xr:uid="{919C9014-2858-4F5A-989D-A929164631BF}"/>
    <cellStyle name="Style 39 4 2 3 2 2 2" xfId="21961" xr:uid="{4786915B-C628-41A5-A4D7-BC64D397AE71}"/>
    <cellStyle name="Style 39 4 2 3 2 3" xfId="18754" xr:uid="{14357217-65AE-47E4-8FEE-E97DC54681E5}"/>
    <cellStyle name="Style 39 4 2 3 3" xfId="4149" xr:uid="{6484E1F7-C376-4844-9547-B0E4A2CE99D3}"/>
    <cellStyle name="Style 39 4 2 3 3 2" xfId="18755" xr:uid="{1FC5E5D9-29E5-465E-B9B6-55BFDFBB1C96}"/>
    <cellStyle name="Style 39 4 2 3 4" xfId="4150" xr:uid="{B28DD63F-D41F-4B4B-8F36-F52039E12589}"/>
    <cellStyle name="Style 39 4 2 3 4 2" xfId="19563" xr:uid="{CB763693-8203-4FC9-86A2-F52DC7ABC9A5}"/>
    <cellStyle name="Style 39 4 2 3 5" xfId="4147" xr:uid="{31621B19-AA66-4798-A297-655A1FB741B0}"/>
    <cellStyle name="Style 39 4 2 3 5 2" xfId="21960" xr:uid="{29FBAD18-B12E-4E62-81A0-45681319703F}"/>
    <cellStyle name="Style 39 4 2 3 6" xfId="18753" xr:uid="{0C74EE0F-EB30-4DDC-9780-E794B0769807}"/>
    <cellStyle name="Style 39 4 2 4" xfId="1562" xr:uid="{5248512F-B381-4FE2-8EDF-3E6BF4C29CB1}"/>
    <cellStyle name="Style 39 4 2 4 2" xfId="1563" xr:uid="{466E8371-EEFF-4F53-8ECF-EE91D0BEAFE3}"/>
    <cellStyle name="Style 39 4 2 4 2 2" xfId="4152" xr:uid="{AE9AF922-D2A9-47A6-A0B3-3DB7C7223443}"/>
    <cellStyle name="Style 39 4 2 4 2 2 2" xfId="21963" xr:uid="{B83BC31B-FB1B-4051-A2FF-361B7DF2B394}"/>
    <cellStyle name="Style 39 4 2 4 2 3" xfId="18757" xr:uid="{9A74E099-A39A-4E36-B334-17ED1A650CB5}"/>
    <cellStyle name="Style 39 4 2 4 3" xfId="4151" xr:uid="{358C0DC5-E040-43F0-9ECA-A5FEF6E806E5}"/>
    <cellStyle name="Style 39 4 2 4 3 2" xfId="21962" xr:uid="{30F31376-F949-4AA0-992F-0D6376D232D0}"/>
    <cellStyle name="Style 39 4 2 4 4" xfId="18756" xr:uid="{C1963D1E-1B01-4593-AAC4-A382E8FDF782}"/>
    <cellStyle name="Style 39 4 2 5" xfId="4153" xr:uid="{F282A45A-85FF-4CB9-9752-6D1F363674DE}"/>
    <cellStyle name="Style 39 4 2 5 2" xfId="19564" xr:uid="{8AD2E7F7-E1AC-4D0C-B7A0-0750D70643D0}"/>
    <cellStyle name="Style 39 4 2 6" xfId="4145" xr:uid="{D1C29E49-011F-4354-841E-7AB133F00C81}"/>
    <cellStyle name="Style 39 4 2 6 2" xfId="21958" xr:uid="{A9211A47-69B9-4EAC-96EB-66FFF2114E65}"/>
    <cellStyle name="Style 39 4 2 7" xfId="18751" xr:uid="{2625DA6D-4D0F-4410-9317-B48998E7C81B}"/>
    <cellStyle name="Style 39 4 3" xfId="1564" xr:uid="{31A3A358-1E30-4AD8-B59E-5317ACA42CC0}"/>
    <cellStyle name="Style 39 4 3 2" xfId="4154" xr:uid="{B5240336-D725-4083-9C90-00FAB2C74C03}"/>
    <cellStyle name="Style 39 4 3 2 2" xfId="21964" xr:uid="{05C84CA0-E493-4CC0-8F66-4F996A8304B2}"/>
    <cellStyle name="Style 39 4 3 3" xfId="18758" xr:uid="{348DB707-1888-44C7-8138-057BB4F9353E}"/>
    <cellStyle name="Style 39 4 4" xfId="4155" xr:uid="{6C1221FC-5BD4-43B9-9A4E-8BFA916B360B}"/>
    <cellStyle name="Style 39 4 4 2" xfId="4156" xr:uid="{CD23AA23-AF06-4A32-8E85-2706BCB72E29}"/>
    <cellStyle name="Style 39 4 4 2 2" xfId="19565" xr:uid="{72D83D64-A59C-449C-976D-3D97675BCE09}"/>
    <cellStyle name="Style 39 4 4 3" xfId="18759" xr:uid="{2237CA06-C806-4C2D-834C-0E3FE9505642}"/>
    <cellStyle name="Style 39 4 5" xfId="4144" xr:uid="{04681251-5F04-478C-A93B-39EF4217273F}"/>
    <cellStyle name="Style 39 4 5 2" xfId="20655" xr:uid="{4E12E2EE-DE73-4A48-AC03-BD5D4D68FD4E}"/>
    <cellStyle name="Style 39 4 6" xfId="2938" xr:uid="{F38154DC-816C-409E-A067-AC976854A0AE}"/>
    <cellStyle name="Style 39 4 6 2" xfId="21267" xr:uid="{4E73C82F-E8D5-43CA-93D3-0C3763811F6E}"/>
    <cellStyle name="Style 39 4 7" xfId="18750" xr:uid="{E5044CEE-283C-4F27-9965-81F59751D936}"/>
    <cellStyle name="Style 39 5" xfId="1565" xr:uid="{251224C6-213B-4A69-A5B9-52728E031B15}"/>
    <cellStyle name="Style 39 5 2" xfId="1566" xr:uid="{4A64328D-F66A-4494-8012-59824226BB56}"/>
    <cellStyle name="Style 39 5 2 2" xfId="1567" xr:uid="{482050FC-2EDC-4FF8-944A-F89B56F94847}"/>
    <cellStyle name="Style 39 5 2 2 2" xfId="4159" xr:uid="{E4BE04A8-6E07-4BFA-83A9-BCC75CF327B6}"/>
    <cellStyle name="Style 39 5 2 2 2 2" xfId="21966" xr:uid="{44726970-7B39-4834-9BBC-7BD017DEB0E4}"/>
    <cellStyle name="Style 39 5 2 2 3" xfId="18762" xr:uid="{D7B7F5C1-00F2-43F2-9CF1-4EF046DC0AB2}"/>
    <cellStyle name="Style 39 5 2 3" xfId="1568" xr:uid="{50ED4052-D85F-409B-91CC-98A15A0AA944}"/>
    <cellStyle name="Style 39 5 2 3 2" xfId="1569" xr:uid="{BD38A2D3-F0E9-46B1-82A0-6C8564B39887}"/>
    <cellStyle name="Style 39 5 2 3 2 2" xfId="4161" xr:uid="{194A7C53-8AF6-424E-9808-808DC438A0D1}"/>
    <cellStyle name="Style 39 5 2 3 2 2 2" xfId="21968" xr:uid="{505FDF11-A152-4CEB-A59F-A1206B73EFFB}"/>
    <cellStyle name="Style 39 5 2 3 2 3" xfId="18764" xr:uid="{9CB9673C-4B53-4FF6-A17C-EE688740851C}"/>
    <cellStyle name="Style 39 5 2 3 3" xfId="4162" xr:uid="{537FFDD6-E9C4-4B7F-9914-EE315AA451E2}"/>
    <cellStyle name="Style 39 5 2 3 3 2" xfId="18765" xr:uid="{30AA9520-6C4A-4D93-943F-9835BC21DCA6}"/>
    <cellStyle name="Style 39 5 2 3 4" xfId="4163" xr:uid="{869F7F2C-5646-4E47-95D6-1D82FC72C66D}"/>
    <cellStyle name="Style 39 5 2 3 4 2" xfId="19566" xr:uid="{476E178E-E902-4A1D-BCF8-133F97EDD1FD}"/>
    <cellStyle name="Style 39 5 2 3 5" xfId="4160" xr:uid="{42BA27F4-026F-40A5-89B0-1C45F6B52CB0}"/>
    <cellStyle name="Style 39 5 2 3 5 2" xfId="21967" xr:uid="{09EB7880-23E4-41C5-8817-74C174A72F44}"/>
    <cellStyle name="Style 39 5 2 3 6" xfId="18763" xr:uid="{2F64C209-92B9-4C9D-A870-C816B09EAED0}"/>
    <cellStyle name="Style 39 5 2 4" xfId="1570" xr:uid="{65D1F61F-A91C-4EE6-A561-F48D9FCDFF8D}"/>
    <cellStyle name="Style 39 5 2 4 2" xfId="1571" xr:uid="{1E83065C-B23F-4689-B2A5-5DF1C55DA0AF}"/>
    <cellStyle name="Style 39 5 2 4 2 2" xfId="4165" xr:uid="{BE0C0E5B-8398-46AC-B344-1091653016D0}"/>
    <cellStyle name="Style 39 5 2 4 2 2 2" xfId="21970" xr:uid="{CDAFD105-FDED-4FB6-A8AB-ED1E7330A7A8}"/>
    <cellStyle name="Style 39 5 2 4 2 3" xfId="18767" xr:uid="{5D44B599-EBA7-4FD8-A3F1-C19DC0A358F9}"/>
    <cellStyle name="Style 39 5 2 4 3" xfId="4164" xr:uid="{15B7C2A8-61C3-4906-AA4C-4EA1C8928F6C}"/>
    <cellStyle name="Style 39 5 2 4 3 2" xfId="21969" xr:uid="{B43F3A8C-AC4B-41AE-A0F4-A2138D2F2078}"/>
    <cellStyle name="Style 39 5 2 4 4" xfId="18766" xr:uid="{156B1A47-06A5-428E-B52C-03E9D56E5EB4}"/>
    <cellStyle name="Style 39 5 2 5" xfId="4166" xr:uid="{34360911-4FA8-4FD6-AC9E-C9250FE77DD5}"/>
    <cellStyle name="Style 39 5 2 5 2" xfId="19567" xr:uid="{B9DA60B0-BEBD-4F91-B2A1-5C80BCE6CC1F}"/>
    <cellStyle name="Style 39 5 2 6" xfId="4158" xr:uid="{B1CE49B5-1123-4366-9C4F-E04D4C064508}"/>
    <cellStyle name="Style 39 5 2 6 2" xfId="21965" xr:uid="{E142B47D-AA26-48EC-9879-9BD15C308456}"/>
    <cellStyle name="Style 39 5 2 7" xfId="18761" xr:uid="{8E62C1C1-E397-4B5D-868C-06D87745A7A9}"/>
    <cellStyle name="Style 39 5 3" xfId="1572" xr:uid="{1E3EE108-4E33-419D-938D-6130125E34B4}"/>
    <cellStyle name="Style 39 5 3 2" xfId="4167" xr:uid="{58B89A1C-4CB0-4EDA-B981-A5655B90E003}"/>
    <cellStyle name="Style 39 5 3 2 2" xfId="21971" xr:uid="{B7B2EFC6-D6D5-4661-AD00-16C0B4F7BFF3}"/>
    <cellStyle name="Style 39 5 3 3" xfId="18768" xr:uid="{6E479A5B-3C16-4378-B908-0FD145A972AC}"/>
    <cellStyle name="Style 39 5 4" xfId="4168" xr:uid="{8BEE114D-37A3-4E88-9C3E-F862179ABF6D}"/>
    <cellStyle name="Style 39 5 4 2" xfId="4169" xr:uid="{D50A3CA4-0847-43E6-8258-229558B53F4A}"/>
    <cellStyle name="Style 39 5 4 2 2" xfId="19568" xr:uid="{995AC1EF-41C3-45C5-BA53-3F07C69FA386}"/>
    <cellStyle name="Style 39 5 4 3" xfId="18769" xr:uid="{1D31032B-1824-40C6-A66B-2AC6E03E2163}"/>
    <cellStyle name="Style 39 5 5" xfId="4157" xr:uid="{4A0CB987-ED9A-4615-8815-0D8EB6BA0B0C}"/>
    <cellStyle name="Style 39 5 5 2" xfId="20656" xr:uid="{FFF7360C-0D11-4056-AF3F-31BE06AED5C0}"/>
    <cellStyle name="Style 39 5 6" xfId="2939" xr:uid="{1682030F-A206-49FB-82CE-A77E2DDDB7D3}"/>
    <cellStyle name="Style 39 5 6 2" xfId="21268" xr:uid="{44C011B3-A1B7-4EAA-AB49-FF1D7DE1CA37}"/>
    <cellStyle name="Style 39 5 7" xfId="18760" xr:uid="{51CE9998-27DC-46A4-B238-E5079E107698}"/>
    <cellStyle name="Style 39 6" xfId="1573" xr:uid="{DDFB31A6-AC6A-4E04-98A5-DCCB9D9CCCF5}"/>
    <cellStyle name="Style 39 6 2" xfId="1574" xr:uid="{91305CD8-77B7-4AA2-B1E2-E3B290398270}"/>
    <cellStyle name="Style 39 6 2 2" xfId="4171" xr:uid="{84BBF7D4-59C6-4233-848A-96F3FEA7466F}"/>
    <cellStyle name="Style 39 6 2 2 2" xfId="21973" xr:uid="{B00B86F4-5BC2-43C4-AC12-B1C0C17A34DA}"/>
    <cellStyle name="Style 39 6 2 3" xfId="18771" xr:uid="{84020EA8-DF50-427B-B486-B8CC76AE3CAA}"/>
    <cellStyle name="Style 39 6 3" xfId="1575" xr:uid="{08673B2A-9D9C-4202-A2AB-3A89EE1EE649}"/>
    <cellStyle name="Style 39 6 3 2" xfId="1576" xr:uid="{13F806EF-CD2B-425D-8A04-37B9CA34E7DC}"/>
    <cellStyle name="Style 39 6 3 2 2" xfId="4173" xr:uid="{59AF7F5B-D52D-44F2-A37D-1BE7E85ADDF3}"/>
    <cellStyle name="Style 39 6 3 2 2 2" xfId="21975" xr:uid="{B39DB648-8B9E-4DCC-81D4-DBD3D567D15A}"/>
    <cellStyle name="Style 39 6 3 2 3" xfId="18773" xr:uid="{3BB31AEA-D978-4676-89CE-DC0C742EF86E}"/>
    <cellStyle name="Style 39 6 3 3" xfId="4174" xr:uid="{FC53F38D-D429-449E-9B8A-79CDA2C53F1C}"/>
    <cellStyle name="Style 39 6 3 3 2" xfId="18774" xr:uid="{19C24E66-BC72-46FD-A208-08D96E98EA7E}"/>
    <cellStyle name="Style 39 6 3 4" xfId="4175" xr:uid="{517CA3FB-0515-44BB-91DA-9C8D80BBCB8D}"/>
    <cellStyle name="Style 39 6 3 4 2" xfId="19569" xr:uid="{06E70609-F89F-4373-B7CF-E09DB2D38E60}"/>
    <cellStyle name="Style 39 6 3 5" xfId="4172" xr:uid="{77EED09F-FD0E-4419-8BEA-881126AFF1EE}"/>
    <cellStyle name="Style 39 6 3 5 2" xfId="21974" xr:uid="{CA57BA0E-4327-498E-B1C1-C1542E7D256C}"/>
    <cellStyle name="Style 39 6 3 6" xfId="18772" xr:uid="{3B85E64F-B77B-4CF9-9F73-A0F17954DD5B}"/>
    <cellStyle name="Style 39 6 4" xfId="1577" xr:uid="{6B6E8B7D-5AD8-4D4F-B3AB-EE5658AE8604}"/>
    <cellStyle name="Style 39 6 4 2" xfId="1578" xr:uid="{4F0BBAC6-6DA6-4A83-A84C-FDFFD53117A6}"/>
    <cellStyle name="Style 39 6 4 2 2" xfId="4177" xr:uid="{68214C4B-EA78-46CE-93EB-D0BB7FE83CBC}"/>
    <cellStyle name="Style 39 6 4 2 2 2" xfId="21977" xr:uid="{ACFE1868-EACB-4E82-8F83-223D9D7B9FE9}"/>
    <cellStyle name="Style 39 6 4 2 3" xfId="18776" xr:uid="{E44ABF50-8E90-484F-AB3A-942832EF31C7}"/>
    <cellStyle name="Style 39 6 4 3" xfId="4176" xr:uid="{21AFDB63-B993-458B-99F3-F366F9050EEC}"/>
    <cellStyle name="Style 39 6 4 3 2" xfId="21976" xr:uid="{54B4DEBC-560E-438A-87E0-42A8E8D385B0}"/>
    <cellStyle name="Style 39 6 4 4" xfId="18775" xr:uid="{E6E0B7B0-D905-4A7A-8FB3-A6EA70CCF122}"/>
    <cellStyle name="Style 39 6 5" xfId="4178" xr:uid="{6EA1DCEB-08C8-4D6D-B641-EEBC2027C47D}"/>
    <cellStyle name="Style 39 6 5 2" xfId="19570" xr:uid="{E1CAC23D-A924-432D-87F7-27A6BC89F059}"/>
    <cellStyle name="Style 39 6 6" xfId="4170" xr:uid="{8534AA5F-A077-44D7-9776-1FE98E34B40C}"/>
    <cellStyle name="Style 39 6 6 2" xfId="21972" xr:uid="{01B811EC-7C0F-4424-A704-0A9C022717F1}"/>
    <cellStyle name="Style 39 6 7" xfId="18770" xr:uid="{616C1519-A89D-4C88-9771-107F232730ED}"/>
    <cellStyle name="Style 39 7" xfId="1579" xr:uid="{13473C44-0F16-43E6-843B-0E45FAA7158E}"/>
    <cellStyle name="Style 39 7 2" xfId="1580" xr:uid="{99DEC8EA-76F1-4982-AC46-AF098FA78C78}"/>
    <cellStyle name="Style 39 7 2 2" xfId="4179" xr:uid="{80A8D2FF-82EB-4A2D-AFB2-C9DA3CADA59F}"/>
    <cellStyle name="Style 39 7 2 2 2" xfId="21979" xr:uid="{6E81EE3F-3F89-4F2F-B6A7-0CF7F22EA1E6}"/>
    <cellStyle name="Style 39 7 2 3" xfId="18777" xr:uid="{548D0FC4-9285-4D9F-9CDE-9D8ED552D753}"/>
    <cellStyle name="Style 39 7 3" xfId="4180" xr:uid="{7FAADEE2-12F3-41D8-8375-E566DFE1D3AF}"/>
    <cellStyle name="Style 39 7 3 2" xfId="18778" xr:uid="{5CE42A79-735D-4F7E-8B08-2B084A8B0D2E}"/>
    <cellStyle name="Style 39 7 4 2" xfId="19571" xr:uid="{AF1535A0-F697-48CB-93F0-E2359AD4D78B}"/>
    <cellStyle name="Style 39 7 5 2" xfId="21978" xr:uid="{E934A8A7-FB9E-4156-BE7F-EF8796D42DBD}"/>
    <cellStyle name="Style 39 8" xfId="1581" xr:uid="{BD4789A3-463C-4028-BE40-BBC74C9E3812}"/>
    <cellStyle name="Style 39 8 2 2" xfId="4181" xr:uid="{CA6795C9-BF9F-41D0-B2C1-6D3985442A62}"/>
    <cellStyle name="Style 39 8 2 3" xfId="18779" xr:uid="{4D00D94C-6D16-4C82-80F8-E8973CF8825D}"/>
    <cellStyle name="Style 39 8 3 2" xfId="18780" xr:uid="{A6B3FF10-DFBC-41C8-92D6-148641312B6C}"/>
    <cellStyle name="Style 39 8 4 2" xfId="19572" xr:uid="{D645D4D2-833E-48FF-B378-1A5E574A5A6C}"/>
    <cellStyle name="Style 39 8 5 2" xfId="21980" xr:uid="{45D716CD-DE86-4097-945B-8DD49AA22A90}"/>
    <cellStyle name="Style 39 9" xfId="1582" xr:uid="{158474B2-4097-4966-AFFC-47C2BB3D2320}"/>
    <cellStyle name="Style 39 9 2 2" xfId="4182" xr:uid="{0CC5B869-4071-430C-8242-B32BA8D706DC}"/>
    <cellStyle name="Style 39 9 2 3" xfId="19573" xr:uid="{4E4293E8-DAC7-4238-9844-47139A8B9630}"/>
    <cellStyle name="Style 39 9 3 2" xfId="21981" xr:uid="{8328C009-7D9F-4DBF-8076-E529A0EDF19E}"/>
    <cellStyle name="Style 39_ADDON" xfId="20520" xr:uid="{4BDDD52B-3CE8-410C-A15C-C8C8ECF68BA3}"/>
    <cellStyle name="Style 40 2" xfId="1583" xr:uid="{CD7FCCC7-4675-44C1-AD47-7F9EE19E9C4B}"/>
    <cellStyle name="Style 40 2 2 2" xfId="1584" xr:uid="{1CCE4F3D-3DAC-41B0-8E90-C282C4904E98}"/>
    <cellStyle name="Style 40 2 2 2 2 2" xfId="1585" xr:uid="{FF4EB644-8816-4E53-8D41-91C31BCC14C7}"/>
    <cellStyle name="Style 40 2 2 2 2 3" xfId="6647" xr:uid="{01A00153-3768-4D2F-8AD5-7C8208D5A543}"/>
    <cellStyle name="Style 40 2 2 2 3 2" xfId="6648" xr:uid="{311A98CB-E880-4D64-A28B-C6C6EAD5710F}"/>
    <cellStyle name="Style 40 2 2 3" xfId="1586" xr:uid="{32093007-B0C2-457B-AAEB-B5B24A2E89E4}"/>
    <cellStyle name="Style 40 2 2 3 2 2" xfId="6649" xr:uid="{2BA6C98A-3EE6-4989-A9A8-994D782031AF}"/>
    <cellStyle name="Style 40 2 2 4" xfId="1587" xr:uid="{FBCE98B8-80FE-421C-B054-E20AF18AEB34}"/>
    <cellStyle name="Style 40 2 2 5" xfId="6650" xr:uid="{5A2B4DB6-DBC8-4C43-BEC1-438578BA1614}"/>
    <cellStyle name="Style 40 2 3 2" xfId="1588" xr:uid="{EAB97590-2DC6-40F8-BB80-2A76873D390A}"/>
    <cellStyle name="Style 40 2 3 2 2 2" xfId="6651" xr:uid="{3014F33F-EFD9-4295-BE62-1C6927A87749}"/>
    <cellStyle name="Style 40 2 3 3" xfId="1589" xr:uid="{6DF06193-CD37-482A-A487-7D96BB7794E6}"/>
    <cellStyle name="Style 40 2 3 4" xfId="6652" xr:uid="{1851D98F-816F-472A-A57A-AB19C7ABD1D4}"/>
    <cellStyle name="Style 40 2 4 2" xfId="1590" xr:uid="{35D7F60D-519C-4163-B381-2936917CA862}"/>
    <cellStyle name="Style 40 2 4 3" xfId="6653" xr:uid="{69861B75-5344-4471-9276-396B689F400C}"/>
    <cellStyle name="Style 40 2 5 2" xfId="6654" xr:uid="{9B761AB2-2DB2-4028-AC66-31EA1559C95E}"/>
    <cellStyle name="Style 40 3" xfId="1591" xr:uid="{0EDB9F5A-17E4-4316-AA9B-86DCAEF96A11}"/>
    <cellStyle name="Style 40 3 2 2" xfId="1592" xr:uid="{74637772-EB01-4273-8CB9-8DC0DCA24DB8}"/>
    <cellStyle name="Style 40 3 2 2 2 2" xfId="1593" xr:uid="{1437CA59-7336-44FD-9EED-024FDAE147DE}"/>
    <cellStyle name="Style 40 3 2 2 2 3" xfId="6655" xr:uid="{19EED7E1-2F78-4148-953C-8FFD7EAE61CD}"/>
    <cellStyle name="Style 40 3 2 2 3 2" xfId="6656" xr:uid="{E697A434-62F4-433B-81A0-1CB1F10C95C3}"/>
    <cellStyle name="Style 40 3 2 3" xfId="1594" xr:uid="{C46B8E09-D5AA-4AEE-AD89-AA9FC1528EE6}"/>
    <cellStyle name="Style 40 3 2 3 2 2" xfId="6657" xr:uid="{DF966631-6972-4E0F-BA6C-B67FD1ED412C}"/>
    <cellStyle name="Style 40 3 2 4" xfId="1595" xr:uid="{7DA2417F-A367-4E56-9FAA-E6F98CA83921}"/>
    <cellStyle name="Style 40 3 2 5" xfId="6658" xr:uid="{271EF085-5A67-4CFD-B735-0C7CB68321CC}"/>
    <cellStyle name="Style 40 3 3 2" xfId="1596" xr:uid="{E58398AC-3D37-4A5F-AFF5-0343B0EE752B}"/>
    <cellStyle name="Style 40 3 3 2 2 2" xfId="1597" xr:uid="{DB356742-2C13-4EC5-BEA9-729D112A39B2}"/>
    <cellStyle name="Style 40 3 3 2 2 3" xfId="6659" xr:uid="{AB21CAA8-74F7-40DD-A514-BB85A7007F93}"/>
    <cellStyle name="Style 40 3 3 2 3 2" xfId="6660" xr:uid="{EF2ECF3D-9025-4B3D-AB76-94464F57DF4C}"/>
    <cellStyle name="Style 40 3 3 3" xfId="1598" xr:uid="{D7B6A1F8-E614-47A8-AAC5-72E0830BED3B}"/>
    <cellStyle name="Style 40 3 3 4" xfId="4183" xr:uid="{9BC9DE40-A6F0-41DC-BAA3-FEDD359771F0}"/>
    <cellStyle name="Style 40 3 4" xfId="1599" xr:uid="{A3193E21-EA67-43AC-B414-7A21A6BCB911}"/>
    <cellStyle name="Style 40 3 4 2 2" xfId="6661" xr:uid="{45F92EBD-5985-45BF-AD7A-49D0631FB1D7}"/>
    <cellStyle name="Style 40 3 5" xfId="1600" xr:uid="{C354C509-578C-4C59-9283-06E12E7B9F42}"/>
    <cellStyle name="Style 40 3 6" xfId="6662" xr:uid="{1BCFED7D-519A-4CDD-B719-0E627E8918DA}"/>
    <cellStyle name="Style 40 4 2" xfId="1601" xr:uid="{B5A5F13B-7E7A-4A41-BB85-D322DBFD936D}"/>
    <cellStyle name="Style 40 4 2 2 2" xfId="1602" xr:uid="{B7C21B43-D960-48E0-B725-D13839A08BDA}"/>
    <cellStyle name="Style 40 4 2 2 3" xfId="6663" xr:uid="{8718F24B-6C7C-435B-947B-DE34AC641545}"/>
    <cellStyle name="Style 40 4 2 3 2" xfId="6664" xr:uid="{2E9ACD15-BFCF-4E07-B9A3-5686A6B1A549}"/>
    <cellStyle name="Style 40 4 3" xfId="1603" xr:uid="{B5418F1A-8508-496E-B261-38072973286F}"/>
    <cellStyle name="Style 40 4 4" xfId="4184" xr:uid="{4E468141-CA97-4861-B781-773F61BF1F9E}"/>
    <cellStyle name="Style 40 5" xfId="1604" xr:uid="{7AFD496E-6CB2-4120-A6CE-FFCE0653F053}"/>
    <cellStyle name="Style 40 5 2 2" xfId="6665" xr:uid="{17F9BA4C-00FB-417A-BF11-D1894DBC9E3D}"/>
    <cellStyle name="Style 40 6" xfId="1605" xr:uid="{25F4B0A2-3624-4138-AEB7-0F98C435CFA9}"/>
    <cellStyle name="Style 40 6 2 2" xfId="4185" xr:uid="{0F9B79E2-18FB-4799-A677-159B7BA4413A}"/>
    <cellStyle name="Style 40 7" xfId="2754" xr:uid="{FC103F22-02CF-4B6B-BD50-92983DA576C5}"/>
    <cellStyle name="Style 40 7 3" xfId="4186" xr:uid="{40B1E5FC-E592-4A55-9246-8920E86D60C6}"/>
    <cellStyle name="Style 40 9" xfId="6666" xr:uid="{1678DF5F-21DB-4268-8BD9-92C47A0576E9}"/>
    <cellStyle name="Style 40_ADDON" xfId="20521" xr:uid="{AB80865C-95EC-4F8B-85A2-D290CF83EF94}"/>
    <cellStyle name="Style 41 2" xfId="1606" xr:uid="{8F324A20-1679-44E9-948F-94CC25D6EA84}"/>
    <cellStyle name="Style 41 2 2 2" xfId="1607" xr:uid="{975BBD66-259F-4019-ACC7-FF9AA266E25F}"/>
    <cellStyle name="Style 41 2 2 2 2 2" xfId="1608" xr:uid="{2B2794BC-DD00-4723-BE3B-C3DD9CF82F0F}"/>
    <cellStyle name="Style 41 2 2 2 2 3" xfId="6667" xr:uid="{8D60C448-2882-44BD-A630-4605C9A50C2E}"/>
    <cellStyle name="Style 41 2 2 2 3 2" xfId="6668" xr:uid="{58F2E1E8-B167-461A-A12C-6E99403AF0AC}"/>
    <cellStyle name="Style 41 2 2 3" xfId="1609" xr:uid="{AE0A23CF-BFFF-40C0-A0FE-0719024321B1}"/>
    <cellStyle name="Style 41 2 2 3 2 2" xfId="6669" xr:uid="{4908B2DE-7920-465A-9503-53F6BDB60BDA}"/>
    <cellStyle name="Style 41 2 2 4" xfId="1610" xr:uid="{8BD5C74A-082C-458F-87BB-D16F6475C86B}"/>
    <cellStyle name="Style 41 2 2 5" xfId="6670" xr:uid="{3FF2B496-1B39-40E3-96F1-7031A8EA9B53}"/>
    <cellStyle name="Style 41 2 3 2" xfId="1611" xr:uid="{3EE43419-B9C5-4850-AC56-C65997667F5B}"/>
    <cellStyle name="Style 41 2 3 2 2 2" xfId="6671" xr:uid="{1F36E106-1E84-41AF-920A-C6AAB390966B}"/>
    <cellStyle name="Style 41 2 3 3" xfId="1612" xr:uid="{D4DB373B-4C17-449E-B95A-4266AB962707}"/>
    <cellStyle name="Style 41 2 3 4" xfId="6672" xr:uid="{15480898-F014-46FF-991F-3A3C17BA3EF3}"/>
    <cellStyle name="Style 41 2 4 2" xfId="1613" xr:uid="{9D36D254-A0F1-476D-A066-C733776189AB}"/>
    <cellStyle name="Style 41 2 4 3" xfId="6673" xr:uid="{2125475F-063F-42AB-A7D7-F78B3B01801A}"/>
    <cellStyle name="Style 41 2 5 2" xfId="6674" xr:uid="{E9C512F2-F9C1-41EB-8B17-C98EE6C1CA9D}"/>
    <cellStyle name="Style 41 3" xfId="1614" xr:uid="{2E3D29CB-8F1C-4900-98FD-D85DEA80C9F0}"/>
    <cellStyle name="Style 41 3 2 2" xfId="1615" xr:uid="{AC857EAE-F764-4C35-A5BD-8F9C28A51751}"/>
    <cellStyle name="Style 41 3 2 2 2 2" xfId="1616" xr:uid="{E74F6BCB-48F8-44B6-B570-DAADF7670A62}"/>
    <cellStyle name="Style 41 3 2 2 2 3" xfId="6675" xr:uid="{C4422A1C-00F4-4F35-8A49-E3D09E9C8CB3}"/>
    <cellStyle name="Style 41 3 2 2 3 2" xfId="6676" xr:uid="{B3C7FBD2-AF7F-4106-906E-D3D9AE02E9E6}"/>
    <cellStyle name="Style 41 3 2 3" xfId="1617" xr:uid="{C05B6EC2-1C78-4BF6-96AB-29643F048B7F}"/>
    <cellStyle name="Style 41 3 2 3 2 2" xfId="6677" xr:uid="{110C3B32-894E-4B0B-BC0A-9EDF0E51238C}"/>
    <cellStyle name="Style 41 3 2 4" xfId="1618" xr:uid="{EC9F7D7F-56C1-4C90-A631-A6A1897BF233}"/>
    <cellStyle name="Style 41 3 2 5" xfId="6678" xr:uid="{1A6F4233-FA89-406A-96BA-A3073EAB0355}"/>
    <cellStyle name="Style 41 3 3 2" xfId="1619" xr:uid="{3C055298-BF68-47B2-8CF7-8237EF324161}"/>
    <cellStyle name="Style 41 3 3 2 2 2" xfId="1620" xr:uid="{FE839EEB-5409-4827-9AF4-AF2CCC4CC6C7}"/>
    <cellStyle name="Style 41 3 3 2 2 3" xfId="6679" xr:uid="{2C48AF8A-7330-49F3-AA8A-813F4C0F0129}"/>
    <cellStyle name="Style 41 3 3 2 3 2" xfId="6680" xr:uid="{7C2404FE-B853-413E-9852-69E692C273ED}"/>
    <cellStyle name="Style 41 3 3 3" xfId="1621" xr:uid="{906AB5B9-B625-46AC-A27E-549A3C9481B9}"/>
    <cellStyle name="Style 41 3 3 4" xfId="4187" xr:uid="{9C7908A3-E901-46DD-BB95-44ECDC3D9481}"/>
    <cellStyle name="Style 41 3 4" xfId="1622" xr:uid="{FEE7EB1E-FB93-425D-A5F6-A122E403F2D4}"/>
    <cellStyle name="Style 41 3 4 2 2" xfId="6681" xr:uid="{20F7C532-AC5E-4026-8FE9-AA6743327052}"/>
    <cellStyle name="Style 41 3 5" xfId="1623" xr:uid="{B0902610-5BEF-4BC2-8E21-B9BA69EFBC94}"/>
    <cellStyle name="Style 41 3 6" xfId="6682" xr:uid="{5AF25BE5-3F20-49E4-AD25-96CFD8AA8CBF}"/>
    <cellStyle name="Style 41 4" xfId="1624" xr:uid="{9C0492C4-A333-4EDF-AD13-BC481A776F35}"/>
    <cellStyle name="Style 41 4 2" xfId="1625" xr:uid="{4AE91488-3D64-4BB1-8020-E39D2898F4FA}"/>
    <cellStyle name="Style 41 4 2 2" xfId="1626" xr:uid="{2C4E77DE-263F-47A2-803B-245F6B9CC27A}"/>
    <cellStyle name="Style 41 4 2 2 2" xfId="1627" xr:uid="{DC1B5EBF-407F-4E8D-A46F-741534B79BE6}"/>
    <cellStyle name="Style 41 4 2 2 2 2" xfId="6683" xr:uid="{7326A015-03FD-4D68-B4BC-E5989503B7BD}"/>
    <cellStyle name="Style 41 4 2 2 3" xfId="6684" xr:uid="{6067A4CA-F20F-42B3-9685-22CC3278CB67}"/>
    <cellStyle name="Style 41 4 2 3" xfId="1628" xr:uid="{F9685E2B-E6C5-41B2-9C19-14812C7E3881}"/>
    <cellStyle name="Style 41 4 2 3 2" xfId="6685" xr:uid="{CDBC98ED-382C-450F-B26A-28F46AF0F26C}"/>
    <cellStyle name="Style 41 4 2 4" xfId="6686" xr:uid="{6B27B8B1-77A3-43A5-87E6-F5470EBF7DCE}"/>
    <cellStyle name="Style 41 4 3" xfId="1629" xr:uid="{96022552-FDC7-4A76-89DB-09992734F9BF}"/>
    <cellStyle name="Style 41 4 3 2" xfId="6687" xr:uid="{53AE881A-4817-4E17-9FEE-D59BF81F1A28}"/>
    <cellStyle name="Style 41 4 4" xfId="4188" xr:uid="{469703BC-BBC4-4E81-BD0D-C9D9BEE03C22}"/>
    <cellStyle name="Style 41 4 5" xfId="6688" xr:uid="{46AF8AC1-D1AF-47A6-8558-5B7B74F6988D}"/>
    <cellStyle name="Style 41 5" xfId="1630" xr:uid="{DF28920B-2D54-4C7A-AF93-BBBF7F5E3D45}"/>
    <cellStyle name="Style 41 5 2" xfId="1631" xr:uid="{21DD9B20-A81C-45AD-A76B-632BB4159631}"/>
    <cellStyle name="Style 41 5 2 2" xfId="6689" xr:uid="{8921A464-DB7F-4C7F-8EDC-9FEF15FE9D23}"/>
    <cellStyle name="Style 41 5 3" xfId="6690" xr:uid="{FEF5A9E1-9DE1-4886-A999-BB3CABE47130}"/>
    <cellStyle name="Style 41 6" xfId="1632" xr:uid="{AE7B8C03-F94F-4120-8603-942F980264E7}"/>
    <cellStyle name="Style 41 6 2" xfId="2756" xr:uid="{533894ED-20D9-4C57-897C-338FEA181759}"/>
    <cellStyle name="Style 41 6 2 2" xfId="4189" xr:uid="{39CB9EAA-E48F-40D3-857B-B18EDA4904C2}"/>
    <cellStyle name="Style 41 6 3" xfId="6691" xr:uid="{F7A56CCC-6767-47C2-81A4-5279A4C84665}"/>
    <cellStyle name="Style 41 7" xfId="2755" xr:uid="{21D0AFD3-FE6B-438E-94B1-938CEC276102}"/>
    <cellStyle name="Style 41 7 2" xfId="4191" xr:uid="{43622380-2A7D-45AE-8CF0-BAD74935CE24}"/>
    <cellStyle name="Style 41 7 3" xfId="4190" xr:uid="{365CE164-4C65-4E8E-930F-1AA86869C057}"/>
    <cellStyle name="Style 41 8" xfId="4192" xr:uid="{0F163721-1832-4EE1-AA8F-224819DB1DCB}"/>
    <cellStyle name="Style 41 9" xfId="6692" xr:uid="{08C172D0-9144-4CCF-A9DF-56CDA90EDB87}"/>
    <cellStyle name="Style 41 9 2" xfId="21269" xr:uid="{01D1FFC9-9F9E-4500-A5A3-4AF8AC6AB17C}"/>
    <cellStyle name="Style 41_ADDON" xfId="20522" xr:uid="{916AF249-B39C-4B85-B57A-BD4C213FEAAF}"/>
    <cellStyle name="Style 46" xfId="1633" xr:uid="{26F453D5-5C5E-468E-9B3A-974806C27E2C}"/>
    <cellStyle name="Style 46 10" xfId="1634" xr:uid="{E8633E98-273D-400E-BB53-4C4BBAA43263}"/>
    <cellStyle name="Style 46 10 2" xfId="1635" xr:uid="{9D38569D-FFBC-4D78-95DB-F4BF55A274CF}"/>
    <cellStyle name="Style 46 10 2 2" xfId="4193" xr:uid="{7EEA84F9-9B64-4631-82A1-BB45EF34F420}"/>
    <cellStyle name="Style 46 10 2 2 2" xfId="21983" xr:uid="{2ADFEBF9-E897-4986-9103-51717B6AD8FF}"/>
    <cellStyle name="Style 46 10 2 3" xfId="19574" xr:uid="{4E8833BC-7D4C-409C-8DE7-4101953E0C6D}"/>
    <cellStyle name="Style 46 10 3" xfId="2757" xr:uid="{83CF4E63-13EF-4D3E-B004-EF7B2AC54C33}"/>
    <cellStyle name="Style 46 10 3 2" xfId="21982" xr:uid="{A2E046EB-FB61-447F-A914-F5BF4D4F8D2C}"/>
    <cellStyle name="Style 46 10 4" xfId="18782" xr:uid="{D6116321-B9F2-456F-B0A2-AA068E355C62}"/>
    <cellStyle name="Style 46 11" xfId="1636" xr:uid="{C127C020-F204-415C-B129-D5EB5DBB9E91}"/>
    <cellStyle name="Style 46 11 2" xfId="1637" xr:uid="{7B85226A-ABE8-446D-BB2D-EC76F6E5BB0F}"/>
    <cellStyle name="Style 46 11 2 2" xfId="4195" xr:uid="{5255375D-52D9-4446-90F0-A8CF1323F5C9}"/>
    <cellStyle name="Style 46 11 2 2 2" xfId="21985" xr:uid="{6A70CCCC-E1F2-4427-B159-37092ECEFAA5}"/>
    <cellStyle name="Style 46 11 2 3" xfId="19575" xr:uid="{CFAC7486-6328-4F1A-84C6-607866A6FCCC}"/>
    <cellStyle name="Style 46 11 3" xfId="4194" xr:uid="{33AB3236-6ED0-4A6E-A149-54EF0A8522DE}"/>
    <cellStyle name="Style 46 11 3 2" xfId="21984" xr:uid="{EF6CCB41-E70F-4192-83DC-CE363151E25D}"/>
    <cellStyle name="Style 46 11 4" xfId="18783" xr:uid="{0F1A7198-C63E-4064-A165-CD9A14B18928}"/>
    <cellStyle name="Style 46 12" xfId="1638" xr:uid="{1994568E-3599-4259-9510-2AB41B0F9232}"/>
    <cellStyle name="Style 46 12 2" xfId="4196" xr:uid="{03738D25-E005-4B76-BB6A-9F956697580E}"/>
    <cellStyle name="Style 46 12 2 2" xfId="21986" xr:uid="{135BA99A-38C2-4CE5-8FF7-4AC162BD8BD6}"/>
    <cellStyle name="Style 46 12 3" xfId="6693" xr:uid="{F89BF248-89B7-4373-A3BB-48442243FEBE}"/>
    <cellStyle name="Style 46 12 3 2" xfId="23060" xr:uid="{F194A5EF-C943-4C61-B701-87BDB8B5788A}"/>
    <cellStyle name="Style 46 12 4" xfId="6694" xr:uid="{71B1D3B9-F7BF-4390-8739-E94AC30873DE}"/>
    <cellStyle name="Style 46 12 4 2" xfId="23061" xr:uid="{3A6A918E-A88E-4293-9BE5-8C18DE9C7ABB}"/>
    <cellStyle name="Style 46 12 5" xfId="6695" xr:uid="{0F23B830-C8AE-49FB-9708-EFA697FF09B3}"/>
    <cellStyle name="Style 46 12 5 2" xfId="23062" xr:uid="{56BF5815-66A9-4311-941F-968F74F0C3F1}"/>
    <cellStyle name="Style 46 12 6" xfId="6696" xr:uid="{43582F2F-C199-4E6C-8BFC-828EE0511D12}"/>
    <cellStyle name="Style 46 12 6 2" xfId="23063" xr:uid="{8186C0ED-9621-4155-B387-0FC739C077BA}"/>
    <cellStyle name="Style 46 12 7" xfId="19576" xr:uid="{CCB57762-93F0-4E35-985E-CAD72DB9BFF7}"/>
    <cellStyle name="Style 46 13" xfId="6697" xr:uid="{6ED10361-E587-47C3-BE9A-A0DC9FEB36E0}"/>
    <cellStyle name="Style 46 13 2" xfId="6698" xr:uid="{D4B5BF6A-5C17-44E6-A3DF-563D93EB76A4}"/>
    <cellStyle name="Style 46 13 2 2" xfId="23064" xr:uid="{8D3DD0FA-C10D-4171-A949-7E8663586452}"/>
    <cellStyle name="Style 46 13 3" xfId="6699" xr:uid="{E9170EAA-2BD3-4E80-BD77-AD0E83EF804B}"/>
    <cellStyle name="Style 46 13 3 2" xfId="23065" xr:uid="{EA447FA6-901F-4537-ADF1-B3B228A7A5E9}"/>
    <cellStyle name="Style 46 13 4" xfId="21270" xr:uid="{172F46FD-3464-45BD-9235-B3A96105B4A4}"/>
    <cellStyle name="Style 46 14" xfId="6700" xr:uid="{3BFE0DF7-E535-442E-9BBA-839565490D8A}"/>
    <cellStyle name="Style 46 14 2" xfId="6701" xr:uid="{47D246C3-3C79-44B0-8C58-E7F999C177E3}"/>
    <cellStyle name="Style 46 14 2 2" xfId="23067" xr:uid="{F199471C-9E79-4CFD-B4D6-7E7CC30C9C7E}"/>
    <cellStyle name="Style 46 14 3" xfId="23066" xr:uid="{8F985E1D-2C1E-4FDC-A465-3DC5E0DA4949}"/>
    <cellStyle name="Style 46 15" xfId="6702" xr:uid="{F8ED1724-3A4D-453E-999A-D710C35B9931}"/>
    <cellStyle name="Style 46 15 2" xfId="6703" xr:uid="{6C4A4E0E-F41F-4307-B218-6FE13E0783D3}"/>
    <cellStyle name="Style 46 15 2 2" xfId="23069" xr:uid="{07B0005E-882D-4F05-97D6-84AF9F120F04}"/>
    <cellStyle name="Style 46 15 3" xfId="23068" xr:uid="{0D71C801-6894-4893-87C0-701849E155CD}"/>
    <cellStyle name="Style 46 16" xfId="18781" xr:uid="{D82220E9-1474-4DC0-9E6F-7B0B9CB98B6A}"/>
    <cellStyle name="Style 46 2" xfId="1639" xr:uid="{E65B72FF-052C-4758-8D8D-9A3F81AF3651}"/>
    <cellStyle name="Style 46 2 2" xfId="2940" xr:uid="{F8DF2E99-B91B-455B-BCEC-7AC8F4170019}"/>
    <cellStyle name="Style 46 2 2 2" xfId="21271" xr:uid="{E495AB97-3A30-4443-A6C0-B1DE8901118A}"/>
    <cellStyle name="Style 46 2 3" xfId="18784" xr:uid="{6A225CE0-E432-421D-9A20-7A418F51C104}"/>
    <cellStyle name="Style 46 3" xfId="1640" xr:uid="{B76CC136-D616-4C96-BE0E-85066F7E8D5E}"/>
    <cellStyle name="Style 46 3 2 2" xfId="1641" xr:uid="{B1079F74-D3E2-4AA0-B920-8871C463C7D0}"/>
    <cellStyle name="Style 46 3 2 2 2 2" xfId="21987" xr:uid="{4885AA5C-94FB-47BE-8A34-6BE2E0E601A0}"/>
    <cellStyle name="Style 46 3 2 3" xfId="2941" xr:uid="{AE3C97EF-8476-4807-A0FF-E30D2EE14855}"/>
    <cellStyle name="Style 46 3 2 4" xfId="18785" xr:uid="{B19FDD19-5FAC-4EF2-BBCC-93913EF8B4AE}"/>
    <cellStyle name="Style 46 3 3 2" xfId="1642" xr:uid="{7C29A8DF-E372-4582-867F-C584B75CA846}"/>
    <cellStyle name="Style 46 3 3 2 2 2" xfId="21988" xr:uid="{2E2CCBF9-65B3-4380-9A7F-E56C2BA5E0C1}"/>
    <cellStyle name="Style 46 3 3 3" xfId="1643" xr:uid="{CF76B7E6-12B8-4226-BB22-F13B2F22F90F}"/>
    <cellStyle name="Style 46 3 3 3 2 2" xfId="4198" xr:uid="{83F49ADC-297D-478C-9EDF-24571FAC9385}"/>
    <cellStyle name="Style 46 3 3 3 2 3" xfId="18787" xr:uid="{E92565D0-19F6-4A0D-95EF-743FE96C501A}"/>
    <cellStyle name="Style 46 3 3 3 3 2" xfId="18788" xr:uid="{61E05B35-B521-4C5F-BED3-B1878BA8005F}"/>
    <cellStyle name="Style 46 3 3 3 4 2" xfId="19577" xr:uid="{7CB09EFB-FE42-4603-B15E-2E6B5D1AC115}"/>
    <cellStyle name="Style 46 3 3 3 5 2" xfId="21989" xr:uid="{7726BB14-2CE7-4062-96E2-58B94F46D174}"/>
    <cellStyle name="Style 46 3 3 4" xfId="1644" xr:uid="{6D297A1D-DFE0-4FB2-9639-A7E1A770D73B}"/>
    <cellStyle name="Style 46 3 3 4 2 2" xfId="4199" xr:uid="{7BF493A8-5B24-4FD4-86E7-76A2B8999F30}"/>
    <cellStyle name="Style 46 3 3 4 2 3" xfId="18789" xr:uid="{00E33989-615E-4001-BDE4-5014859349D1}"/>
    <cellStyle name="Style 46 3 3 4 3 2" xfId="21990" xr:uid="{DF4DBBF2-B4A6-463D-BBFB-E54A9F1450F9}"/>
    <cellStyle name="Style 46 3 3 5" xfId="4200" xr:uid="{1D38FE8C-57FE-43B7-886C-AD351241739E}"/>
    <cellStyle name="Style 46 3 3 6" xfId="4197" xr:uid="{DB0A96FF-118E-47E4-96CB-48BB792FD6AB}"/>
    <cellStyle name="Style 46 3 3 7" xfId="18786" xr:uid="{F3192C29-4168-4AEB-8790-20D69C680AA9}"/>
    <cellStyle name="Style 46 3 4 2" xfId="4202" xr:uid="{27AAD071-A0B8-45AB-A196-ABEE2C7BAADB}"/>
    <cellStyle name="Style 46 3 4 3" xfId="4203" xr:uid="{5AEF6750-2582-4475-9FD0-FE70EC2CEBE1}"/>
    <cellStyle name="Style 46 3 4 4" xfId="4201" xr:uid="{BE69B6BD-310B-4DD6-B897-EE443A1F5392}"/>
    <cellStyle name="Style 46 3 4 5" xfId="18790" xr:uid="{45DAE629-28EB-4772-883F-4E9EE853CFAE}"/>
    <cellStyle name="Style 46 3 5 2" xfId="6704" xr:uid="{DBCC9ECB-AB2C-4FBF-8B74-47B70914EB4D}"/>
    <cellStyle name="Style 46 3 5 3" xfId="18791" xr:uid="{42809B69-55E9-451C-BA1B-BD55A73B1A27}"/>
    <cellStyle name="Style 46 3 6 2" xfId="21272" xr:uid="{34AB1B2A-E6E0-4DC4-9749-A62CC7097867}"/>
    <cellStyle name="Style 46 4" xfId="1645" xr:uid="{463F025A-0E49-4E53-A2C8-3C15FA03D3A3}"/>
    <cellStyle name="Style 46 4 2 2" xfId="1646" xr:uid="{7A242F1F-7A4D-4177-B315-B83C079D6CF0}"/>
    <cellStyle name="Style 46 4 2 2 2 2" xfId="21991" xr:uid="{855DEC42-EA05-4D44-9786-AB3503EBB6EF}"/>
    <cellStyle name="Style 46 4 2 3" xfId="1647" xr:uid="{20B7DA24-5247-4F05-AD92-6C55D9C45CC3}"/>
    <cellStyle name="Style 46 4 2 3 2 2" xfId="4205" xr:uid="{61370DAB-D12B-4D9F-93FF-66182767D0AE}"/>
    <cellStyle name="Style 46 4 2 3 2 3" xfId="18793" xr:uid="{FEA1C860-5EE8-4D87-8CB4-6A54C0DB04E6}"/>
    <cellStyle name="Style 46 4 2 3 3 2" xfId="18794" xr:uid="{E5339436-5BDB-4589-ADF9-9771A175DBF6}"/>
    <cellStyle name="Style 46 4 2 3 4 2" xfId="19578" xr:uid="{252A92E6-6564-4086-9F48-94D7CD7C4BC4}"/>
    <cellStyle name="Style 46 4 2 3 5 2" xfId="21992" xr:uid="{B71D13B9-BCBE-40D8-9ADC-683E905BEEA6}"/>
    <cellStyle name="Style 46 4 2 4" xfId="1648" xr:uid="{10D03AB1-6A91-4F49-81C9-9E2F6F827EE2}"/>
    <cellStyle name="Style 46 4 2 4 2 2" xfId="4206" xr:uid="{95892C8C-517B-4FF2-B8A6-7EC8E8034FCA}"/>
    <cellStyle name="Style 46 4 2 4 2 3" xfId="18795" xr:uid="{751264BE-F800-4E8E-A456-54016D306CCA}"/>
    <cellStyle name="Style 46 4 2 4 3 2" xfId="21993" xr:uid="{45F61B7D-F2BE-453C-9D35-3323D4F60BF8}"/>
    <cellStyle name="Style 46 4 2 5" xfId="4207" xr:uid="{313CDD27-621D-4EF4-81A0-70400EA76347}"/>
    <cellStyle name="Style 46 4 2 6" xfId="4204" xr:uid="{CDD967B0-5369-4B7C-9F4C-57CA670B6B44}"/>
    <cellStyle name="Style 46 4 2 7" xfId="18792" xr:uid="{2AB41C24-AF2E-491B-8DE2-ABB8EC1D4B04}"/>
    <cellStyle name="Style 46 4 3 2" xfId="4208" xr:uid="{63E95B49-1C51-4DD6-BF8E-4B0B7CA64380}"/>
    <cellStyle name="Style 46 4 3 3" xfId="18796" xr:uid="{1CCAD28A-0015-4758-B448-F47BBB477069}"/>
    <cellStyle name="Style 46 4 4 2" xfId="4209" xr:uid="{64920516-FD8D-4418-9A00-68D2902ABC9D}"/>
    <cellStyle name="Style 46 4 4 3" xfId="18797" xr:uid="{F4BD4915-AFCF-40AE-91CC-91E46708B657}"/>
    <cellStyle name="Style 46 4 5 2" xfId="20657" xr:uid="{94056122-DD29-4363-A323-F52C32E70F21}"/>
    <cellStyle name="Style 46 4 6 2" xfId="21273" xr:uid="{029BB8B3-74F5-4B3F-A0C9-2A1A20808718}"/>
    <cellStyle name="Style 46 5" xfId="1649" xr:uid="{AA02844B-EE2D-437D-8E22-8F2579656B1F}"/>
    <cellStyle name="Style 46 5 2 2" xfId="1650" xr:uid="{44703BD6-1E75-45D5-A310-4215977D5537}"/>
    <cellStyle name="Style 46 5 2 2 2 2" xfId="21994" xr:uid="{18834C15-DBF9-4B48-AFFC-C4C25FF7004E}"/>
    <cellStyle name="Style 46 5 2 3" xfId="1651" xr:uid="{0048E90D-13B0-4D92-8FFC-8EF63DEB2839}"/>
    <cellStyle name="Style 46 5 2 3 2 2" xfId="4211" xr:uid="{C393E804-D4BA-4CFA-8715-1975B068059C}"/>
    <cellStyle name="Style 46 5 2 3 2 3" xfId="18799" xr:uid="{FD979903-CE40-419D-B105-5F5951278D10}"/>
    <cellStyle name="Style 46 5 2 3 3 2" xfId="18800" xr:uid="{CFED663E-5252-4A5E-A5E0-9007326B7F52}"/>
    <cellStyle name="Style 46 5 2 3 4 2" xfId="19579" xr:uid="{7F4D8183-E441-4257-8FA3-2E85F72FF4DA}"/>
    <cellStyle name="Style 46 5 2 3 5 2" xfId="21995" xr:uid="{0FCDC211-E159-4267-A533-6F638A36785F}"/>
    <cellStyle name="Style 46 5 2 4" xfId="1652" xr:uid="{86A5E8F2-52C2-4263-B4F0-055468887ED0}"/>
    <cellStyle name="Style 46 5 2 4 2 2" xfId="4212" xr:uid="{93B5D70A-1975-424A-BF5C-4C82A3042E8A}"/>
    <cellStyle name="Style 46 5 2 4 2 3" xfId="18801" xr:uid="{C676DE98-9288-423F-B703-F9CAF68165E4}"/>
    <cellStyle name="Style 46 5 2 4 3 2" xfId="21996" xr:uid="{D2760A9E-C832-4232-BABB-922BB01ED80C}"/>
    <cellStyle name="Style 46 5 2 5" xfId="4213" xr:uid="{5A351D18-2019-4AAD-86BC-D9F7B2257BE7}"/>
    <cellStyle name="Style 46 5 2 6" xfId="4210" xr:uid="{13C88870-6A6D-4DA6-A8AD-4B8B8A41433E}"/>
    <cellStyle name="Style 46 5 2 7" xfId="18798" xr:uid="{ECB395DB-BC4B-4170-BC42-E9B28A539F22}"/>
    <cellStyle name="Style 46 5 3 2" xfId="4214" xr:uid="{C5DFDF02-F6EB-4846-B635-FCA6FA8AECD8}"/>
    <cellStyle name="Style 46 5 3 3" xfId="18802" xr:uid="{51E8ECDF-F7F8-4FCC-8052-54700836F6AA}"/>
    <cellStyle name="Style 46 5 4 2" xfId="4215" xr:uid="{ECE72004-F1E5-47BA-83F5-920198A82F79}"/>
    <cellStyle name="Style 46 5 4 3" xfId="18803" xr:uid="{7608E357-2237-40DF-A272-1537320FBF22}"/>
    <cellStyle name="Style 46 5 5 2" xfId="20658" xr:uid="{03D2FF99-4425-4539-B508-C09C60093338}"/>
    <cellStyle name="Style 46 5 6 2" xfId="21274" xr:uid="{6C911048-0C62-4654-BF66-AB6F25EB26AF}"/>
    <cellStyle name="Style 46 6 2 2" xfId="4216" xr:uid="{0B26C294-7028-44F7-8CDC-0BFCBC6154D7}"/>
    <cellStyle name="Style 46 6 3 2" xfId="1653" xr:uid="{134EF906-53FE-40AE-A455-F09A33C8380A}"/>
    <cellStyle name="Style 46 6 3 3" xfId="4218" xr:uid="{06915C93-25E7-4D5C-87A5-E9D21730B4AE}"/>
    <cellStyle name="Style 46 6 3 5" xfId="4217" xr:uid="{6DA206A4-0CEB-41FB-B579-64176579CEEC}"/>
    <cellStyle name="Style 46 6 4 2" xfId="1654" xr:uid="{FE783F05-24EF-4437-B77B-3A5862360729}"/>
    <cellStyle name="Style 46 6 4 3" xfId="4219" xr:uid="{22F2AC92-C55D-41AB-982C-530162ED68DF}"/>
    <cellStyle name="Style 46 6 5 2" xfId="19580" xr:uid="{A7A2D9B9-72B9-44CF-8AE4-00FF66D796DD}"/>
    <cellStyle name="Style 46 7" xfId="1655" xr:uid="{C0379A5C-6208-45A8-B5DE-FA456AAA0DBD}"/>
    <cellStyle name="Style 46 7 2 3" xfId="18804" xr:uid="{9F613894-82E9-480A-BC5A-9D80D71698A5}"/>
    <cellStyle name="Style 46 7 4 2" xfId="19581" xr:uid="{3BA2E0AE-6979-4D69-8D31-418DE82E6084}"/>
    <cellStyle name="Style 46 8" xfId="1656" xr:uid="{170D5A43-CB14-449B-9F2E-3A00129A35E4}"/>
    <cellStyle name="Style 46 8 2 3" xfId="18805" xr:uid="{4E3B030E-3F02-4013-9B89-C1ACD09BF8C7}"/>
    <cellStyle name="Style 46 8 4 2" xfId="19582" xr:uid="{51DE44E5-1CA5-482E-BA90-8160F2E001C1}"/>
    <cellStyle name="Style 46 9" xfId="1657" xr:uid="{519A9B6A-BB5F-4E67-B029-50095AB8B09E}"/>
    <cellStyle name="Style 46 9 2 3" xfId="19583" xr:uid="{F3F8A655-D8BC-46C3-8850-ED27619F5DB7}"/>
    <cellStyle name="Style 46_ADDON" xfId="20523" xr:uid="{BE1C1C12-9823-46A9-BF00-F8A58966E1DB}"/>
    <cellStyle name="Style 47 2 2" xfId="6705" xr:uid="{3DD27D96-BE49-4206-98F1-5A4EFD200CB7}"/>
    <cellStyle name="Style 47 3 2" xfId="1658" xr:uid="{61DD4D7F-734A-4E74-BC18-FAA38ABB4F7D}"/>
    <cellStyle name="Style 47 3 3 2 2" xfId="18807" xr:uid="{BE499890-CA4B-4770-93D3-9812D7673E82}"/>
    <cellStyle name="Style 47 3 3 4 2" xfId="19584" xr:uid="{0CAF993F-8937-48F3-9C87-D44D84A369BA}"/>
    <cellStyle name="Style 47 3 4 2 2" xfId="18808" xr:uid="{71733CA3-E56C-4131-AB48-F5A51193DB33}"/>
    <cellStyle name="Style 47 3 6" xfId="18806" xr:uid="{A789B7D8-4438-4EA6-A054-7E52751F6E55}"/>
    <cellStyle name="Style 47 4 3" xfId="4220" xr:uid="{ED51F296-9CF9-4D8F-81FA-3E0A1C56AE57}"/>
    <cellStyle name="Style 47 4 5" xfId="18809" xr:uid="{C21918F9-0455-4273-98DB-4350EB173C38}"/>
    <cellStyle name="Style 47 5 3" xfId="18810" xr:uid="{B36656A4-284B-42DA-B9EF-7FAC995F2013}"/>
    <cellStyle name="Style 47 6 3" xfId="2758" xr:uid="{A0AEC93D-01BD-4F9B-A345-CA6DFBC2825A}"/>
    <cellStyle name="Style 47 7 2" xfId="4221" xr:uid="{81E31A52-3FB3-492A-B4C0-DF94AB6E813C}"/>
    <cellStyle name="Style 47 7 4" xfId="18811" xr:uid="{DD2DB1C7-73F9-4B3B-B273-A85403495E92}"/>
    <cellStyle name="Style 47 9 2" xfId="21275" xr:uid="{8299CFD4-72FF-4E8F-BFC0-8B0A5EF7B46D}"/>
    <cellStyle name="Style 48 2 2" xfId="1659" xr:uid="{E80718D4-B14C-4718-8768-828791A2A5EC}"/>
    <cellStyle name="Style 48 2 2 2 2 2 2" xfId="6706" xr:uid="{98AF159E-F7A7-4383-9BA0-B4A55A71CBC6}"/>
    <cellStyle name="Style 48 2 2 2 4" xfId="6707" xr:uid="{AE93C458-3C64-4DFC-86AE-5A58EF49C9F3}"/>
    <cellStyle name="Style 48 2 2 3 3" xfId="6708" xr:uid="{BB1CE167-847B-4853-869C-308CB53DAF3E}"/>
    <cellStyle name="Style 48 2 3" xfId="1660" xr:uid="{8E3E9FBF-C294-48FD-8C0F-FFA7F4C700F0}"/>
    <cellStyle name="Style 48 2 3 2 3" xfId="6709" xr:uid="{C3722042-5070-44F4-8059-909FE7C57E42}"/>
    <cellStyle name="Style 48 2 4" xfId="1661" xr:uid="{9C960235-B1C9-466F-96AD-96A38AC1D083}"/>
    <cellStyle name="Style 48 2 5" xfId="1662" xr:uid="{385FC33E-51BC-4457-9D1A-63AAD71C352B}"/>
    <cellStyle name="Style 48 3 2" xfId="1663" xr:uid="{7C4DED0D-EEA0-4404-AE9D-26A98F0F95B8}"/>
    <cellStyle name="Style 48 3 2 2 2 2 2" xfId="6710" xr:uid="{3A5AF884-52D6-41A6-B697-DA2EB5644CCA}"/>
    <cellStyle name="Style 48 3 2 2 4" xfId="6711" xr:uid="{3FE723A2-C3B8-4A7D-A4B5-650E39CD46DC}"/>
    <cellStyle name="Style 48 3 2 3 3" xfId="6712" xr:uid="{338F9EE5-79D5-41AF-A26B-E0AC492AB8BA}"/>
    <cellStyle name="Style 48 3 3" xfId="1664" xr:uid="{7280E1B6-1421-4BBF-B9E3-75CB5E9E3B7D}"/>
    <cellStyle name="Style 48 3 3 2 2 2 2" xfId="6713" xr:uid="{CE7BF141-94D8-40DE-BE33-9EF3488517B3}"/>
    <cellStyle name="Style 48 3 3 2 4" xfId="6714" xr:uid="{3EAA8D8F-9856-4A25-9F49-D7BE0A719B92}"/>
    <cellStyle name="Style 48 3 3 5" xfId="6715" xr:uid="{CE462405-EBFE-4594-A0A8-5F1A5CD05B75}"/>
    <cellStyle name="Style 48 3 4 3" xfId="6716" xr:uid="{F3AB8D52-3624-4C7A-8C83-085F6F5EE0CF}"/>
    <cellStyle name="Style 48 4" xfId="1665" xr:uid="{D797ABB9-5C81-4A68-9E46-B9A57D4CC836}"/>
    <cellStyle name="Style 48 4 2 2 2 2" xfId="6717" xr:uid="{90DC89AF-776B-4B9C-9F46-42E77F78FB96}"/>
    <cellStyle name="Style 48 4 2 4" xfId="6718" xr:uid="{D311D191-44FB-4CAC-B64B-999310D3344C}"/>
    <cellStyle name="Style 48 4 5" xfId="6719" xr:uid="{9F6E5239-B73B-4981-83CB-978E6C5402DC}"/>
    <cellStyle name="Style 48 5 3" xfId="6720" xr:uid="{AD183FC8-59E1-420A-B40C-A19C849EC276}"/>
    <cellStyle name="Style 48 6 3" xfId="6721" xr:uid="{C211F606-4446-48DE-9CA2-FEDDA144DD93}"/>
    <cellStyle name="Style 48 8" xfId="4222" xr:uid="{DE432753-F73A-40A0-9917-44F4211B1008}"/>
    <cellStyle name="Style 49" xfId="1666" xr:uid="{CDF1FAFF-0AD5-4620-A969-22A993B64965}"/>
    <cellStyle name="Style 49 2 2 2" xfId="23070" xr:uid="{20F37822-D6EE-480D-AF26-21780DD196B6}"/>
    <cellStyle name="Style 49 3 2 2" xfId="18812" xr:uid="{CD5C940C-321F-46FA-9D98-188570A5FE28}"/>
    <cellStyle name="Style 49 3 3 3" xfId="4223" xr:uid="{11925BE1-F728-4C40-BD62-FB8E302CE07F}"/>
    <cellStyle name="Style 49 3 3 5" xfId="18813" xr:uid="{60C8D220-C133-4761-A544-01037DF9B2CF}"/>
    <cellStyle name="Style 49 3 4 3" xfId="18814" xr:uid="{43298E01-E95B-44AD-969A-7C1A12FD52DC}"/>
    <cellStyle name="Style 49 4" xfId="1667" xr:uid="{70DC88F5-D937-4B30-AB85-9BB6475C72EB}"/>
    <cellStyle name="Style 49 4 3 2" xfId="18815" xr:uid="{29B52D33-88E9-4D32-ACFF-81869E762389}"/>
    <cellStyle name="Style 49 5" xfId="1668" xr:uid="{A64C58BC-CDFF-4B4A-9656-3678859FDA30}"/>
    <cellStyle name="Style 49 6" xfId="1669" xr:uid="{73F2D82A-6CBB-49A5-93C2-5D325BA28C52}"/>
    <cellStyle name="Style 49 6 3 2" xfId="22518" xr:uid="{5D1627B4-7CDE-40F5-A674-06870F124443}"/>
    <cellStyle name="Style 49 7 2 2" xfId="19585" xr:uid="{52C929EA-E086-4C53-9312-EB8A9C4030E5}"/>
    <cellStyle name="Style 49 8" xfId="4224" xr:uid="{F0C1EBD8-DB1B-4DBC-9C73-9BDD0A93B347}"/>
    <cellStyle name="Style 49_ADDON" xfId="20497" xr:uid="{AFE9C106-8F2F-4511-A1C7-FC22C2FBC5D9}"/>
    <cellStyle name="Style 50 10 2 2" xfId="4225" xr:uid="{9695EED1-0D1D-44CF-A558-859EAF360768}"/>
    <cellStyle name="Style 50 10 3 2" xfId="21997" xr:uid="{A0D127F0-DB0D-4A2E-BA9F-19F63F2202A9}"/>
    <cellStyle name="Style 50 11 2 2" xfId="4226" xr:uid="{AB83CBC4-F269-4F7B-91F8-B5F8F013F0BC}"/>
    <cellStyle name="Style 50 11 3 2" xfId="21998" xr:uid="{A6E9090D-594A-4B96-B7C0-AD9FCA2B5861}"/>
    <cellStyle name="Style 50 12 2 2" xfId="21999" xr:uid="{5473482C-B822-4D3D-B57D-F60E801AE295}"/>
    <cellStyle name="Style 50 12 4 2" xfId="23071" xr:uid="{CC37F5E9-E0F3-4CCF-BB04-AACE5097094F}"/>
    <cellStyle name="Style 50 12 6 2" xfId="23072" xr:uid="{8CEE6054-0C8D-4E2C-B50D-D89A317077F5}"/>
    <cellStyle name="Style 50 13 2 2" xfId="23073" xr:uid="{8EB19EEC-F045-4B7A-ACE9-251D6A4C0BF5}"/>
    <cellStyle name="Style 50 14" xfId="6722" xr:uid="{982175E2-C56D-4828-884C-A0C62347CBAB}"/>
    <cellStyle name="Style 50 15" xfId="6723" xr:uid="{6414276A-A527-440B-84CA-80398D391258}"/>
    <cellStyle name="Style 50 16" xfId="18816" xr:uid="{6FAD10BF-DA92-475D-BE4D-C3055D27193C}"/>
    <cellStyle name="Style 50 2 3" xfId="18817" xr:uid="{F8718893-4B8C-4940-BDA1-ED95CCED3B75}"/>
    <cellStyle name="Style 50 3 2 2 2" xfId="4227" xr:uid="{C7E1423B-45D4-4D4C-9ABB-F6017A870E7C}"/>
    <cellStyle name="Style 50 3 2 3 2" xfId="21276" xr:uid="{3C0B58E5-A0D0-4E2C-B699-033341931721}"/>
    <cellStyle name="Style 50 3 3 2 2" xfId="4228" xr:uid="{E2DD321A-791A-4BDC-9CE9-05C112E8D3EF}"/>
    <cellStyle name="Style 50 3 3 3 2" xfId="1670" xr:uid="{15CDCD78-C2CD-48EF-B123-44CEA795C492}"/>
    <cellStyle name="Style 50 3 3 3 3" xfId="4230" xr:uid="{43BCBE55-F0A8-410F-A6F7-B21CEB7A0914}"/>
    <cellStyle name="Style 50 3 3 3 5" xfId="4229" xr:uid="{AE0139B1-C3EE-47A2-8FEE-BA7BA2FF995F}"/>
    <cellStyle name="Style 50 3 3 4 2" xfId="1671" xr:uid="{C92AFEBA-098E-48C8-B9FC-A85EC277FA29}"/>
    <cellStyle name="Style 50 3 3 4 3" xfId="4231" xr:uid="{C7D977AD-4C07-4996-80A1-A3896CE49471}"/>
    <cellStyle name="Style 50 3 3 5 2" xfId="19586" xr:uid="{28469449-5658-4C77-8E21-4560E1ADD0A7}"/>
    <cellStyle name="Style 50 3 4" xfId="1672" xr:uid="{8542BC11-6DB5-4C3C-9E91-689C120A32CF}"/>
    <cellStyle name="Style 50 3 4 3 2" xfId="19587" xr:uid="{EBA04202-7FCB-4C4C-91AF-6E8165868C17}"/>
    <cellStyle name="Style 50 3 5" xfId="4232" xr:uid="{77470330-D695-4887-A693-7EB7AF260937}"/>
    <cellStyle name="Style 50 3 6" xfId="2942" xr:uid="{40426F8D-C359-4D4C-9828-9A673FCA61D9}"/>
    <cellStyle name="Style 50 4 2" xfId="1673" xr:uid="{D97FE8AC-553C-4BFC-AFC7-32768F30753D}"/>
    <cellStyle name="Style 50 4 2 2 3" xfId="18818" xr:uid="{2B439F98-8971-41EC-AADC-45EB022117F3}"/>
    <cellStyle name="Style 50 4 2 3 2 2 2" xfId="22001" xr:uid="{2FCDA008-CDB5-42BF-96B4-05A1AA6ADF3F}"/>
    <cellStyle name="Style 50 4 2 3 4" xfId="4233" xr:uid="{5DC206D5-1A8E-4B38-ABD5-680FC431BC2A}"/>
    <cellStyle name="Style 50 4 2 3 6" xfId="18819" xr:uid="{2B097B34-2B4B-49E9-9799-B12688AFB204}"/>
    <cellStyle name="Style 50 4 2 4 2 2 2" xfId="22002" xr:uid="{6A905464-1E3E-4516-AD1F-9116DFF76093}"/>
    <cellStyle name="Style 50 4 2 4 4" xfId="18820" xr:uid="{7FE18F29-3A4E-433B-BECB-D81275E6553F}"/>
    <cellStyle name="Style 50 4 2 6 2" xfId="22000" xr:uid="{224AA611-0377-4D17-B774-A36D3BD4ED3E}"/>
    <cellStyle name="Style 50 4 3 2 2" xfId="22003" xr:uid="{C913D0FA-098D-4302-92AB-AC226D2421EF}"/>
    <cellStyle name="Style 50 4 4 2 2" xfId="19588" xr:uid="{A00C313D-83A6-46C3-90C6-431417D27C6B}"/>
    <cellStyle name="Style 50 4 6" xfId="2943" xr:uid="{495E667A-BA62-423B-87A0-0346CCD9EBFE}"/>
    <cellStyle name="Style 50 5 2" xfId="1674" xr:uid="{EF7396DD-BEBF-4137-A4A2-AE30FFD13AFF}"/>
    <cellStyle name="Style 50 5 2 2 3" xfId="18821" xr:uid="{63A7331E-6076-47E8-A7B4-AA710FDD9423}"/>
    <cellStyle name="Style 50 5 2 3 2 2 2" xfId="22005" xr:uid="{073E4D95-140A-42B2-B4B2-07DA4737F20A}"/>
    <cellStyle name="Style 50 5 2 3 4" xfId="4234" xr:uid="{40108880-9EA8-4D62-BBB6-C3201821F3F6}"/>
    <cellStyle name="Style 50 5 2 3 6" xfId="18822" xr:uid="{BE683278-7177-4F55-A370-61D71CCC6939}"/>
    <cellStyle name="Style 50 5 2 4 2 2 2" xfId="22006" xr:uid="{C629A057-3FDD-4FB2-93FF-AAA7C6152A00}"/>
    <cellStyle name="Style 50 5 2 4 4" xfId="18823" xr:uid="{80F5B85E-B879-4C5A-A7FB-04F3CC89B252}"/>
    <cellStyle name="Style 50 5 2 6 2" xfId="22004" xr:uid="{C011E3BE-117F-4ADD-9ED9-81B45C780E3B}"/>
    <cellStyle name="Style 50 5 3 2 2" xfId="22007" xr:uid="{AC4E2094-7A0E-450D-9A55-4F54BB71F379}"/>
    <cellStyle name="Style 50 5 4 2 2" xfId="19589" xr:uid="{0435EF41-CBC1-4C42-B949-3CC3E730AD57}"/>
    <cellStyle name="Style 50 5 6" xfId="2944" xr:uid="{F1B17007-E639-4853-A7AD-853DBD7D436B}"/>
    <cellStyle name="Style 50 6 2" xfId="1675" xr:uid="{E462CB3E-1E3C-4EAC-B862-DE8CA7F2342F}"/>
    <cellStyle name="Style 50 6 3" xfId="1676" xr:uid="{06D11169-43CE-4309-85FC-9AF8FF35789A}"/>
    <cellStyle name="Style 50 6 3 2 3" xfId="18825" xr:uid="{99C8FD0F-3BD1-4DBE-9685-73F947658901}"/>
    <cellStyle name="Style 50 6 3 4 2" xfId="19590" xr:uid="{3B540210-AE75-4B3A-8BE6-52641054F260}"/>
    <cellStyle name="Style 50 6 4" xfId="1677" xr:uid="{3B8E4771-B421-4EEA-A60A-11083DF443DB}"/>
    <cellStyle name="Style 50 6 4 2 3" xfId="18826" xr:uid="{8D65A948-4C31-42B7-B331-E08148026C8F}"/>
    <cellStyle name="Style 50 6 5" xfId="4235" xr:uid="{E5B1CA7D-AD51-41C5-A9C2-9EE8EAB24235}"/>
    <cellStyle name="Style 50 6 7" xfId="18824" xr:uid="{D02B696B-B750-436F-9957-5A17775B3F92}"/>
    <cellStyle name="Style 50 7 2 2 2" xfId="22008" xr:uid="{2B062E4E-E1B0-42C3-A1A3-7DF793C70EE0}"/>
    <cellStyle name="Style 50 7 4" xfId="4236" xr:uid="{6712A762-ACC8-4546-9DFA-317B89EC71BC}"/>
    <cellStyle name="Style 50 7 6" xfId="18827" xr:uid="{C2F12523-F7C0-4A44-9777-EAF87D333AD5}"/>
    <cellStyle name="Style 50 8 2 2 2" xfId="22009" xr:uid="{866BBE07-2FF7-48C3-8E90-D90A019C1E67}"/>
    <cellStyle name="Style 50 8 3" xfId="4238" xr:uid="{29C7DA07-66FE-42E1-A825-87B1E1D5BD01}"/>
    <cellStyle name="Style 50 8 4" xfId="4239" xr:uid="{B7E2BBB6-21CD-4626-B387-1B866C9AB455}"/>
    <cellStyle name="Style 50 8 5" xfId="4237" xr:uid="{82B15544-82B6-4614-9C02-D538DF0E2460}"/>
    <cellStyle name="Style 50 8 6" xfId="18828" xr:uid="{1C8A9539-FE13-4930-818B-7DFE19D36DEA}"/>
    <cellStyle name="Style 50 9 2" xfId="1678" xr:uid="{3ED5BF97-F59F-416E-8DD2-D83768439690}"/>
    <cellStyle name="Style 50 9 2 2 2" xfId="22010" xr:uid="{4BDF6970-937F-4763-B45E-43B27B857BFF}"/>
    <cellStyle name="Style 50 9 3" xfId="2759" xr:uid="{6AACD286-440A-4D10-A63C-342346673CCA}"/>
    <cellStyle name="Style 50 9 4" xfId="18829" xr:uid="{3A94D4EE-C7B3-47D2-A98D-D3C05FF44B23}"/>
    <cellStyle name="Style 51" xfId="1679" xr:uid="{1711AE01-2A76-4676-8C6F-6482C3B6B4D7}"/>
    <cellStyle name="Style 51 2 2" xfId="1680" xr:uid="{AFA5BAE3-B2C6-4801-BEF2-F6E536DAEDAA}"/>
    <cellStyle name="Style 51 2 2 2 2" xfId="1681" xr:uid="{E4A5F364-B6AB-46E6-8EA3-45E2AAE7E45F}"/>
    <cellStyle name="Style 51 2 2 2 2 2 2" xfId="6724" xr:uid="{76A0A6EE-C1AF-4278-A30C-997C020BD7AE}"/>
    <cellStyle name="Style 51 2 2 2 3" xfId="1682" xr:uid="{805EB3CA-866B-4605-9EEF-1F9F043EF128}"/>
    <cellStyle name="Style 51 2 2 2 4" xfId="6725" xr:uid="{E485232C-F9A2-4ADC-B15E-E69951788C6C}"/>
    <cellStyle name="Style 51 2 2 3 2" xfId="1683" xr:uid="{FE64349A-A269-494E-8D20-87F37D881069}"/>
    <cellStyle name="Style 51 2 2 3 3" xfId="6726" xr:uid="{7ABE016A-F49E-4CA5-926B-94AF908D0499}"/>
    <cellStyle name="Style 51 2 2 4 2" xfId="6727" xr:uid="{5838AA36-B487-4E6A-900C-8C6D76D88D1B}"/>
    <cellStyle name="Style 51 2 3" xfId="1684" xr:uid="{8083EB91-2DA0-42AD-971F-121709138945}"/>
    <cellStyle name="Style 51 2 3 2 2" xfId="1685" xr:uid="{A4F36F58-F378-43A6-AA4D-3BD5EC98B523}"/>
    <cellStyle name="Style 51 2 3 2 3" xfId="6728" xr:uid="{7A5A04CD-77A3-4105-BF7C-0FD30D86C0D7}"/>
    <cellStyle name="Style 51 2 3 3 2" xfId="6729" xr:uid="{34FE1E78-A87A-4748-829E-16C3672A9C38}"/>
    <cellStyle name="Style 51 2 4" xfId="1686" xr:uid="{D861192F-FB5D-4829-9FA9-F88FCBBAAAB1}"/>
    <cellStyle name="Style 51 2 4 2 2" xfId="6730" xr:uid="{D6F5D5F2-EA85-4631-8D51-E57EDCACD00B}"/>
    <cellStyle name="Style 51 2 5" xfId="1687" xr:uid="{9728130D-6631-49B0-9BB0-57317F4343D1}"/>
    <cellStyle name="Style 51 2 6" xfId="6731" xr:uid="{FBF0E8EA-FCA7-4810-9503-58F8ADB04173}"/>
    <cellStyle name="Style 51 3 2" xfId="1688" xr:uid="{B13CC85F-230E-462B-A20C-28CAC396369B}"/>
    <cellStyle name="Style 51 3 2 2 2" xfId="1689" xr:uid="{CE095A41-7CE7-449E-B05D-BA9D710EBEFD}"/>
    <cellStyle name="Style 51 3 2 2 2 2 2" xfId="6732" xr:uid="{8AF6C23F-0E4B-4E7D-A1A8-6CCC4D1232AE}"/>
    <cellStyle name="Style 51 3 2 2 3" xfId="1690" xr:uid="{5FCDE9E5-1F8C-443D-B172-92F867F7E334}"/>
    <cellStyle name="Style 51 3 2 2 4" xfId="6733" xr:uid="{6A8A5BCE-B457-4BE7-88E0-DA6AE6035B50}"/>
    <cellStyle name="Style 51 3 2 3 2" xfId="1691" xr:uid="{F1FA250A-2322-4242-B044-459AAD2D95D2}"/>
    <cellStyle name="Style 51 3 2 3 3" xfId="6734" xr:uid="{5FFA550A-C5F5-4867-AF9C-9FDF7EF2143E}"/>
    <cellStyle name="Style 51 3 2 4 2" xfId="6735" xr:uid="{29EE1416-7842-4C15-85C0-24B3E6953688}"/>
    <cellStyle name="Style 51 3 3" xfId="1692" xr:uid="{579B5EDA-64B2-4040-8F86-A1EC4885D24A}"/>
    <cellStyle name="Style 51 3 3 2 2" xfId="1693" xr:uid="{F842C76E-965E-46A0-BFFD-79A10522E914}"/>
    <cellStyle name="Style 51 3 3 2 2 2 2" xfId="6736" xr:uid="{73C9383E-F273-419E-89C9-5C0122D36B6E}"/>
    <cellStyle name="Style 51 3 3 2 3" xfId="1694" xr:uid="{1FDA7CBC-6588-46A6-A9AA-DE4A2C8BAEF7}"/>
    <cellStyle name="Style 51 3 3 2 4" xfId="6737" xr:uid="{A4A1FD0D-AF22-4514-9C42-31FBE474E1B8}"/>
    <cellStyle name="Style 51 3 3 3 2" xfId="6738" xr:uid="{A924283D-E025-4CBF-9D1C-8ED68BC67818}"/>
    <cellStyle name="Style 51 3 3 5" xfId="6739" xr:uid="{052A362C-65CB-4833-A4A9-7681606D68CC}"/>
    <cellStyle name="Style 51 3 4 2" xfId="1695" xr:uid="{718459A5-CFAB-4170-AD72-407347905B37}"/>
    <cellStyle name="Style 51 3 4 3" xfId="6740" xr:uid="{B3634649-2474-4295-80F8-3A8B6A38EE85}"/>
    <cellStyle name="Style 51 3 5 2" xfId="6741" xr:uid="{027F66B4-A012-4437-A1FB-C33611190AAD}"/>
    <cellStyle name="Style 51 4" xfId="1696" xr:uid="{F439BD48-3B8B-4155-B42B-CBE75FD56B94}"/>
    <cellStyle name="Style 51 4 2 2" xfId="1697" xr:uid="{8831A458-66C5-430E-B639-0281BD9CCC3D}"/>
    <cellStyle name="Style 51 4 2 2 2 2" xfId="6742" xr:uid="{6C79A8B1-981C-400A-8647-BBAB5EFE9E19}"/>
    <cellStyle name="Style 51 4 2 3" xfId="1698" xr:uid="{E3D31C6B-9528-46DD-9453-DF35ED5F3B75}"/>
    <cellStyle name="Style 51 4 2 4" xfId="6743" xr:uid="{F5C32636-E34D-41A1-8F50-23709DC25587}"/>
    <cellStyle name="Style 51 4 3 2" xfId="6744" xr:uid="{8BB09A0C-55E1-4444-8CF8-85F96E7F0D89}"/>
    <cellStyle name="Style 51 4 5" xfId="6745" xr:uid="{7190C8EF-ABDB-4692-ACFD-FA506659E42B}"/>
    <cellStyle name="Style 51 5 2" xfId="1699" xr:uid="{E0B9F9E0-8F68-4AC8-BFF6-9752215982C3}"/>
    <cellStyle name="Style 51 5 3" xfId="6746" xr:uid="{E1F78F5F-BA5C-4804-8991-554E73A9CF01}"/>
    <cellStyle name="Style 51 6 2" xfId="2760" xr:uid="{C27BEEEE-3B02-4B81-B1DF-4AD1D6656891}"/>
    <cellStyle name="Style 51 6 3" xfId="6747" xr:uid="{16837482-B2E3-45A5-8FA2-7CB1F6BBE7FF}"/>
    <cellStyle name="Style 51 7 2" xfId="4240" xr:uid="{497D0E81-C7C4-48AE-BE84-0C5D0974815F}"/>
    <cellStyle name="Style 51 8" xfId="4241" xr:uid="{97CEF95F-FF64-41C7-83F4-6F59A047F9BB}"/>
    <cellStyle name="Style 51 9" xfId="6748" xr:uid="{E6EF982C-38AB-4377-9F3A-3FE3B4271015}"/>
    <cellStyle name="Style 51 9 2" xfId="21277" xr:uid="{DCF2E178-374D-4F39-AB43-E5AEDE4014CE}"/>
    <cellStyle name="Style 51_ADDON" xfId="20524" xr:uid="{8E9DCACD-BA38-4574-AD97-21DC5F556AAD}"/>
    <cellStyle name="Style 52" xfId="1700" xr:uid="{4275442E-8078-49E4-B59B-E91B9A36ADEC}"/>
    <cellStyle name="Style 52 2" xfId="1701" xr:uid="{6AE69D6F-6A92-4194-9E30-0EF3BAA03C53}"/>
    <cellStyle name="Style 52 2 2" xfId="1702" xr:uid="{93405F3A-C17B-4BAD-BFCF-A935A2054EB0}"/>
    <cellStyle name="Style 52 2 2 2" xfId="1703" xr:uid="{4827915A-C0DA-4AC8-8726-35079B2E63EF}"/>
    <cellStyle name="Style 52 2 2 2 2" xfId="1704" xr:uid="{D113D13E-FADF-47C9-90D7-128ED21D13BA}"/>
    <cellStyle name="Style 52 2 2 2 2 2" xfId="1705" xr:uid="{070711BC-0A75-4F62-8193-6E5D2FBAB493}"/>
    <cellStyle name="Style 52 2 2 2 2 2 2" xfId="6749" xr:uid="{2BE8350B-13AC-4BE7-B356-899C3DFAEB5B}"/>
    <cellStyle name="Style 52 2 2 2 2 3" xfId="6750" xr:uid="{C54EF4F9-1DF8-418F-9B0F-760C2F60602C}"/>
    <cellStyle name="Style 52 2 2 2 3" xfId="1706" xr:uid="{7AC793C4-1BAB-4E2A-9D29-AB023CBCFC18}"/>
    <cellStyle name="Style 52 2 2 2 3 2" xfId="6751" xr:uid="{A9E199A4-D31A-4DAD-946D-2FD980F052A1}"/>
    <cellStyle name="Style 52 2 2 2 4" xfId="6752" xr:uid="{BFB81907-963B-4AE0-A515-C4B83BAF0270}"/>
    <cellStyle name="Style 52 2 2 3" xfId="1707" xr:uid="{3FB8002A-E107-4773-BEED-C906BA330E7E}"/>
    <cellStyle name="Style 52 2 2 3 2" xfId="1708" xr:uid="{75729CCF-4707-4796-A3E9-C46D911306E1}"/>
    <cellStyle name="Style 52 2 2 3 2 2" xfId="6753" xr:uid="{22051E1A-C356-4A3B-B78D-FA487FADEB09}"/>
    <cellStyle name="Style 52 2 2 3 3" xfId="6754" xr:uid="{B810DD10-9725-42C9-B6DB-FFB328E7215B}"/>
    <cellStyle name="Style 52 2 2 4" xfId="1709" xr:uid="{1744ACB6-3247-44CF-911D-02DF6AC6DA53}"/>
    <cellStyle name="Style 52 2 2 4 2" xfId="6755" xr:uid="{9B6CFC3E-B3DB-4E55-A05C-EE3001B8E2F3}"/>
    <cellStyle name="Style 52 2 2 5" xfId="6756" xr:uid="{A166C7A8-97AF-4D63-AC68-5BA88D152600}"/>
    <cellStyle name="Style 52 2 3" xfId="1710" xr:uid="{DC07AB98-8944-40BB-A01F-3ADE31672BDF}"/>
    <cellStyle name="Style 52 2 3 2" xfId="1711" xr:uid="{EC2B9B1E-29FB-4261-9E79-E822E1392868}"/>
    <cellStyle name="Style 52 2 3 2 2" xfId="1712" xr:uid="{92FC59FA-2967-4FA3-95FF-3B2D89744AAD}"/>
    <cellStyle name="Style 52 2 3 2 2 2" xfId="6757" xr:uid="{900B5E8C-89C3-433D-8AF6-81685267E021}"/>
    <cellStyle name="Style 52 2 3 2 3" xfId="6758" xr:uid="{6850A444-68A4-4DBD-9FDB-ED6BE6CCB6EA}"/>
    <cellStyle name="Style 52 2 3 3" xfId="1713" xr:uid="{EB50BDE1-76D7-493C-9A6C-9796266CA7D2}"/>
    <cellStyle name="Style 52 2 3 3 2" xfId="6759" xr:uid="{F3A23626-6F17-4DA4-845C-742F4E4014E7}"/>
    <cellStyle name="Style 52 2 3 4" xfId="6760" xr:uid="{6D6AE60C-729F-428E-8968-2866E4CD9449}"/>
    <cellStyle name="Style 52 2 4" xfId="1714" xr:uid="{26CFCCFB-1281-498B-BC9F-B24B100882CB}"/>
    <cellStyle name="Style 52 2 4 2" xfId="1715" xr:uid="{DB03F5BD-4D8D-4AAC-A55A-BA703AA90664}"/>
    <cellStyle name="Style 52 2 4 2 2" xfId="6761" xr:uid="{CA7C3643-DAAF-47C4-9EB9-C5AEF10042D2}"/>
    <cellStyle name="Style 52 2 4 3" xfId="6762" xr:uid="{E163AFD7-ABD5-4488-9F24-712E6CD85FE8}"/>
    <cellStyle name="Style 52 2 5" xfId="1716" xr:uid="{B73DD3DF-959C-4FF9-818E-76160F42FA47}"/>
    <cellStyle name="Style 52 2 5 2" xfId="6763" xr:uid="{14076929-A3B9-4C0D-873D-6A8E03FFF9D0}"/>
    <cellStyle name="Style 52 2 6" xfId="6764" xr:uid="{DA6461F4-6B15-4126-8A21-CE0AA5921245}"/>
    <cellStyle name="Style 52 3" xfId="1717" xr:uid="{6FB222F3-4EE6-4AFA-A1D1-C422B8D5704B}"/>
    <cellStyle name="Style 52 3 2" xfId="1718" xr:uid="{E092D49B-EF40-4DB2-93EC-02CB835C2191}"/>
    <cellStyle name="Style 52 3 2 2" xfId="1719" xr:uid="{D9F62196-CDE4-42BE-800C-A0EF3DDCCF5C}"/>
    <cellStyle name="Style 52 3 2 2 2" xfId="1720" xr:uid="{AFDFDB18-2B12-4E69-BF47-CF5EDDA0A995}"/>
    <cellStyle name="Style 52 3 2 2 2 2" xfId="1721" xr:uid="{0C630370-E6EA-446A-9C0B-FF7DD064ED93}"/>
    <cellStyle name="Style 52 3 2 2 2 2 2" xfId="6765" xr:uid="{704BD3DD-A87F-4E57-91A6-739BE2370600}"/>
    <cellStyle name="Style 52 3 2 2 2 3" xfId="6766" xr:uid="{F7CB4B67-C90A-4E5E-971F-50183D246CA2}"/>
    <cellStyle name="Style 52 3 2 2 3" xfId="1722" xr:uid="{647FDBC9-8F99-419F-98F9-D45795864AC7}"/>
    <cellStyle name="Style 52 3 2 2 3 2" xfId="6767" xr:uid="{7093825A-C78C-4EDA-A281-DC8A302F3D62}"/>
    <cellStyle name="Style 52 3 2 2 4" xfId="6768" xr:uid="{8EA0C41D-9E7D-4D72-A140-7D683C0D1CCA}"/>
    <cellStyle name="Style 52 3 2 3" xfId="1723" xr:uid="{F4881F57-8596-45D0-BF82-0B7946964BC3}"/>
    <cellStyle name="Style 52 3 2 3 2" xfId="1724" xr:uid="{1E52A65D-FDCE-4255-99A2-59FF47A8FB66}"/>
    <cellStyle name="Style 52 3 2 3 2 2" xfId="6769" xr:uid="{87BF5DA0-53CF-401F-BA67-F6D2614F6C2B}"/>
    <cellStyle name="Style 52 3 2 3 3" xfId="6770" xr:uid="{89D6C77F-33E5-4EEE-970A-7A2AA87EF03A}"/>
    <cellStyle name="Style 52 3 2 4" xfId="1725" xr:uid="{A24BCD41-05F4-4522-8FCF-1B16F2D8A318}"/>
    <cellStyle name="Style 52 3 2 4 2" xfId="6771" xr:uid="{46E95570-0DAF-4209-B1B6-9D5E8451F508}"/>
    <cellStyle name="Style 52 3 2 5" xfId="6772" xr:uid="{BBE0182B-A391-4D98-9030-C546C51FA96A}"/>
    <cellStyle name="Style 52 3 3" xfId="1726" xr:uid="{6DD3EC85-A906-49EF-8E09-003823B0B545}"/>
    <cellStyle name="Style 52 3 3 2" xfId="1727" xr:uid="{65424AE1-3D17-4237-879D-13B01512C0B3}"/>
    <cellStyle name="Style 52 3 3 2 2" xfId="1728" xr:uid="{C8A857E4-89C7-4DCA-A827-BE0725AEA52B}"/>
    <cellStyle name="Style 52 3 3 2 2 2" xfId="1729" xr:uid="{E5A9D8AA-05B5-45AB-B547-60F11D7A1571}"/>
    <cellStyle name="Style 52 3 3 2 2 2 2" xfId="6773" xr:uid="{85FC2E74-FA96-416F-9DA0-CB58DD690C48}"/>
    <cellStyle name="Style 52 3 3 2 2 3" xfId="6774" xr:uid="{8656A3EE-A44A-4E4B-9F38-A0CB8ED343AE}"/>
    <cellStyle name="Style 52 3 3 2 3" xfId="1730" xr:uid="{9932043F-F281-44F1-A847-0143F1C02B87}"/>
    <cellStyle name="Style 52 3 3 2 3 2" xfId="6775" xr:uid="{12797619-7C4E-42C6-BEF1-8F3C05D42AD2}"/>
    <cellStyle name="Style 52 3 3 2 4" xfId="6776" xr:uid="{FE0E103E-FE82-4F96-9874-1BDB15799EC5}"/>
    <cellStyle name="Style 52 3 3 3" xfId="1731" xr:uid="{70AED0AE-25AA-4FB2-824D-B4F354037C1B}"/>
    <cellStyle name="Style 52 3 3 3 2" xfId="6777" xr:uid="{3980EF7F-E4A8-4E7A-BB8D-DC09C969945A}"/>
    <cellStyle name="Style 52 3 3 4" xfId="4242" xr:uid="{455E06A8-F778-417C-84F7-DF43C9BE954A}"/>
    <cellStyle name="Style 52 3 3 5" xfId="6778" xr:uid="{D070BFC8-3763-448E-A3F2-68EBDEC87272}"/>
    <cellStyle name="Style 52 3 4" xfId="1732" xr:uid="{164D97E7-C2F4-47E6-97B0-BA2F5BCF3306}"/>
    <cellStyle name="Style 52 3 4 2" xfId="1733" xr:uid="{F0E13191-D104-499B-AD47-7376B7050B8D}"/>
    <cellStyle name="Style 52 3 4 2 2" xfId="6779" xr:uid="{9375C60E-9963-4271-A233-988375898878}"/>
    <cellStyle name="Style 52 3 4 3" xfId="6780" xr:uid="{7D2CE5C8-E22E-434C-9845-B95A66178109}"/>
    <cellStyle name="Style 52 3 5" xfId="1734" xr:uid="{1CA7997D-A1CE-467D-BCD5-661A7372A25A}"/>
    <cellStyle name="Style 52 3 5 2" xfId="6781" xr:uid="{4904E2A1-D081-41BF-95FC-C5A3079187E0}"/>
    <cellStyle name="Style 52 3 6" xfId="6782" xr:uid="{72C28A84-2062-4495-A0B7-A9BAF6834E70}"/>
    <cellStyle name="Style 52 4" xfId="1735" xr:uid="{F8CF78AC-F09C-4B66-825C-810C24F40C03}"/>
    <cellStyle name="Style 52 4 2" xfId="1736" xr:uid="{17902EB6-586C-44D0-AB17-2D09F6CC04FA}"/>
    <cellStyle name="Style 52 4 2 2" xfId="1737" xr:uid="{287EDCAF-1AB9-4C9E-8E13-851FE94A3EED}"/>
    <cellStyle name="Style 52 4 2 2 2" xfId="1738" xr:uid="{C14AC0D7-7E0F-46B9-A30A-638279AC10A6}"/>
    <cellStyle name="Style 52 4 2 2 2 2" xfId="6783" xr:uid="{5B73510D-D67F-400C-BCA4-4A0B45BEB90D}"/>
    <cellStyle name="Style 52 4 2 2 3" xfId="6784" xr:uid="{B231A778-7262-4966-80BE-E9656183E384}"/>
    <cellStyle name="Style 52 4 2 3" xfId="1739" xr:uid="{6FF4CB0E-58D6-49D8-AFE6-8FE3CFFEEB1A}"/>
    <cellStyle name="Style 52 4 2 3 2" xfId="6785" xr:uid="{6484E5E1-2908-49A1-A403-360DBD8AD83C}"/>
    <cellStyle name="Style 52 4 2 4" xfId="6786" xr:uid="{417AA7C6-816F-4632-AB74-3096C49A9828}"/>
    <cellStyle name="Style 52 4 3" xfId="1740" xr:uid="{FE4314CE-37E4-432C-A69A-76802B30D6A3}"/>
    <cellStyle name="Style 52 4 3 2" xfId="6787" xr:uid="{1BDB826D-2096-41A5-83E8-C0050BB1B837}"/>
    <cellStyle name="Style 52 4 4" xfId="4243" xr:uid="{A41C3463-EEF8-4B03-A29D-32D19A339584}"/>
    <cellStyle name="Style 52 4 5" xfId="6788" xr:uid="{B155BE22-14AD-4B0C-9C1C-DD2E768BBAC7}"/>
    <cellStyle name="Style 52 5" xfId="1741" xr:uid="{032039D5-90E0-448D-B2BE-FFCED513E5C0}"/>
    <cellStyle name="Style 52 5 2" xfId="1742" xr:uid="{AFF4A820-51C0-4231-9913-D955BFA033DB}"/>
    <cellStyle name="Style 52 5 2 2" xfId="6789" xr:uid="{F91D9FEC-EA37-4538-A2D0-0958D8AFC081}"/>
    <cellStyle name="Style 52 5 3" xfId="6790" xr:uid="{E322B4FD-86A6-4D14-97DD-2E6E93AA9ACF}"/>
    <cellStyle name="Style 52 6" xfId="1743" xr:uid="{395E57C2-65EE-4DF3-8613-DF7BF5715811}"/>
    <cellStyle name="Style 52 6 2" xfId="2762" xr:uid="{33074863-BD4E-4A6A-BE4F-B84DBA1BC008}"/>
    <cellStyle name="Style 52 6 2 2" xfId="4244" xr:uid="{C8A00807-9E4D-4B97-90C6-BD37E100988D}"/>
    <cellStyle name="Style 52 6 3" xfId="6791" xr:uid="{C2193F53-7A77-4850-B583-5D00191341DA}"/>
    <cellStyle name="Style 52 7" xfId="2761" xr:uid="{FAFED563-F68F-470F-B9FA-7C082704955F}"/>
    <cellStyle name="Style 52 7 2" xfId="4246" xr:uid="{38B6718C-3AF2-46F5-BAFA-0C43CD94268C}"/>
    <cellStyle name="Style 52 7 3" xfId="4245" xr:uid="{F466C971-EC1A-44BD-B8F4-7AA37DACD6A2}"/>
    <cellStyle name="Style 52 8" xfId="4247" xr:uid="{C0554D5A-14FD-48CB-A9F8-C212FFD50368}"/>
    <cellStyle name="Style 52 9" xfId="6792" xr:uid="{E6B75672-FAA7-4494-A628-056099FEAF33}"/>
    <cellStyle name="Style 52 9 2" xfId="21278" xr:uid="{D6D16BE1-C8A5-4DA8-8B42-B097F3FC23BA}"/>
    <cellStyle name="Style 52_ADDON" xfId="20525" xr:uid="{10416566-5D23-4D8B-BB23-77CF67089B09}"/>
    <cellStyle name="Style 58" xfId="1744" xr:uid="{50EFD914-1155-46B3-B8B8-374099C113E4}"/>
    <cellStyle name="Style 58 10" xfId="1745" xr:uid="{348CA143-4D31-4447-A7BF-8734D21ECC01}"/>
    <cellStyle name="Style 58 10 2" xfId="1746" xr:uid="{53445A5B-8A8F-44E4-BE44-EE5004AF38C6}"/>
    <cellStyle name="Style 58 10 2 2" xfId="4248" xr:uid="{AB2A8000-2191-40F1-A176-F3879A70D88E}"/>
    <cellStyle name="Style 58 10 2 2 2" xfId="22012" xr:uid="{8B7E2DE7-F886-42B2-B600-1C6F287E2E6E}"/>
    <cellStyle name="Style 58 10 2 3" xfId="19591" xr:uid="{D88940AB-8BF0-43A2-8529-FC4AEEDF533E}"/>
    <cellStyle name="Style 58 10 3" xfId="2763" xr:uid="{C34523D6-D53B-402D-BF79-240E4E62C31C}"/>
    <cellStyle name="Style 58 10 3 2" xfId="22011" xr:uid="{9C915A83-D9B8-4A49-9015-3491AD444F3F}"/>
    <cellStyle name="Style 58 10 4" xfId="18831" xr:uid="{E1214811-6EFE-428F-AD0C-DA645517C87B}"/>
    <cellStyle name="Style 58 11" xfId="1747" xr:uid="{EC353943-0CBF-45C8-9FEF-8D3E6183D4F6}"/>
    <cellStyle name="Style 58 11 2" xfId="1748" xr:uid="{B791380A-E321-4F6E-A788-F961D5E1B83C}"/>
    <cellStyle name="Style 58 11 2 2" xfId="4250" xr:uid="{52B0207A-2D76-4D9D-A324-F15E5D39CB72}"/>
    <cellStyle name="Style 58 11 2 2 2" xfId="22014" xr:uid="{97D1B318-F821-400B-B7FE-84F33A405AB4}"/>
    <cellStyle name="Style 58 11 2 3" xfId="19592" xr:uid="{288CBE07-21D0-4FE2-9E1E-F636ED55A548}"/>
    <cellStyle name="Style 58 11 3" xfId="4249" xr:uid="{87078FC3-E00B-4425-BAD2-2E9C0683B6BC}"/>
    <cellStyle name="Style 58 11 3 2" xfId="22013" xr:uid="{98B1AC84-35A3-4BBB-B159-5854F52E3A48}"/>
    <cellStyle name="Style 58 11 4" xfId="18832" xr:uid="{AB795D33-7E81-47A7-9CE7-F4F9B9E392AC}"/>
    <cellStyle name="Style 58 12" xfId="1749" xr:uid="{F95E34BE-91B9-43B5-8FCB-E72A1F56DBC6}"/>
    <cellStyle name="Style 58 12 2" xfId="4251" xr:uid="{69DA605B-2E04-41CD-BAAA-AD6570F29F16}"/>
    <cellStyle name="Style 58 12 2 2" xfId="22015" xr:uid="{89CD23AF-C0F7-4652-BA30-CED9F7139A4A}"/>
    <cellStyle name="Style 58 12 3" xfId="6793" xr:uid="{ECDEA9B4-E2B8-4608-8F7F-99648F36B783}"/>
    <cellStyle name="Style 58 12 3 2" xfId="23074" xr:uid="{D3DE697A-D542-4795-971B-5D793A989A02}"/>
    <cellStyle name="Style 58 12 4" xfId="6794" xr:uid="{1A379DD1-9F58-488C-863D-303BBBC67C9C}"/>
    <cellStyle name="Style 58 12 4 2" xfId="23075" xr:uid="{67254D4A-983B-49B3-8F2B-C3F9F58EBEB6}"/>
    <cellStyle name="Style 58 12 5" xfId="6795" xr:uid="{5B70EA5A-8355-498B-B81E-86328B43B2BA}"/>
    <cellStyle name="Style 58 12 5 2" xfId="23076" xr:uid="{054CEDC6-F93A-4507-B636-CC2E976B386B}"/>
    <cellStyle name="Style 58 12 6" xfId="6796" xr:uid="{9917886B-DD18-453C-8B17-E9A2EF46E78D}"/>
    <cellStyle name="Style 58 12 6 2" xfId="23077" xr:uid="{3C00D462-3BC6-46C7-B60F-3BBF32A6D014}"/>
    <cellStyle name="Style 58 12 7" xfId="19593" xr:uid="{6A5DDAC9-978D-4759-B04A-3E3244AEA5CD}"/>
    <cellStyle name="Style 58 13" xfId="6797" xr:uid="{36A73449-FC64-4C2E-B6A3-9370784F1759}"/>
    <cellStyle name="Style 58 13 2" xfId="6798" xr:uid="{A6983AF3-69BE-41A8-8FFA-AF2BFD7430F4}"/>
    <cellStyle name="Style 58 13 2 2" xfId="23078" xr:uid="{4D06803F-1597-406D-8033-8F369617578A}"/>
    <cellStyle name="Style 58 13 3" xfId="6799" xr:uid="{D857C265-065C-49E6-9254-4F0E2C3AF64A}"/>
    <cellStyle name="Style 58 13 3 2" xfId="23079" xr:uid="{8B6E3A32-953F-4232-B10C-1FCC7C3A3A7E}"/>
    <cellStyle name="Style 58 13 4" xfId="21279" xr:uid="{6AAA8802-A1DC-40A5-82F6-4D6C22D476AF}"/>
    <cellStyle name="Style 58 14" xfId="6800" xr:uid="{B9F213B9-9895-4F66-AD93-78DB4178A9B8}"/>
    <cellStyle name="Style 58 14 2" xfId="6801" xr:uid="{8B6E8FD4-6AB5-459D-950B-63FEC3AD8421}"/>
    <cellStyle name="Style 58 14 2 2" xfId="23081" xr:uid="{9AE4311F-B9E3-4358-B707-B96720BADD17}"/>
    <cellStyle name="Style 58 14 3" xfId="23080" xr:uid="{6A586C8B-F3D4-446D-A407-91A16331F27F}"/>
    <cellStyle name="Style 58 15" xfId="6802" xr:uid="{32541F50-345C-4204-9900-C7005BC263EA}"/>
    <cellStyle name="Style 58 15 2" xfId="6803" xr:uid="{56E2F6C6-7FD4-4364-AE4B-358DF1F5A446}"/>
    <cellStyle name="Style 58 15 2 2" xfId="23083" xr:uid="{0D7D926D-2B5E-4E6F-9F88-A350864A4FDB}"/>
    <cellStyle name="Style 58 15 3" xfId="23082" xr:uid="{DCAB9309-A21D-4043-825F-86A969ACF7B3}"/>
    <cellStyle name="Style 58 16" xfId="18830" xr:uid="{97C0F1CC-6B78-4C92-83DE-4F52A80BF02A}"/>
    <cellStyle name="Style 58 2" xfId="1750" xr:uid="{1AF55EB5-263C-40BC-BF92-2E612DE6B755}"/>
    <cellStyle name="Style 58 2 2" xfId="2945" xr:uid="{F305FDFD-8970-4C6A-B049-70FBB4740ADB}"/>
    <cellStyle name="Style 58 2 2 2" xfId="21280" xr:uid="{8763FB0A-368A-4C29-8C4A-1D459DA6D1D8}"/>
    <cellStyle name="Style 58 2 3" xfId="18833" xr:uid="{5AFC4FB8-8B6B-43A0-8E55-98121D916DE7}"/>
    <cellStyle name="Style 58 3" xfId="1751" xr:uid="{3A011E8B-D28A-4916-AE17-A928AF920CB2}"/>
    <cellStyle name="Style 58 3 2" xfId="1752" xr:uid="{CE1FDD93-3624-4988-8E4C-9A16FFB8559D}"/>
    <cellStyle name="Style 58 3 2 2" xfId="1753" xr:uid="{E770E70D-84C8-4938-8DA5-027A301005F6}"/>
    <cellStyle name="Style 58 3 2 2 2" xfId="4252" xr:uid="{837AF779-BCEE-45F1-A84C-EDE7F0D88F3C}"/>
    <cellStyle name="Style 58 3 2 2 2 2" xfId="22016" xr:uid="{453BEF22-7939-4C3C-9DEC-CF91F105B042}"/>
    <cellStyle name="Style 58 3 2 2 3" xfId="18836" xr:uid="{0680CF43-2CCE-4881-BBFF-2810FEB9C5BF}"/>
    <cellStyle name="Style 58 3 2 3" xfId="2947" xr:uid="{1B9036AA-7DA3-4591-843E-8389A32C695D}"/>
    <cellStyle name="Style 58 3 2 3 2" xfId="21282" xr:uid="{005FDBE8-F80E-410E-A630-1FB4E657352B}"/>
    <cellStyle name="Style 58 3 2 4" xfId="18835" xr:uid="{390E19B3-0D8D-44E9-9054-C8796B3A69EF}"/>
    <cellStyle name="Style 58 3 3" xfId="1754" xr:uid="{BFAA489A-CBED-4675-8885-135FC4A3D7F4}"/>
    <cellStyle name="Style 58 3 3 2" xfId="1755" xr:uid="{89851AC9-8034-409C-9CB0-6E9962897435}"/>
    <cellStyle name="Style 58 3 3 2 2" xfId="4254" xr:uid="{05E4E7F5-4DF8-472E-A7E8-7310912055BE}"/>
    <cellStyle name="Style 58 3 3 2 2 2" xfId="22018" xr:uid="{B5B77977-F53D-4591-B586-F3DAF7CB3709}"/>
    <cellStyle name="Style 58 3 3 2 3" xfId="18838" xr:uid="{B250C336-BD0A-42C3-AC6D-8B42B86DA00F}"/>
    <cellStyle name="Style 58 3 3 3" xfId="1756" xr:uid="{D838E2D0-7326-4C9A-B925-9CBFAD8A65C9}"/>
    <cellStyle name="Style 58 3 3 3 2" xfId="1757" xr:uid="{B6433219-686E-4071-94D7-A70D79FA3AE7}"/>
    <cellStyle name="Style 58 3 3 3 2 2" xfId="4256" xr:uid="{6E11168F-6C16-40CA-86AD-0DA976F07E81}"/>
    <cellStyle name="Style 58 3 3 3 2 2 2" xfId="22020" xr:uid="{A33ED043-30A8-4BBB-B7BC-11292CAF813B}"/>
    <cellStyle name="Style 58 3 3 3 2 3" xfId="18840" xr:uid="{2BC7D7B3-24C6-4E6E-8CB8-921CC8479F03}"/>
    <cellStyle name="Style 58 3 3 3 3" xfId="4257" xr:uid="{A2F82AA2-ACEA-472C-AE93-61C9A0B2FB15}"/>
    <cellStyle name="Style 58 3 3 3 3 2" xfId="18841" xr:uid="{46F496F5-7BAD-464C-B2C1-E025F6D2FF5B}"/>
    <cellStyle name="Style 58 3 3 3 4" xfId="4258" xr:uid="{AB8F0465-3AB5-42D8-9449-ADE5505BEE02}"/>
    <cellStyle name="Style 58 3 3 3 4 2" xfId="19594" xr:uid="{1057BBA5-4DE4-48B0-96D6-936D2696F164}"/>
    <cellStyle name="Style 58 3 3 3 5" xfId="4255" xr:uid="{12B2587F-33A4-4245-946D-663C3B4DDCCF}"/>
    <cellStyle name="Style 58 3 3 3 5 2" xfId="22019" xr:uid="{1FF13173-5180-47F5-ACA3-5C3DF9978273}"/>
    <cellStyle name="Style 58 3 3 3 6" xfId="18839" xr:uid="{5B400E07-8ED0-4579-AC81-06C5C9B26D93}"/>
    <cellStyle name="Style 58 3 3 4" xfId="1758" xr:uid="{95A90223-BB7B-4899-A5B5-C45723571725}"/>
    <cellStyle name="Style 58 3 3 4 2" xfId="1759" xr:uid="{BA61DE91-4960-4221-81C3-9C1F7AD8CBFA}"/>
    <cellStyle name="Style 58 3 3 4 2 2" xfId="4260" xr:uid="{8DE15172-AB9D-4EA8-8E8C-52D324F68221}"/>
    <cellStyle name="Style 58 3 3 4 2 2 2" xfId="22022" xr:uid="{F94BEC3D-E76A-4E60-B5B3-1E4ACC518046}"/>
    <cellStyle name="Style 58 3 3 4 2 3" xfId="18843" xr:uid="{5C45E522-91C6-49A9-9C89-4FEDA3280E2A}"/>
    <cellStyle name="Style 58 3 3 4 3" xfId="4259" xr:uid="{C07F1FD6-F852-48FB-BDAE-4B806567B5E4}"/>
    <cellStyle name="Style 58 3 3 4 3 2" xfId="22021" xr:uid="{C983D33F-C746-4383-9BCC-642F7B9E4919}"/>
    <cellStyle name="Style 58 3 3 4 4" xfId="18842" xr:uid="{FA03C582-8227-4B41-A453-956F09367726}"/>
    <cellStyle name="Style 58 3 3 5" xfId="4261" xr:uid="{62B6D715-97ED-40B9-AA62-98A19897F845}"/>
    <cellStyle name="Style 58 3 3 5 2" xfId="19595" xr:uid="{9D71CBA6-877C-495A-8EED-B88C03B1904E}"/>
    <cellStyle name="Style 58 3 3 6" xfId="4253" xr:uid="{C1EA3B00-A07D-49F4-8E35-825C42910AEF}"/>
    <cellStyle name="Style 58 3 3 6 2" xfId="22017" xr:uid="{45D66254-2573-4D7E-A092-2963579B5A80}"/>
    <cellStyle name="Style 58 3 3 7" xfId="18837" xr:uid="{DDBB6FE6-A70F-48B7-86AF-7079AE53335F}"/>
    <cellStyle name="Style 58 3 4" xfId="1760" xr:uid="{08F224FC-E8B6-427F-B8CC-9F28592F7CF5}"/>
    <cellStyle name="Style 58 3 4 2" xfId="4263" xr:uid="{A1D8F1C1-7BD7-469D-B6A0-63245AEB17B8}"/>
    <cellStyle name="Style 58 3 4 2 2" xfId="18845" xr:uid="{9ED92912-267C-4CCF-9BA8-56E0246EC1D7}"/>
    <cellStyle name="Style 58 3 4 3" xfId="4264" xr:uid="{9C47B501-D214-446D-872B-FA84302DE335}"/>
    <cellStyle name="Style 58 3 4 3 2" xfId="19596" xr:uid="{C6897EBE-1C2E-46EB-A8AB-BED3B9508484}"/>
    <cellStyle name="Style 58 3 4 4" xfId="4262" xr:uid="{A523CDD3-4EA0-46F6-A15A-DD46274FEEE6}"/>
    <cellStyle name="Style 58 3 4 4 2" xfId="22023" xr:uid="{76A372D9-9614-496F-BF24-380A6514AB57}"/>
    <cellStyle name="Style 58 3 4 5" xfId="18844" xr:uid="{DF5E2DFB-52EA-4246-9D49-A99DB32D587A}"/>
    <cellStyle name="Style 58 3 5" xfId="4265" xr:uid="{C3E67E50-6FE1-4012-AE88-DBEBCF7B9310}"/>
    <cellStyle name="Style 58 3 5 2" xfId="6804" xr:uid="{D5F45CC1-54BB-4C66-9292-4A494D8E5F83}"/>
    <cellStyle name="Style 58 3 5 2 2" xfId="22024" xr:uid="{285AD00C-70F7-4704-AAAA-4AAC22D2BB83}"/>
    <cellStyle name="Style 58 3 5 3" xfId="18846" xr:uid="{FA59FBBF-610E-4F8B-9C18-34FA25CC0616}"/>
    <cellStyle name="Style 58 3 6" xfId="2946" xr:uid="{636CD52F-E7B8-4BEB-AF6F-52916774F248}"/>
    <cellStyle name="Style 58 3 6 2" xfId="21281" xr:uid="{34852ABD-A07E-44F8-9321-8BA9961CCBD7}"/>
    <cellStyle name="Style 58 3 7" xfId="18834" xr:uid="{79257FBD-EDB1-44CC-9EA1-A27EE7D9E58B}"/>
    <cellStyle name="Style 58 4" xfId="1761" xr:uid="{99D2568B-B1D8-44E1-8D96-A9E5C23C1B5B}"/>
    <cellStyle name="Style 58 4 2" xfId="1762" xr:uid="{836542DB-D26B-4ACA-BB9F-455DCEB512EB}"/>
    <cellStyle name="Style 58 4 2 2" xfId="1763" xr:uid="{3A279170-92A0-4100-A815-98348F4E6ABD}"/>
    <cellStyle name="Style 58 4 2 2 2" xfId="4267" xr:uid="{FD5F074C-8749-4F96-946C-34E73D2180FC}"/>
    <cellStyle name="Style 58 4 2 2 2 2" xfId="22025" xr:uid="{59F95645-706B-466E-A951-34E86439BAEA}"/>
    <cellStyle name="Style 58 4 2 2 3" xfId="18848" xr:uid="{FD299BB4-A151-417D-8EE5-03496EFCFD0F}"/>
    <cellStyle name="Style 58 4 2 3" xfId="1764" xr:uid="{268DF609-59F9-451A-9824-452F36D6E150}"/>
    <cellStyle name="Style 58 4 2 3 2" xfId="1765" xr:uid="{7E41023D-A847-4738-A877-55013CF03369}"/>
    <cellStyle name="Style 58 4 2 3 2 2" xfId="4269" xr:uid="{D003DEFD-DC32-44AD-A7E4-3473995440B7}"/>
    <cellStyle name="Style 58 4 2 3 2 2 2" xfId="22027" xr:uid="{5460F055-CD9B-4761-942C-25D117852E3B}"/>
    <cellStyle name="Style 58 4 2 3 2 3" xfId="18850" xr:uid="{4A701667-7EC5-4112-8341-EC2624AC83C3}"/>
    <cellStyle name="Style 58 4 2 3 3" xfId="4270" xr:uid="{1294E28F-F998-46E8-BDAF-DC3FA8A6FF57}"/>
    <cellStyle name="Style 58 4 2 3 3 2" xfId="18851" xr:uid="{5F785ECE-4862-421E-A83F-FFFF2EF5BC6E}"/>
    <cellStyle name="Style 58 4 2 3 4" xfId="4271" xr:uid="{66D7F5D9-D638-43F0-9319-8E925F1DD589}"/>
    <cellStyle name="Style 58 4 2 3 4 2" xfId="19597" xr:uid="{BBCB3F0D-2219-4C7C-B8C4-1055E5D6E2F1}"/>
    <cellStyle name="Style 58 4 2 3 5" xfId="4268" xr:uid="{30E9592A-3455-4F1F-9D74-0F4DF87736ED}"/>
    <cellStyle name="Style 58 4 2 3 5 2" xfId="22026" xr:uid="{374FC3F5-4E11-4C0E-8DB7-BDAC32894B2A}"/>
    <cellStyle name="Style 58 4 2 3 6" xfId="18849" xr:uid="{EDE8CD54-A18F-4EAD-BDAC-A9119D4CF2BA}"/>
    <cellStyle name="Style 58 4 2 4" xfId="1766" xr:uid="{20A38EC3-A199-48AA-A5A1-82C02B017F9D}"/>
    <cellStyle name="Style 58 4 2 4 2" xfId="1767" xr:uid="{D40DB0CB-91F6-485D-BD28-C40299F493FF}"/>
    <cellStyle name="Style 58 4 2 4 2 2" xfId="4273" xr:uid="{7DC73FFA-C759-49F2-A616-CC54BC0893F0}"/>
    <cellStyle name="Style 58 4 2 4 2 2 2" xfId="22029" xr:uid="{38754E56-E175-4DF4-8A20-B3EA8CD838F7}"/>
    <cellStyle name="Style 58 4 2 4 2 3" xfId="18852" xr:uid="{C95B5D04-DF1B-4813-B655-90E6C683B6A9}"/>
    <cellStyle name="Style 58 4 2 4 3" xfId="4272" xr:uid="{7EE2DE7F-711B-437D-8BE6-5BB9E5F023F4}"/>
    <cellStyle name="Style 58 4 2 4 3 2" xfId="22028" xr:uid="{4DE3E523-4CED-4202-8819-84501F5DDF38}"/>
    <cellStyle name="Style 58 4 2 5" xfId="4274" xr:uid="{8E631437-1077-4649-881C-B7D77244D601}"/>
    <cellStyle name="Style 58 4 2 6" xfId="4266" xr:uid="{81664F2E-7D0C-4ECB-B7D8-9F64B5FAE0B3}"/>
    <cellStyle name="Style 58 4 2 7" xfId="18847" xr:uid="{44E5C035-4B51-4DD3-AA78-E3E7CDDC4397}"/>
    <cellStyle name="Style 58 4 3 2" xfId="4275" xr:uid="{3F7BC31B-CF08-4141-B27C-212F16804A94}"/>
    <cellStyle name="Style 58 4 3 3" xfId="18853" xr:uid="{C8947AF5-AB35-445D-9F36-39ACF093B9D2}"/>
    <cellStyle name="Style 58 4 4 2" xfId="4276" xr:uid="{EDFFDF49-323C-433A-A7E3-8284FC0D6A94}"/>
    <cellStyle name="Style 58 4 4 3" xfId="18854" xr:uid="{3DF12B95-FA36-4144-B9AA-62B54AF1151E}"/>
    <cellStyle name="Style 58 4 5 2" xfId="20659" xr:uid="{EB7B0E66-A224-412D-BA25-341C181B36B0}"/>
    <cellStyle name="Style 58 4 6 2" xfId="21283" xr:uid="{5E0E33F5-96A2-4F1A-AE78-7F01ECC01F27}"/>
    <cellStyle name="Style 58 5" xfId="1768" xr:uid="{BFE0A2DF-BCA5-4A32-A618-005733808079}"/>
    <cellStyle name="Style 58 5 2 2" xfId="1769" xr:uid="{7EC5AE7F-B108-4352-8314-5BF615D48E92}"/>
    <cellStyle name="Style 58 5 2 2 2 2" xfId="22030" xr:uid="{5C51C414-5662-4675-B493-6EF873D67A4B}"/>
    <cellStyle name="Style 58 5 2 3" xfId="1770" xr:uid="{F04BF2B2-FF61-4189-903B-78565A592EEF}"/>
    <cellStyle name="Style 58 5 2 3 2 2" xfId="4278" xr:uid="{2375E13A-83FF-4375-A563-F45BB50ED81A}"/>
    <cellStyle name="Style 58 5 2 3 2 3" xfId="18856" xr:uid="{E8B9C607-C107-4202-901A-FDB5FB6E49CF}"/>
    <cellStyle name="Style 58 5 2 3 3 2" xfId="18857" xr:uid="{782E7CA0-A4B5-40F7-9D8E-BCD44B22CA89}"/>
    <cellStyle name="Style 58 5 2 3 4 2" xfId="19598" xr:uid="{DF124930-FBC1-4618-B691-98D480F56B6C}"/>
    <cellStyle name="Style 58 5 2 3 5 2" xfId="22031" xr:uid="{2FDC6E2C-9E55-4C43-803B-1605F8E571CB}"/>
    <cellStyle name="Style 58 5 2 4" xfId="1771" xr:uid="{EC07E539-4C05-471F-A92E-842C46228595}"/>
    <cellStyle name="Style 58 5 2 4 2 2" xfId="4279" xr:uid="{8839FD09-7E74-43D6-806D-10D9ED899641}"/>
    <cellStyle name="Style 58 5 2 4 2 3" xfId="18858" xr:uid="{07F5DB6B-818E-457E-BF6E-AEB787CF183E}"/>
    <cellStyle name="Style 58 5 2 4 3 2" xfId="22032" xr:uid="{A6231739-34EE-4F33-9283-989214E69D91}"/>
    <cellStyle name="Style 58 5 2 5" xfId="4280" xr:uid="{C4EB104D-975A-417A-BAFE-DCB6A8BE4668}"/>
    <cellStyle name="Style 58 5 2 6" xfId="4277" xr:uid="{7C760518-AD6D-405A-8747-A8F8DCB9E223}"/>
    <cellStyle name="Style 58 5 2 7" xfId="18855" xr:uid="{113DA60F-DDA2-400D-864A-89F466E755A9}"/>
    <cellStyle name="Style 58 5 3 2" xfId="4281" xr:uid="{62221008-A94A-4911-AFE0-7FA1FCA0D776}"/>
    <cellStyle name="Style 58 5 3 3" xfId="18859" xr:uid="{EEC824BD-67A8-46D1-A57F-FBA899364A5E}"/>
    <cellStyle name="Style 58 5 4 2" xfId="4282" xr:uid="{531A23BE-0C60-4138-BD6C-97BB82B59DDA}"/>
    <cellStyle name="Style 58 5 4 3" xfId="18860" xr:uid="{B35C2731-D8A0-4D52-8AFC-E00AC1559CDF}"/>
    <cellStyle name="Style 58 5 5 2" xfId="20660" xr:uid="{F06FBCD7-48D6-4B02-8E2D-F274602E40C4}"/>
    <cellStyle name="Style 58 5 6 2" xfId="21284" xr:uid="{7F981109-DE17-403E-9E43-5FB82B0BA3B0}"/>
    <cellStyle name="Style 58 6" xfId="1772" xr:uid="{832E94B4-65FB-4FBE-AD8D-3765DC08A011}"/>
    <cellStyle name="Style 58 6 2 2" xfId="4283" xr:uid="{3512D589-06FC-4FA6-9F44-F5AC400F0A90}"/>
    <cellStyle name="Style 58 6 2 3" xfId="18861" xr:uid="{8284DDBA-665A-49D1-91AD-A89A8312F3FE}"/>
    <cellStyle name="Style 58 6 3 2" xfId="1773" xr:uid="{2635A885-614C-4157-A543-0D4787085256}"/>
    <cellStyle name="Style 58 6 3 2 2 2" xfId="22034" xr:uid="{80C1451C-5BE1-4739-89B0-B8AD2E6C5CD7}"/>
    <cellStyle name="Style 58 6 3 3" xfId="4285" xr:uid="{7F008119-9DF8-4590-944B-6A56BAC9C1DE}"/>
    <cellStyle name="Style 58 6 3 4" xfId="4286" xr:uid="{8D24DC35-47F0-402D-8ED6-1F815AC70341}"/>
    <cellStyle name="Style 58 6 3 5" xfId="4284" xr:uid="{791E089E-570D-4500-BCB7-50500FDEB954}"/>
    <cellStyle name="Style 58 6 3 6" xfId="18862" xr:uid="{7AB5E4AA-C1AC-40FE-B7AC-448340666FBF}"/>
    <cellStyle name="Style 58 6 4 2" xfId="1774" xr:uid="{4515BD83-68F3-457C-A566-9580C171BE29}"/>
    <cellStyle name="Style 58 6 4 2 2 2" xfId="22035" xr:uid="{39B2F268-5A83-459C-A786-F5DA62094C78}"/>
    <cellStyle name="Style 58 6 4 3" xfId="4287" xr:uid="{D40F6D2E-5218-40E2-94E3-4F17BA6B1D27}"/>
    <cellStyle name="Style 58 6 4 4" xfId="18863" xr:uid="{7B3E8C22-4FD5-43A7-A4F8-E82B15F4FC5F}"/>
    <cellStyle name="Style 58 6 5 2" xfId="19599" xr:uid="{CEB2B14E-2C69-4D07-A75E-E7C01A1968B3}"/>
    <cellStyle name="Style 58 6 6 2" xfId="22033" xr:uid="{30D9DF59-FA80-4E59-8921-5AF54A8583F4}"/>
    <cellStyle name="Style 58 7" xfId="1775" xr:uid="{AC1CA321-4C40-4CBC-A86C-1004EA32CEAD}"/>
    <cellStyle name="Style 58 7 2 2" xfId="4288" xr:uid="{5C570631-0A3C-4426-8A96-67F64A0DE73E}"/>
    <cellStyle name="Style 58 7 2 3" xfId="18864" xr:uid="{BDEDA5B9-2554-4474-BFD3-8A1E4D3F64C2}"/>
    <cellStyle name="Style 58 7 3 2" xfId="18865" xr:uid="{285503A5-4BA5-4301-A9C6-EFB9382330A7}"/>
    <cellStyle name="Style 58 7 4 2" xfId="19600" xr:uid="{772B02FE-928F-4E0F-9236-8E8FE6AB5E42}"/>
    <cellStyle name="Style 58 7 5 2" xfId="22036" xr:uid="{22C7E741-E72A-4EF3-881D-006F0CA6999F}"/>
    <cellStyle name="Style 58 8" xfId="1776" xr:uid="{5AF880B2-39F2-4C83-B94A-0235A5546FFC}"/>
    <cellStyle name="Style 58 8 2 2" xfId="4289" xr:uid="{D6AE0901-C47D-4CAE-BFB7-EF8150B93487}"/>
    <cellStyle name="Style 58 8 2 3" xfId="18866" xr:uid="{81ADB716-63D7-4E79-8E15-0FEE08E874B7}"/>
    <cellStyle name="Style 58 8 3 2" xfId="18867" xr:uid="{77AE04E8-DA70-4EA7-96DD-D1AADF915AA7}"/>
    <cellStyle name="Style 58 8 4 2" xfId="19601" xr:uid="{38903CBC-BFD0-4C19-834A-EB60B523C909}"/>
    <cellStyle name="Style 58 8 5 2" xfId="22037" xr:uid="{4512143B-3FC3-4CB9-93C2-C2C0D6D28E6D}"/>
    <cellStyle name="Style 58 9" xfId="1777" xr:uid="{1E6DEF94-EED6-497B-9908-DAABEDA23BA5}"/>
    <cellStyle name="Style 58 9 2 2" xfId="4290" xr:uid="{4D97A7DC-38CA-45AE-93F8-BC6297AF7262}"/>
    <cellStyle name="Style 58 9 2 3" xfId="19602" xr:uid="{D139DFA9-6C6F-46EF-9B77-C23AEA541DB3}"/>
    <cellStyle name="Style 58 9 3 2" xfId="22038" xr:uid="{61B27ED1-9B83-40B6-9B59-CE9223387F1D}"/>
    <cellStyle name="Style 58_ADDON" xfId="20526" xr:uid="{76AD4F90-D737-4F12-8E31-FA7F6C24340D}"/>
    <cellStyle name="Style 59 10" xfId="18868" xr:uid="{0880EF96-AF30-4DEB-9B9E-5C03CA7C6E25}"/>
    <cellStyle name="Style 59 2 2" xfId="6805" xr:uid="{CBC31765-3BE7-4489-9791-ED203C806358}"/>
    <cellStyle name="Style 59 2 3" xfId="18869" xr:uid="{A63D32F0-0767-4420-AFF5-AABEB1768F45}"/>
    <cellStyle name="Style 59 3 2" xfId="1778" xr:uid="{6D51B7DA-CC9F-4EB9-AE2D-46E00053B478}"/>
    <cellStyle name="Style 59 3 3" xfId="1779" xr:uid="{96CBD33D-CDCA-4CC4-9A02-4F992D2EAB97}"/>
    <cellStyle name="Style 59 3 3 2 2" xfId="18871" xr:uid="{0B2A425B-DDA1-4D76-B090-DEB57B799AFA}"/>
    <cellStyle name="Style 59 3 3 3 2" xfId="18872" xr:uid="{4C7E7E37-A688-4968-9D32-6C280F07BAF9}"/>
    <cellStyle name="Style 59 3 3 4 2" xfId="19603" xr:uid="{B1BB66AA-B87B-4DAD-9C34-E097F18669BE}"/>
    <cellStyle name="Style 59 3 4" xfId="1780" xr:uid="{021AE048-E0AE-4CFB-BD9D-F2CA48D2D07F}"/>
    <cellStyle name="Style 59 3 4 2 2" xfId="18873" xr:uid="{EF062AFF-95AC-4DF1-A63B-62B1D2B8FAF9}"/>
    <cellStyle name="Style 59 3 5" xfId="4291" xr:uid="{C0F16A6E-AADF-433C-9BC0-178572F88A7E}"/>
    <cellStyle name="Style 59 3 6" xfId="18870" xr:uid="{CEB188E7-0429-4C7F-82D2-E8E7B8BE7E4F}"/>
    <cellStyle name="Style 59 4 2" xfId="1781" xr:uid="{52998CA8-5F07-4DE3-8F0C-897D69D10BE8}"/>
    <cellStyle name="Style 59 4 3" xfId="4292" xr:uid="{2474CE41-47DD-4164-AAFA-F6360F820F6F}"/>
    <cellStyle name="Style 59 4 4" xfId="4293" xr:uid="{F1BED47A-19C1-4204-AB39-B00F6CD9453D}"/>
    <cellStyle name="Style 59 4 5" xfId="18874" xr:uid="{20D59404-E47B-4B84-A518-4F75139F8219}"/>
    <cellStyle name="Style 59 5 2" xfId="1782" xr:uid="{FB4A27EF-8C3A-4AB7-B5E9-579A40A84647}"/>
    <cellStyle name="Style 59 5 3" xfId="18875" xr:uid="{95181FBC-66AD-465E-AB6C-65F6F1D839A5}"/>
    <cellStyle name="Style 59 6 2" xfId="1783" xr:uid="{9FA19827-B376-42C9-A125-24A8030A4963}"/>
    <cellStyle name="Style 59 6 3" xfId="2764" xr:uid="{CED5DA94-5CB6-48C5-8A84-8B8206DDC8B6}"/>
    <cellStyle name="Style 59 6 4" xfId="18876" xr:uid="{A10D0646-802E-4FBE-8289-C87DEAA89EB5}"/>
    <cellStyle name="Style 59 7 2" xfId="4295" xr:uid="{DB31AC74-5BFC-42EC-992F-975A93175BA1}"/>
    <cellStyle name="Style 59 7 3" xfId="4294" xr:uid="{443501CB-9E43-4399-85C2-26745AC982B4}"/>
    <cellStyle name="Style 59 7 4" xfId="18877" xr:uid="{712D5E4A-78F3-4936-9B37-A2DE59B0073C}"/>
    <cellStyle name="Style 59 9 2" xfId="21285" xr:uid="{A9ED69D2-EE9D-40B5-B3ED-26365C4E579A}"/>
    <cellStyle name="Style 60 2 2" xfId="1784" xr:uid="{10764A3F-A9A3-4AAA-8F76-49DA1FBDC050}"/>
    <cellStyle name="Style 60 2 2 2 2 2 2" xfId="6806" xr:uid="{63DF3873-095A-4BB3-A23E-0397897830D6}"/>
    <cellStyle name="Style 60 2 2 2 4" xfId="6807" xr:uid="{7072501B-6EAA-4C81-B712-574DE0E6AE92}"/>
    <cellStyle name="Style 60 2 2 3 3" xfId="6808" xr:uid="{FF9E5D31-93DA-4DBB-914B-DEE8ACFA2A07}"/>
    <cellStyle name="Style 60 2 3" xfId="1785" xr:uid="{EFCC9387-CDDB-4B7F-81CC-55B40E93D940}"/>
    <cellStyle name="Style 60 2 3 2 3" xfId="6809" xr:uid="{1C33B82B-E1A9-4A94-BCB8-79A7F84E1BFE}"/>
    <cellStyle name="Style 60 2 4" xfId="1786" xr:uid="{914D1E7C-46D0-4099-9769-EB8793E1780D}"/>
    <cellStyle name="Style 60 2 5" xfId="1787" xr:uid="{BA8B4B18-A206-4F52-9FF3-A442A5CA0058}"/>
    <cellStyle name="Style 60 3 2" xfId="1788" xr:uid="{FD38502F-875E-41F0-8EBC-DC44A35C6C82}"/>
    <cellStyle name="Style 60 3 2 2 2" xfId="1789" xr:uid="{E8E817C2-4D7E-48A3-999D-7549BBDD4AAD}"/>
    <cellStyle name="Style 60 3 2 2 2 2 2" xfId="6810" xr:uid="{DE1BE00B-AA1E-4D67-8AD7-9D1831E1D684}"/>
    <cellStyle name="Style 60 3 2 2 3" xfId="1790" xr:uid="{6478B123-9366-4062-ACBB-96BC7A0567E6}"/>
    <cellStyle name="Style 60 3 2 2 4" xfId="6811" xr:uid="{D7307F79-8D60-43BA-BB95-A9FFB7B32EE6}"/>
    <cellStyle name="Style 60 3 2 3 2" xfId="1791" xr:uid="{8F9B13F0-8B74-4404-899B-1EF26F0BB3EA}"/>
    <cellStyle name="Style 60 3 2 3 3" xfId="6812" xr:uid="{7E4C4519-EE88-4C64-8EF3-9C72696AD2C7}"/>
    <cellStyle name="Style 60 3 2 4 2" xfId="6813" xr:uid="{6075B59F-D5EF-46EE-BECB-0BBD60E80461}"/>
    <cellStyle name="Style 60 3 3" xfId="1792" xr:uid="{0123BC65-5ADA-41C7-BB81-98F4C03EA711}"/>
    <cellStyle name="Style 60 3 3 2 2" xfId="1793" xr:uid="{B08A8790-56DA-4339-A9A1-E1B9DB3FAB9D}"/>
    <cellStyle name="Style 60 3 3 2 2 2 2" xfId="6814" xr:uid="{754E315F-5103-423D-A071-BB508E318446}"/>
    <cellStyle name="Style 60 3 3 2 3" xfId="1794" xr:uid="{04EA24C3-C074-46BD-9496-B7D1BBFED70F}"/>
    <cellStyle name="Style 60 3 3 2 4" xfId="6815" xr:uid="{DD41FBC3-7527-4A7E-A685-35017FDBB6D7}"/>
    <cellStyle name="Style 60 3 3 3 2" xfId="6816" xr:uid="{A241C643-3A6E-4789-9A85-F89405811A49}"/>
    <cellStyle name="Style 60 3 3 5" xfId="6817" xr:uid="{6A8DB01C-16DA-4A39-AB4D-8C613581C6F6}"/>
    <cellStyle name="Style 60 3 4 2" xfId="1795" xr:uid="{6D207A64-2ED3-43AF-BD63-EC1085AC1993}"/>
    <cellStyle name="Style 60 3 4 3" xfId="6818" xr:uid="{B11E1892-C9D7-41C6-9DEF-DA3CFDD74D15}"/>
    <cellStyle name="Style 60 3 5 2" xfId="6819" xr:uid="{C19DC932-5282-4295-A479-D38E05540BC8}"/>
    <cellStyle name="Style 60 4" xfId="1796" xr:uid="{BA838D27-9E5F-4242-9851-8D7FDE99B180}"/>
    <cellStyle name="Style 60 4 2 2" xfId="1797" xr:uid="{6A72ADEE-6CAB-498E-A831-28612BEBEF80}"/>
    <cellStyle name="Style 60 4 2 2 2 2" xfId="6820" xr:uid="{21692510-C219-42C9-9B0E-80264380B84F}"/>
    <cellStyle name="Style 60 4 2 3" xfId="1798" xr:uid="{DE79D366-B01B-4650-B081-F2995F1220BE}"/>
    <cellStyle name="Style 60 4 2 4" xfId="6821" xr:uid="{0521529F-342E-49DA-A827-0AA4C0B58B29}"/>
    <cellStyle name="Style 60 4 3 2" xfId="6822" xr:uid="{8709907A-F126-4900-B206-B0B7E929884A}"/>
    <cellStyle name="Style 60 4 5" xfId="6823" xr:uid="{EB56E065-5D26-47CD-8A8E-82099D97C106}"/>
    <cellStyle name="Style 60 5 2" xfId="1799" xr:uid="{AFDE7F82-3559-4F7F-9714-65A7F3E7A563}"/>
    <cellStyle name="Style 60 5 3" xfId="6824" xr:uid="{B8AE19D8-DC48-4A1E-89E6-7688867F4F48}"/>
    <cellStyle name="Style 60 6 2" xfId="2765" xr:uid="{C761229E-7CFF-43C4-B248-C56DFD7818F5}"/>
    <cellStyle name="Style 60 6 3" xfId="6825" xr:uid="{4BA5641D-639E-465E-A2D4-A1D5D4D47C89}"/>
    <cellStyle name="Style 60 7 2" xfId="4296" xr:uid="{7180563B-5701-4D19-866A-E377147541D3}"/>
    <cellStyle name="Style 60 8" xfId="4297" xr:uid="{40057D68-AD28-4B2A-8340-669141DB1EE9}"/>
    <cellStyle name="Style 60 9 2" xfId="21286" xr:uid="{D444516A-1078-4EDB-9712-5609AA158BAB}"/>
    <cellStyle name="Style 61" xfId="1800" xr:uid="{CD344CBE-23FD-4A70-9751-6BE4CDA9B9D6}"/>
    <cellStyle name="Style 61 2" xfId="1801" xr:uid="{13AA9697-775D-4946-9740-67F9429F49E9}"/>
    <cellStyle name="Style 61 2 2 2" xfId="23084" xr:uid="{47B552C3-42C8-4422-B1F3-CC2987BDA827}"/>
    <cellStyle name="Style 61 3" xfId="1802" xr:uid="{C98B8559-5AE1-4B1C-B009-14FAAACF9D26}"/>
    <cellStyle name="Style 61 3 2 2" xfId="18878" xr:uid="{403E6603-1DB6-4AD6-AEFD-CAC37B6FFBB6}"/>
    <cellStyle name="Style 61 3 3 2" xfId="1803" xr:uid="{2DA914F8-3818-4F6A-9237-7E3D59FA3D41}"/>
    <cellStyle name="Style 61 3 3 3" xfId="4298" xr:uid="{E4DB942C-31D7-4F62-9643-20FE5B66BDE6}"/>
    <cellStyle name="Style 61 3 3 4" xfId="4299" xr:uid="{21235E96-2E3F-4664-9E4B-764A659CD3E3}"/>
    <cellStyle name="Style 61 3 3 5" xfId="18879" xr:uid="{2658D0B9-362D-41A0-BF69-29AC2937749C}"/>
    <cellStyle name="Style 61 3 4 2" xfId="1804" xr:uid="{1EB70D07-D4FC-4E78-923A-736918AA2BC7}"/>
    <cellStyle name="Style 61 3 4 3" xfId="18880" xr:uid="{7DBC21B9-254F-4D29-9AF6-464D20FEB0C8}"/>
    <cellStyle name="Style 61 3 5 2" xfId="19604" xr:uid="{2DFF7542-3596-4072-AC98-38ED036CAF1E}"/>
    <cellStyle name="Style 61 4" xfId="1805" xr:uid="{DF8116D4-EE00-41E0-B664-509F767DC1D8}"/>
    <cellStyle name="Style 61 4 2 2" xfId="18881" xr:uid="{9732AD92-8331-4805-A84F-2D269F2E04C0}"/>
    <cellStyle name="Style 61 4 3 2" xfId="18882" xr:uid="{802D0482-5D78-4ED2-AB19-8CFB55E66BA4}"/>
    <cellStyle name="Style 61 4 4 2" xfId="19605" xr:uid="{2A1F1DE1-83CB-4E5E-A54D-9E887C795B8D}"/>
    <cellStyle name="Style 61 5" xfId="1806" xr:uid="{A8868A25-DB2B-4C9E-92EE-C19F5E8B5358}"/>
    <cellStyle name="Style 61 5 2 2" xfId="18883" xr:uid="{3D495BBC-8F95-4625-8718-294DA0D41266}"/>
    <cellStyle name="Style 61 6" xfId="1807" xr:uid="{1E9AC0E9-9129-40D5-9631-7EA3B993B090}"/>
    <cellStyle name="Style 61 6 3 2" xfId="22519" xr:uid="{342486BB-B867-41EE-B0EA-C3B922E64A4F}"/>
    <cellStyle name="Style 61 7 2 2" xfId="19606" xr:uid="{654FCCCB-E1C3-45F5-87FB-AD0254247FCC}"/>
    <cellStyle name="Style 61 8" xfId="4300" xr:uid="{28A69C25-7DE2-42DA-B4FE-B14E53FDD2A8}"/>
    <cellStyle name="Style 61_ADDON" xfId="20498" xr:uid="{D3ABCFC9-45CE-4B05-B2E4-DACE9789308F}"/>
    <cellStyle name="Style 62 10 2 2" xfId="4301" xr:uid="{701FABA4-88E0-4B83-A801-B18838426A72}"/>
    <cellStyle name="Style 62 10 2 4" xfId="19607" xr:uid="{F08D98A6-851F-49E8-975B-591E2CBFCD2F}"/>
    <cellStyle name="Style 62 10 4 2" xfId="23085" xr:uid="{C1B438E3-AB4A-4612-AFD6-1FEC2306B37C}"/>
    <cellStyle name="Style 62 11 2 2" xfId="4302" xr:uid="{2A3E1F75-4CD6-4F62-B995-79A0D279DAB4}"/>
    <cellStyle name="Style 62 11 2 4" xfId="19608" xr:uid="{AFF921E9-B926-4974-853D-37E4D1C03DAF}"/>
    <cellStyle name="Style 62 11 4 2" xfId="23086" xr:uid="{861C687F-146C-4453-AFA7-59AF56067237}"/>
    <cellStyle name="Style 62 12 2 2" xfId="6826" xr:uid="{E6CE39F1-2488-4CE6-B135-69B991A37326}"/>
    <cellStyle name="Style 62 12 3 2" xfId="23087" xr:uid="{FC9CA10C-C031-4C84-ACB6-3FF329F0A29F}"/>
    <cellStyle name="Style 62 12 5 2" xfId="23088" xr:uid="{3E3ABCFC-E657-4910-B7C7-FFDE460DA70A}"/>
    <cellStyle name="Style 62 13" xfId="6827" xr:uid="{DF77B83A-2E6E-4228-A252-CAE243E5CEB8}"/>
    <cellStyle name="Style 62 13 3 2" xfId="23089" xr:uid="{B4DC2D07-9445-44FA-8DC0-EF3C77012500}"/>
    <cellStyle name="Style 62 14 2 2" xfId="23090" xr:uid="{AF11EC3A-00DE-429C-922D-216142B80BD1}"/>
    <cellStyle name="Style 62 15 2 2" xfId="23091" xr:uid="{A8A22317-1A99-484B-9D72-CDDF9723390D}"/>
    <cellStyle name="Style 62 17" xfId="18884" xr:uid="{E3F3F753-7B40-444C-9292-0499431E9296}"/>
    <cellStyle name="Style 62 2 3" xfId="6828" xr:uid="{5DC82BE8-EA1B-48B3-9D57-A9A35DD401D9}"/>
    <cellStyle name="Style 62 3 2" xfId="1808" xr:uid="{77090E55-4C99-48FC-847A-B5EB621D97B5}"/>
    <cellStyle name="Style 62 3 2 2 3" xfId="6829" xr:uid="{57CE37AB-EE00-4E29-840A-0AA001007F8F}"/>
    <cellStyle name="Style 62 3 2 3 2" xfId="21287" xr:uid="{EF4F1F5E-9DB5-4A28-BF70-2D6E370F68B1}"/>
    <cellStyle name="Style 62 3 3" xfId="1809" xr:uid="{64295B45-B5FD-4D8C-ABF7-513D1A88E728}"/>
    <cellStyle name="Style 62 3 3 2 3" xfId="6830" xr:uid="{0837830A-63F9-4E96-9055-5707C42AD893}"/>
    <cellStyle name="Style 62 3 3 3 2" xfId="1810" xr:uid="{5BAE8820-1E7E-45F0-A509-60F0C08A41A5}"/>
    <cellStyle name="Style 62 3 3 3 2 3 2" xfId="23092" xr:uid="{17188D0E-8EBA-49A0-9A1C-CFD0F4C9FA10}"/>
    <cellStyle name="Style 62 3 3 3 3 2 2" xfId="23093" xr:uid="{3C2811C9-ED1C-4981-AC4E-CCD00490EA4F}"/>
    <cellStyle name="Style 62 3 3 3 5" xfId="4303" xr:uid="{DD37ADED-9557-4442-BEDC-9275442A19E1}"/>
    <cellStyle name="Style 62 3 3 3 7" xfId="18885" xr:uid="{E0F578C4-6FD1-4B4C-AC8B-C4C124DB06C7}"/>
    <cellStyle name="Style 62 3 3 4 2 2 2" xfId="22039" xr:uid="{26E5D630-C2EA-4ED5-A15D-D3A178CB8D8A}"/>
    <cellStyle name="Style 62 3 3 4 3" xfId="4304" xr:uid="{BB16B60C-B2C3-4768-B0DA-C35DF3242A18}"/>
    <cellStyle name="Style 62 3 3 4 5" xfId="18886" xr:uid="{C8264AEF-AD6E-4740-8FCE-3740D3A63D8A}"/>
    <cellStyle name="Style 62 3 3 5 3" xfId="19609" xr:uid="{E72F3763-02BA-4B0D-AF1F-EB547FC9ABC4}"/>
    <cellStyle name="Style 62 3 3 7 2" xfId="23094" xr:uid="{F3EEE037-3213-4998-A282-4D83E4AC6372}"/>
    <cellStyle name="Style 62 3 4 2 2" xfId="6831" xr:uid="{DAC45E47-DAEA-46A0-800C-0B17F4310C94}"/>
    <cellStyle name="Style 62 3 4 3 2" xfId="19610" xr:uid="{6FE6600B-CFAD-4B29-BAFD-7397F5775D6C}"/>
    <cellStyle name="Style 62 3 4 5 2" xfId="23095" xr:uid="{1407D8D5-200E-4F34-B9E3-4E621DB090BB}"/>
    <cellStyle name="Style 62 3 5 2 2" xfId="22040" xr:uid="{970BE7A4-871E-4BF5-969F-4B3369017166}"/>
    <cellStyle name="Style 62 3 7" xfId="6832" xr:uid="{809A0113-ED84-4EC7-B953-110BFFE1079B}"/>
    <cellStyle name="Style 62 4 2" xfId="1811" xr:uid="{E4D06828-0A56-4B42-8CC7-5635CD42D72C}"/>
    <cellStyle name="Style 62 4 2 2 2 2 2" xfId="23096" xr:uid="{D93EA227-608F-4E18-82CD-9447170E7FDB}"/>
    <cellStyle name="Style 62 4 2 2 4" xfId="18888" xr:uid="{6E62C379-7E97-490E-A049-D4D030C599F3}"/>
    <cellStyle name="Style 62 4 2 3 2 2 2" xfId="6833" xr:uid="{A16A17E4-5B42-40A4-BF2A-887BBDA6DAD1}"/>
    <cellStyle name="Style 62 4 2 3 2 3 2" xfId="23097" xr:uid="{A66D0E08-493F-4433-A253-289EA2F0E7D3}"/>
    <cellStyle name="Style 62 4 2 3 3 2 2" xfId="23098" xr:uid="{D68E5701-384E-4585-BE18-6FDD3FA986AC}"/>
    <cellStyle name="Style 62 4 2 3 4 2 2" xfId="23099" xr:uid="{9F3D9E6D-EDDD-4E62-94BA-6F389D9D8764}"/>
    <cellStyle name="Style 62 4 2 3 6" xfId="6834" xr:uid="{208DC556-FF76-4559-B1DB-ED2566750CBA}"/>
    <cellStyle name="Style 62 4 2 4 2" xfId="1812" xr:uid="{8DC5F351-0CC3-48DE-83B9-73D166BEB96D}"/>
    <cellStyle name="Style 62 4 2 4 2 2 3" xfId="22041" xr:uid="{8D508B24-AFB7-4C04-8656-CD1209A1AFF9}"/>
    <cellStyle name="Style 62 4 2 4 3" xfId="4306" xr:uid="{B52962E9-34EA-487E-B1A4-558426D53A64}"/>
    <cellStyle name="Style 62 4 2 4 4" xfId="6835" xr:uid="{14ED8115-E5E2-4C77-8E96-47137F726DB8}"/>
    <cellStyle name="Style 62 4 2 5 2" xfId="6836" xr:uid="{891D7B3D-EFB4-41C5-8A5D-A39D1623D6E3}"/>
    <cellStyle name="Style 62 4 2 6 2" xfId="6837" xr:uid="{50EED8D2-6C3C-47E9-B2A4-B990E7019118}"/>
    <cellStyle name="Style 62 4 2 7 2" xfId="23100" xr:uid="{A1327748-DB9C-4085-836B-C5EBCC9CF517}"/>
    <cellStyle name="Style 62 4 3 2 2" xfId="6838" xr:uid="{1FAD11C4-A78D-4083-B391-D194499B0032}"/>
    <cellStyle name="Style 62 4 3 3 2" xfId="23101" xr:uid="{8AC2DB9D-059D-4F5A-8B23-25504B8A49E1}"/>
    <cellStyle name="Style 62 4 4 2 2" xfId="19611" xr:uid="{6BD2BFE1-BFEC-48E8-87FD-B6581059F8CC}"/>
    <cellStyle name="Style 62 4 5" xfId="4305" xr:uid="{957B210C-E162-4E2F-85D6-4A14200D05B4}"/>
    <cellStyle name="Style 62 4 6" xfId="2948" xr:uid="{11B62071-4EA7-454A-AF82-B76EAC2DD70A}"/>
    <cellStyle name="Style 62 4 8" xfId="18887" xr:uid="{4DCCE5A9-46A1-432F-85AB-AAC2A605E79D}"/>
    <cellStyle name="Style 62 5 2 2 2" xfId="4308" xr:uid="{4134EA00-E71E-4895-9711-686C848F4B23}"/>
    <cellStyle name="Style 62 5 2 2 3" xfId="6839" xr:uid="{9F87C52C-ED75-4874-B7DD-90885CAE531E}"/>
    <cellStyle name="Style 62 5 2 3 2" xfId="1813" xr:uid="{D6EBE6E4-8A59-4AD3-8B49-50B71D25594C}"/>
    <cellStyle name="Style 62 5 2 3 2 2 3" xfId="22042" xr:uid="{AE431EB3-56B6-49D1-B6F8-D22CCA139B6D}"/>
    <cellStyle name="Style 62 5 2 3 3" xfId="4310" xr:uid="{10F4DBC6-0408-477C-88F4-BEA3BA6ADE21}"/>
    <cellStyle name="Style 62 5 2 3 4" xfId="4311" xr:uid="{B3AB13A3-0F9E-4CF3-BA32-48C07951DF8F}"/>
    <cellStyle name="Style 62 5 2 3 5" xfId="4309" xr:uid="{8890D43A-804F-4D75-87AA-68B1566A974B}"/>
    <cellStyle name="Style 62 5 2 3 7" xfId="18890" xr:uid="{B8CE5665-56E5-4B02-952F-F311663E4696}"/>
    <cellStyle name="Style 62 5 2 4 2 2 2" xfId="6840" xr:uid="{6367F4AA-B587-47CB-9C89-5FD1EFDC3302}"/>
    <cellStyle name="Style 62 5 2 4 2 3 2" xfId="23102" xr:uid="{15636A87-231F-41BB-8524-4034E0E1D605}"/>
    <cellStyle name="Style 62 5 2 4 3 2 2" xfId="23103" xr:uid="{14A1160C-E4BC-4743-8260-B646D09B5B36}"/>
    <cellStyle name="Style 62 5 2 4 5" xfId="18891" xr:uid="{24F1695D-0B32-4D81-AF67-D41B15A7DB5F}"/>
    <cellStyle name="Style 62 5 2 5 3" xfId="19612" xr:uid="{989450A9-9248-46CA-94C8-0216DCFD5F62}"/>
    <cellStyle name="Style 62 5 2 7 2" xfId="23104" xr:uid="{ABDE1E08-C5E6-48D9-AAD7-AFA2841F8A58}"/>
    <cellStyle name="Style 62 5 3 2 2" xfId="6841" xr:uid="{CDCFD76A-3680-4B0B-AD38-490CFF63B22B}"/>
    <cellStyle name="Style 62 5 3 3 2" xfId="23105" xr:uid="{60217234-8B20-47D0-8CB7-B0CB568D4340}"/>
    <cellStyle name="Style 62 5 4 2 2" xfId="19613" xr:uid="{7B53C750-B0DF-4398-A7A5-07E4B7061976}"/>
    <cellStyle name="Style 62 5 5" xfId="4307" xr:uid="{0BF1653E-68DB-4FF8-8AE2-8AB9416F7C21}"/>
    <cellStyle name="Style 62 5 6" xfId="2949" xr:uid="{29F3ABBE-DC33-4362-BCB1-587D9AE3D6F6}"/>
    <cellStyle name="Style 62 5 8" xfId="18889" xr:uid="{974E2B11-FCE7-4205-92E2-42A568039CAC}"/>
    <cellStyle name="Style 62 6 2 2 2" xfId="6842" xr:uid="{523CB5C3-B20C-40EF-AF13-0F026B3B4AAB}"/>
    <cellStyle name="Style 62 6 2 3 2" xfId="23106" xr:uid="{67819DAB-3E85-4CAD-BB8B-186F795750D7}"/>
    <cellStyle name="Style 62 6 3 2 2" xfId="4313" xr:uid="{095321A9-3FBD-474E-A47B-54145141D894}"/>
    <cellStyle name="Style 62 6 3 2 3" xfId="6843" xr:uid="{EF3FD99F-B03B-4EE9-A6CC-4E28621CB421}"/>
    <cellStyle name="Style 62 6 3 3 2" xfId="6844" xr:uid="{029A5C91-867E-4D5A-AB2B-742C61D146F5}"/>
    <cellStyle name="Style 62 6 3 4 2" xfId="6845" xr:uid="{7A79E84F-9080-4261-81FE-3F8315D15DA0}"/>
    <cellStyle name="Style 62 6 3 5 2" xfId="22043" xr:uid="{19A71DA2-A9CE-49D0-9DBA-819359F6344C}"/>
    <cellStyle name="Style 62 6 4" xfId="1814" xr:uid="{8036E4D4-5963-4309-9A7A-FC5EB4F91094}"/>
    <cellStyle name="Style 62 6 4 2 2 2 2" xfId="23107" xr:uid="{D4E008AB-5A39-4DC6-9E7C-48B2FE13A05D}"/>
    <cellStyle name="Style 62 6 4 2 4" xfId="18892" xr:uid="{B20D9D8E-0703-4DE2-AB8F-B2AC8475083B}"/>
    <cellStyle name="Style 62 6 4 3 3" xfId="22044" xr:uid="{87BD3976-690C-4616-B0E9-362CB1FF0423}"/>
    <cellStyle name="Style 62 6 5" xfId="4314" xr:uid="{4E48A288-44E1-4A25-92D5-0C9623179B9C}"/>
    <cellStyle name="Style 62 6 6" xfId="4312" xr:uid="{15B76A67-E20D-4074-934E-1DE1DCEFBFD3}"/>
    <cellStyle name="Style 62 6 7" xfId="6846" xr:uid="{17C4D591-7E7D-484C-BBF5-2F64017D3E15}"/>
    <cellStyle name="Style 62 7 2" xfId="1815" xr:uid="{18DBAEB5-4D6A-42D1-AB4A-9205D58BEAE9}"/>
    <cellStyle name="Style 62 7 2 2 3" xfId="22045" xr:uid="{41231B9B-863B-40D9-925A-2F4E58B5ADAD}"/>
    <cellStyle name="Style 62 7 2 4 2" xfId="23108" xr:uid="{D100B57B-76B1-4A25-A25D-50D5E916FE99}"/>
    <cellStyle name="Style 62 7 3 2 2" xfId="23109" xr:uid="{7A91264D-F230-4E21-9E54-7443288BF6E1}"/>
    <cellStyle name="Style 62 7 4 2 2" xfId="23110" xr:uid="{D6626F81-6C66-45D6-900D-76E229DA9134}"/>
    <cellStyle name="Style 62 7 5 2 2" xfId="23111" xr:uid="{044723B7-793B-42CC-9766-6AE49303D1D3}"/>
    <cellStyle name="Style 62 7 7" xfId="18893" xr:uid="{7DCC9DAD-8654-4172-AA49-1BAA336E9A67}"/>
    <cellStyle name="Style 62 8 2 2 2" xfId="6847" xr:uid="{317F8752-44AF-4BF5-81A7-7990805AB053}"/>
    <cellStyle name="Style 62 8 2 3 2" xfId="23112" xr:uid="{66D4D014-9FA9-4DF0-9066-EB875771C20F}"/>
    <cellStyle name="Style 62 8 3" xfId="4316" xr:uid="{A7FDA803-9D76-4277-8DD9-BB217BD39B68}"/>
    <cellStyle name="Style 62 8 4" xfId="4317" xr:uid="{ACC7BE1A-AE04-4888-A42B-4D5961BA8652}"/>
    <cellStyle name="Style 62 8 5" xfId="4315" xr:uid="{38BFE3ED-5F41-4E49-AA26-B772CD1F3291}"/>
    <cellStyle name="Style 62 8 7" xfId="18894" xr:uid="{47F21ABA-430D-4BA1-98AB-D243B524828A}"/>
    <cellStyle name="Style 62 9 2 2 2" xfId="6848" xr:uid="{D358E81F-26A5-46CD-9465-256C0C8412F9}"/>
    <cellStyle name="Style 62 9 2 3 2" xfId="23113" xr:uid="{141914BE-C879-4694-B4A1-5DEE28F3C08A}"/>
    <cellStyle name="Style 62 9 3" xfId="2766" xr:uid="{CF9E6262-04F9-40A4-9F95-D220410A1403}"/>
    <cellStyle name="Style 62 9 4" xfId="6849" xr:uid="{8E86FA1B-C01C-4DDA-A7C0-36A50327F108}"/>
    <cellStyle name="Style 62 9 6" xfId="18895" xr:uid="{AA037CD4-F286-4765-809D-FAB3FBC56BFC}"/>
    <cellStyle name="Style 63 10 2" xfId="23114" xr:uid="{2CE5226C-D805-4668-8C41-6A83702D88A7}"/>
    <cellStyle name="Style 63 2 2 2 2" xfId="1816" xr:uid="{BD69E948-9B63-449F-9D84-F3BBAA94E1B3}"/>
    <cellStyle name="Style 63 2 2 2 2 2 2 2 2" xfId="23115" xr:uid="{5B141CE6-9877-4556-A077-FB2E5AD23099}"/>
    <cellStyle name="Style 63 2 2 2 2 2 4 2" xfId="23116" xr:uid="{CF220CC7-7E53-40A7-8B03-847735189CF7}"/>
    <cellStyle name="Style 63 2 2 2 2 4" xfId="6850" xr:uid="{E2177872-E252-4AA4-A696-984070282AE9}"/>
    <cellStyle name="Style 63 2 2 2 3" xfId="1817" xr:uid="{6967B2CB-0C37-4826-8EF3-E8A455B26530}"/>
    <cellStyle name="Style 63 2 2 2 3 3" xfId="6851" xr:uid="{127EB323-A7FF-47D0-B463-AA9DC42E3679}"/>
    <cellStyle name="Style 63 2 2 2 4" xfId="6852" xr:uid="{E8432CA6-00AC-4BA5-A17C-3D5FAFB900C7}"/>
    <cellStyle name="Style 63 2 2 2 5 2" xfId="23117" xr:uid="{63D50D87-F477-4E6C-A232-957B49D875B4}"/>
    <cellStyle name="Style 63 2 2 3 2" xfId="1818" xr:uid="{1087912D-7996-4DF2-BD32-EA845BF604E2}"/>
    <cellStyle name="Style 63 2 2 3 2 3" xfId="6853" xr:uid="{158482C5-EF5E-46E8-B670-E0F10C377071}"/>
    <cellStyle name="Style 63 2 2 3 3" xfId="6854" xr:uid="{0DAB9CB6-9420-4780-9B14-1FC548A880F2}"/>
    <cellStyle name="Style 63 2 2 3 4 2" xfId="23118" xr:uid="{AFAE6F52-3577-47D0-957C-E2E65EC88CDD}"/>
    <cellStyle name="Style 63 2 2 4 2" xfId="6855" xr:uid="{0726CF77-1612-4C79-B3FC-CDED6F29599A}"/>
    <cellStyle name="Style 63 2 2 4 2 2 2" xfId="23119" xr:uid="{385B7F0D-7352-40B7-AC45-9B91AC8132DF}"/>
    <cellStyle name="Style 63 2 2 4 3 2" xfId="23120" xr:uid="{84A6788D-5F0F-4B52-92D5-AF96B2F94BD3}"/>
    <cellStyle name="Style 63 2 2 4 4 2" xfId="23121" xr:uid="{C6955770-3291-410D-9BE2-AD5E2C4ADE34}"/>
    <cellStyle name="Style 63 2 2 5 2" xfId="6856" xr:uid="{BBFA97D0-FC1C-4EEF-81D6-7423ACD2BEA1}"/>
    <cellStyle name="Style 63 2 2 6" xfId="6857" xr:uid="{F9BBDF24-7578-46E0-A390-E26AB765754E}"/>
    <cellStyle name="Style 63 2 2 7" xfId="6858" xr:uid="{A670B235-57F2-445F-A65B-FD2CCE4551A6}"/>
    <cellStyle name="Style 63 2 3" xfId="1819" xr:uid="{325F129E-B700-47F0-A887-11EEE19BB9F3}"/>
    <cellStyle name="Style 63 2 3 2 2" xfId="1820" xr:uid="{E8F36C09-F890-42DD-9A29-06177F338BC2}"/>
    <cellStyle name="Style 63 2 3 2 2 2 2" xfId="6859" xr:uid="{996E6CDD-64D3-4A79-8159-9EE7FF765D11}"/>
    <cellStyle name="Style 63 2 3 2 2 3" xfId="6860" xr:uid="{EB4ADA8A-8E05-4CFC-8790-C4A1C82993D2}"/>
    <cellStyle name="Style 63 2 3 2 2 4" xfId="6861" xr:uid="{53DD9A1C-70E8-4D11-B0C7-642EB8F856C8}"/>
    <cellStyle name="Style 63 2 3 2 3" xfId="6862" xr:uid="{03C6D1E7-CE26-4FC0-BF6F-34248593EB94}"/>
    <cellStyle name="Style 63 2 3 2 3 2 2" xfId="23122" xr:uid="{DAB111E4-8230-45B2-8BC8-DC28334784FE}"/>
    <cellStyle name="Style 63 2 3 2 4 2" xfId="23123" xr:uid="{B95CB909-9C41-4B07-A3CF-77F9C806799A}"/>
    <cellStyle name="Style 63 2 3 2 5 2" xfId="23124" xr:uid="{14DD06DA-27D1-48EE-91B2-EFA01AE08E12}"/>
    <cellStyle name="Style 63 2 3 3 2" xfId="6863" xr:uid="{EA6C170E-0E22-423B-A41B-1DC1BAC615D7}"/>
    <cellStyle name="Style 63 2 3 3 2 2 2" xfId="23125" xr:uid="{A460F3B0-74A0-46EF-AE4F-B5FE25403074}"/>
    <cellStyle name="Style 63 2 3 3 3 2" xfId="23126" xr:uid="{F9EA2BCD-A978-46AF-8F2E-CB46C6704C7E}"/>
    <cellStyle name="Style 63 2 3 3 4 2" xfId="23127" xr:uid="{78172A9A-B593-4799-8160-678C48C77DE7}"/>
    <cellStyle name="Style 63 2 3 4 2" xfId="6864" xr:uid="{0E0D1820-1C45-4CFA-925F-A65818329D83}"/>
    <cellStyle name="Style 63 2 3 5" xfId="6865" xr:uid="{737B6F1D-0BDE-4867-8E27-36F8BD55CF3F}"/>
    <cellStyle name="Style 63 2 3 6" xfId="6866" xr:uid="{5CC32A14-9EE8-42D9-ACDB-392DF8390742}"/>
    <cellStyle name="Style 63 2 4" xfId="1821" xr:uid="{EA0F5B8E-87EA-4564-B117-E00A90708041}"/>
    <cellStyle name="Style 63 2 4 2 2" xfId="6867" xr:uid="{FCFCDB56-2F01-4C0A-AE4A-7C809DD5AAEE}"/>
    <cellStyle name="Style 63 2 4 2 2 2 2" xfId="23128" xr:uid="{05848DCF-DE7F-4BBA-B8F9-AEEB4C87985E}"/>
    <cellStyle name="Style 63 2 4 2 3 2" xfId="23129" xr:uid="{F0556F3A-5341-4619-9C28-982B95C96913}"/>
    <cellStyle name="Style 63 2 4 2 4 2" xfId="23130" xr:uid="{C09E0C66-7D8B-4964-8174-9745906E664B}"/>
    <cellStyle name="Style 63 2 4 3 2" xfId="6868" xr:uid="{6E23F74E-E0F0-4BB1-9DD5-EBFC688553E3}"/>
    <cellStyle name="Style 63 2 4 4" xfId="6869" xr:uid="{133346B8-A6AC-4B6D-9F0C-BA8A0CEF7B8A}"/>
    <cellStyle name="Style 63 2 4 5" xfId="6870" xr:uid="{61D896DF-7AF6-4559-9415-55180F5C9B3B}"/>
    <cellStyle name="Style 63 2 5" xfId="1822" xr:uid="{5B5DB64F-69F9-4674-BE2B-FD501992D99D}"/>
    <cellStyle name="Style 63 2 5 2 2" xfId="6871" xr:uid="{59DE7756-F344-4283-BC9C-F339EADC0154}"/>
    <cellStyle name="Style 63 2 5 3" xfId="6872" xr:uid="{A1F301A5-1D72-46D8-AE62-7DB8FFD2C9DF}"/>
    <cellStyle name="Style 63 2 5 4" xfId="6873" xr:uid="{59CD5A0F-231A-4D6D-8F6C-34E60657CE19}"/>
    <cellStyle name="Style 63 2 6" xfId="6874" xr:uid="{8ACCA2A6-C468-4E96-9E16-E4B67196B665}"/>
    <cellStyle name="Style 63 2 6 2 2" xfId="23131" xr:uid="{F13BCAC9-92C4-4BD0-8083-A787ED47BFEA}"/>
    <cellStyle name="Style 63 2 7 2" xfId="23132" xr:uid="{72F0BB5D-18D0-45DF-8730-4ED0D8DA23F9}"/>
    <cellStyle name="Style 63 2 8 2" xfId="23133" xr:uid="{83835678-1039-4ECB-BF5A-63652E9794C3}"/>
    <cellStyle name="Style 63 3 2" xfId="1823" xr:uid="{2A8F27A6-1306-4E9D-95CA-CB42381659E6}"/>
    <cellStyle name="Style 63 3 2 2 2" xfId="1824" xr:uid="{A17EA0F2-1256-40D0-B3E2-0A612BBD8B93}"/>
    <cellStyle name="Style 63 3 2 2 2 2 2" xfId="6875" xr:uid="{C02EC578-B5EB-47A0-B1BE-A1388AE2501A}"/>
    <cellStyle name="Style 63 3 2 2 2 2 2 2 2" xfId="23134" xr:uid="{96CA6F11-4FBD-4892-A166-B5B1B2055227}"/>
    <cellStyle name="Style 63 3 2 2 2 2 3 2" xfId="23135" xr:uid="{DBF7C87B-5711-4C2E-A130-1E3DB83D0F0A}"/>
    <cellStyle name="Style 63 3 2 2 2 2 4 2" xfId="23136" xr:uid="{C19BED4C-29B8-4C8B-9247-B176A691C1B5}"/>
    <cellStyle name="Style 63 3 2 2 2 3 2" xfId="6876" xr:uid="{424E41DD-5945-4460-8BBB-620087DA0C75}"/>
    <cellStyle name="Style 63 3 2 2 2 4" xfId="6877" xr:uid="{376EBC24-2FBD-4C7F-9BC0-1178ED05B400}"/>
    <cellStyle name="Style 63 3 2 2 2 5" xfId="6878" xr:uid="{35614857-55DA-4916-B5E0-69DA6694F785}"/>
    <cellStyle name="Style 63 3 2 2 3" xfId="1825" xr:uid="{B7F6421C-AC8B-48F7-A31A-482683037ED9}"/>
    <cellStyle name="Style 63 3 2 2 3 2 2" xfId="6879" xr:uid="{77A645D8-4C0C-4DE6-ABBC-5888CE8979A1}"/>
    <cellStyle name="Style 63 3 2 2 3 3" xfId="6880" xr:uid="{820CCB9E-F321-47C7-BAAF-A46DBD37DED8}"/>
    <cellStyle name="Style 63 3 2 2 3 4" xfId="6881" xr:uid="{8F0706CB-EFC1-469C-AB6F-D78EAF245121}"/>
    <cellStyle name="Style 63 3 2 2 4" xfId="6882" xr:uid="{1362720A-418C-4A8A-BC1A-4099BBF50F6F}"/>
    <cellStyle name="Style 63 3 2 2 4 2 2" xfId="23137" xr:uid="{ABD4C68D-370B-4B93-8465-4175374EC5B8}"/>
    <cellStyle name="Style 63 3 2 2 5 2" xfId="23138" xr:uid="{4C1446C2-7006-485D-92E3-E992C0834931}"/>
    <cellStyle name="Style 63 3 2 2 6 2" xfId="23139" xr:uid="{AE785EA7-3EFA-43EC-A373-8F7D446BF674}"/>
    <cellStyle name="Style 63 3 2 3 2" xfId="1826" xr:uid="{C5FA1703-357A-4D49-A3EB-C306CDE3B35E}"/>
    <cellStyle name="Style 63 3 2 3 2 2" xfId="6883" xr:uid="{228F5427-56E5-4A06-BC4F-33485F227FB7}"/>
    <cellStyle name="Style 63 3 2 3 2 2 2" xfId="6884" xr:uid="{3D401AD9-4EA0-4FD4-8307-9A3529A8F06C}"/>
    <cellStyle name="Style 63 3 2 3 2 2 2 2" xfId="23140" xr:uid="{FFB62DD5-7EE7-469D-A573-F26123BDE4D4}"/>
    <cellStyle name="Style 63 3 2 3 2 3" xfId="6885" xr:uid="{DAD70BB0-DBE5-43C6-8510-869A23A2C72B}"/>
    <cellStyle name="Style 63 3 2 3 2 3 2" xfId="23141" xr:uid="{2D82C5C3-C26A-4924-9073-C6FC7889A5BC}"/>
    <cellStyle name="Style 63 3 2 3 2 4" xfId="6886" xr:uid="{7C18A88F-C899-4FE2-BF68-2F71BD90A68F}"/>
    <cellStyle name="Style 63 3 2 3 2 4 2" xfId="23142" xr:uid="{A0F0BA49-E9EC-4CE8-993F-60F9B65D94CC}"/>
    <cellStyle name="Style 63 3 2 3 3" xfId="6887" xr:uid="{978FFF78-402B-4075-B6BC-8A8A396361D2}"/>
    <cellStyle name="Style 63 3 2 3 3 2" xfId="6888" xr:uid="{58B6BF3F-D1FD-4F0E-B4E7-B0EEC150D333}"/>
    <cellStyle name="Style 63 3 2 3 3 2 2" xfId="23143" xr:uid="{3B5E9499-EC3E-448E-85FB-FCAD704E6E7E}"/>
    <cellStyle name="Style 63 3 2 3 4" xfId="6889" xr:uid="{5B7901CE-4308-4620-A2BB-27833A8B4530}"/>
    <cellStyle name="Style 63 3 2 3 4 2" xfId="23144" xr:uid="{2D49DFEF-23ED-4939-9BD0-DED494B36B92}"/>
    <cellStyle name="Style 63 3 2 3 5" xfId="6890" xr:uid="{BFBA464F-C4B2-4720-B7BE-197BFAA73709}"/>
    <cellStyle name="Style 63 3 2 3 5 2" xfId="23145" xr:uid="{47BFFD5E-9EB0-439E-95D0-2680F99D34E9}"/>
    <cellStyle name="Style 63 3 2 4" xfId="1827" xr:uid="{0DE22F7A-BBA2-40E2-84D9-B4BD0013F5DD}"/>
    <cellStyle name="Style 63 3 2 4 2" xfId="6891" xr:uid="{5FB20AAF-FDBE-4540-B3E9-9D78668D0939}"/>
    <cellStyle name="Style 63 3 2 4 2 2" xfId="6892" xr:uid="{2892026D-E163-4A25-8A07-EAFEAE41B2CD}"/>
    <cellStyle name="Style 63 3 2 4 2 2 2" xfId="23146" xr:uid="{C4435B5D-A63B-4D6B-B31C-FE16FC7EA3E4}"/>
    <cellStyle name="Style 63 3 2 4 3" xfId="6893" xr:uid="{8D0A494C-DAF8-45F3-A844-8029B343967B}"/>
    <cellStyle name="Style 63 3 2 4 3 2" xfId="23147" xr:uid="{7F24ABD9-5897-41A3-9952-FA996D27CA27}"/>
    <cellStyle name="Style 63 3 2 4 4" xfId="6894" xr:uid="{85CA3E8C-FBFC-4FA1-9AF4-B2F0C9097483}"/>
    <cellStyle name="Style 63 3 2 4 4 2" xfId="23148" xr:uid="{35641F9C-46BB-45AC-BBCD-75A9A0D85E45}"/>
    <cellStyle name="Style 63 3 2 5" xfId="6895" xr:uid="{894CC161-E8F1-4413-827B-84076FD6C173}"/>
    <cellStyle name="Style 63 3 2 5 2" xfId="6896" xr:uid="{549876D9-712C-4029-9775-D39AEAF7B251}"/>
    <cellStyle name="Style 63 3 2 5 2 2" xfId="23149" xr:uid="{A97CE47B-DE1F-4632-AA8F-76D0769C6FDE}"/>
    <cellStyle name="Style 63 3 2 6" xfId="6897" xr:uid="{45192898-30CB-47C6-942C-361F70B17AEF}"/>
    <cellStyle name="Style 63 3 2 6 2" xfId="23150" xr:uid="{5C00828A-9C0C-4827-A3B0-2E4B8A85B9CC}"/>
    <cellStyle name="Style 63 3 2 7" xfId="6898" xr:uid="{CF382DBE-F2B6-4A73-84F8-44E0E60A038B}"/>
    <cellStyle name="Style 63 3 2 7 2" xfId="23151" xr:uid="{A37DD52E-D0D8-4CA4-B6EF-0BDA0ACCDDB7}"/>
    <cellStyle name="Style 63 3 3" xfId="1828" xr:uid="{A8C50E2B-D852-4B08-86D2-3EA1B31D05B0}"/>
    <cellStyle name="Style 63 3 3 2" xfId="1829" xr:uid="{A8DB81D6-6D57-46E9-B49B-23E248D84EFD}"/>
    <cellStyle name="Style 63 3 3 2 2" xfId="1830" xr:uid="{1A03D9EA-085C-4094-8252-E879E4899A4D}"/>
    <cellStyle name="Style 63 3 3 2 2 2" xfId="1831" xr:uid="{B02FBE4D-5468-4D72-9079-054E115CF9C0}"/>
    <cellStyle name="Style 63 3 3 2 2 2 2" xfId="6899" xr:uid="{00BB5715-D1CE-49AE-9206-E1D86CBA0457}"/>
    <cellStyle name="Style 63 3 3 2 2 2 2 2" xfId="6900" xr:uid="{59784657-ECF2-4562-A129-2119F8596276}"/>
    <cellStyle name="Style 63 3 3 2 2 2 2 2 2" xfId="23152" xr:uid="{0C084EFD-66E5-4472-8325-B8E569A657CF}"/>
    <cellStyle name="Style 63 3 3 2 2 2 3" xfId="6901" xr:uid="{9DCF3EEC-16BB-47DD-A3AB-590C6E9ED844}"/>
    <cellStyle name="Style 63 3 3 2 2 2 3 2" xfId="23153" xr:uid="{6784A9E1-2046-4EFB-93CA-098D771891F1}"/>
    <cellStyle name="Style 63 3 3 2 2 2 4" xfId="6902" xr:uid="{3A8D10B2-B49C-4082-9C6B-27E0656E8A86}"/>
    <cellStyle name="Style 63 3 3 2 2 2 4 2" xfId="23154" xr:uid="{E996E43B-C0C8-4C5F-87F7-1E59CF2B3752}"/>
    <cellStyle name="Style 63 3 3 2 2 3" xfId="6903" xr:uid="{FFE57DF6-174E-4252-B187-76A940276886}"/>
    <cellStyle name="Style 63 3 3 2 2 3 2" xfId="6904" xr:uid="{EC389EC5-3BF8-4C22-992D-F86E32D1D064}"/>
    <cellStyle name="Style 63 3 3 2 2 3 2 2" xfId="23155" xr:uid="{CD2A4171-DD6E-4EC2-B8E4-52A8138757E4}"/>
    <cellStyle name="Style 63 3 3 2 2 4" xfId="6905" xr:uid="{2E6838CC-9949-45AD-87BA-BB300BF6E8A6}"/>
    <cellStyle name="Style 63 3 3 2 2 4 2" xfId="23156" xr:uid="{4CA13A07-FAF6-48C4-B067-E600915FC4F5}"/>
    <cellStyle name="Style 63 3 3 2 2 5" xfId="6906" xr:uid="{8505CD50-6723-4913-9233-8F6C8B06F727}"/>
    <cellStyle name="Style 63 3 3 2 2 5 2" xfId="23157" xr:uid="{F5E44248-AC84-4803-9FCB-526A87723C29}"/>
    <cellStyle name="Style 63 3 3 2 3" xfId="1832" xr:uid="{E8B6596B-4096-4B2C-AE80-16B7BC1D6D30}"/>
    <cellStyle name="Style 63 3 3 2 3 2" xfId="6907" xr:uid="{716110AD-2777-4FE1-B132-15BFFA23BECB}"/>
    <cellStyle name="Style 63 3 3 2 3 2 2" xfId="6908" xr:uid="{8F331409-042B-4E20-9C8D-92B0D6BAE685}"/>
    <cellStyle name="Style 63 3 3 2 3 2 2 2" xfId="23158" xr:uid="{CF756D2C-09B3-4C51-95B3-2995A597D796}"/>
    <cellStyle name="Style 63 3 3 2 3 3" xfId="6909" xr:uid="{D474D279-5F92-4B6A-AE30-A0085E71D284}"/>
    <cellStyle name="Style 63 3 3 2 3 3 2" xfId="23159" xr:uid="{4EC77679-AEDF-42D5-B6FF-340E054B5102}"/>
    <cellStyle name="Style 63 3 3 2 3 4" xfId="6910" xr:uid="{73B0D20F-2790-484F-84F8-8A1B2C43FD5D}"/>
    <cellStyle name="Style 63 3 3 2 3 4 2" xfId="23160" xr:uid="{8BD86550-290F-490B-B0EB-06CB33AFD7CB}"/>
    <cellStyle name="Style 63 3 3 2 4" xfId="6911" xr:uid="{99118D2A-3257-463F-A204-BC3F30C24C73}"/>
    <cellStyle name="Style 63 3 3 2 4 2" xfId="6912" xr:uid="{F6A4BF0C-1197-45DB-9494-A61C7C5F8CF7}"/>
    <cellStyle name="Style 63 3 3 2 4 2 2" xfId="23161" xr:uid="{E1CADA1A-ECE1-4A16-A71B-8239F0B3BA4A}"/>
    <cellStyle name="Style 63 3 3 2 5" xfId="6913" xr:uid="{01866CE9-068A-47DA-AA0F-ABD9F007905E}"/>
    <cellStyle name="Style 63 3 3 2 5 2" xfId="23162" xr:uid="{41806A99-7056-4974-881B-32C6B33666C8}"/>
    <cellStyle name="Style 63 3 3 2 6" xfId="6914" xr:uid="{8CBE4767-03A4-4A23-B720-6EE890C386C1}"/>
    <cellStyle name="Style 63 3 3 2 6 2" xfId="23163" xr:uid="{6767D098-C299-4034-87CE-309A111BA222}"/>
    <cellStyle name="Style 63 3 3 3" xfId="1833" xr:uid="{5F0D1609-AD75-4EC7-94D1-A4F50A8158BE}"/>
    <cellStyle name="Style 63 3 3 3 2" xfId="6915" xr:uid="{FE8F0716-D557-4097-9820-4742F584D87B}"/>
    <cellStyle name="Style 63 3 3 3 2 2" xfId="6916" xr:uid="{994CFBA2-5312-4A29-9E59-3F066010957E}"/>
    <cellStyle name="Style 63 3 3 3 2 2 2" xfId="23164" xr:uid="{A6ECF695-BBBF-4254-852A-CBAD2E0AF0CC}"/>
    <cellStyle name="Style 63 3 3 3 3" xfId="6917" xr:uid="{CCC343FF-EA93-4924-9F7B-A47DBAFB9B40}"/>
    <cellStyle name="Style 63 3 3 3 3 2" xfId="23165" xr:uid="{54830783-6DAF-4416-9B76-36FBC62B5E3D}"/>
    <cellStyle name="Style 63 3 3 3 4" xfId="6918" xr:uid="{48E039AD-F8A9-43C2-A8B8-41DA88C055DD}"/>
    <cellStyle name="Style 63 3 3 3 4 2" xfId="23166" xr:uid="{D8832E40-1F1C-49D1-87EE-B891F8D74375}"/>
    <cellStyle name="Style 63 3 3 4" xfId="4318" xr:uid="{CA468104-F9DE-41B6-8E5C-8134CF0E55BE}"/>
    <cellStyle name="Style 63 3 3 4 2" xfId="6919" xr:uid="{B247B69C-9187-4925-B689-CC143F3E6820}"/>
    <cellStyle name="Style 63 3 3 4 2 2" xfId="23167" xr:uid="{CC39F0A6-F6E9-40D3-9A97-0B08D96700C4}"/>
    <cellStyle name="Style 63 3 3 5" xfId="6920" xr:uid="{96509266-9F58-44DD-964C-A506C2A12191}"/>
    <cellStyle name="Style 63 3 3 5 2" xfId="6921" xr:uid="{6F7FF041-8CDD-4518-8E33-9D20CB65854B}"/>
    <cellStyle name="Style 63 3 3 5 2 2" xfId="23168" xr:uid="{6CA11509-8F79-4F00-B61A-4D2B26AED903}"/>
    <cellStyle name="Style 63 3 3 6" xfId="6922" xr:uid="{6556AFD5-7058-4618-8793-D3E52801EBE0}"/>
    <cellStyle name="Style 63 3 3 6 2" xfId="23169" xr:uid="{C3F1C1F1-6E0C-4280-AB3C-2D0447F3FA64}"/>
    <cellStyle name="Style 63 3 4" xfId="1834" xr:uid="{37804D2E-DA01-4EF4-B7BC-CF4D19AE5B48}"/>
    <cellStyle name="Style 63 3 4 2" xfId="1835" xr:uid="{7D814AB3-C470-4075-AA06-27F30CC12577}"/>
    <cellStyle name="Style 63 3 4 2 2" xfId="6923" xr:uid="{0FF8D00F-1B89-4547-AC07-87434F3708A8}"/>
    <cellStyle name="Style 63 3 4 2 2 2" xfId="6924" xr:uid="{F7983E6F-BCC1-475A-9CAF-F3C7E7A33BEC}"/>
    <cellStyle name="Style 63 3 4 2 2 2 2" xfId="23170" xr:uid="{6ECEF336-8086-4E76-A5BF-CDB632809AD6}"/>
    <cellStyle name="Style 63 3 4 2 3" xfId="6925" xr:uid="{3E0AF61B-C0ED-4C8D-A443-268DEC211FE5}"/>
    <cellStyle name="Style 63 3 4 2 3 2" xfId="23171" xr:uid="{0A87FAB3-0EB8-470C-A0AF-A1938F5EE022}"/>
    <cellStyle name="Style 63 3 4 2 4" xfId="6926" xr:uid="{712095D4-6272-4A0B-A6F7-C215BF1769E6}"/>
    <cellStyle name="Style 63 3 4 2 4 2" xfId="23172" xr:uid="{1DEE72F3-ACD6-4438-93E6-51DBACFF2600}"/>
    <cellStyle name="Style 63 3 4 3" xfId="6927" xr:uid="{570CDEFB-314C-4152-9D9B-5BE10C6B5FDB}"/>
    <cellStyle name="Style 63 3 4 3 2" xfId="6928" xr:uid="{E59FE882-9AAD-43A3-8293-03F965BEA383}"/>
    <cellStyle name="Style 63 3 4 3 2 2" xfId="23173" xr:uid="{9FB9175E-4876-4F25-BEDB-F073F48CED84}"/>
    <cellStyle name="Style 63 3 4 4" xfId="6929" xr:uid="{CC0D0415-C46A-4BC3-9E38-0FAB30989FDB}"/>
    <cellStyle name="Style 63 3 4 4 2" xfId="23174" xr:uid="{49005F02-ADF3-4384-9D47-D59A1204B92E}"/>
    <cellStyle name="Style 63 3 4 5" xfId="6930" xr:uid="{CC6C7BF0-78F6-4526-81B1-CD940349F914}"/>
    <cellStyle name="Style 63 3 4 5 2" xfId="23175" xr:uid="{11735C93-4B1B-4B2C-9DA5-960562B20D9B}"/>
    <cellStyle name="Style 63 3 5" xfId="1836" xr:uid="{6347F593-28C6-4E6E-814D-1223F1A94312}"/>
    <cellStyle name="Style 63 3 5 2" xfId="6931" xr:uid="{74E1BAD9-6555-4976-98B8-F3DE2F038736}"/>
    <cellStyle name="Style 63 3 5 2 2" xfId="6932" xr:uid="{2C4A84D0-8023-452E-AC1C-1BFFFE3B9B48}"/>
    <cellStyle name="Style 63 3 5 2 2 2" xfId="23176" xr:uid="{052CB9E6-E65E-4537-A016-6FAF4A8A673B}"/>
    <cellStyle name="Style 63 3 5 3" xfId="6933" xr:uid="{984DC0BE-30C3-425C-ADB8-E483F820C135}"/>
    <cellStyle name="Style 63 3 5 3 2" xfId="23177" xr:uid="{17F94999-C08A-4B67-88EF-98BA1F7A3EE7}"/>
    <cellStyle name="Style 63 3 5 4" xfId="6934" xr:uid="{A2C2FF02-1C7A-42CA-8CC7-D7359F0EB3E4}"/>
    <cellStyle name="Style 63 3 5 4 2" xfId="23178" xr:uid="{5A35EDAF-B9F3-4200-B1C2-ACF19430B693}"/>
    <cellStyle name="Style 63 3 6" xfId="6935" xr:uid="{656EDBEA-2E1E-47DA-B6AC-8412018F0C1A}"/>
    <cellStyle name="Style 63 3 6 2" xfId="6936" xr:uid="{E13A101F-63DC-40E4-AF20-3D584BC0CB57}"/>
    <cellStyle name="Style 63 3 6 2 2" xfId="23179" xr:uid="{762D7E3B-17D0-4A2C-964D-ACBD3D80E931}"/>
    <cellStyle name="Style 63 3 7" xfId="6937" xr:uid="{FD64B11D-CF15-4B2C-B2E9-8B0818B8ED20}"/>
    <cellStyle name="Style 63 3 7 2" xfId="23180" xr:uid="{354D1E7A-0046-48AE-A004-307011A51E0A}"/>
    <cellStyle name="Style 63 3 8" xfId="6938" xr:uid="{EBDB42EF-F6AB-4BB0-BC6C-FD6824D907F1}"/>
    <cellStyle name="Style 63 3 8 2" xfId="23181" xr:uid="{075BA7B2-C4EC-4C78-BCB2-6C60EC9DCE6D}"/>
    <cellStyle name="Style 63 4" xfId="1837" xr:uid="{C2578117-CC3E-4077-8F8F-08F2874D2585}"/>
    <cellStyle name="Style 63 4 2" xfId="1838" xr:uid="{6C960121-686F-42B1-A0C5-075D190534AB}"/>
    <cellStyle name="Style 63 4 2 2" xfId="1839" xr:uid="{4D122EC5-8F02-40FC-9291-46DF9D852B0C}"/>
    <cellStyle name="Style 63 4 2 2 2" xfId="1840" xr:uid="{FB0B831E-0319-4062-9617-DA6067270EA6}"/>
    <cellStyle name="Style 63 4 2 2 2 2" xfId="6939" xr:uid="{EA2B2A95-8CF0-4CE6-B116-C1AF64FFD5EA}"/>
    <cellStyle name="Style 63 4 2 2 2 2 2" xfId="6940" xr:uid="{B07B5DD4-79E5-4E0F-8802-6567A3DB9490}"/>
    <cellStyle name="Style 63 4 2 2 2 2 2 2" xfId="23182" xr:uid="{3BFA724D-FAB1-49E8-A10C-5502CFCAB912}"/>
    <cellStyle name="Style 63 4 2 2 2 3" xfId="6941" xr:uid="{2A97E354-A47C-485A-9AE1-6904B7BC27D7}"/>
    <cellStyle name="Style 63 4 2 2 2 3 2" xfId="23183" xr:uid="{644111EA-039E-4AD9-A8FC-45D01D46B27D}"/>
    <cellStyle name="Style 63 4 2 2 2 4" xfId="6942" xr:uid="{8BEDDE7B-5061-4CC0-A1F2-7EC286EBB114}"/>
    <cellStyle name="Style 63 4 2 2 2 4 2" xfId="23184" xr:uid="{2EA9ECEE-2C30-435F-97A5-98FD5717C446}"/>
    <cellStyle name="Style 63 4 2 2 3" xfId="6943" xr:uid="{94073F25-8C99-49E2-948A-75A09A8346DB}"/>
    <cellStyle name="Style 63 4 2 2 3 2" xfId="6944" xr:uid="{7526F3D5-3C54-47C8-BD87-DD7B6C996D7F}"/>
    <cellStyle name="Style 63 4 2 2 3 2 2" xfId="23185" xr:uid="{BCC94E0F-CC1A-44E3-AA23-9BCC43587C26}"/>
    <cellStyle name="Style 63 4 2 2 4" xfId="6945" xr:uid="{2A226E96-D04E-4576-84BD-A8A7BA473B72}"/>
    <cellStyle name="Style 63 4 2 2 4 2" xfId="23186" xr:uid="{4892653C-FD06-40EC-80CD-39C81967F8B3}"/>
    <cellStyle name="Style 63 4 2 2 5" xfId="6946" xr:uid="{1853CE22-1196-4BB4-929E-497F61AEBAA5}"/>
    <cellStyle name="Style 63 4 2 2 5 2" xfId="23187" xr:uid="{0ECA16A4-1A33-4187-9A8B-25F20C4682D2}"/>
    <cellStyle name="Style 63 4 2 3" xfId="1841" xr:uid="{C0586AB1-AC73-4FC1-8246-9F7D448B8DF0}"/>
    <cellStyle name="Style 63 4 2 3 2" xfId="6947" xr:uid="{F1544F3C-DDD6-41CA-8E18-5025F285A308}"/>
    <cellStyle name="Style 63 4 2 3 2 2" xfId="6948" xr:uid="{18532217-879F-4FF9-B48C-7E4A351F832A}"/>
    <cellStyle name="Style 63 4 2 3 2 2 2" xfId="23188" xr:uid="{D03C158B-FB63-45A7-BF29-A0F8F68B3F94}"/>
    <cellStyle name="Style 63 4 2 3 3" xfId="6949" xr:uid="{D34BC41E-5598-4822-A0F2-AB87825D388A}"/>
    <cellStyle name="Style 63 4 2 3 3 2" xfId="23189" xr:uid="{1ED68161-772D-409E-8171-D7ABF7B23D2D}"/>
    <cellStyle name="Style 63 4 2 3 4" xfId="6950" xr:uid="{4D9DFC2D-F6DD-40A7-ADCF-2069874F0E51}"/>
    <cellStyle name="Style 63 4 2 3 4 2" xfId="23190" xr:uid="{92BF2492-27A4-4B5A-B611-07E22EC18046}"/>
    <cellStyle name="Style 63 4 2 4" xfId="6951" xr:uid="{69A1EC4C-EA4D-45A8-A414-3CFAA93F8BB0}"/>
    <cellStyle name="Style 63 4 2 4 2" xfId="6952" xr:uid="{9A310423-D8CC-439B-A34E-3B39AD6F3F6A}"/>
    <cellStyle name="Style 63 4 2 4 2 2" xfId="23191" xr:uid="{88C1AC9A-CAEF-4E60-9379-7D5C196AB4F6}"/>
    <cellStyle name="Style 63 4 2 5" xfId="6953" xr:uid="{C09712A0-28CE-43C8-B19E-2C52AE29520F}"/>
    <cellStyle name="Style 63 4 2 5 2" xfId="23192" xr:uid="{4F5B52F1-7C1B-4BCE-97F3-593F3500CEE3}"/>
    <cellStyle name="Style 63 4 2 6" xfId="6954" xr:uid="{82AC87AE-68A9-4EB6-BA47-48D9FA16A96D}"/>
    <cellStyle name="Style 63 4 2 6 2" xfId="23193" xr:uid="{BD86BD54-D28C-4BDD-BECC-285F72CF8E4D}"/>
    <cellStyle name="Style 63 4 3" xfId="1842" xr:uid="{1F7D7108-4CA5-43DC-B471-693B85B646C9}"/>
    <cellStyle name="Style 63 4 3 2" xfId="6955" xr:uid="{6BAA7C54-EDCD-479D-B836-B96CA48C6300}"/>
    <cellStyle name="Style 63 4 3 2 2" xfId="6956" xr:uid="{8BAC06BD-5DFA-4BBE-A9BC-4C810EA4C494}"/>
    <cellStyle name="Style 63 4 3 2 2 2" xfId="23194" xr:uid="{F7B302A0-CD4F-4B3C-883C-995DCEEB6496}"/>
    <cellStyle name="Style 63 4 3 3" xfId="6957" xr:uid="{3007B726-1E2D-499F-8821-9C3641E362EF}"/>
    <cellStyle name="Style 63 4 3 3 2" xfId="23195" xr:uid="{E5926AD9-F6BE-4B43-871A-BE9B89B8DCE7}"/>
    <cellStyle name="Style 63 4 3 4" xfId="6958" xr:uid="{3370B055-2868-4C0D-8860-04886069A235}"/>
    <cellStyle name="Style 63 4 3 4 2" xfId="23196" xr:uid="{4DE2DB67-8EBD-4345-8AE7-27333CDF967B}"/>
    <cellStyle name="Style 63 4 4" xfId="4319" xr:uid="{C192A4E9-6C3F-4BEB-8E30-CD14EAAA8459}"/>
    <cellStyle name="Style 63 4 4 2" xfId="6959" xr:uid="{180D8BF6-4089-482B-BF3A-25E68EE0EB36}"/>
    <cellStyle name="Style 63 4 4 2 2" xfId="23197" xr:uid="{73093628-BEE4-426D-868B-B55A1CF618A5}"/>
    <cellStyle name="Style 63 4 5" xfId="6960" xr:uid="{0B81D50B-A28E-4EDE-8834-F928647C635E}"/>
    <cellStyle name="Style 63 4 5 2" xfId="6961" xr:uid="{BEDE03A8-6817-49CF-B544-60CBD9F2925B}"/>
    <cellStyle name="Style 63 4 5 2 2" xfId="23198" xr:uid="{F0DBE4DE-863E-43A5-8C6D-1164E19BE9C0}"/>
    <cellStyle name="Style 63 4 6" xfId="6962" xr:uid="{26732F4C-B19A-47E9-AA78-A5645CDB1E92}"/>
    <cellStyle name="Style 63 4 6 2" xfId="23199" xr:uid="{AFF8B309-E8AB-454C-83D3-B19D0489071A}"/>
    <cellStyle name="Style 63 5" xfId="1843" xr:uid="{68452140-99F3-4617-A265-28BB2C1490CF}"/>
    <cellStyle name="Style 63 5 2" xfId="1844" xr:uid="{5D761293-9EF8-483D-8CEF-BE1B56121FDC}"/>
    <cellStyle name="Style 63 5 2 2" xfId="6963" xr:uid="{EBDB1552-5212-4738-AC5E-CEE4BE48EB78}"/>
    <cellStyle name="Style 63 5 2 2 2" xfId="6964" xr:uid="{AC6DA16F-53AF-491C-8E2B-6B63792E8F0D}"/>
    <cellStyle name="Style 63 5 2 2 2 2" xfId="23200" xr:uid="{0EC90706-7259-4EC9-B254-37D19D4297E7}"/>
    <cellStyle name="Style 63 5 2 3" xfId="6965" xr:uid="{9734EC29-5040-4418-B4B8-0C3A0E3FE303}"/>
    <cellStyle name="Style 63 5 2 3 2" xfId="23201" xr:uid="{C8F03EC7-67E5-486C-B56F-ADB98FA3CDC2}"/>
    <cellStyle name="Style 63 5 2 4" xfId="6966" xr:uid="{076611B3-441A-47F7-98B6-6EE99DBC3D76}"/>
    <cellStyle name="Style 63 5 2 4 2" xfId="23202" xr:uid="{5063CD3F-28F7-4C72-BB1D-C337A383F4C1}"/>
    <cellStyle name="Style 63 5 3" xfId="6967" xr:uid="{53284A34-2B0A-4B40-AA91-34470D93C704}"/>
    <cellStyle name="Style 63 5 3 2" xfId="6968" xr:uid="{61474382-E9CD-4A22-A092-38BDBE195D9C}"/>
    <cellStyle name="Style 63 5 3 2 2" xfId="23203" xr:uid="{64D7E65A-5B3E-42B9-8EA6-80A54A083062}"/>
    <cellStyle name="Style 63 5 4" xfId="6969" xr:uid="{0858ACF7-816E-4B5D-A882-4C7C2A16EE79}"/>
    <cellStyle name="Style 63 5 4 2" xfId="23204" xr:uid="{0A13E4E7-1FCA-4E95-B8E4-38202017E8A1}"/>
    <cellStyle name="Style 63 5 5" xfId="6970" xr:uid="{A94D3423-F0EE-46BC-AEA7-0E826C624B2C}"/>
    <cellStyle name="Style 63 5 5 2" xfId="23205" xr:uid="{128B5DAF-1ABB-4384-95C6-363BAF7F45F1}"/>
    <cellStyle name="Style 63 6" xfId="1845" xr:uid="{20BDF4B8-5468-4DD9-83DD-B396340E9A4D}"/>
    <cellStyle name="Style 63 6 2" xfId="2768" xr:uid="{AC7825F3-E4E8-4BC8-8D96-DCBD001B758B}"/>
    <cellStyle name="Style 63 6 2 2" xfId="4320" xr:uid="{C93231D1-B05B-4E72-BED8-E6FAE8D2E1BE}"/>
    <cellStyle name="Style 63 6 2 2 2" xfId="23206" xr:uid="{B924D08F-0B83-46DD-8A72-6F78324D7999}"/>
    <cellStyle name="Style 63 6 3" xfId="6971" xr:uid="{5005C08A-1B3D-40BA-B84C-C96A76D648F0}"/>
    <cellStyle name="Style 63 6 3 2" xfId="6972" xr:uid="{6697026B-2585-4E84-9395-522F59096A62}"/>
    <cellStyle name="Style 63 6 3 2 2" xfId="23207" xr:uid="{EA3133DF-CBA8-4D66-8B91-2B7D9F971DBC}"/>
    <cellStyle name="Style 63 6 4" xfId="6973" xr:uid="{1608C103-3DEA-48A5-855A-4A13B25EC310}"/>
    <cellStyle name="Style 63 6 4 2" xfId="23208" xr:uid="{BD0515DE-3376-462D-B009-40858AD0E2DF}"/>
    <cellStyle name="Style 63 7" xfId="2767" xr:uid="{789052B6-4E9B-4DCA-A7CC-E08F7FCB4A40}"/>
    <cellStyle name="Style 63 7 2" xfId="4322" xr:uid="{3F71C068-021A-4BDE-94BF-F1853DA240D5}"/>
    <cellStyle name="Style 63 7 3" xfId="4321" xr:uid="{D19A83B8-86B3-421B-B477-1A7937CCDDF5}"/>
    <cellStyle name="Style 63 7 3 2" xfId="23209" xr:uid="{684C262A-9A4D-4580-B7A6-7DE272322980}"/>
    <cellStyle name="Style 63 8" xfId="4323" xr:uid="{6721B1A2-94B3-48EE-ADA8-C49BD29374AB}"/>
    <cellStyle name="Style 63 8 2" xfId="6974" xr:uid="{E98726E1-D082-45D1-8D9C-7B3D36F8318E}"/>
    <cellStyle name="Style 63 8 2 2" xfId="23210" xr:uid="{BA1C3BE8-9CF2-4F58-AE8A-B29F7F34C2B0}"/>
    <cellStyle name="Style 63 9" xfId="6975" xr:uid="{F7DF77D0-816C-4AAB-922A-46A2B3502CC7}"/>
    <cellStyle name="Style 63 9 2" xfId="21288" xr:uid="{B48DDAC2-6D48-48E9-BB98-A6BBD3129797}"/>
    <cellStyle name="Style 63_ADDON" xfId="20527" xr:uid="{17CD613A-C6F6-490E-8204-ABD1A5C3BD0E}"/>
    <cellStyle name="Style 64" xfId="1846" xr:uid="{E398B1E0-DBC2-4F91-8229-F52066114B22}"/>
    <cellStyle name="Style 64 10" xfId="6976" xr:uid="{36F9C103-F316-4234-8442-FE1C032FAD36}"/>
    <cellStyle name="Style 64 10 2" xfId="23211" xr:uid="{DA3CC0B8-8518-41EA-9C78-034F91A1C85B}"/>
    <cellStyle name="Style 64 2" xfId="1847" xr:uid="{09B7E6A0-4034-4F28-97A6-3018ABB54A1D}"/>
    <cellStyle name="Style 64 2 2" xfId="1848" xr:uid="{F9B16235-E61C-4B8C-8133-E71DF9FB2ECE}"/>
    <cellStyle name="Style 64 2 2 2" xfId="1849" xr:uid="{2FBD8F19-A345-4B8F-9B60-1D9DAE0451AA}"/>
    <cellStyle name="Style 64 2 2 2 2" xfId="1850" xr:uid="{4A181954-7A33-4372-8CB0-7C310B08FA7A}"/>
    <cellStyle name="Style 64 2 2 2 2 2" xfId="1851" xr:uid="{0B3A47E5-BA54-4CE9-8153-84CEDB7C2D6F}"/>
    <cellStyle name="Style 64 2 2 2 2 2 2" xfId="6977" xr:uid="{A9A3851A-EB7E-4BDD-ACBF-77350315EA10}"/>
    <cellStyle name="Style 64 2 2 2 2 2 2 2" xfId="6978" xr:uid="{C5176F69-CD3C-46D9-B96E-16DF8595A176}"/>
    <cellStyle name="Style 64 2 2 2 2 2 2 2 2" xfId="23212" xr:uid="{7D0A71DD-5689-4AE1-9CEB-3499295879D3}"/>
    <cellStyle name="Style 64 2 2 2 2 2 3" xfId="6979" xr:uid="{F4A69FF7-A11B-4ACE-A5FC-66E0C92AFB55}"/>
    <cellStyle name="Style 64 2 2 2 2 2 3 2" xfId="23213" xr:uid="{A784E90C-DE3F-4C7A-B55A-4F97A54989DF}"/>
    <cellStyle name="Style 64 2 2 2 2 2 4" xfId="6980" xr:uid="{644B76AC-C8CD-49E4-9A02-7B401CD49DDB}"/>
    <cellStyle name="Style 64 2 2 2 2 2 4 2" xfId="23214" xr:uid="{75A49DC2-027F-498A-89A9-CDBDDC4BD0BF}"/>
    <cellStyle name="Style 64 2 2 2 2 2 5" xfId="6981" xr:uid="{206347C3-2B88-413E-9745-09A213C128A2}"/>
    <cellStyle name="Style 64 2 2 2 2 2 5 2" xfId="23215" xr:uid="{6CCA7D32-4FE4-4C7D-8976-6290515E1061}"/>
    <cellStyle name="Style 64 2 2 2 2 3" xfId="6982" xr:uid="{DC999EF7-8961-4687-8925-8022A0B8E8AF}"/>
    <cellStyle name="Style 64 2 2 2 2 3 2" xfId="6983" xr:uid="{BBE29DFF-F56E-4AC9-9C52-9ABAB9FE1E3A}"/>
    <cellStyle name="Style 64 2 2 2 2 3 2 2" xfId="23216" xr:uid="{F7D4E5AA-B223-4242-89C3-4E1507C113DD}"/>
    <cellStyle name="Style 64 2 2 2 2 4" xfId="6984" xr:uid="{BED97D4E-30E2-4B2B-83A7-961C9818B304}"/>
    <cellStyle name="Style 64 2 2 2 2 4 2" xfId="23217" xr:uid="{483779D8-A02E-4D57-BE4F-CA9845C9AA0A}"/>
    <cellStyle name="Style 64 2 2 2 2 5" xfId="6985" xr:uid="{A8BEBAAD-5CF2-4EA2-821D-C41AE2129F21}"/>
    <cellStyle name="Style 64 2 2 2 2 5 2" xfId="23218" xr:uid="{88867D31-4670-4949-8B0F-E9DE522A1FFC}"/>
    <cellStyle name="Style 64 2 2 2 2 6" xfId="6986" xr:uid="{1806A470-F4A9-4CC5-A4C5-80D8CFCEB56E}"/>
    <cellStyle name="Style 64 2 2 2 2 6 2" xfId="23219" xr:uid="{B53C506B-C347-4AA9-9F35-D814668B8969}"/>
    <cellStyle name="Style 64 2 2 2 3" xfId="1852" xr:uid="{C276D77F-BB92-4BA4-90A5-6D1C278CB5A3}"/>
    <cellStyle name="Style 64 2 2 2 3 2" xfId="6987" xr:uid="{83DB251A-C061-4B47-BD2A-E146A8D91220}"/>
    <cellStyle name="Style 64 2 2 2 3 2 2" xfId="6988" xr:uid="{18207E30-0D5E-4A03-BF2F-BCE441E2457D}"/>
    <cellStyle name="Style 64 2 2 2 3 2 2 2" xfId="23220" xr:uid="{1FF2DED0-E881-424F-A92E-BB2CAD222854}"/>
    <cellStyle name="Style 64 2 2 2 3 3" xfId="6989" xr:uid="{D23BA25D-7874-4FB9-A10C-140B142A4E23}"/>
    <cellStyle name="Style 64 2 2 2 3 3 2" xfId="23221" xr:uid="{4604D55B-CD87-4DC9-AAEE-2672B8A087CF}"/>
    <cellStyle name="Style 64 2 2 2 3 4" xfId="6990" xr:uid="{A400F761-FE19-4AE6-81CF-B1EBB9D22576}"/>
    <cellStyle name="Style 64 2 2 2 3 4 2" xfId="23222" xr:uid="{7D9C2463-40A9-4B17-B215-897B7225FB90}"/>
    <cellStyle name="Style 64 2 2 2 3 5" xfId="6991" xr:uid="{67BE74C6-D12E-43CC-8D29-84915BE5732D}"/>
    <cellStyle name="Style 64 2 2 2 3 5 2" xfId="23223" xr:uid="{660AF446-9A12-4BAE-ACDD-54A7BCD41612}"/>
    <cellStyle name="Style 64 2 2 2 4" xfId="6992" xr:uid="{9124A8CB-00C3-4025-ADB7-332461BFE74A}"/>
    <cellStyle name="Style 64 2 2 2 4 2" xfId="6993" xr:uid="{6C419549-B6BB-4672-9B72-6D1BC291CF3C}"/>
    <cellStyle name="Style 64 2 2 2 4 2 2" xfId="23224" xr:uid="{85F6760B-7EAF-4536-B8DC-882DF7C67A79}"/>
    <cellStyle name="Style 64 2 2 2 5" xfId="6994" xr:uid="{9ABE291B-3233-4D78-807A-15E31CCF25E5}"/>
    <cellStyle name="Style 64 2 2 2 5 2" xfId="23225" xr:uid="{ADFF3EBC-3A23-46A8-A241-D019939FA497}"/>
    <cellStyle name="Style 64 2 2 2 6" xfId="6995" xr:uid="{CC84D060-FABC-437B-ADAF-C5971B0B7F07}"/>
    <cellStyle name="Style 64 2 2 2 6 2" xfId="23226" xr:uid="{1348E032-DC81-4EFA-A961-7BBC475BE5D6}"/>
    <cellStyle name="Style 64 2 2 2 7" xfId="6996" xr:uid="{334285B0-CA3A-477A-A9D5-8C1D12BAD8A9}"/>
    <cellStyle name="Style 64 2 2 2 7 2" xfId="23227" xr:uid="{DFBFD8BA-D861-410D-B98C-78EB69660B36}"/>
    <cellStyle name="Style 64 2 2 3" xfId="1853" xr:uid="{5657E8B5-9EE2-47CF-928E-F68100A161B2}"/>
    <cellStyle name="Style 64 2 2 3 2" xfId="1854" xr:uid="{6C1D09EB-76DC-4F8E-B2D2-50A7CAE93C56}"/>
    <cellStyle name="Style 64 2 2 3 2 2" xfId="6997" xr:uid="{D03AD30A-31D4-48A1-8803-47FEE1385E2D}"/>
    <cellStyle name="Style 64 2 2 3 2 2 2" xfId="6998" xr:uid="{274BFA46-9E4E-47B6-8A83-9A5F3892B2D8}"/>
    <cellStyle name="Style 64 2 2 3 2 2 2 2" xfId="23228" xr:uid="{9499C10A-20EA-46FA-B2D3-2C5ED5790B5A}"/>
    <cellStyle name="Style 64 2 2 3 2 3" xfId="6999" xr:uid="{3DAA0597-4AC9-46C1-894C-A2AEE0900AC1}"/>
    <cellStyle name="Style 64 2 2 3 2 3 2" xfId="23229" xr:uid="{0B6E216A-E103-4142-A31E-B53AC4CD72B6}"/>
    <cellStyle name="Style 64 2 2 3 2 4" xfId="7000" xr:uid="{88354888-62DE-49BA-984A-2FA9B42CAFB6}"/>
    <cellStyle name="Style 64 2 2 3 2 4 2" xfId="23230" xr:uid="{F2658192-0376-4E5B-8AD4-9B12E84F6A85}"/>
    <cellStyle name="Style 64 2 2 3 2 5" xfId="7001" xr:uid="{DE0CCAA0-65A6-401E-BBD8-5DD44CE1A47E}"/>
    <cellStyle name="Style 64 2 2 3 2 5 2" xfId="23231" xr:uid="{96E0C445-7D1B-4488-9718-6DA4119C2B7F}"/>
    <cellStyle name="Style 64 2 2 3 3" xfId="7002" xr:uid="{1F828088-B13D-4058-AD26-2C6909ED0B3E}"/>
    <cellStyle name="Style 64 2 2 3 3 2" xfId="7003" xr:uid="{354760AE-D2A9-4541-9D34-08038E1EF123}"/>
    <cellStyle name="Style 64 2 2 3 3 2 2" xfId="23232" xr:uid="{4496C8FE-42EC-4F76-9872-53B31A275DA2}"/>
    <cellStyle name="Style 64 2 2 3 4" xfId="7004" xr:uid="{0351B7E8-9EDC-459C-864C-F2CD6E70B05F}"/>
    <cellStyle name="Style 64 2 2 3 4 2" xfId="23233" xr:uid="{6F5EB5DA-9E44-4C0A-A5FF-1AB54502A19F}"/>
    <cellStyle name="Style 64 2 2 3 5" xfId="7005" xr:uid="{EC0AD62D-258C-4BCD-9DDF-161E0ECB45CC}"/>
    <cellStyle name="Style 64 2 2 3 5 2" xfId="23234" xr:uid="{E6E78370-7785-4A73-BC61-91BA0DEA1B32}"/>
    <cellStyle name="Style 64 2 2 3 6" xfId="7006" xr:uid="{871CB706-B68E-4B38-954C-C9936318756F}"/>
    <cellStyle name="Style 64 2 2 3 6 2" xfId="23235" xr:uid="{68AB2288-EA99-40BB-AD5B-246EFD9C7EC9}"/>
    <cellStyle name="Style 64 2 2 4" xfId="1855" xr:uid="{85C28D94-46DF-4320-B330-695D84483667}"/>
    <cellStyle name="Style 64 2 2 4 2" xfId="7007" xr:uid="{D4C5751C-46FC-4B65-8E92-ACC20E3C493A}"/>
    <cellStyle name="Style 64 2 2 4 2 2" xfId="7008" xr:uid="{AD5D47E5-CB8B-40A1-81F9-857175D7EBA0}"/>
    <cellStyle name="Style 64 2 2 4 2 2 2" xfId="23236" xr:uid="{D884F298-E237-4894-B343-3B9196EB6844}"/>
    <cellStyle name="Style 64 2 2 4 3" xfId="7009" xr:uid="{D8779BA7-2E7A-4AB8-BD52-C367267842ED}"/>
    <cellStyle name="Style 64 2 2 4 3 2" xfId="23237" xr:uid="{2AFC8C94-60C4-4D91-BE06-E9E3BC497FFE}"/>
    <cellStyle name="Style 64 2 2 4 4" xfId="7010" xr:uid="{C4BF6FF9-2DBB-423F-AAD8-25B4A7B11C0A}"/>
    <cellStyle name="Style 64 2 2 4 4 2" xfId="23238" xr:uid="{D07D2330-011E-4077-8CF5-6C10E56B0F51}"/>
    <cellStyle name="Style 64 2 2 4 5" xfId="7011" xr:uid="{DD501F30-1449-4239-A9A5-C512D6D26B3F}"/>
    <cellStyle name="Style 64 2 2 4 5 2" xfId="23239" xr:uid="{29D181D3-4899-4D12-88AC-96F926BF45A2}"/>
    <cellStyle name="Style 64 2 2 5" xfId="7012" xr:uid="{84BE9823-E23C-4247-9E2B-1F2F39A24CEA}"/>
    <cellStyle name="Style 64 2 2 5 2" xfId="7013" xr:uid="{747B029D-87BA-478F-B831-D484E7AA3C33}"/>
    <cellStyle name="Style 64 2 2 5 2 2" xfId="23240" xr:uid="{41F26322-1779-43F5-9ED9-1D0E2E235BE1}"/>
    <cellStyle name="Style 64 2 2 6" xfId="7014" xr:uid="{A82483CF-E789-4039-896B-9D3402AD2A82}"/>
    <cellStyle name="Style 64 2 2 6 2" xfId="23241" xr:uid="{DE12DF2C-4012-4516-90D3-9D5BD5D9B697}"/>
    <cellStyle name="Style 64 2 2 7" xfId="7015" xr:uid="{F1A52667-9730-4756-ACF3-23A4CCFF5697}"/>
    <cellStyle name="Style 64 2 2 7 2" xfId="23242" xr:uid="{9EC1585C-C689-4D49-98E2-8171F462113D}"/>
    <cellStyle name="Style 64 2 3" xfId="1856" xr:uid="{E5FEBB5C-4C07-43FF-A288-AE8199943262}"/>
    <cellStyle name="Style 64 2 3 2" xfId="1857" xr:uid="{8CB02152-185B-4D03-A4BC-7BA21DFEAA44}"/>
    <cellStyle name="Style 64 2 3 2 2" xfId="1858" xr:uid="{C0FF6C4A-F434-4359-BA06-548F66A9F5E0}"/>
    <cellStyle name="Style 64 2 3 2 2 2" xfId="7016" xr:uid="{DB8F1BDE-BDE4-45C5-9FEA-D9741A014E51}"/>
    <cellStyle name="Style 64 2 3 2 2 2 2" xfId="7017" xr:uid="{4F5C2681-4F5C-4B76-B8CD-17A7060130BA}"/>
    <cellStyle name="Style 64 2 3 2 2 2 2 2" xfId="23243" xr:uid="{9CDFDB07-1FDC-4E4F-8ECB-558377428AE8}"/>
    <cellStyle name="Style 64 2 3 2 2 3" xfId="7018" xr:uid="{FCC33793-9154-490C-A69C-463C364E7F13}"/>
    <cellStyle name="Style 64 2 3 2 2 3 2" xfId="23244" xr:uid="{64789461-3CE2-42A3-9703-3AC4D2B81224}"/>
    <cellStyle name="Style 64 2 3 2 2 4" xfId="7019" xr:uid="{1215DD70-151F-40F0-B80F-E62747A9E6DA}"/>
    <cellStyle name="Style 64 2 3 2 2 4 2" xfId="23245" xr:uid="{611FEB27-F140-4C88-90AE-85393830E1E1}"/>
    <cellStyle name="Style 64 2 3 2 2 5" xfId="7020" xr:uid="{98D7247E-BA0C-4352-9C07-CBEC5461057C}"/>
    <cellStyle name="Style 64 2 3 2 2 5 2" xfId="23246" xr:uid="{32B36E93-C1C5-4A64-A30E-20D7EAEDD649}"/>
    <cellStyle name="Style 64 2 3 2 3" xfId="7021" xr:uid="{5F32A50C-F371-423D-A020-6437762F79CC}"/>
    <cellStyle name="Style 64 2 3 2 3 2" xfId="7022" xr:uid="{17E7220E-3241-46BB-AD0B-29B65EDBE11F}"/>
    <cellStyle name="Style 64 2 3 2 3 2 2" xfId="23247" xr:uid="{46EEE423-4FA0-4B7D-9617-818675F4DB09}"/>
    <cellStyle name="Style 64 2 3 2 4" xfId="7023" xr:uid="{916F46C1-3312-4831-AE2A-FFC085F5EB76}"/>
    <cellStyle name="Style 64 2 3 2 4 2" xfId="23248" xr:uid="{204C25BF-0398-494C-938B-465C122DF70F}"/>
    <cellStyle name="Style 64 2 3 2 5" xfId="7024" xr:uid="{472200B9-1AF5-440A-9624-742219741352}"/>
    <cellStyle name="Style 64 2 3 2 5 2" xfId="23249" xr:uid="{F42336B8-FD44-4C2C-AD28-4A9F5F063910}"/>
    <cellStyle name="Style 64 2 3 2 6" xfId="7025" xr:uid="{C964357E-7E9C-4C5E-8755-F80853DC8A8B}"/>
    <cellStyle name="Style 64 2 3 2 6 2" xfId="23250" xr:uid="{5B07708D-D4ED-418D-8368-14FA5F5F1A77}"/>
    <cellStyle name="Style 64 2 3 3" xfId="1859" xr:uid="{F0038A02-AC7B-4A23-9BAA-FF9EA4E2546C}"/>
    <cellStyle name="Style 64 2 3 3 2" xfId="7026" xr:uid="{5F834DA8-C223-4697-8F6A-3B697292A70A}"/>
    <cellStyle name="Style 64 2 3 3 2 2" xfId="7027" xr:uid="{24407442-E679-477A-9A32-A1A9607A5C21}"/>
    <cellStyle name="Style 64 2 3 3 2 2 2" xfId="23251" xr:uid="{0286629A-CA17-4D7F-856E-F0ABE1623D66}"/>
    <cellStyle name="Style 64 2 3 3 3" xfId="7028" xr:uid="{9C2FAA97-DF3B-4EBB-A419-14C7FBC12600}"/>
    <cellStyle name="Style 64 2 3 3 3 2" xfId="23252" xr:uid="{910BBF78-6F20-48EF-9531-4420BD1BBBC4}"/>
    <cellStyle name="Style 64 2 3 3 4" xfId="7029" xr:uid="{65D6F231-55AE-4310-B13D-35AE9701D33A}"/>
    <cellStyle name="Style 64 2 3 3 4 2" xfId="23253" xr:uid="{D8D3960B-1799-47A4-BF2B-5DD5F05187C4}"/>
    <cellStyle name="Style 64 2 3 3 5" xfId="7030" xr:uid="{531F7F7D-8A78-43A2-85CD-EAD916338742}"/>
    <cellStyle name="Style 64 2 3 3 5 2" xfId="23254" xr:uid="{FCB871C1-7AFE-4978-A7E8-AD17840E45BE}"/>
    <cellStyle name="Style 64 2 3 4" xfId="7031" xr:uid="{4205D92F-C326-4A7C-AA96-EA8393AAC956}"/>
    <cellStyle name="Style 64 2 3 4 2" xfId="7032" xr:uid="{FA9E4E3B-D33F-4FDE-84E0-F99FB7D073B7}"/>
    <cellStyle name="Style 64 2 3 4 2 2" xfId="23255" xr:uid="{52E501A7-10D2-4623-8B6F-543028596EED}"/>
    <cellStyle name="Style 64 2 3 5" xfId="7033" xr:uid="{86F4D227-A787-4419-8861-DBD88EF68B41}"/>
    <cellStyle name="Style 64 2 3 5 2" xfId="23256" xr:uid="{C40DDAEF-BBE5-4CF5-ABE0-6EDAF3DD5C3C}"/>
    <cellStyle name="Style 64 2 3 6" xfId="7034" xr:uid="{F3D0F6E3-8436-43A9-B7DE-F7D0E33EB314}"/>
    <cellStyle name="Style 64 2 3 6 2" xfId="23257" xr:uid="{29F16F73-C6BD-4BAE-8376-0D35898DA83E}"/>
    <cellStyle name="Style 64 2 3 7" xfId="7035" xr:uid="{451709E1-EA97-4E36-8D9E-C703BED676B7}"/>
    <cellStyle name="Style 64 2 3 7 2" xfId="23258" xr:uid="{DD12606E-3919-4DAF-A488-0DF747DB311A}"/>
    <cellStyle name="Style 64 2 4" xfId="1860" xr:uid="{F0BDADB4-28AA-4D5B-A8D6-A379FC345CA6}"/>
    <cellStyle name="Style 64 2 4 2" xfId="1861" xr:uid="{7FC56AD0-F9B1-4FCA-AE0C-1754E4EF6566}"/>
    <cellStyle name="Style 64 2 4 2 2" xfId="7036" xr:uid="{8A164CBD-EAF9-43EB-914E-16AC3EED0C62}"/>
    <cellStyle name="Style 64 2 4 2 2 2" xfId="7037" xr:uid="{2F2376A3-8FDF-4C44-B473-4BAE55080240}"/>
    <cellStyle name="Style 64 2 4 2 2 2 2" xfId="23259" xr:uid="{43A4ED4A-0C49-4AEE-84CC-1FBBCC85E630}"/>
    <cellStyle name="Style 64 2 4 2 3" xfId="7038" xr:uid="{BD15B685-2612-4083-94E7-126225615FBF}"/>
    <cellStyle name="Style 64 2 4 2 3 2" xfId="23260" xr:uid="{D2C3F159-013B-4CF2-B422-F59917BA9A8B}"/>
    <cellStyle name="Style 64 2 4 2 4" xfId="7039" xr:uid="{90C5FB16-7BB2-4049-949E-96BB026ECD55}"/>
    <cellStyle name="Style 64 2 4 2 4 2" xfId="23261" xr:uid="{98E3C648-DD06-4F73-A2F6-598ECB400635}"/>
    <cellStyle name="Style 64 2 4 2 5" xfId="7040" xr:uid="{A6C0757A-584A-4AF7-91DB-6D869DD92778}"/>
    <cellStyle name="Style 64 2 4 2 5 2" xfId="23262" xr:uid="{D372D225-5BB0-4CD3-ACA5-0CE4D5ABCDF9}"/>
    <cellStyle name="Style 64 2 4 3" xfId="7041" xr:uid="{96173A9C-6C4E-4BD4-B44E-15C28F90A53E}"/>
    <cellStyle name="Style 64 2 4 3 2" xfId="7042" xr:uid="{AF8AC346-3B58-4AD0-82AB-68D20353E1A4}"/>
    <cellStyle name="Style 64 2 4 3 2 2" xfId="23263" xr:uid="{E6FA9363-963A-42F6-9862-816BCAF7DDAA}"/>
    <cellStyle name="Style 64 2 4 4" xfId="7043" xr:uid="{F847D98B-571F-4706-9B8E-7D3F1F2F2157}"/>
    <cellStyle name="Style 64 2 4 4 2" xfId="23264" xr:uid="{93511B0B-5BF7-4FCD-A646-2EEC478830C2}"/>
    <cellStyle name="Style 64 2 4 5" xfId="7044" xr:uid="{FA08760A-2BB4-4FC7-9528-4D132897F5F4}"/>
    <cellStyle name="Style 64 2 4 5 2" xfId="23265" xr:uid="{EC1D3D04-E3BF-45C7-B31D-C331FF694D43}"/>
    <cellStyle name="Style 64 2 4 6" xfId="7045" xr:uid="{6D368617-A7A1-419F-8672-EE2AC4AC87BE}"/>
    <cellStyle name="Style 64 2 4 6 2" xfId="23266" xr:uid="{EC49E86B-FC0A-4435-8267-DF59F7E913B3}"/>
    <cellStyle name="Style 64 2 5" xfId="1862" xr:uid="{3F80243A-884A-4EC4-BEC7-79EC6EC52444}"/>
    <cellStyle name="Style 64 2 5 2" xfId="7046" xr:uid="{7BBC2518-9D79-4292-868B-2FE643B34787}"/>
    <cellStyle name="Style 64 2 5 2 2" xfId="7047" xr:uid="{7CCD8756-D911-4CF9-A3D6-78AB395BB5B8}"/>
    <cellStyle name="Style 64 2 5 2 2 2" xfId="23267" xr:uid="{270CA99A-7BD8-4E2A-B4E8-E7117C95A8CA}"/>
    <cellStyle name="Style 64 2 5 3" xfId="7048" xr:uid="{8C95256A-7FF5-4C8D-90A5-4ABD3330CF07}"/>
    <cellStyle name="Style 64 2 5 3 2" xfId="23268" xr:uid="{903758F9-5633-4FC9-B545-F58814E089F7}"/>
    <cellStyle name="Style 64 2 5 4" xfId="7049" xr:uid="{4A89F265-B767-417F-93FD-A3417238D6EA}"/>
    <cellStyle name="Style 64 2 5 4 2" xfId="23269" xr:uid="{8BE27664-F3A0-49BC-8385-555B489D06C0}"/>
    <cellStyle name="Style 64 2 5 5" xfId="7050" xr:uid="{6BBF606B-4FCD-4E04-9491-77C508F92F08}"/>
    <cellStyle name="Style 64 2 5 5 2" xfId="23270" xr:uid="{9E139986-C738-4BD4-A373-8D4536873B77}"/>
    <cellStyle name="Style 64 2 6" xfId="7051" xr:uid="{82025180-DFAD-42F4-8183-84E990ABF856}"/>
    <cellStyle name="Style 64 2 6 2" xfId="7052" xr:uid="{1EA23A0B-CC7F-412E-AA99-AA2F86940340}"/>
    <cellStyle name="Style 64 2 6 2 2" xfId="23271" xr:uid="{CF43135F-EA3A-4E84-BC61-DB79D42670BA}"/>
    <cellStyle name="Style 64 2 7" xfId="7053" xr:uid="{B01D6E06-DFEE-41EC-A36D-6E5B6FAB29B7}"/>
    <cellStyle name="Style 64 2 7 2" xfId="23272" xr:uid="{AF26CF20-88A1-4742-BC37-F90180D8E80A}"/>
    <cellStyle name="Style 64 2 8" xfId="7054" xr:uid="{02861316-44B8-4B21-84DD-963355108618}"/>
    <cellStyle name="Style 64 2 8 2" xfId="23273" xr:uid="{E14339B7-D080-41B9-A93F-75056A31F511}"/>
    <cellStyle name="Style 64 3" xfId="1863" xr:uid="{A0D977A2-8261-437D-BD7C-42D086CC02CC}"/>
    <cellStyle name="Style 64 3 2" xfId="1864" xr:uid="{EFF7706E-6065-410B-9627-F5428333B259}"/>
    <cellStyle name="Style 64 3 2 2" xfId="1865" xr:uid="{D661CC7C-9241-4B8A-A21F-A1B9DB5D2F1E}"/>
    <cellStyle name="Style 64 3 2 2 2" xfId="1866" xr:uid="{2A302C91-F279-4D07-B75F-48F2D8C70BC7}"/>
    <cellStyle name="Style 64 3 2 2 2 2" xfId="1867" xr:uid="{6EAA0A49-A82F-456B-8A4E-F10E51256447}"/>
    <cellStyle name="Style 64 3 2 2 2 2 2" xfId="7055" xr:uid="{A4175822-9365-47A6-A5D1-85A50B830CC0}"/>
    <cellStyle name="Style 64 3 2 2 2 2 2 2" xfId="7056" xr:uid="{3A3F09FD-4088-4B3C-A7D4-DFC64F22B388}"/>
    <cellStyle name="Style 64 3 2 2 2 2 2 2 2" xfId="23274" xr:uid="{BE77F176-7AC3-466C-AE67-04C0EEBCF9F5}"/>
    <cellStyle name="Style 64 3 2 2 2 2 3" xfId="7057" xr:uid="{1D476449-EE90-4274-949A-B33FF375D430}"/>
    <cellStyle name="Style 64 3 2 2 2 2 3 2" xfId="23275" xr:uid="{5CDF039B-FC0A-4845-B0FC-DD410E84C073}"/>
    <cellStyle name="Style 64 3 2 2 2 2 4" xfId="7058" xr:uid="{2F1B38BA-A8EB-47E6-9F30-E3748B815B20}"/>
    <cellStyle name="Style 64 3 2 2 2 2 4 2" xfId="23276" xr:uid="{A37B445C-7BA2-4BBA-9E4D-26AF9EDFCBDC}"/>
    <cellStyle name="Style 64 3 2 2 2 2 5" xfId="7059" xr:uid="{5C4C7985-0918-4E29-843E-0644080B0134}"/>
    <cellStyle name="Style 64 3 2 2 2 2 5 2" xfId="23277" xr:uid="{60060649-FCF8-443D-B437-CA5BD4D50FA4}"/>
    <cellStyle name="Style 64 3 2 2 2 3" xfId="7060" xr:uid="{878E2DB5-8D10-4706-8179-C1E42D1F9B7D}"/>
    <cellStyle name="Style 64 3 2 2 2 3 2" xfId="7061" xr:uid="{11C3CD88-4336-4A95-B453-BD4226DE1758}"/>
    <cellStyle name="Style 64 3 2 2 2 3 2 2" xfId="23278" xr:uid="{6C8328B6-28B5-41E7-B277-DF42D621B36A}"/>
    <cellStyle name="Style 64 3 2 2 2 4" xfId="7062" xr:uid="{E652DA24-A096-432D-AA7D-A086AB629CDC}"/>
    <cellStyle name="Style 64 3 2 2 2 4 2" xfId="23279" xr:uid="{7A41DFAE-1C76-479F-8968-21F42F548267}"/>
    <cellStyle name="Style 64 3 2 2 2 5" xfId="7063" xr:uid="{0089A2B5-50C4-4CE4-9DB0-B3DA9DD29252}"/>
    <cellStyle name="Style 64 3 2 2 2 5 2" xfId="23280" xr:uid="{1CB68C41-7A69-42B1-A8FD-D35CBB52409E}"/>
    <cellStyle name="Style 64 3 2 2 2 6" xfId="7064" xr:uid="{04EE9158-A8E5-4256-9405-C0F145F69E68}"/>
    <cellStyle name="Style 64 3 2 2 2 6 2" xfId="23281" xr:uid="{11E62D7B-2E37-45D0-BEF4-4C1517C5ED35}"/>
    <cellStyle name="Style 64 3 2 2 3" xfId="1868" xr:uid="{5AE873AC-EBED-4E22-ADEC-CF5B1010B4C7}"/>
    <cellStyle name="Style 64 3 2 2 3 2" xfId="7065" xr:uid="{4FEC1E1A-C7F4-4E06-82D8-AFB0B5CAE3E8}"/>
    <cellStyle name="Style 64 3 2 2 3 2 2" xfId="7066" xr:uid="{4B46AA50-C4B3-4F31-8C6D-64D660041164}"/>
    <cellStyle name="Style 64 3 2 2 3 2 2 2" xfId="23282" xr:uid="{2C79768B-C2D7-4D88-A918-B56279B30D9A}"/>
    <cellStyle name="Style 64 3 2 2 3 3" xfId="7067" xr:uid="{FC8E2B74-A2C5-4B15-980F-76133C8B6A7D}"/>
    <cellStyle name="Style 64 3 2 2 3 3 2" xfId="23283" xr:uid="{D281AA6D-1FAB-4B54-B0FD-BAD4315D9ACD}"/>
    <cellStyle name="Style 64 3 2 2 3 4" xfId="7068" xr:uid="{10BDB9C8-C129-4F5C-9826-72A1500EB674}"/>
    <cellStyle name="Style 64 3 2 2 3 4 2" xfId="23284" xr:uid="{988CE55E-6761-4CCD-9024-803F81F44016}"/>
    <cellStyle name="Style 64 3 2 2 3 5" xfId="7069" xr:uid="{1409C539-7DDA-4095-9A2B-066746572590}"/>
    <cellStyle name="Style 64 3 2 2 3 5 2" xfId="23285" xr:uid="{DFD8BDBF-FFA9-491D-BF0E-9AA4FA8A953C}"/>
    <cellStyle name="Style 64 3 2 2 4" xfId="7070" xr:uid="{1AC1D8EA-4B90-4922-951E-431916F8732F}"/>
    <cellStyle name="Style 64 3 2 2 4 2" xfId="7071" xr:uid="{F1FB49D1-EBC8-46B9-B552-1B96B3CCB6DD}"/>
    <cellStyle name="Style 64 3 2 2 4 2 2" xfId="23286" xr:uid="{B1C0D56D-40BA-436B-A54F-E0CC54D110F0}"/>
    <cellStyle name="Style 64 3 2 2 5" xfId="7072" xr:uid="{E51840CF-3B51-47C5-AAA7-ECDAEA44B160}"/>
    <cellStyle name="Style 64 3 2 2 5 2" xfId="23287" xr:uid="{711382E4-DFA0-4CC6-9340-B965977C0109}"/>
    <cellStyle name="Style 64 3 2 2 6" xfId="7073" xr:uid="{A2E8B80D-34D7-4BFF-9DF1-4F065C61740B}"/>
    <cellStyle name="Style 64 3 2 2 6 2" xfId="23288" xr:uid="{E3CDA596-3730-44AF-AF4E-5CFE7061371E}"/>
    <cellStyle name="Style 64 3 2 2 7 2" xfId="23289" xr:uid="{D4FC7254-2D77-471A-8CBA-7F6284373745}"/>
    <cellStyle name="Style 64 3 2 3 2" xfId="1869" xr:uid="{673E1A1D-5C4C-44B4-A981-20DB04BCD662}"/>
    <cellStyle name="Style 64 3 2 3 2 2 2" xfId="7074" xr:uid="{BB9DF661-1FC3-4A2A-BA1B-092C8D9BD7E7}"/>
    <cellStyle name="Style 64 3 2 3 2 3" xfId="7075" xr:uid="{A51C9301-BFF5-407A-8682-40D2752562A7}"/>
    <cellStyle name="Style 64 3 2 3 2 4" xfId="7076" xr:uid="{DD49CA57-C9B9-4BB9-B2EE-CD67A249A6B7}"/>
    <cellStyle name="Style 64 3 2 3 2 5" xfId="7077" xr:uid="{DC326481-F854-48C4-B6D0-80221189A251}"/>
    <cellStyle name="Style 64 3 2 3 3" xfId="7078" xr:uid="{2D859FF7-8013-4FF2-AFDA-FF0D6EE1C0F6}"/>
    <cellStyle name="Style 64 3 2 3 3 2 2" xfId="23290" xr:uid="{1BFD7ED0-82A2-4A5B-B587-357704E009C6}"/>
    <cellStyle name="Style 64 3 2 3 4 2" xfId="23291" xr:uid="{A6068B6D-6CFF-49FA-92A7-5128A7155B81}"/>
    <cellStyle name="Style 64 3 2 3 5 2" xfId="23292" xr:uid="{2A52824E-2F99-447B-89D3-0BC7DB46F4E1}"/>
    <cellStyle name="Style 64 3 2 3 6 2" xfId="23293" xr:uid="{8357B9DD-612E-4AE7-8AB9-57C5BD597DAF}"/>
    <cellStyle name="Style 64 3 2 4 2" xfId="7079" xr:uid="{E9703DAD-6206-4301-9DF4-E792ABFF5C4D}"/>
    <cellStyle name="Style 64 3 2 4 2 2 2" xfId="23294" xr:uid="{AAE2610E-B98C-4E19-B2C6-253EBEF9DFBF}"/>
    <cellStyle name="Style 64 3 2 4 3 2" xfId="23295" xr:uid="{55F3F98E-B940-40F3-B0E4-3800A3F8FB2A}"/>
    <cellStyle name="Style 64 3 2 4 4 2" xfId="23296" xr:uid="{BF3CCE47-921B-4725-96E0-5341B8A18E85}"/>
    <cellStyle name="Style 64 3 2 4 5 2" xfId="23297" xr:uid="{4547B87D-7EDC-4146-891C-C2BEA14BCE23}"/>
    <cellStyle name="Style 64 3 2 5 2" xfId="7080" xr:uid="{34A58860-0536-4AFD-9E22-878D23F0C6D5}"/>
    <cellStyle name="Style 64 3 2 6" xfId="7081" xr:uid="{8283EB16-FF20-4E51-873D-604453B8D213}"/>
    <cellStyle name="Style 64 3 2 7" xfId="7082" xr:uid="{1054DDC8-B493-429F-B901-35EB42835417}"/>
    <cellStyle name="Style 64 3 2 8" xfId="7083" xr:uid="{94CD88AD-3572-4226-BD5F-272BD6AC59C5}"/>
    <cellStyle name="Style 64 3 3" xfId="1870" xr:uid="{E760A38F-93DA-4198-BD2C-084388DE23BB}"/>
    <cellStyle name="Style 64 3 3 2 2" xfId="1871" xr:uid="{27A5E385-B8E0-4034-B47C-E08D0C7D3A3B}"/>
    <cellStyle name="Style 64 3 3 2 2 2 2" xfId="7084" xr:uid="{3D19E45F-3FEF-4133-B57E-71EB213B3EAB}"/>
    <cellStyle name="Style 64 3 3 2 2 2 2 2 2" xfId="23298" xr:uid="{B80AD877-07CF-4384-A7BC-D35AAE6C3A86}"/>
    <cellStyle name="Style 64 3 3 2 2 2 3 2" xfId="23299" xr:uid="{DB1E220B-C1CD-4EDA-B85C-DABC8049238E}"/>
    <cellStyle name="Style 64 3 3 2 2 2 4 2" xfId="23300" xr:uid="{A438DAD4-DDEA-46AE-B7F2-CF5CADB0B1D9}"/>
    <cellStyle name="Style 64 3 3 2 2 2 5 2" xfId="23301" xr:uid="{772CCC35-9F60-4DBA-96A6-D184354E3FB4}"/>
    <cellStyle name="Style 64 3 3 2 2 3 2" xfId="7085" xr:uid="{3BC709D6-E158-4561-9520-F7BDD48D9C83}"/>
    <cellStyle name="Style 64 3 3 2 2 4" xfId="7086" xr:uid="{3998BC80-3D5E-467D-BC83-1A922724E627}"/>
    <cellStyle name="Style 64 3 3 2 2 5" xfId="7087" xr:uid="{ADA69063-34FA-436E-84E1-1B9FBF1AD68C}"/>
    <cellStyle name="Style 64 3 3 2 2 6" xfId="7088" xr:uid="{BF3A9639-2469-4E7D-86C1-D5131853D114}"/>
    <cellStyle name="Style 64 3 3 2 3" xfId="1872" xr:uid="{54402B69-33F3-43FF-9AF0-CB2103A3337B}"/>
    <cellStyle name="Style 64 3 3 2 3 2 2" xfId="7089" xr:uid="{DE896A40-C91B-4C6B-B18F-BF8D6FF30473}"/>
    <cellStyle name="Style 64 3 3 2 3 3" xfId="7090" xr:uid="{0D2177B2-D44E-4216-9A10-60B41B9359E4}"/>
    <cellStyle name="Style 64 3 3 2 3 4" xfId="7091" xr:uid="{99F499F9-D52C-4329-9543-0CBD9E174E36}"/>
    <cellStyle name="Style 64 3 3 2 3 5" xfId="7092" xr:uid="{CA11DDC4-6A05-4C2C-BAE1-7AD0C216CECE}"/>
    <cellStyle name="Style 64 3 3 2 3 6" xfId="7093" xr:uid="{6F815C86-F172-43CD-9CC6-5AD0ADAA37E1}"/>
    <cellStyle name="Style 64 3 3 2 4" xfId="7094" xr:uid="{FE693F80-4024-4BD5-9709-FD77B836FDAA}"/>
    <cellStyle name="Style 64 3 3 2 4 2 2" xfId="23302" xr:uid="{B6993D5A-B007-4BF3-8FE1-D5A66509E8A3}"/>
    <cellStyle name="Style 64 3 3 2 5 2" xfId="23303" xr:uid="{A9F3392A-4989-437A-84E4-8E3B257C6168}"/>
    <cellStyle name="Style 64 3 3 2 6 2" xfId="23304" xr:uid="{FAB87B32-AD5E-4642-A294-2DD8C24F0636}"/>
    <cellStyle name="Style 64 3 3 2 7 2" xfId="23305" xr:uid="{6CA4F748-ECA8-4D30-96AE-D10D93034247}"/>
    <cellStyle name="Style 64 3 3 3 2" xfId="7095" xr:uid="{1AE563BA-C626-4384-8616-3F38ED7971D1}"/>
    <cellStyle name="Style 64 3 3 3 2 2 2" xfId="23306" xr:uid="{201355A9-2C41-4C89-8CCA-27FD39872E45}"/>
    <cellStyle name="Style 64 3 3 3 3 2" xfId="23307" xr:uid="{D354779C-FEED-4B86-BD01-FE250897FE62}"/>
    <cellStyle name="Style 64 3 3 3 4 2" xfId="23308" xr:uid="{263CFE05-77F7-4F2B-922B-98882025C826}"/>
    <cellStyle name="Style 64 3 3 3 5 2" xfId="23309" xr:uid="{183883F2-A474-4B99-8991-59EF5FB0651C}"/>
    <cellStyle name="Style 64 3 3 3 6 2" xfId="23310" xr:uid="{3CBBEC09-C2B8-4718-8D0C-2153CFAA1D8E}"/>
    <cellStyle name="Style 64 3 3 4 2" xfId="7096" xr:uid="{78913F52-5007-4FC1-B094-08262DAD197A}"/>
    <cellStyle name="Style 64 3 3 4 2 2" xfId="23311" xr:uid="{E67CABCC-349D-4BA7-BE92-3E4A3CB826F3}"/>
    <cellStyle name="Style 64 3 3 5" xfId="7097" xr:uid="{E4D1469A-E628-4DBA-8677-66C598D1DB90}"/>
    <cellStyle name="Style 64 3 3 5 2" xfId="7098" xr:uid="{6CAFB50A-F4DC-416B-86EB-5EB0D5F14147}"/>
    <cellStyle name="Style 64 3 3 5 2 2" xfId="23312" xr:uid="{AB8C36AE-FB3D-48FB-90F5-ABA3778E167F}"/>
    <cellStyle name="Style 64 3 3 6" xfId="7099" xr:uid="{B29ADCC0-0E1E-4D8D-AD79-139CDF38687C}"/>
    <cellStyle name="Style 64 3 3 6 2" xfId="23313" xr:uid="{F4007EF0-FE02-4BB8-9C68-FAA06FFBB08B}"/>
    <cellStyle name="Style 64 3 3 7" xfId="7100" xr:uid="{84DFF31F-92C1-4A63-94B9-CB01ED4C7B05}"/>
    <cellStyle name="Style 64 3 3 7 2" xfId="23314" xr:uid="{E8CCD7B6-E10E-4022-8BC9-13FB8513E34C}"/>
    <cellStyle name="Style 64 3 4" xfId="1873" xr:uid="{8DD9860D-284E-40C6-8250-0BFAED8F81A9}"/>
    <cellStyle name="Style 64 3 4 2" xfId="1874" xr:uid="{6DBC1C4E-1818-4F28-B866-38B8BFF5C418}"/>
    <cellStyle name="Style 64 3 4 2 2" xfId="7101" xr:uid="{447A0264-7CB9-4628-BD5E-98F5C7BF25AB}"/>
    <cellStyle name="Style 64 3 4 2 2 2" xfId="7102" xr:uid="{9F89B33F-EA32-450B-9111-6D1A067BE7D2}"/>
    <cellStyle name="Style 64 3 4 2 2 2 2" xfId="23315" xr:uid="{D14493C5-E7E9-4169-BB31-EB69AC265EB6}"/>
    <cellStyle name="Style 64 3 4 2 3" xfId="7103" xr:uid="{A251CF2E-DABB-4A0D-9A8B-503E25C2C4BF}"/>
    <cellStyle name="Style 64 3 4 2 3 2" xfId="23316" xr:uid="{FC56B5C4-95BE-4F2C-AE60-957E428B9CBD}"/>
    <cellStyle name="Style 64 3 4 2 4" xfId="7104" xr:uid="{DD367D94-19A0-469F-AADF-C5CA8FFBE394}"/>
    <cellStyle name="Style 64 3 4 2 4 2" xfId="23317" xr:uid="{7F45691E-FFCE-403D-ABB9-ADE4CBBB0C84}"/>
    <cellStyle name="Style 64 3 4 2 5" xfId="7105" xr:uid="{21EBB6DD-82BA-48D6-90A6-2E41ED79B157}"/>
    <cellStyle name="Style 64 3 4 2 5 2" xfId="23318" xr:uid="{1221604D-74E5-4E7F-9E50-884AF27CC0F6}"/>
    <cellStyle name="Style 64 3 4 2 6" xfId="7106" xr:uid="{A4BB6BF9-7FB9-443B-B378-285199208837}"/>
    <cellStyle name="Style 64 3 4 2 6 2" xfId="23319" xr:uid="{E3131B54-095F-4F50-AE51-471ED7420355}"/>
    <cellStyle name="Style 64 3 4 3" xfId="7107" xr:uid="{263E202C-D5D6-4680-B5FA-66BFE2ABAFAF}"/>
    <cellStyle name="Style 64 3 4 3 2" xfId="7108" xr:uid="{8540990F-A65D-4229-88DA-B8AC17B23EB8}"/>
    <cellStyle name="Style 64 3 4 3 2 2" xfId="23320" xr:uid="{D5848BA8-BE51-44D5-8370-56F7FB1E6B05}"/>
    <cellStyle name="Style 64 3 4 4" xfId="7109" xr:uid="{F20DC6E2-FBEC-411F-A234-3CD999C16244}"/>
    <cellStyle name="Style 64 3 4 4 2" xfId="23321" xr:uid="{38E33505-A56E-4E1B-AA20-2E9D5EE2AD44}"/>
    <cellStyle name="Style 64 3 4 5" xfId="7110" xr:uid="{AA16D4ED-D3DF-4EB7-8959-931D3FE6A025}"/>
    <cellStyle name="Style 64 3 4 5 2" xfId="23322" xr:uid="{01443969-B1A9-483F-8AD7-8AC4F4B65925}"/>
    <cellStyle name="Style 64 3 4 6" xfId="7111" xr:uid="{BA546C7D-D9E4-4669-B309-8FCF1047362E}"/>
    <cellStyle name="Style 64 3 4 6 2" xfId="23323" xr:uid="{2BD291FB-9358-44B0-AE0B-5120F64DEB9E}"/>
    <cellStyle name="Style 64 3 4 7 2" xfId="23324" xr:uid="{B35A48C7-8EEF-45BD-819F-AE6202AF98D7}"/>
    <cellStyle name="Style 64 3 5 2" xfId="7112" xr:uid="{51ECEA34-B836-4190-BC24-0F62C56936B0}"/>
    <cellStyle name="Style 64 3 5 2 2 2" xfId="23325" xr:uid="{F98F861C-F29D-46F6-A48B-0D46F996B244}"/>
    <cellStyle name="Style 64 3 5 3 2" xfId="23326" xr:uid="{9F0CA22C-4718-46A5-BE35-72F400782F6E}"/>
    <cellStyle name="Style 64 3 5 4 2" xfId="23327" xr:uid="{C853E700-020D-447C-8C5A-29400367AF6D}"/>
    <cellStyle name="Style 64 3 5 5 2" xfId="23328" xr:uid="{E545ABB5-52E7-4D73-8F1C-EC9DC63648DE}"/>
    <cellStyle name="Style 64 3 5 6 2" xfId="23329" xr:uid="{B1DB2682-7B7C-4482-96D1-1117657D192E}"/>
    <cellStyle name="Style 64 3 6 2" xfId="7113" xr:uid="{B4C07C62-2CC2-42B1-9AEB-B548A76EE674}"/>
    <cellStyle name="Style 64 3 7" xfId="7114" xr:uid="{91CDFE1E-9254-4F48-8942-E46E0EB1B9C6}"/>
    <cellStyle name="Style 64 3 8" xfId="7115" xr:uid="{3CE1302D-582B-4C9B-A623-EF99F0ACCD44}"/>
    <cellStyle name="Style 64 3 9" xfId="7116" xr:uid="{66597C5B-1B0B-4FB2-99E1-FC0164A49D62}"/>
    <cellStyle name="Style 64 4 2 2" xfId="1875" xr:uid="{8B83206F-825F-42E4-A9D9-2FB08351B86E}"/>
    <cellStyle name="Style 64 4 2 2 2 2 2 2" xfId="23330" xr:uid="{CE9E9474-1E9B-454D-9390-270AD52BC2CA}"/>
    <cellStyle name="Style 64 4 2 2 2 4 2" xfId="23331" xr:uid="{F09D9C77-0499-4842-8697-BDF8E7DE6044}"/>
    <cellStyle name="Style 64 4 2 2 2 6 2" xfId="23332" xr:uid="{826A4E81-B97D-45B2-B190-0C273468EF3B}"/>
    <cellStyle name="Style 64 4 2 2 4" xfId="7117" xr:uid="{C4FA7401-C836-4540-B925-BC48AD585CF4}"/>
    <cellStyle name="Style 64 4 2 2 6" xfId="7118" xr:uid="{3194E5A3-2185-4D2F-B1EF-7B2A659779CF}"/>
    <cellStyle name="Style 64 4 2 3" xfId="1876" xr:uid="{760EF925-B251-41C1-99CD-D9F8C12BB391}"/>
    <cellStyle name="Style 64 4 2 3 3" xfId="7119" xr:uid="{64C14C5D-ABBD-4A52-A2EB-08172EECDA52}"/>
    <cellStyle name="Style 64 4 2 3 5" xfId="7120" xr:uid="{D85FD884-8291-40B8-99B1-CFBB9BF2C4AE}"/>
    <cellStyle name="Style 64 4 2 4" xfId="7121" xr:uid="{61FEF056-8376-41AD-A730-14218311B885}"/>
    <cellStyle name="Style 64 4 2 5 2" xfId="23333" xr:uid="{C247E02B-BCF2-4F79-B719-025735206F98}"/>
    <cellStyle name="Style 64 4 2 7 2" xfId="23334" xr:uid="{E654A9CE-54C6-42D8-B4A6-F4EA27BD6F44}"/>
    <cellStyle name="Style 64 4 3 2" xfId="7122" xr:uid="{ACEC851E-29DE-4B5B-B74D-D26922DE6029}"/>
    <cellStyle name="Style 64 4 3 3 2" xfId="23335" xr:uid="{078A2C7B-3B80-4736-926E-188352D8D9A1}"/>
    <cellStyle name="Style 64 4 3 5 2" xfId="23336" xr:uid="{DD6C7FD9-CED7-416E-BEAE-679D2E8311BB}"/>
    <cellStyle name="Style 64 4 4 2" xfId="7123" xr:uid="{A0B6225D-B45D-49FF-AE66-81D1DA2AAF0A}"/>
    <cellStyle name="Style 64 4 5 2 2" xfId="23337" xr:uid="{A699394D-7F61-46CC-A00D-DF1F45A0D7A7}"/>
    <cellStyle name="Style 64 4 7 2" xfId="23338" xr:uid="{7A819828-74F7-4A69-950B-9367B3468F39}"/>
    <cellStyle name="Style 64 5 2" xfId="1877" xr:uid="{4D96780F-E352-494F-A0D6-4435D8D38257}"/>
    <cellStyle name="Style 64 5 2 3" xfId="7124" xr:uid="{52E05E29-9150-4B11-AF8C-317334E0EAA6}"/>
    <cellStyle name="Style 64 5 2 5" xfId="7125" xr:uid="{83E37E90-B9FA-4831-920E-D3C51165F6CD}"/>
    <cellStyle name="Style 64 5 3" xfId="7126" xr:uid="{11DD1E51-A771-45A8-97BF-1D61D591053E}"/>
    <cellStyle name="Style 64 5 4 2" xfId="23339" xr:uid="{4D679012-E37F-4201-B259-423761DC0C1A}"/>
    <cellStyle name="Style 64 5 6 2" xfId="23340" xr:uid="{83E72E57-3DC4-4EB8-A442-472227A192D1}"/>
    <cellStyle name="Style 64 6 2" xfId="2770" xr:uid="{2E5B6BA2-A566-4019-BA6F-7B3B8EC1221C}"/>
    <cellStyle name="Style 64 6 3 2" xfId="7127" xr:uid="{26CD4135-EC6C-4616-B4AA-449710191D68}"/>
    <cellStyle name="Style 64 6 5" xfId="7128" xr:uid="{8BF40201-56E4-423B-AD99-4884A4A832BB}"/>
    <cellStyle name="Style 64 7" xfId="2769" xr:uid="{4C0BA97F-E2C5-493F-864E-EE96E277C5D7}"/>
    <cellStyle name="Style 64 8" xfId="4324" xr:uid="{B59B3CD3-8977-45CD-BE9E-EEE1E86D0B51}"/>
    <cellStyle name="Style 64 9 2" xfId="21289" xr:uid="{9A6CA7FB-691C-4706-8C3E-8881D91C53D7}"/>
    <cellStyle name="Style 69 10 2" xfId="1878" xr:uid="{534CCEE1-8B70-45D5-B2A0-FACC8FDE8411}"/>
    <cellStyle name="Style 69 10 2 2 3" xfId="22046" xr:uid="{F37DDECC-31FC-40E4-AA10-CAB2566A0ACA}"/>
    <cellStyle name="Style 69 10 2 4 2" xfId="23341" xr:uid="{9E388C39-C704-4064-B8EE-8270263005FC}"/>
    <cellStyle name="Style 69 10 2 6 2" xfId="23342" xr:uid="{728B8DFE-1B82-4878-8684-A684C2FC26D1}"/>
    <cellStyle name="Style 69 10 3 2 2" xfId="23343" xr:uid="{3ABEF932-8718-4BA2-A324-E7D9BA7A1A33}"/>
    <cellStyle name="Style 69 10 5" xfId="7129" xr:uid="{736D4069-E9F7-4A6E-90AB-B2EB775F4815}"/>
    <cellStyle name="Style 69 10 7" xfId="7130" xr:uid="{59E9594E-AF9D-4D1C-A2B2-1E167900FE12}"/>
    <cellStyle name="Style 69 11 2" xfId="1879" xr:uid="{9FAA7A27-CA9D-4E00-86DC-BAC99B576C96}"/>
    <cellStyle name="Style 69 11 2 2 3" xfId="22047" xr:uid="{4FFA4CFE-AC04-4FFA-A199-5474EDA2C442}"/>
    <cellStyle name="Style 69 11 2 4 2" xfId="23344" xr:uid="{4CFC3DAD-D959-4889-93BE-F7F1BD0C923A}"/>
    <cellStyle name="Style 69 11 2 6 2" xfId="23345" xr:uid="{B1D0AFC4-23CD-4274-A9A4-72F70446FC52}"/>
    <cellStyle name="Style 69 11 3 2 2" xfId="23346" xr:uid="{30AF5568-06C5-40FB-9E73-C50C7FD9A0D2}"/>
    <cellStyle name="Style 69 11 5" xfId="7131" xr:uid="{20F07B0A-B15C-4186-9250-F25965F611C0}"/>
    <cellStyle name="Style 69 11 7" xfId="7132" xr:uid="{666DFA95-D2F4-487C-A06A-DB612A158285}"/>
    <cellStyle name="Style 69 12 10" xfId="7133" xr:uid="{F3FC3DCF-65D6-4679-AC34-83164626FBAE}"/>
    <cellStyle name="Style 69 12 2 2" xfId="7134" xr:uid="{983C9702-2B62-4276-A5BE-4A1E24D2D5BC}"/>
    <cellStyle name="Style 69 12 2 4" xfId="7135" xr:uid="{EF9447E2-84C2-411D-84C1-EAC397B71E17}"/>
    <cellStyle name="Style 69 12 2 6" xfId="7136" xr:uid="{F23F3D65-79CB-4CDC-A13D-FE1E4291C2CA}"/>
    <cellStyle name="Style 69 12 3 2" xfId="7137" xr:uid="{83614C67-08DC-46E4-A07E-4920BF570CB5}"/>
    <cellStyle name="Style 69 12 3 4" xfId="7138" xr:uid="{37DA5991-AD75-43B3-AF94-3EE25C51FAA3}"/>
    <cellStyle name="Style 69 12 3 6" xfId="23347" xr:uid="{23776DE7-3797-49E1-85CA-EB15F4F84996}"/>
    <cellStyle name="Style 69 12 4 3" xfId="7139" xr:uid="{8113E970-1B23-4E19-83E9-3AE86593791F}"/>
    <cellStyle name="Style 69 12 4 5" xfId="7140" xr:uid="{15EBAD8D-5858-464F-A7D2-788D4B20F56A}"/>
    <cellStyle name="Style 69 12 5 2" xfId="23348" xr:uid="{648670AD-D1B4-4A94-ABD5-C80C2A253C16}"/>
    <cellStyle name="Style 69 12 7 2" xfId="23349" xr:uid="{0EE44940-154F-4EA0-A5BB-13D6D6DA813C}"/>
    <cellStyle name="Style 69 12 9 2" xfId="23350" xr:uid="{93D19D3E-5F70-4EFC-954C-8DC65942E740}"/>
    <cellStyle name="Style 69 13 3" xfId="7141" xr:uid="{B2FF0D6F-7EE2-4A2B-95E9-334796DF4112}"/>
    <cellStyle name="Style 69 13 5" xfId="7142" xr:uid="{8DB00BB1-A80A-48D2-BAE7-08A77417831C}"/>
    <cellStyle name="Style 69 13 7" xfId="7143" xr:uid="{5E45B9B9-321B-46CD-9037-46D983F5D050}"/>
    <cellStyle name="Style 69 14 2" xfId="7144" xr:uid="{B6E6AC7C-14CD-4F5D-9824-50EA05F4CB2D}"/>
    <cellStyle name="Style 69 14 4" xfId="7145" xr:uid="{48B77570-D4F0-42B6-AF86-DFC7D4B9B2A1}"/>
    <cellStyle name="Style 69 14 6" xfId="7146" xr:uid="{A11F456D-339D-4E49-AAFC-503AE95B065F}"/>
    <cellStyle name="Style 69 15 2" xfId="7147" xr:uid="{2403F9ED-9BBE-4CF5-9DAC-D70C1E44EB07}"/>
    <cellStyle name="Style 69 15 4" xfId="7148" xr:uid="{E43EE865-7E1B-4945-BB6D-0619248996B9}"/>
    <cellStyle name="Style 69 15 6" xfId="23351" xr:uid="{9771EAFB-667F-42B8-A7A7-452244A34CE1}"/>
    <cellStyle name="Style 69 17 2" xfId="23352" xr:uid="{D42461C7-827E-450C-9695-41095C518411}"/>
    <cellStyle name="Style 69 19 2" xfId="23353" xr:uid="{6219F086-0FDC-4805-8A64-0E66975AC815}"/>
    <cellStyle name="Style 69 2 2 2 2" xfId="23354" xr:uid="{ECD124A3-4066-4996-92F5-D36BF8C6D985}"/>
    <cellStyle name="Style 69 2 4" xfId="7149" xr:uid="{123D85D7-336B-4166-84BC-67CB658469D3}"/>
    <cellStyle name="Style 69 2 6" xfId="7150" xr:uid="{A691599C-6247-4741-BBDB-FA2846219A40}"/>
    <cellStyle name="Style 69 20 2" xfId="23355" xr:uid="{B4A5E8F2-0B69-4A2E-926F-31277A024BBC}"/>
    <cellStyle name="Style 69 3 2" xfId="1880" xr:uid="{C892F363-15AF-4079-8583-7658742EC164}"/>
    <cellStyle name="Style 69 3 2 2 2 2 2" xfId="23356" xr:uid="{56C06274-9DF7-4122-9EDB-5716EED0291F}"/>
    <cellStyle name="Style 69 3 2 2 4" xfId="7151" xr:uid="{8E0F076D-E4F0-4CF6-A4F6-0CF6B61DB9FD}"/>
    <cellStyle name="Style 69 3 2 2 6" xfId="7152" xr:uid="{9AC1A991-E046-49D7-BF0E-0E7F246E4EE5}"/>
    <cellStyle name="Style 69 3 2 3 2" xfId="7153" xr:uid="{D1DA2781-4316-4FCC-A537-B02F2D4A0CF7}"/>
    <cellStyle name="Style 69 3 2 4 2" xfId="23357" xr:uid="{124D1BDE-E6DC-4031-9BCE-92AC7FD700EF}"/>
    <cellStyle name="Style 69 3 2 6 2" xfId="23358" xr:uid="{5CCB288F-5761-4DF3-AE9B-95373ACD6827}"/>
    <cellStyle name="Style 69 3 3" xfId="1881" xr:uid="{C2B5DC4E-F1B7-4CE7-86B3-1A31FD08D14E}"/>
    <cellStyle name="Style 69 3 3 2" xfId="1882" xr:uid="{CC9E983C-49BC-4860-AF71-89B2DA8FBFED}"/>
    <cellStyle name="Style 69 3 3 2 2 3" xfId="22048" xr:uid="{D063BCFC-9A0D-4088-9086-F1B20F559D56}"/>
    <cellStyle name="Style 69 3 3 2 4 2" xfId="23359" xr:uid="{73AE2025-7EFE-4B8B-91C3-0C0F87E0BBE0}"/>
    <cellStyle name="Style 69 3 3 2 6 2" xfId="23360" xr:uid="{BFB58CEA-A8D3-4CB1-9818-059C3B1331B0}"/>
    <cellStyle name="Style 69 3 3 3 2 2" xfId="4326" xr:uid="{163F9DEF-6236-4A39-87B3-6728F6CC9732}"/>
    <cellStyle name="Style 69 3 3 3 2 3" xfId="7154" xr:uid="{A2259B35-2EAA-48F8-B50A-3E00A03EF714}"/>
    <cellStyle name="Style 69 3 3 3 2 5" xfId="7155" xr:uid="{859E55AC-C8CE-4D7C-A401-6C09F343BD60}"/>
    <cellStyle name="Style 69 3 3 3 2 7" xfId="18896" xr:uid="{26D5826F-1367-485E-BB71-E5D2392601E7}"/>
    <cellStyle name="Style 69 3 3 3 3 3" xfId="18897" xr:uid="{3AA9CB4B-D52C-41E4-9FD5-21BC6233FDC0}"/>
    <cellStyle name="Style 69 3 3 3 4 3" xfId="19614" xr:uid="{C0411506-939F-47EA-9F79-4059ACEBB70A}"/>
    <cellStyle name="Style 69 3 3 3 5 3" xfId="22049" xr:uid="{29F85000-8EE5-4AB8-B8C9-BEC45BE4B9D5}"/>
    <cellStyle name="Style 69 3 3 3 7 2" xfId="23361" xr:uid="{B3CFC229-3303-48A1-9ED6-815363D3CFF3}"/>
    <cellStyle name="Style 69 3 3 4" xfId="1883" xr:uid="{B21A54EA-F966-4CA7-9E45-21949753B51E}"/>
    <cellStyle name="Style 69 3 3 4 2 2 2 2" xfId="23362" xr:uid="{42BCFF30-75B1-4FCD-93EB-AE018F4B7F75}"/>
    <cellStyle name="Style 69 3 3 4 2 4" xfId="7156" xr:uid="{EB5D2D76-9851-4945-BAB5-C63FD9A01FFF}"/>
    <cellStyle name="Style 69 3 3 4 2 6" xfId="7157" xr:uid="{46935276-417B-4FE8-A593-E6247D3060C9}"/>
    <cellStyle name="Style 69 3 3 4 3 2" xfId="7158" xr:uid="{B65485CA-38C9-4048-AD9F-FB931AE0C172}"/>
    <cellStyle name="Style 69 3 3 4 4 2" xfId="23363" xr:uid="{7056034E-8164-434D-89AE-8007BD68E326}"/>
    <cellStyle name="Style 69 3 3 4 6 2" xfId="23364" xr:uid="{78FBE84C-108F-47D9-AA74-AE9035F93756}"/>
    <cellStyle name="Style 69 3 3 5" xfId="4327" xr:uid="{ED252233-8532-4F18-A7A3-6AA8C58E2F0A}"/>
    <cellStyle name="Style 69 3 3 6" xfId="4325" xr:uid="{9E2C2217-4E46-4219-B263-CA2081AF4D36}"/>
    <cellStyle name="Style 69 3 3 7" xfId="7159" xr:uid="{8F7113C8-D679-47D2-A08F-50C0BBFB93E4}"/>
    <cellStyle name="Style 69 3 3 9" xfId="7160" xr:uid="{D23F6E2E-FA45-4012-8448-A16413B20442}"/>
    <cellStyle name="Style 69 3 4 2 2" xfId="7161" xr:uid="{C4EB45EB-6D57-49A4-9658-1C0BA0698590}"/>
    <cellStyle name="Style 69 3 4 3 2" xfId="7162" xr:uid="{6E30D946-B02D-465C-B5D1-EB96DF0F4F6D}"/>
    <cellStyle name="Style 69 3 4 4 2" xfId="7163" xr:uid="{B2FDA5DE-BDED-465F-958B-45E7C71A9529}"/>
    <cellStyle name="Style 69 3 4 5 2" xfId="23365" xr:uid="{2F4C1EEF-228B-46AB-9F75-E12A1C178727}"/>
    <cellStyle name="Style 69 3 5" xfId="4328" xr:uid="{3948C7E7-E05D-40FF-B15E-651CB21BB4CD}"/>
    <cellStyle name="Style 69 3 5 3 2" xfId="23366" xr:uid="{ECDEF1FD-89ED-447E-8F48-62D8084EBCE2}"/>
    <cellStyle name="Style 69 3 6 2 2" xfId="23367" xr:uid="{8D08B9D2-F7CB-4A45-8F3D-254F52C11E00}"/>
    <cellStyle name="Style 69 3 8" xfId="7164" xr:uid="{51D34909-B05A-466C-912E-B2FADEE8E291}"/>
    <cellStyle name="Style 69 4" xfId="1884" xr:uid="{64D0D529-4B83-4A66-A6F9-446CD6C780D3}"/>
    <cellStyle name="Style 69 4 2 10 2" xfId="23368" xr:uid="{9B551C27-09F0-4B13-A9C2-C93E549B49B4}"/>
    <cellStyle name="Style 69 4 2 2 2 2" xfId="7165" xr:uid="{3EE0CE3C-CC18-4EE9-B8B0-C1DA9D9CB075}"/>
    <cellStyle name="Style 69 4 2 2 3 2" xfId="23369" xr:uid="{E817537F-13A9-464F-A7F5-989882B36221}"/>
    <cellStyle name="Style 69 4 2 2 5 2" xfId="23370" xr:uid="{FE5F7573-FC5B-4660-A852-F8DACE4890E5}"/>
    <cellStyle name="Style 69 4 2 3" xfId="1885" xr:uid="{F994C6AC-C2AC-43ED-9732-24B8A44E1C1E}"/>
    <cellStyle name="Style 69 4 2 3 2 2 2 2" xfId="23371" xr:uid="{19053DC2-ABE7-47D7-8DAE-7B1A40016175}"/>
    <cellStyle name="Style 69 4 2 3 2 4" xfId="7166" xr:uid="{147174CA-29A3-49FC-89A4-3497CE074261}"/>
    <cellStyle name="Style 69 4 2 3 2 6" xfId="7167" xr:uid="{C1317302-3E12-4C3E-90AE-7A3F665E9D48}"/>
    <cellStyle name="Style 69 4 2 3 3 2" xfId="7168" xr:uid="{60DBC482-42DB-4B7C-909D-4B76EB7ED06C}"/>
    <cellStyle name="Style 69 4 2 3 4 2" xfId="7169" xr:uid="{B386D3E3-7C39-4155-A4FF-B2567B09C0EE}"/>
    <cellStyle name="Style 69 4 2 3 5 2" xfId="7170" xr:uid="{1FF78C93-E49E-4490-962E-203817AB6F43}"/>
    <cellStyle name="Style 69 4 2 3 6 2" xfId="23372" xr:uid="{58582625-55A2-4F53-BB61-3FFD53958931}"/>
    <cellStyle name="Style 69 4 2 3 7 2" xfId="23373" xr:uid="{25C62393-6524-4A20-BC99-75585325FA3C}"/>
    <cellStyle name="Style 69 4 2 3 8 2" xfId="23374" xr:uid="{4FEE3B5D-F0BF-43C6-B25C-06EE2FC55387}"/>
    <cellStyle name="Style 69 4 2 4" xfId="1886" xr:uid="{E42F4C8B-05C2-4509-9B1E-9A2D9A51A0A7}"/>
    <cellStyle name="Style 69 4 2 4 2 2" xfId="4332" xr:uid="{56E2D9F2-F4BF-4C70-8FDF-0CF5B0C555B7}"/>
    <cellStyle name="Style 69 4 2 4 2 2 2 2" xfId="23375" xr:uid="{131E06C8-2E57-4F3D-A84A-9597EE36E999}"/>
    <cellStyle name="Style 69 4 2 4 2 3" xfId="7171" xr:uid="{ECF1B893-4394-4DFC-AC32-A3F26E732D50}"/>
    <cellStyle name="Style 69 4 2 4 2 3 2" xfId="23376" xr:uid="{4E4E58AA-E2C4-432A-85B1-F861CF1CBFBC}"/>
    <cellStyle name="Style 69 4 2 4 2 4" xfId="7172" xr:uid="{28064390-9FEE-4FD0-8F63-237A9D4473A7}"/>
    <cellStyle name="Style 69 4 2 4 2 4 2" xfId="23377" xr:uid="{A0E493E5-D82E-4406-86AB-BDB9071CA632}"/>
    <cellStyle name="Style 69 4 2 4 2 5" xfId="7173" xr:uid="{9B07D137-0ADD-4C94-8C9F-41F330BF42DA}"/>
    <cellStyle name="Style 69 4 2 4 2 5 2" xfId="23378" xr:uid="{8D93ACF1-DE44-4398-B9E2-BA6B7FDD76F4}"/>
    <cellStyle name="Style 69 4 2 4 2 6" xfId="7174" xr:uid="{DD5C433A-D2BE-43A5-B408-C173072824E8}"/>
    <cellStyle name="Style 69 4 2 4 2 6 2" xfId="23379" xr:uid="{A5684699-F825-4ACC-B144-E3CC1719D83D}"/>
    <cellStyle name="Style 69 4 2 4 2 7" xfId="18899" xr:uid="{304CDAA4-4A8F-465D-AF1D-65797C1B18AE}"/>
    <cellStyle name="Style 69 4 2 4 3" xfId="4331" xr:uid="{608DDC6A-2FD2-460D-B65B-39EF4D9146C2}"/>
    <cellStyle name="Style 69 4 2 4 3 2" xfId="7175" xr:uid="{7C52A6C5-43BD-4CA8-9C8E-39F7AFFCCB70}"/>
    <cellStyle name="Style 69 4 2 4 3 2 2" xfId="23380" xr:uid="{3D617639-5B50-4C76-8D82-8600C90AC7DC}"/>
    <cellStyle name="Style 69 4 2 4 3 3" xfId="22051" xr:uid="{91DD1CE7-DE4E-4E86-B18B-16EA17DE84C9}"/>
    <cellStyle name="Style 69 4 2 4 4" xfId="7176" xr:uid="{762F3375-0E5C-440E-9036-78114744AA49}"/>
    <cellStyle name="Style 69 4 2 4 4 2" xfId="23381" xr:uid="{9B209B89-1BEA-4411-B989-ACEAABC1BB0A}"/>
    <cellStyle name="Style 69 4 2 4 5" xfId="7177" xr:uid="{378599F1-D84D-4531-9219-C5297132820F}"/>
    <cellStyle name="Style 69 4 2 4 5 2" xfId="23382" xr:uid="{C4F03D82-5962-46DE-A9D1-2767CD35ACD3}"/>
    <cellStyle name="Style 69 4 2 4 6" xfId="7178" xr:uid="{A04F8317-7DFA-49F8-B398-D14CBC9BA96A}"/>
    <cellStyle name="Style 69 4 2 4 6 2" xfId="23383" xr:uid="{67BDE49E-9F49-458C-829A-D7D0364208F2}"/>
    <cellStyle name="Style 69 4 2 4 7" xfId="7179" xr:uid="{E592572D-13F8-4D57-BA03-CB3E83B6F2DF}"/>
    <cellStyle name="Style 69 4 2 4 7 2" xfId="23384" xr:uid="{1489A678-2304-4449-9AB8-7BAA9550F168}"/>
    <cellStyle name="Style 69 4 2 4 8" xfId="18898" xr:uid="{B8E81F8F-B79C-4888-A1E3-B18D78812780}"/>
    <cellStyle name="Style 69 4 2 5" xfId="4333" xr:uid="{5E4278A1-F7B4-418D-B7C4-7BF88E539282}"/>
    <cellStyle name="Style 69 4 2 5 2" xfId="7180" xr:uid="{30E7D14C-BEFD-4A1D-8D5D-4EC10D50683C}"/>
    <cellStyle name="Style 69 4 2 5 2 2" xfId="23385" xr:uid="{5EA21C7F-D79C-4952-B3CB-F81DD8DC80EE}"/>
    <cellStyle name="Style 69 4 2 5 3" xfId="19615" xr:uid="{4A589779-969F-45DC-826C-30D2B3E8CFC6}"/>
    <cellStyle name="Style 69 4 2 6" xfId="4330" xr:uid="{BBA17957-6585-4CE6-AA13-D5D6B8F4E37F}"/>
    <cellStyle name="Style 69 4 2 6 2" xfId="7181" xr:uid="{9D80B8F3-5475-4CB0-B408-4FC9B1A93ED2}"/>
    <cellStyle name="Style 69 4 2 6 2 2" xfId="23386" xr:uid="{9611D97C-B5E3-4DFE-851B-A50503046910}"/>
    <cellStyle name="Style 69 4 2 6 3" xfId="22050" xr:uid="{CD0ABA82-4E33-4AD3-A1C1-0847928461CB}"/>
    <cellStyle name="Style 69 4 2 7" xfId="7182" xr:uid="{AB2F4215-951C-44DA-BEC6-43696EAB551D}"/>
    <cellStyle name="Style 69 4 2 7 2" xfId="23387" xr:uid="{67EF48A2-6A0A-4832-96F6-DC66AE382E79}"/>
    <cellStyle name="Style 69 4 2 8" xfId="7183" xr:uid="{F5C98C4A-6F05-4DAC-B486-27240F322F17}"/>
    <cellStyle name="Style 69 4 2 8 2" xfId="23388" xr:uid="{A438C6B9-C3F4-4934-BDC3-C3A131049D2C}"/>
    <cellStyle name="Style 69 4 2 9" xfId="7184" xr:uid="{0390C8CA-6CFD-4500-9D20-B4EAA3632580}"/>
    <cellStyle name="Style 69 4 2 9 2" xfId="23389" xr:uid="{E743022D-8230-4D05-B125-80B077EB225F}"/>
    <cellStyle name="Style 69 4 3" xfId="1887" xr:uid="{A74BBCA4-E579-4FE1-A74F-9535C9908FE8}"/>
    <cellStyle name="Style 69 4 3 2" xfId="4334" xr:uid="{450251B6-5A02-4569-A632-61BCB81E8935}"/>
    <cellStyle name="Style 69 4 3 2 2" xfId="7185" xr:uid="{BB10994B-5101-494C-9B0D-4EA42D9C0966}"/>
    <cellStyle name="Style 69 4 3 2 2 2" xfId="23390" xr:uid="{BDDFF87D-B765-476D-A2B0-B3E23077A657}"/>
    <cellStyle name="Style 69 4 3 2 3" xfId="22052" xr:uid="{A50A9552-C4FB-43D7-A850-BE9C529FDAF2}"/>
    <cellStyle name="Style 69 4 3 3" xfId="7186" xr:uid="{14D66169-7B82-422D-B9E1-0229D3E52EC4}"/>
    <cellStyle name="Style 69 4 3 3 2" xfId="23391" xr:uid="{76B53613-D54B-483A-945A-A8BDC17C2ED5}"/>
    <cellStyle name="Style 69 4 3 4" xfId="7187" xr:uid="{7B6EFF46-12D7-4D60-8919-0E83D1DF1CAE}"/>
    <cellStyle name="Style 69 4 3 4 2" xfId="23392" xr:uid="{5190FD19-4B53-42CD-B810-20A9AFF12FBE}"/>
    <cellStyle name="Style 69 4 3 5" xfId="7188" xr:uid="{848DB92F-D715-4464-A9DE-C5DA9DA4DE41}"/>
    <cellStyle name="Style 69 4 3 5 2" xfId="23393" xr:uid="{CDFD852B-863D-49B8-BAF1-A6400360FF80}"/>
    <cellStyle name="Style 69 4 3 6" xfId="7189" xr:uid="{98E7819D-32B6-4529-A1E6-2BE6B731B71C}"/>
    <cellStyle name="Style 69 4 3 6 2" xfId="23394" xr:uid="{6CAC3573-2E34-4EB2-B6B5-23E01448E952}"/>
    <cellStyle name="Style 69 4 3 7" xfId="18900" xr:uid="{06285E75-4724-4F43-8801-7F097E34D06A}"/>
    <cellStyle name="Style 69 4 4" xfId="4335" xr:uid="{04386745-3C4D-4F51-BC34-7DA58D22B8E5}"/>
    <cellStyle name="Style 69 4 4 2" xfId="4336" xr:uid="{C920B316-9217-4795-AEAF-2C4B3899DB86}"/>
    <cellStyle name="Style 69 4 4 2 2" xfId="19616" xr:uid="{E141D655-6BA0-4FD7-B8EF-B2FC36B792A3}"/>
    <cellStyle name="Style 69 4 4 3" xfId="7190" xr:uid="{FF68B8D5-48CC-4A94-9DA4-4B4A0F2FBC72}"/>
    <cellStyle name="Style 69 4 4 3 2" xfId="23395" xr:uid="{F363E68C-26BC-4802-94B7-3FEC2C9120F0}"/>
    <cellStyle name="Style 69 4 4 4" xfId="18901" xr:uid="{F69D3C84-B58C-4D28-883D-690DB4C49D97}"/>
    <cellStyle name="Style 69 4 5" xfId="4329" xr:uid="{A9559331-6642-4D49-9FB4-0208FA71123A}"/>
    <cellStyle name="Style 69 4 5 2" xfId="7191" xr:uid="{0F893C52-4D21-45A1-81EF-9F5698D56D2D}"/>
    <cellStyle name="Style 69 4 5 2 2" xfId="23396" xr:uid="{781CC023-CE44-4840-A6BA-CCEB14B70264}"/>
    <cellStyle name="Style 69 4 5 3" xfId="20661" xr:uid="{99BCDDE2-1021-4A27-90FB-32AF0414041E}"/>
    <cellStyle name="Style 69 4 6" xfId="2950" xr:uid="{ADBAFE7F-34A3-4644-9E15-E62418D536D2}"/>
    <cellStyle name="Style 69 4 6 2" xfId="7192" xr:uid="{F5F86050-66C1-48A4-8DBA-D701DC0A0655}"/>
    <cellStyle name="Style 69 4 6 2 2" xfId="23397" xr:uid="{BF37867A-6C8C-4682-BE1B-70B8CE2E1A50}"/>
    <cellStyle name="Style 69 4 6 3" xfId="21290" xr:uid="{214F830F-95AC-4613-BE6C-E00EC4A75F53}"/>
    <cellStyle name="Style 69 4 7" xfId="7193" xr:uid="{BC0C3958-B844-4EAD-9D13-A5CB90A0C127}"/>
    <cellStyle name="Style 69 4 7 2" xfId="23398" xr:uid="{53E7E8DF-81AB-4EB9-BBE3-CE014BF24671}"/>
    <cellStyle name="Style 69 4 8" xfId="7194" xr:uid="{B28850C0-1E74-45BD-BF66-B7C1FA216D8C}"/>
    <cellStyle name="Style 69 4 8 2" xfId="23399" xr:uid="{A0CC7CA6-7162-4F3C-A772-664ADF4C4758}"/>
    <cellStyle name="Style 69 4 9" xfId="7195" xr:uid="{C57B24E9-7C47-4091-8010-F5318205BE0F}"/>
    <cellStyle name="Style 69 4 9 2" xfId="23400" xr:uid="{228293A0-CA41-4091-9D31-2B61ECF0E590}"/>
    <cellStyle name="Style 69 5" xfId="1888" xr:uid="{70BDBAF1-F15F-4569-94FC-7D13F3642C8B}"/>
    <cellStyle name="Style 69 5 10" xfId="18902" xr:uid="{36F1AB65-0A26-45AC-B9C7-133254F504E3}"/>
    <cellStyle name="Style 69 5 2" xfId="1889" xr:uid="{1234DF04-11AE-40C5-BC0F-3A41BCCE066A}"/>
    <cellStyle name="Style 69 5 2 10" xfId="18903" xr:uid="{612FB286-9437-4DE7-94CB-AC0F88D900DB}"/>
    <cellStyle name="Style 69 5 2 2" xfId="1890" xr:uid="{F99C6858-FD50-4F1F-B72C-67EE61A97BBD}"/>
    <cellStyle name="Style 69 5 2 2 2" xfId="4339" xr:uid="{C82AB7C6-5DE8-45F2-828D-5F474B640DF2}"/>
    <cellStyle name="Style 69 5 2 2 2 2" xfId="7196" xr:uid="{2433D1DB-998E-4D97-BC60-B5D026A5EC1C}"/>
    <cellStyle name="Style 69 5 2 2 2 2 2" xfId="23401" xr:uid="{C17B1008-2D03-4523-8786-BE4E0DD42CA2}"/>
    <cellStyle name="Style 69 5 2 2 2 3" xfId="22054" xr:uid="{C2F2F266-8987-41A5-A514-F80ADD814793}"/>
    <cellStyle name="Style 69 5 2 2 3" xfId="7197" xr:uid="{8491F325-B242-4D88-B891-79BB9917F2BB}"/>
    <cellStyle name="Style 69 5 2 2 3 2" xfId="23402" xr:uid="{F9BD296B-CBC4-41A8-91F3-4D94C0449793}"/>
    <cellStyle name="Style 69 5 2 2 4" xfId="7198" xr:uid="{D9FFA97B-87A0-43FD-BA9B-ACC5E3DAC944}"/>
    <cellStyle name="Style 69 5 2 2 4 2" xfId="23403" xr:uid="{026C35A2-FCC1-4B78-8AAB-A2466DB775FF}"/>
    <cellStyle name="Style 69 5 2 2 5" xfId="7199" xr:uid="{D9ECF000-75F7-4138-8984-AC88B2ABF78A}"/>
    <cellStyle name="Style 69 5 2 2 5 2" xfId="23404" xr:uid="{737D3056-23D6-414F-86A8-F762C5BA7AE4}"/>
    <cellStyle name="Style 69 5 2 2 6" xfId="7200" xr:uid="{B2039A9E-5092-47AF-B947-60244DAEFDEE}"/>
    <cellStyle name="Style 69 5 2 2 6 2" xfId="23405" xr:uid="{47383C1E-5DEC-4E1C-8A4A-552BD8D634F1}"/>
    <cellStyle name="Style 69 5 2 2 7" xfId="18904" xr:uid="{614E56F7-C728-47AD-A4CF-537655F0F132}"/>
    <cellStyle name="Style 69 5 2 3" xfId="1891" xr:uid="{848CD39E-6D80-47D8-971D-49B8415C7A70}"/>
    <cellStyle name="Style 69 5 2 3 10" xfId="18905" xr:uid="{D92BB0F4-1D77-4007-88E6-225081BF3FC2}"/>
    <cellStyle name="Style 69 5 2 3 2" xfId="1892" xr:uid="{C6054874-FA1C-44CE-A70C-7DD46B101E81}"/>
    <cellStyle name="Style 69 5 2 3 2 2" xfId="4341" xr:uid="{6A4AAE50-963B-461A-9A94-57924B869AF0}"/>
    <cellStyle name="Style 69 5 2 3 2 2 2" xfId="7201" xr:uid="{893BDB97-0616-4989-8E74-AA9702854B61}"/>
    <cellStyle name="Style 69 5 2 3 2 2 2 2" xfId="23406" xr:uid="{B78F140D-50D0-4CA4-B4DC-367194DBBED5}"/>
    <cellStyle name="Style 69 5 2 3 2 2 3" xfId="22056" xr:uid="{B48A905E-2621-4497-ACB2-054C5237029D}"/>
    <cellStyle name="Style 69 5 2 3 2 3" xfId="7202" xr:uid="{933DB745-3A2C-44D7-8AFE-468AD8244A21}"/>
    <cellStyle name="Style 69 5 2 3 2 3 2" xfId="23407" xr:uid="{2B2D1796-9B90-4F54-B904-A9AE3C19747B}"/>
    <cellStyle name="Style 69 5 2 3 2 4" xfId="7203" xr:uid="{74E34CE4-6697-44CC-AEA1-E964B711FA9A}"/>
    <cellStyle name="Style 69 5 2 3 2 4 2" xfId="23408" xr:uid="{EAA5A45E-9FD9-43B2-8333-0DA9BE9D569D}"/>
    <cellStyle name="Style 69 5 2 3 2 5" xfId="7204" xr:uid="{C202E308-BDB9-4524-976A-538B433690AD}"/>
    <cellStyle name="Style 69 5 2 3 2 5 2" xfId="23409" xr:uid="{C7937B6B-34EF-4B81-A61D-0D2FA90F43CC}"/>
    <cellStyle name="Style 69 5 2 3 2 6" xfId="7205" xr:uid="{CFA0A362-BD6F-457A-A765-04D56F4FFB91}"/>
    <cellStyle name="Style 69 5 2 3 2 6 2" xfId="23410" xr:uid="{C7B554E4-AD08-407E-A2E0-2D5410BF80D4}"/>
    <cellStyle name="Style 69 5 2 3 2 7" xfId="7206" xr:uid="{B2BB4FFE-4125-4BE5-8590-6847EEFDFAE2}"/>
    <cellStyle name="Style 69 5 2 3 2 7 2" xfId="23411" xr:uid="{043B6D7F-5ED1-4CCA-859D-DABC6E745E4C}"/>
    <cellStyle name="Style 69 5 2 3 2 8" xfId="18906" xr:uid="{EF5395C8-1F45-4827-8660-D8DE526543E1}"/>
    <cellStyle name="Style 69 5 2 3 3" xfId="4342" xr:uid="{AA5BF4A2-B049-4BB6-AF38-7E708A977282}"/>
    <cellStyle name="Style 69 5 2 3 3 2" xfId="7207" xr:uid="{5E56F3DF-1A2B-46DB-83AC-9E4B7CE34A3F}"/>
    <cellStyle name="Style 69 5 2 3 3 2 2" xfId="23412" xr:uid="{88ABA519-BC0E-4EFD-818A-DCF74BA240C4}"/>
    <cellStyle name="Style 69 5 2 3 3 3" xfId="18907" xr:uid="{98AC6917-1604-4CBB-9AAC-64BF18723DB9}"/>
    <cellStyle name="Style 69 5 2 3 4" xfId="4343" xr:uid="{A7290E66-ADF9-4BCA-A511-E901D2725400}"/>
    <cellStyle name="Style 69 5 2 3 4 2" xfId="7208" xr:uid="{F5BEB039-52C7-4722-B22B-4C9572AC25E7}"/>
    <cellStyle name="Style 69 5 2 3 4 2 2" xfId="23413" xr:uid="{64D5D3B7-F2E7-42E9-A983-5707632AE1EC}"/>
    <cellStyle name="Style 69 5 2 3 4 3" xfId="19617" xr:uid="{796829ED-BC7B-49FC-960E-1C70988EEEFA}"/>
    <cellStyle name="Style 69 5 2 3 5" xfId="4340" xr:uid="{671EC290-63F2-4824-95CC-7B2D4FB061C0}"/>
    <cellStyle name="Style 69 5 2 3 5 2" xfId="7209" xr:uid="{45B210FF-8C44-4E69-BFD6-8276DB7AEF40}"/>
    <cellStyle name="Style 69 5 2 3 5 2 2" xfId="23414" xr:uid="{B856A8FF-2C4C-4139-A495-98E0E0167137}"/>
    <cellStyle name="Style 69 5 2 3 5 3" xfId="22055" xr:uid="{35A5D1C3-14DC-4AE9-8351-427500E91791}"/>
    <cellStyle name="Style 69 5 2 3 6" xfId="7210" xr:uid="{F7265AF0-A681-4898-B74F-A9CD7D17989A}"/>
    <cellStyle name="Style 69 5 2 3 6 2" xfId="23415" xr:uid="{3862ED40-AB16-4E0F-8F8D-110D7B03347A}"/>
    <cellStyle name="Style 69 5 2 3 7" xfId="7211" xr:uid="{39FDAB06-2B20-4067-8146-64B998F260F1}"/>
    <cellStyle name="Style 69 5 2 3 7 2" xfId="23416" xr:uid="{D9CF403E-97C9-48D3-9075-0E7D3FD6F08D}"/>
    <cellStyle name="Style 69 5 2 3 8" xfId="7212" xr:uid="{2A37272C-3EE6-49DA-8D1E-6E762F34B259}"/>
    <cellStyle name="Style 69 5 2 3 8 2" xfId="23417" xr:uid="{8E60F583-B21C-43C4-9A68-637E1DBEAF65}"/>
    <cellStyle name="Style 69 5 2 3 9" xfId="7213" xr:uid="{98D4D695-ADE5-4B1E-B5BC-A849608AA319}"/>
    <cellStyle name="Style 69 5 2 3 9 2" xfId="23418" xr:uid="{0A17C54D-5581-4C4B-8784-BD969FD1E2EA}"/>
    <cellStyle name="Style 69 5 2 4" xfId="1893" xr:uid="{FE6C50A3-1EAF-4571-80A7-8EB555B278C1}"/>
    <cellStyle name="Style 69 5 2 4 10" xfId="18908" xr:uid="{263ADA36-7BCF-4A43-B34C-0547F983E95D}"/>
    <cellStyle name="Style 69 5 2 4 2" xfId="1894" xr:uid="{2103789A-92B3-44EE-ADFC-10E9426B66CA}"/>
    <cellStyle name="Style 69 5 2 4 2 2" xfId="4345" xr:uid="{88812076-2662-45B3-B17B-B0DA5AF7CDD5}"/>
    <cellStyle name="Style 69 5 2 4 2 2 2" xfId="7214" xr:uid="{17BE4A30-A9B2-4135-9C88-2B03DAA03CBA}"/>
    <cellStyle name="Style 69 5 2 4 2 2 2 2" xfId="23419" xr:uid="{B5F60FDF-C485-4BD9-A136-3304B0AF83F0}"/>
    <cellStyle name="Style 69 5 2 4 2 2 3" xfId="22058" xr:uid="{11D5F7BD-04EB-4B47-BD4E-49CFC81D63C3}"/>
    <cellStyle name="Style 69 5 2 4 2 3" xfId="7215" xr:uid="{B200FFDB-FFF1-4655-9681-DE033AD0D4F4}"/>
    <cellStyle name="Style 69 5 2 4 2 3 2" xfId="23420" xr:uid="{D8D324FC-755A-4B7C-AEBC-96E321F9E52D}"/>
    <cellStyle name="Style 69 5 2 4 2 4" xfId="7216" xr:uid="{FCA4C3CC-658F-4ED5-A897-71079D133D19}"/>
    <cellStyle name="Style 69 5 2 4 2 4 2" xfId="23421" xr:uid="{32569028-7982-458D-BCB4-58ABB6AEEB82}"/>
    <cellStyle name="Style 69 5 2 4 2 5" xfId="7217" xr:uid="{03518262-F51A-4FF8-AA26-08462FD50178}"/>
    <cellStyle name="Style 69 5 2 4 2 5 2" xfId="23422" xr:uid="{224ECA11-D2E9-4827-82F7-456785C69785}"/>
    <cellStyle name="Style 69 5 2 4 2 6" xfId="7218" xr:uid="{D16DF780-67D1-4126-A3EE-DE45CF6EE5F1}"/>
    <cellStyle name="Style 69 5 2 4 2 6 2" xfId="23423" xr:uid="{4044B416-AAFB-45BE-B964-443A98EA1B54}"/>
    <cellStyle name="Style 69 5 2 4 2 7" xfId="7219" xr:uid="{72A2E376-056E-490D-9F31-A70CDC4F7EB2}"/>
    <cellStyle name="Style 69 5 2 4 2 7 2" xfId="23424" xr:uid="{CCD91B67-01C0-40C8-B626-CE04C2A33B68}"/>
    <cellStyle name="Style 69 5 2 4 2 8" xfId="7220" xr:uid="{607E2657-E120-4EDE-AE07-2B2453661E30}"/>
    <cellStyle name="Style 69 5 2 4 2 8 2" xfId="23425" xr:uid="{EC24F1B6-FE8B-4F47-B76A-EE2D33EC2F22}"/>
    <cellStyle name="Style 69 5 2 4 2 9" xfId="18909" xr:uid="{03E8DB70-13CE-45D4-9E0B-01E5C8D07B5C}"/>
    <cellStyle name="Style 69 5 2 4 3" xfId="4344" xr:uid="{07B29CDC-A788-4B6F-983C-E3CB7E8E38BB}"/>
    <cellStyle name="Style 69 5 2 4 3 2" xfId="7221" xr:uid="{5897F14E-0856-4F01-9C17-3FA2E6A527CA}"/>
    <cellStyle name="Style 69 5 2 4 3 2 2" xfId="23426" xr:uid="{B1BBDD32-AC99-486A-A755-DA9055913C56}"/>
    <cellStyle name="Style 69 5 2 4 3 3" xfId="22057" xr:uid="{356B7843-B047-40C7-96F3-172327CC172E}"/>
    <cellStyle name="Style 69 5 2 4 4" xfId="7222" xr:uid="{9CC960E7-68BC-4BFE-B2A3-811898F3799E}"/>
    <cellStyle name="Style 69 5 2 4 4 2" xfId="23427" xr:uid="{DAF17DE5-DD6A-44A8-8B87-AA632CFAC952}"/>
    <cellStyle name="Style 69 5 2 4 5" xfId="7223" xr:uid="{FAF6375F-CA9D-44B6-BBB3-8E39A8CE4658}"/>
    <cellStyle name="Style 69 5 2 4 5 2" xfId="23428" xr:uid="{D0B83267-B2A3-4554-9BB9-B0C26F9FA632}"/>
    <cellStyle name="Style 69 5 2 4 6" xfId="7224" xr:uid="{E54DA475-A7C3-424A-ABB7-6EDCAC0E2DAD}"/>
    <cellStyle name="Style 69 5 2 4 6 2" xfId="23429" xr:uid="{C440DEB9-580B-40EE-B8E9-A55B86730304}"/>
    <cellStyle name="Style 69 5 2 4 7" xfId="7225" xr:uid="{21D4F71A-6CD9-45D7-8074-B3D1E9A33A62}"/>
    <cellStyle name="Style 69 5 2 4 7 2" xfId="23430" xr:uid="{434C869A-5270-41F0-ABF8-A72ED06B2C52}"/>
    <cellStyle name="Style 69 5 2 4 8" xfId="7226" xr:uid="{9242B5F6-F54D-47E0-8423-2B934546BDDF}"/>
    <cellStyle name="Style 69 5 2 4 8 2" xfId="23431" xr:uid="{D3059420-9D85-451D-9EB0-423C5C35E094}"/>
    <cellStyle name="Style 69 5 2 4 9" xfId="7227" xr:uid="{59E4D1DA-6E7F-42B1-9F83-7689F411357D}"/>
    <cellStyle name="Style 69 5 2 4 9 2" xfId="23432" xr:uid="{67BDD402-9FA7-4250-8904-884DE40AB492}"/>
    <cellStyle name="Style 69 5 2 5" xfId="4346" xr:uid="{3EE249CB-9B8E-4312-994B-C8A280AFC9D1}"/>
    <cellStyle name="Style 69 5 2 5 2" xfId="7228" xr:uid="{CA93E4E1-168F-4C15-BD1A-0F7321767CD0}"/>
    <cellStyle name="Style 69 5 2 5 2 2" xfId="23433" xr:uid="{06F49B01-B41F-4F04-BE4F-3F975C553489}"/>
    <cellStyle name="Style 69 5 2 5 3" xfId="19618" xr:uid="{CC1B8E5D-8373-4D07-8BBB-9A9318E3CF09}"/>
    <cellStyle name="Style 69 5 2 6" xfId="4338" xr:uid="{04020362-7145-43B2-9590-BF9F3AE0C7ED}"/>
    <cellStyle name="Style 69 5 2 6 2" xfId="7229" xr:uid="{BEE2E357-82A1-4FBD-AD6F-9AEAFB55860F}"/>
    <cellStyle name="Style 69 5 2 6 2 2" xfId="23434" xr:uid="{68BC347B-B731-4F1D-AF9E-D9EE55492FA6}"/>
    <cellStyle name="Style 69 5 2 6 3" xfId="22053" xr:uid="{105957E1-E3F3-4EBB-8006-FEE80E5948A8}"/>
    <cellStyle name="Style 69 5 2 7" xfId="7230" xr:uid="{8D6EC1EE-12C1-453D-ADA5-FC5302CD0AED}"/>
    <cellStyle name="Style 69 5 2 7 2" xfId="23435" xr:uid="{9B657E0A-4C76-4DD0-B36E-A97FFB2EE3B7}"/>
    <cellStyle name="Style 69 5 2 8" xfId="7231" xr:uid="{F7C8D717-79F9-44D8-92DD-8683C330A2D4}"/>
    <cellStyle name="Style 69 5 2 8 2" xfId="23436" xr:uid="{8FBEC0C4-B2D4-4135-8FA6-EF200630E06F}"/>
    <cellStyle name="Style 69 5 2 9" xfId="7232" xr:uid="{BB5C64E4-4275-4B2C-ACC7-837CCDF9C68C}"/>
    <cellStyle name="Style 69 5 2 9 2" xfId="23437" xr:uid="{B482D53E-F32F-4213-9E1A-014B4A527894}"/>
    <cellStyle name="Style 69 5 3" xfId="1895" xr:uid="{1D499EB4-6039-41B2-8BE7-E674D86CE626}"/>
    <cellStyle name="Style 69 5 3 2" xfId="4347" xr:uid="{767A7D38-BC6A-4A8B-B127-C608BA5A2AF4}"/>
    <cellStyle name="Style 69 5 3 2 2" xfId="7233" xr:uid="{8E3F2DB2-81AE-44A4-BF79-855AA23A6822}"/>
    <cellStyle name="Style 69 5 3 2 2 2" xfId="23438" xr:uid="{3204A7CA-52E3-4F30-89DE-64719E4149B4}"/>
    <cellStyle name="Style 69 5 3 2 3" xfId="22059" xr:uid="{4A94A0E1-1A8A-4724-987F-A3981D278DCB}"/>
    <cellStyle name="Style 69 5 3 3" xfId="7234" xr:uid="{A7BA26AC-AE86-48C1-AB07-7C960DF500F7}"/>
    <cellStyle name="Style 69 5 3 3 2" xfId="23439" xr:uid="{864298D5-A01E-4630-9C03-F787E1747D15}"/>
    <cellStyle name="Style 69 5 3 4" xfId="7235" xr:uid="{C3C8AB6A-34FD-45DD-896D-D8B9A5172602}"/>
    <cellStyle name="Style 69 5 3 4 2" xfId="23440" xr:uid="{BA31CAA9-3ACE-4800-90C2-DC318FF682CE}"/>
    <cellStyle name="Style 69 5 3 5" xfId="7236" xr:uid="{D870FCFB-B307-490E-9D2C-3349B2B4ADF9}"/>
    <cellStyle name="Style 69 5 3 5 2" xfId="23441" xr:uid="{6ABBB2FC-01EA-457E-B65A-E5867499E011}"/>
    <cellStyle name="Style 69 5 3 6" xfId="7237" xr:uid="{697D4345-A047-4809-B160-D107B9EFFD5E}"/>
    <cellStyle name="Style 69 5 3 6 2" xfId="23442" xr:uid="{FC955C41-83D1-4E96-BC3F-17DD94F3829D}"/>
    <cellStyle name="Style 69 5 3 7" xfId="7238" xr:uid="{AF6D4780-A8AD-41CC-ACC1-BA61E93CDFCF}"/>
    <cellStyle name="Style 69 5 3 7 2" xfId="23443" xr:uid="{5F4B312B-FB8B-440A-A996-2A60EA8DD2B1}"/>
    <cellStyle name="Style 69 5 3 8" xfId="7239" xr:uid="{5766E75F-A18F-4211-8E14-ABE74A5960BC}"/>
    <cellStyle name="Style 69 5 3 8 2" xfId="23444" xr:uid="{8738E40B-96F2-4561-8E07-4363B8C0AB75}"/>
    <cellStyle name="Style 69 5 3 9" xfId="18910" xr:uid="{C8AC5F68-EF28-45E5-B19D-A4DBB113C93D}"/>
    <cellStyle name="Style 69 5 4" xfId="4348" xr:uid="{FF23534F-2236-494E-9F5A-4F64C32A06FC}"/>
    <cellStyle name="Style 69 5 4 2" xfId="4349" xr:uid="{E563DF4F-5730-444B-80A2-00A693F01728}"/>
    <cellStyle name="Style 69 5 4 2 2" xfId="7240" xr:uid="{67FBAD2A-AB10-4677-9F03-643A8BA17D99}"/>
    <cellStyle name="Style 69 5 4 2 2 2" xfId="23445" xr:uid="{D155A040-057B-4331-B8DB-2E6706DBB29C}"/>
    <cellStyle name="Style 69 5 4 2 3" xfId="19619" xr:uid="{8435B92C-1F60-41E0-A796-6ED87794469A}"/>
    <cellStyle name="Style 69 5 4 3" xfId="7241" xr:uid="{E29AF461-5F21-497B-B47E-4402534D9D56}"/>
    <cellStyle name="Style 69 5 4 3 2" xfId="23446" xr:uid="{8F663B9D-B1D8-4D6A-A93D-728CEC37C1B1}"/>
    <cellStyle name="Style 69 5 4 4" xfId="18911" xr:uid="{EFD3BF55-CEC7-46AA-85A1-E7A42D33889C}"/>
    <cellStyle name="Style 69 5 5" xfId="4337" xr:uid="{A5F3FC18-B725-40BC-866C-8A7A6D1A76BD}"/>
    <cellStyle name="Style 69 5 5 2" xfId="7242" xr:uid="{D2A2C8F5-1F3C-4780-B06F-DCC41A895B04}"/>
    <cellStyle name="Style 69 5 5 2 2" xfId="23447" xr:uid="{9B01D7CF-C7E5-41CC-A1FD-DCCFC5AEC727}"/>
    <cellStyle name="Style 69 5 5 3" xfId="20662" xr:uid="{9BFBD182-3A6A-4A3B-9025-3C2D2A70A49E}"/>
    <cellStyle name="Style 69 5 6" xfId="2951" xr:uid="{6559E2C7-0EF5-4CF0-82AA-2AC16FC5CDF9}"/>
    <cellStyle name="Style 69 5 6 2" xfId="7243" xr:uid="{8DAF41DA-C79F-45E9-B16E-A7B694FB9A24}"/>
    <cellStyle name="Style 69 5 6 2 2" xfId="23448" xr:uid="{0DFE67F2-61F6-462F-8126-4165D263449D}"/>
    <cellStyle name="Style 69 5 6 3" xfId="21291" xr:uid="{F60D31F4-2E70-493C-BEAC-2DD95C9310E0}"/>
    <cellStyle name="Style 69 5 7" xfId="7244" xr:uid="{60D56C4D-CB79-46C3-B74A-0B22A6FCE36A}"/>
    <cellStyle name="Style 69 5 7 2" xfId="23449" xr:uid="{F78F5778-9DA5-4C89-B596-5D0EC9E51E0D}"/>
    <cellStyle name="Style 69 5 8" xfId="7245" xr:uid="{D194DFBA-A881-4A86-904C-3D3E9C2AA650}"/>
    <cellStyle name="Style 69 5 8 2" xfId="23450" xr:uid="{B4B1B6E6-5789-4181-BDF0-C0727866A6AC}"/>
    <cellStyle name="Style 69 5 9" xfId="7246" xr:uid="{8DD70271-38DD-4C91-8D14-B3D2C25E01E9}"/>
    <cellStyle name="Style 69 5 9 2" xfId="23451" xr:uid="{E6C3964D-0A8F-4E79-9E99-458427307969}"/>
    <cellStyle name="Style 69 6" xfId="1896" xr:uid="{63325667-1B03-4A49-B678-325071DCFE18}"/>
    <cellStyle name="Style 69 6 10" xfId="7247" xr:uid="{69DBC3BE-7403-44F3-8F66-6D17F30525A8}"/>
    <cellStyle name="Style 69 6 10 2" xfId="23452" xr:uid="{FD300F08-A69F-4742-A437-4A6FA789DF2D}"/>
    <cellStyle name="Style 69 6 11" xfId="7248" xr:uid="{96CF12C0-C810-43F2-8700-19FBDD6E9388}"/>
    <cellStyle name="Style 69 6 11 2" xfId="23453" xr:uid="{F01103B6-14FB-4E4E-B7D1-7F38A933A4B7}"/>
    <cellStyle name="Style 69 6 12" xfId="7249" xr:uid="{3B82A049-7DFA-4AF0-8098-8A99149CCB1E}"/>
    <cellStyle name="Style 69 6 12 2" xfId="23454" xr:uid="{5DABA903-AFE4-4425-8397-0CC2F30049BB}"/>
    <cellStyle name="Style 69 6 13" xfId="18912" xr:uid="{CAA6E440-6DEF-4543-97E3-D4B277814B3C}"/>
    <cellStyle name="Style 69 6 2" xfId="1897" xr:uid="{893B4C57-F010-4ACD-9098-4E6E5BD7E432}"/>
    <cellStyle name="Style 69 6 2 2" xfId="4351" xr:uid="{89CDA346-5FAC-4373-A1F8-8C5DE2BE2DE8}"/>
    <cellStyle name="Style 69 6 2 2 2" xfId="7250" xr:uid="{4FDD1214-B5A3-4525-A136-29CCC15A3149}"/>
    <cellStyle name="Style 69 6 2 2 2 2" xfId="23455" xr:uid="{FB743E03-638B-47FF-A879-0BB569B4894A}"/>
    <cellStyle name="Style 69 6 2 2 3" xfId="22061" xr:uid="{A34641AA-3D74-4C41-913F-E56A02DDA29E}"/>
    <cellStyle name="Style 69 6 2 3" xfId="7251" xr:uid="{15C85CDA-5AB8-4DB0-A7B5-94972AE8DC68}"/>
    <cellStyle name="Style 69 6 2 3 2" xfId="23456" xr:uid="{152A733B-8E91-4279-A3AF-767031A26514}"/>
    <cellStyle name="Style 69 6 2 4" xfId="7252" xr:uid="{28394013-F3C5-4494-B8D8-B12AE4F62006}"/>
    <cellStyle name="Style 69 6 2 4 2" xfId="23457" xr:uid="{738C2DA1-1827-48B8-B389-6EBBC92DF5F7}"/>
    <cellStyle name="Style 69 6 2 5" xfId="7253" xr:uid="{5430037D-D0C5-4F4E-BB87-F30C9CDBC07A}"/>
    <cellStyle name="Style 69 6 2 5 2" xfId="23458" xr:uid="{1885188E-4C04-41A9-8F62-0D136A93415C}"/>
    <cellStyle name="Style 69 6 2 6" xfId="7254" xr:uid="{170A5CDB-C81C-4F85-B0DE-83C48B9DA987}"/>
    <cellStyle name="Style 69 6 2 6 2" xfId="23459" xr:uid="{2890D0CE-73CC-4A8E-A80E-16420FE810D1}"/>
    <cellStyle name="Style 69 6 2 7" xfId="7255" xr:uid="{B79AC905-0992-4E55-868A-4125A4093ED3}"/>
    <cellStyle name="Style 69 6 2 7 2" xfId="23460" xr:uid="{F4142B03-FEA9-4B53-9619-4B0B74491C0C}"/>
    <cellStyle name="Style 69 6 2 8" xfId="7256" xr:uid="{070A0E94-2CF1-4137-BD80-66748BC0FC97}"/>
    <cellStyle name="Style 69 6 2 8 2" xfId="23461" xr:uid="{6E1F3D3D-0ECE-404B-B8F2-0E8F13A8B3F1}"/>
    <cellStyle name="Style 69 6 2 9" xfId="18913" xr:uid="{0DA940FC-119F-4A9E-BCCF-5CF7FC05B13B}"/>
    <cellStyle name="Style 69 6 3" xfId="1898" xr:uid="{DC5207F6-CCA8-4A77-AEB7-144EAB7787FD}"/>
    <cellStyle name="Style 69 6 3 10" xfId="7257" xr:uid="{77A286B5-B2FC-4411-8996-C4B6EC098E24}"/>
    <cellStyle name="Style 69 6 3 10 2" xfId="23462" xr:uid="{FB578C9F-814F-4419-B91D-47A04D1B9E5A}"/>
    <cellStyle name="Style 69 6 3 11" xfId="18914" xr:uid="{D1758A6D-D2A7-4E33-BC08-FBEBA23F0502}"/>
    <cellStyle name="Style 69 6 3 2" xfId="1899" xr:uid="{AAF49BC7-6AA1-4344-BF86-049F368342E8}"/>
    <cellStyle name="Style 69 6 3 2 2" xfId="4353" xr:uid="{A7454271-5444-4E32-B7DC-AC82F27AF41F}"/>
    <cellStyle name="Style 69 6 3 2 2 2" xfId="7258" xr:uid="{49573494-037D-4CC7-BA1F-1F8234091715}"/>
    <cellStyle name="Style 69 6 3 2 2 2 2" xfId="23463" xr:uid="{1D4D70C9-0A3D-49F1-8C80-0FD0210FB407}"/>
    <cellStyle name="Style 69 6 3 2 2 3" xfId="22063" xr:uid="{1ECE82B5-ADD8-4D9D-B652-EF9E05255469}"/>
    <cellStyle name="Style 69 6 3 2 3" xfId="7259" xr:uid="{FCA04FEB-2E27-41C8-A65D-2FA6212182DF}"/>
    <cellStyle name="Style 69 6 3 2 3 2" xfId="23464" xr:uid="{E1F74B0B-2D7F-40D3-B798-38488F4CBFB6}"/>
    <cellStyle name="Style 69 6 3 2 4" xfId="7260" xr:uid="{6EA7EE41-0815-43F6-8164-68FCA87B8313}"/>
    <cellStyle name="Style 69 6 3 2 4 2" xfId="23465" xr:uid="{F0F66F2F-17CB-4790-8FFD-04A5B2204B55}"/>
    <cellStyle name="Style 69 6 3 2 5" xfId="7261" xr:uid="{25294BC5-D319-4F0E-BDFF-4D8F094CD7A3}"/>
    <cellStyle name="Style 69 6 3 2 5 2" xfId="23466" xr:uid="{E45CF3AA-7E43-4DDB-BDC3-C50BDCAE7B60}"/>
    <cellStyle name="Style 69 6 3 2 6" xfId="7262" xr:uid="{D7B137CF-D6F5-4C4C-B9E0-DED176CDB888}"/>
    <cellStyle name="Style 69 6 3 2 6 2" xfId="23467" xr:uid="{24670B4C-B948-4E50-B67F-2CD680729A88}"/>
    <cellStyle name="Style 69 6 3 2 7" xfId="7263" xr:uid="{81B780C0-A50F-4ACE-9255-C56CC4FB90BA}"/>
    <cellStyle name="Style 69 6 3 2 7 2" xfId="23468" xr:uid="{6AC2B609-FF41-4FA2-841A-EF7C72A9CE0C}"/>
    <cellStyle name="Style 69 6 3 2 8" xfId="7264" xr:uid="{D4DE5188-1E00-47DA-A8A8-975F33E481D8}"/>
    <cellStyle name="Style 69 6 3 2 8 2" xfId="23469" xr:uid="{85A9D5E4-E1A1-4D55-8417-A42EBA955960}"/>
    <cellStyle name="Style 69 6 3 2 9" xfId="18915" xr:uid="{2B87B175-B7C2-4081-B351-34E2AD208AFE}"/>
    <cellStyle name="Style 69 6 3 3" xfId="4354" xr:uid="{EED90614-9443-49E0-B17A-C5E35454B24E}"/>
    <cellStyle name="Style 69 6 3 3 2" xfId="7265" xr:uid="{56B958DC-A9FC-4588-8B38-23B7EAAF4D5E}"/>
    <cellStyle name="Style 69 6 3 3 2 2" xfId="23470" xr:uid="{E0D3F1F5-1B7B-4421-8FE7-BCC896E0F07F}"/>
    <cellStyle name="Style 69 6 3 3 3" xfId="7266" xr:uid="{971EE949-5C33-44DF-BC91-3C69DD0B2860}"/>
    <cellStyle name="Style 69 6 3 3 3 2" xfId="23471" xr:uid="{3913F9D4-2CD1-4903-9BC8-7CB9CEB83A94}"/>
    <cellStyle name="Style 69 6 3 3 4" xfId="18916" xr:uid="{8C6C84A1-7624-4A54-B48F-EB4A9CE3121A}"/>
    <cellStyle name="Style 69 6 3 4" xfId="4355" xr:uid="{15370C69-E553-48CD-84A3-17E23EF905E3}"/>
    <cellStyle name="Style 69 6 3 4 2" xfId="7267" xr:uid="{C39B6A10-AE24-4BF4-9B68-28DCBA3C06F1}"/>
    <cellStyle name="Style 69 6 3 4 2 2" xfId="23472" xr:uid="{FECC165A-BC3B-49C9-9E06-FAA9D3C36912}"/>
    <cellStyle name="Style 69 6 3 4 3" xfId="19620" xr:uid="{EEB296C9-BBBD-4965-9B6F-477CBF4A44FE}"/>
    <cellStyle name="Style 69 6 3 5" xfId="4352" xr:uid="{0866483D-BD93-4F08-A385-3B59A191BA12}"/>
    <cellStyle name="Style 69 6 3 5 2" xfId="7268" xr:uid="{DC65553F-3620-414E-891E-16FF93044DD2}"/>
    <cellStyle name="Style 69 6 3 5 2 2" xfId="23473" xr:uid="{3BA885A5-B8A1-47AC-B551-AE88DB90AEF7}"/>
    <cellStyle name="Style 69 6 3 5 3" xfId="22062" xr:uid="{EA72DDB8-8ACF-43F3-B909-F2B8D0CF4FF8}"/>
    <cellStyle name="Style 69 6 3 6" xfId="7269" xr:uid="{87788217-8F36-42C7-90D0-F643AFD6B75E}"/>
    <cellStyle name="Style 69 6 3 6 2" xfId="23474" xr:uid="{BB8F8C21-4FE6-42B4-9B9D-3122AE4A156C}"/>
    <cellStyle name="Style 69 6 3 7" xfId="7270" xr:uid="{57D7AA36-AF54-4464-9784-7790D0DD1D0D}"/>
    <cellStyle name="Style 69 6 3 7 2" xfId="23475" xr:uid="{C763CFA3-20EA-4B33-8333-78434EDC1474}"/>
    <cellStyle name="Style 69 6 3 8" xfId="7271" xr:uid="{14808A3D-1922-42A8-B2CA-E9DDBCB72D3F}"/>
    <cellStyle name="Style 69 6 3 8 2" xfId="23476" xr:uid="{222AB230-6CED-4F52-B47D-F42CB18F1557}"/>
    <cellStyle name="Style 69 6 3 9" xfId="7272" xr:uid="{E1801AB3-87B2-449A-9FBB-19F16409A8CC}"/>
    <cellStyle name="Style 69 6 3 9 2" xfId="23477" xr:uid="{A0059840-607C-4750-A9B7-276FADAF48CD}"/>
    <cellStyle name="Style 69 6 4" xfId="1900" xr:uid="{4AEC55B1-7143-4E60-A91B-65853991889D}"/>
    <cellStyle name="Style 69 6 4 10" xfId="18917" xr:uid="{AE47460A-0884-4F20-9EDF-778691593465}"/>
    <cellStyle name="Style 69 6 4 2" xfId="1901" xr:uid="{4280962F-3B8B-4BD2-8E51-38765A835613}"/>
    <cellStyle name="Style 69 6 4 2 2" xfId="4357" xr:uid="{577E1556-BF46-4EFD-815B-A0AB186FFB40}"/>
    <cellStyle name="Style 69 6 4 2 2 2" xfId="7273" xr:uid="{00688BBD-4BAB-4FA2-9DE5-03EB2EDADE7E}"/>
    <cellStyle name="Style 69 6 4 2 2 2 2" xfId="23478" xr:uid="{1D883E19-065E-4656-9FBF-1E421691F15B}"/>
    <cellStyle name="Style 69 6 4 2 2 3" xfId="22065" xr:uid="{C7739004-6831-49D2-9DDB-17A47FA789B4}"/>
    <cellStyle name="Style 69 6 4 2 3" xfId="7274" xr:uid="{6AA4B6D5-4EA3-4279-9F97-3435861BBA9E}"/>
    <cellStyle name="Style 69 6 4 2 3 2" xfId="23479" xr:uid="{EF907744-956A-4F1A-A374-725779A96CB6}"/>
    <cellStyle name="Style 69 6 4 2 4" xfId="7275" xr:uid="{1D43B2DD-5019-44F8-957F-D2D344657B54}"/>
    <cellStyle name="Style 69 6 4 2 4 2" xfId="23480" xr:uid="{E76C2158-0C74-4637-8C4E-5971E7F8A654}"/>
    <cellStyle name="Style 69 6 4 2 5" xfId="7276" xr:uid="{B7337338-5641-45DC-83C3-CA7429BE07E2}"/>
    <cellStyle name="Style 69 6 4 2 5 2" xfId="23481" xr:uid="{F4572287-A0FE-43A1-9D12-CC255A019CAA}"/>
    <cellStyle name="Style 69 6 4 2 6" xfId="7277" xr:uid="{D70AA48F-4CEE-40A8-8492-474A56F69B01}"/>
    <cellStyle name="Style 69 6 4 2 6 2" xfId="23482" xr:uid="{76FD0E4E-7E75-4231-AA84-981538CB34FE}"/>
    <cellStyle name="Style 69 6 4 2 7" xfId="7278" xr:uid="{D0293473-523B-4C08-A826-D0627954BCE5}"/>
    <cellStyle name="Style 69 6 4 2 7 2" xfId="23483" xr:uid="{DD9DA8A3-A260-4922-92F8-2DB19DE31E87}"/>
    <cellStyle name="Style 69 6 4 2 8" xfId="7279" xr:uid="{7163BC56-18DC-412B-B9A8-EDAFE5C012A8}"/>
    <cellStyle name="Style 69 6 4 2 8 2" xfId="23484" xr:uid="{04733A25-ACA9-43B7-9878-57ACC8A57710}"/>
    <cellStyle name="Style 69 6 4 2 9" xfId="18918" xr:uid="{F74B271A-4117-41CD-A472-0124C00B0FE3}"/>
    <cellStyle name="Style 69 6 4 3" xfId="4356" xr:uid="{AE72F99E-7D83-4F75-9B80-8F17E9CF2775}"/>
    <cellStyle name="Style 69 6 4 3 2" xfId="7280" xr:uid="{96FFD538-6FAC-4C2D-A415-F4022BF36168}"/>
    <cellStyle name="Style 69 6 4 3 2 2" xfId="23485" xr:uid="{3C6B2B9F-130E-4E20-906B-6FDC78AD7F90}"/>
    <cellStyle name="Style 69 6 4 3 3" xfId="22064" xr:uid="{ED5A5BE0-46DD-4F2A-A1B7-DCB8555D6D95}"/>
    <cellStyle name="Style 69 6 4 4" xfId="7281" xr:uid="{79CAE659-65C3-4C1A-A063-70921215B9CD}"/>
    <cellStyle name="Style 69 6 4 4 2" xfId="23486" xr:uid="{2FA961D9-D699-4516-9F0D-C49C11BB7A7E}"/>
    <cellStyle name="Style 69 6 4 5" xfId="7282" xr:uid="{E2B52971-69BD-4CA6-B1D6-2A3E475CE6AD}"/>
    <cellStyle name="Style 69 6 4 5 2" xfId="23487" xr:uid="{3B18D873-B281-413A-AB12-EB4600ECA459}"/>
    <cellStyle name="Style 69 6 4 6" xfId="7283" xr:uid="{291866E2-EB3D-49B1-8694-7EB1D75475DE}"/>
    <cellStyle name="Style 69 6 4 6 2" xfId="23488" xr:uid="{146F6A6F-D6B0-4AF2-85C1-CE04EE370180}"/>
    <cellStyle name="Style 69 6 4 7" xfId="7284" xr:uid="{F9046001-5279-4600-B991-472EF0FEF632}"/>
    <cellStyle name="Style 69 6 4 7 2" xfId="23489" xr:uid="{587210C9-955A-45D6-B462-D6EB9B1EEAB6}"/>
    <cellStyle name="Style 69 6 4 8" xfId="7285" xr:uid="{2FB5A1D8-2874-42C5-9F0A-DCEC7F467E3B}"/>
    <cellStyle name="Style 69 6 4 8 2" xfId="23490" xr:uid="{BF48B829-D585-4269-8C52-F850C7752DFA}"/>
    <cellStyle name="Style 69 6 4 9" xfId="7286" xr:uid="{ED13AEB1-1CE1-4BE5-A0F5-C68AC492E692}"/>
    <cellStyle name="Style 69 6 4 9 2" xfId="23491" xr:uid="{34AF486D-B6B1-4463-8C42-7F31FC756E76}"/>
    <cellStyle name="Style 69 6 5" xfId="4358" xr:uid="{43DB0FB5-DC79-45DA-8910-D0F40B00A710}"/>
    <cellStyle name="Style 69 6 5 2" xfId="7287" xr:uid="{27CD399B-DCFD-4045-AEF2-106A4146DA14}"/>
    <cellStyle name="Style 69 6 5 2 2" xfId="23492" xr:uid="{3AAA3D12-CA51-414E-9DE7-5675B171DA18}"/>
    <cellStyle name="Style 69 6 5 3" xfId="7288" xr:uid="{518D2F41-FB77-4433-8606-88F7ABF1E670}"/>
    <cellStyle name="Style 69 6 5 3 2" xfId="23493" xr:uid="{3C8178A0-0C41-4E53-80C7-D2F969E3FA73}"/>
    <cellStyle name="Style 69 6 5 4" xfId="19621" xr:uid="{E2CA8575-85E0-40ED-AB3A-F73E4C75E59E}"/>
    <cellStyle name="Style 69 6 6" xfId="4350" xr:uid="{2721B845-3450-4601-9C31-0581C51F974D}"/>
    <cellStyle name="Style 69 6 6 2" xfId="7289" xr:uid="{837BF7F8-7F78-4BB1-BDDC-F79BCA4D2944}"/>
    <cellStyle name="Style 69 6 6 2 2" xfId="23494" xr:uid="{65C2B776-9C2E-4AAC-8BBE-A6B58A15D96C}"/>
    <cellStyle name="Style 69 6 6 3" xfId="22060" xr:uid="{BC18D7A6-4414-4547-AF5C-A7C94F43FC86}"/>
    <cellStyle name="Style 69 6 7" xfId="7290" xr:uid="{D55639A7-91F5-4D5D-8C4D-9DDD8781422F}"/>
    <cellStyle name="Style 69 6 7 2" xfId="23495" xr:uid="{CE1620B4-AA4D-4CC0-8884-6D7926F830D1}"/>
    <cellStyle name="Style 69 6 8" xfId="7291" xr:uid="{21376AFD-7441-4F48-97C3-6F93FE2EF116}"/>
    <cellStyle name="Style 69 6 8 2" xfId="23496" xr:uid="{BFC46185-2A49-4380-BAD9-F4EE23E7CF01}"/>
    <cellStyle name="Style 69 6 9" xfId="7292" xr:uid="{78AB9EF1-B537-40F4-AB19-CB77D60ACC05}"/>
    <cellStyle name="Style 69 6 9 2" xfId="23497" xr:uid="{F1D57925-9DB0-43F8-86B9-19124C5FEE52}"/>
    <cellStyle name="Style 69 7" xfId="1902" xr:uid="{3FAF0C4B-E3EC-485B-9406-27B8F718F7B0}"/>
    <cellStyle name="Style 69 7 10" xfId="7293" xr:uid="{A6690D24-BBF7-487B-BD13-847BA81E3935}"/>
    <cellStyle name="Style 69 7 10 2" xfId="23498" xr:uid="{4D712CD0-0583-4402-B6A5-07239F8C09E0}"/>
    <cellStyle name="Style 69 7 11" xfId="18919" xr:uid="{92D4266A-5CEB-48C1-9393-E5602E6C87BF}"/>
    <cellStyle name="Style 69 7 2" xfId="1903" xr:uid="{681FB14E-4E6F-4FE9-B7F6-B91CD1CC8FC2}"/>
    <cellStyle name="Style 69 7 2 2" xfId="4360" xr:uid="{3EF3A52C-5C17-4478-8169-95A16C87873F}"/>
    <cellStyle name="Style 69 7 2 2 2" xfId="7294" xr:uid="{F0F7EC9B-459B-4AE7-B8BF-A969AD752C34}"/>
    <cellStyle name="Style 69 7 2 2 2 2" xfId="23499" xr:uid="{20F24C35-29B3-4719-A628-1CAC2B52990F}"/>
    <cellStyle name="Style 69 7 2 2 3" xfId="22067" xr:uid="{48C3A6A3-A307-4B68-ABCD-61995BF3DEE7}"/>
    <cellStyle name="Style 69 7 2 3" xfId="7295" xr:uid="{CCD7ED8E-697A-49B0-9A87-7DB3A6181D37}"/>
    <cellStyle name="Style 69 7 2 3 2" xfId="23500" xr:uid="{7F64E31E-E461-4D35-B224-F47B05E7E0E5}"/>
    <cellStyle name="Style 69 7 2 4" xfId="7296" xr:uid="{48638238-3E66-48E6-96F4-502E0B391FC6}"/>
    <cellStyle name="Style 69 7 2 4 2" xfId="23501" xr:uid="{62F290C7-8D2F-4E13-B4F7-8100791741B6}"/>
    <cellStyle name="Style 69 7 2 5" xfId="7297" xr:uid="{A13EF002-B314-4D32-BB97-A113F6BF2AC5}"/>
    <cellStyle name="Style 69 7 2 5 2" xfId="23502" xr:uid="{D176EEDC-40C6-42C3-9D00-37B00573A6B0}"/>
    <cellStyle name="Style 69 7 2 6" xfId="7298" xr:uid="{4F560BF5-6F95-47BD-BC31-E7314EAA9C4E}"/>
    <cellStyle name="Style 69 7 2 6 2" xfId="23503" xr:uid="{07B2CCEB-E110-4D1C-877D-B8E5CDE7F27F}"/>
    <cellStyle name="Style 69 7 2 7" xfId="7299" xr:uid="{460DE5E4-58BC-4D7A-AD1F-40F37FB234AA}"/>
    <cellStyle name="Style 69 7 2 7 2" xfId="23504" xr:uid="{4ACCB755-4990-4D48-84F9-1D33EF394021}"/>
    <cellStyle name="Style 69 7 2 8" xfId="7300" xr:uid="{361AD825-2F26-40BA-97BC-050E9D42E856}"/>
    <cellStyle name="Style 69 7 2 8 2" xfId="23505" xr:uid="{3D2AAAE2-0B9C-4BD6-A07B-FACDC7344B75}"/>
    <cellStyle name="Style 69 7 2 9" xfId="18920" xr:uid="{816599B8-557E-48E3-933E-AB1810649401}"/>
    <cellStyle name="Style 69 7 3" xfId="4361" xr:uid="{63DF83B7-C9A0-4667-B35E-B2DA40188A53}"/>
    <cellStyle name="Style 69 7 3 2" xfId="7301" xr:uid="{A8F95BAE-4E70-4A80-9C44-C7C7E68A38B9}"/>
    <cellStyle name="Style 69 7 3 2 2" xfId="23506" xr:uid="{A2B3F93A-88A1-4A90-A246-65B052A654EC}"/>
    <cellStyle name="Style 69 7 3 3" xfId="7302" xr:uid="{450F8B6C-ED0D-4921-AEB9-A9B96435A1CD}"/>
    <cellStyle name="Style 69 7 3 3 2" xfId="23507" xr:uid="{94B169C7-96E6-4D97-8EDE-BF18D60CE5C4}"/>
    <cellStyle name="Style 69 7 3 4" xfId="18921" xr:uid="{8D9E80FA-B66A-4BE7-877E-7E67EAE9B146}"/>
    <cellStyle name="Style 69 7 4" xfId="4362" xr:uid="{34071687-6CE4-4193-AF40-C9C4C7ED6660}"/>
    <cellStyle name="Style 69 7 4 2" xfId="7303" xr:uid="{71F71CA8-7CD7-44A4-8FA1-6CB40846036A}"/>
    <cellStyle name="Style 69 7 4 2 2" xfId="23508" xr:uid="{A51D5FEE-6DDF-4579-BE15-F27C8104AE44}"/>
    <cellStyle name="Style 69 7 4 3" xfId="19622" xr:uid="{4CBD31D4-9333-4B94-81E6-9D1C900FC539}"/>
    <cellStyle name="Style 69 7 5" xfId="4359" xr:uid="{25C5CC39-1FEF-46EC-ABA0-3519020E810C}"/>
    <cellStyle name="Style 69 7 5 2" xfId="7304" xr:uid="{ED06938F-06F6-4B60-873E-4AC614A16352}"/>
    <cellStyle name="Style 69 7 5 2 2" xfId="23509" xr:uid="{3343259D-10DA-4680-973F-9F1E183F9D85}"/>
    <cellStyle name="Style 69 7 5 3" xfId="22066" xr:uid="{DE21BD06-38D0-41EA-B592-7962D81DCD01}"/>
    <cellStyle name="Style 69 7 6" xfId="7305" xr:uid="{06CD933F-C880-4A0C-8BF2-239E981320E8}"/>
    <cellStyle name="Style 69 7 6 2" xfId="23510" xr:uid="{C2080F92-BF04-4B9A-9814-27907F0CDA81}"/>
    <cellStyle name="Style 69 7 7" xfId="7306" xr:uid="{979424D5-5B07-4982-93A7-C0D2B2FBEF5F}"/>
    <cellStyle name="Style 69 7 7 2" xfId="23511" xr:uid="{92E09F7E-66C7-4F50-AB0B-F23321DA2AF9}"/>
    <cellStyle name="Style 69 7 8" xfId="7307" xr:uid="{E3831BC0-0D9A-4037-AB30-813C1B250A13}"/>
    <cellStyle name="Style 69 7 8 2" xfId="23512" xr:uid="{93ED55C3-E1D4-4E41-9B86-69593966A361}"/>
    <cellStyle name="Style 69 7 9" xfId="7308" xr:uid="{F07659CA-1464-48A1-BB54-AD00DD5D8F6C}"/>
    <cellStyle name="Style 69 7 9 2" xfId="23513" xr:uid="{87966E33-4EBA-4BB6-8FB2-5489C555C0A8}"/>
    <cellStyle name="Style 69 8" xfId="1904" xr:uid="{B1E12F7D-9DD2-4057-9806-A09A374218E4}"/>
    <cellStyle name="Style 69 8 10" xfId="18922" xr:uid="{B760D8CE-901C-449D-BA7A-29B29DBC9739}"/>
    <cellStyle name="Style 69 8 2" xfId="1905" xr:uid="{19D7935E-D42B-4672-B416-1667BD00E416}"/>
    <cellStyle name="Style 69 8 2 2" xfId="4364" xr:uid="{98D7773C-BF3F-4186-B1F5-31979A440452}"/>
    <cellStyle name="Style 69 8 2 2 2" xfId="7309" xr:uid="{725BA992-D1AF-4EAF-9E3B-CF02DC527FC7}"/>
    <cellStyle name="Style 69 8 2 2 2 2" xfId="23514" xr:uid="{FC3BEC69-2788-43FF-B778-29C040DE6C62}"/>
    <cellStyle name="Style 69 8 2 2 3" xfId="22069" xr:uid="{CE2B61AA-70C3-44E1-964E-D2F4B85E6215}"/>
    <cellStyle name="Style 69 8 2 3" xfId="7310" xr:uid="{BECC48DF-D9B7-49D5-95DD-E284FAD94693}"/>
    <cellStyle name="Style 69 8 2 3 2" xfId="23515" xr:uid="{C73098E7-93A7-444B-A042-B49B266E8630}"/>
    <cellStyle name="Style 69 8 2 4" xfId="7311" xr:uid="{4791F7E2-04BB-4D41-9528-AB88145FAFED}"/>
    <cellStyle name="Style 69 8 2 4 2" xfId="23516" xr:uid="{9A9F7E66-05F2-450F-81F5-489DFA5F0F0A}"/>
    <cellStyle name="Style 69 8 2 5" xfId="7312" xr:uid="{0B53F3F6-FB93-4081-AFED-C95D771DEA4D}"/>
    <cellStyle name="Style 69 8 2 5 2" xfId="23517" xr:uid="{5BA87D05-A339-4665-84A6-71D63CC0CE1B}"/>
    <cellStyle name="Style 69 8 2 6" xfId="7313" xr:uid="{C24E54EF-30A9-4CC6-9EA6-16AC4FF8D665}"/>
    <cellStyle name="Style 69 8 2 6 2" xfId="23518" xr:uid="{7CD2F255-C459-4AE1-A817-ED79980D36D6}"/>
    <cellStyle name="Style 69 8 2 7" xfId="7314" xr:uid="{1A674D2E-036F-4362-BF68-B7CE5E7AC1E8}"/>
    <cellStyle name="Style 69 8 2 7 2" xfId="23519" xr:uid="{116C2F91-EAF6-484A-BB7D-D7F4106A0E3A}"/>
    <cellStyle name="Style 69 8 2 8" xfId="7315" xr:uid="{5B62E6C5-1A36-4611-BFB2-9032959A9106}"/>
    <cellStyle name="Style 69 8 2 8 2" xfId="23520" xr:uid="{9E0E2A8C-81EA-40B3-8162-9E50B23BE837}"/>
    <cellStyle name="Style 69 8 2 9" xfId="18923" xr:uid="{E215CB91-7B73-4E72-87C2-81568FD3F61E}"/>
    <cellStyle name="Style 69 8 3" xfId="4365" xr:uid="{98DDD630-C87C-4D15-8228-B864BAA7F400}"/>
    <cellStyle name="Style 69 8 3 2" xfId="7316" xr:uid="{724BB103-8C46-4163-8CA9-47E9F3F30AC4}"/>
    <cellStyle name="Style 69 8 3 2 2" xfId="23521" xr:uid="{59A4C6D9-1887-4FCA-91B7-2A81831FF12B}"/>
    <cellStyle name="Style 69 8 3 3" xfId="18924" xr:uid="{2986A7D5-44FF-43AD-BC8A-42192A685964}"/>
    <cellStyle name="Style 69 8 4" xfId="4366" xr:uid="{4D8C557F-822A-4459-A280-86F06862A024}"/>
    <cellStyle name="Style 69 8 4 2" xfId="7317" xr:uid="{09A5884F-5C7F-4E0B-BE0B-EEBA00AD5DB6}"/>
    <cellStyle name="Style 69 8 4 2 2" xfId="23522" xr:uid="{2593FE80-F5AB-4790-BB91-3B13D1C207E1}"/>
    <cellStyle name="Style 69 8 4 3" xfId="19623" xr:uid="{6149E276-D0E8-4AFF-B2DC-BB74A636B113}"/>
    <cellStyle name="Style 69 8 5" xfId="4363" xr:uid="{DE95AD08-E508-492D-BC4F-E9D554866A28}"/>
    <cellStyle name="Style 69 8 5 2" xfId="7318" xr:uid="{04D59475-4406-4E0D-B937-0D2A982376F8}"/>
    <cellStyle name="Style 69 8 5 2 2" xfId="23523" xr:uid="{B11FDD00-EB47-4A7E-96DA-5AD02DE205BD}"/>
    <cellStyle name="Style 69 8 5 3" xfId="22068" xr:uid="{72EF8646-5F80-40D3-80E6-FB172A66AFC0}"/>
    <cellStyle name="Style 69 8 6" xfId="7319" xr:uid="{58DD3521-7CFF-47DC-BF32-39472C62F13A}"/>
    <cellStyle name="Style 69 8 6 2" xfId="23524" xr:uid="{7813F2C1-2962-403E-B497-CC3A44F01522}"/>
    <cellStyle name="Style 69 8 7" xfId="7320" xr:uid="{802CAE66-24E3-4953-9A11-C2409AC0EA4E}"/>
    <cellStyle name="Style 69 8 7 2" xfId="23525" xr:uid="{D17994E1-7E06-4DD0-A5A8-8223B71E01E5}"/>
    <cellStyle name="Style 69 8 8" xfId="7321" xr:uid="{C968F6DA-12A4-44D4-9AFB-417D2E2B532B}"/>
    <cellStyle name="Style 69 8 8 2" xfId="23526" xr:uid="{4EDAC9E5-6AB6-4C9D-A623-9EF8FAFBFC51}"/>
    <cellStyle name="Style 69 8 9" xfId="7322" xr:uid="{EF1B9765-AB96-4F70-89FA-D387966193A5}"/>
    <cellStyle name="Style 69 8 9 2" xfId="23527" xr:uid="{8F9E3E6B-B3BC-4732-8F0B-CF430DB7878D}"/>
    <cellStyle name="Style 69 9" xfId="1906" xr:uid="{FA7485F5-3960-468B-8FBC-28A9479C432C}"/>
    <cellStyle name="Style 69 9 10" xfId="18925" xr:uid="{EA0E49C6-C11B-4784-B96F-FEEA4F4963F7}"/>
    <cellStyle name="Style 69 9 2" xfId="1907" xr:uid="{51F057D8-B75D-4382-83A7-5D7A35FAB27A}"/>
    <cellStyle name="Style 69 9 2 2" xfId="4367" xr:uid="{6ED4649B-130E-4856-918E-3FE12DBE14A4}"/>
    <cellStyle name="Style 69 9 2 2 2" xfId="7323" xr:uid="{2328F21E-B7CE-44B6-A9F1-5BFFBEEACB03}"/>
    <cellStyle name="Style 69 9 2 2 2 2" xfId="23528" xr:uid="{405907D6-AA8C-4781-93F7-C533D4C31841}"/>
    <cellStyle name="Style 69 9 2 2 3" xfId="22071" xr:uid="{E55E2049-2E98-40EA-BD3D-B6478AB78D13}"/>
    <cellStyle name="Style 69 9 2 3" xfId="7324" xr:uid="{EFF58514-DBF2-47F1-8938-9C9CD0A39B71}"/>
    <cellStyle name="Style 69 9 2 3 2" xfId="23529" xr:uid="{6A86FCA8-0760-40D7-A503-8792F741A336}"/>
    <cellStyle name="Style 69 9 2 4" xfId="7325" xr:uid="{E20AA75E-3ACD-4D75-B11D-D6AE32D10F51}"/>
    <cellStyle name="Style 69 9 2 4 2" xfId="23530" xr:uid="{E10DC254-B6A8-4695-A44F-ECFA3BC31F27}"/>
    <cellStyle name="Style 69 9 2 5" xfId="7326" xr:uid="{7FAFBC64-02AF-41EA-B404-6B05D6718017}"/>
    <cellStyle name="Style 69 9 2 5 2" xfId="23531" xr:uid="{E5B4DAC7-AD5A-4E3E-AEDE-D2B15F98C296}"/>
    <cellStyle name="Style 69 9 2 6" xfId="7327" xr:uid="{C4889CD9-E66E-48B1-B898-D5B3C9061D3A}"/>
    <cellStyle name="Style 69 9 2 6 2" xfId="23532" xr:uid="{4B42941C-FB20-4CFD-9FBB-611446AE92E5}"/>
    <cellStyle name="Style 69 9 2 7" xfId="7328" xr:uid="{17EEE9ED-942E-4391-8561-C9C975D2635A}"/>
    <cellStyle name="Style 69 9 2 7 2" xfId="23533" xr:uid="{6F45F554-D1A7-4974-99F2-B684753450A0}"/>
    <cellStyle name="Style 69 9 2 8" xfId="19624" xr:uid="{1665C89C-E8DF-49DE-85D2-48625003DAC7}"/>
    <cellStyle name="Style 69 9 3" xfId="2771" xr:uid="{D4172237-261D-414A-A67A-257478A95229}"/>
    <cellStyle name="Style 69 9 3 2" xfId="7329" xr:uid="{507A029A-45B0-48FD-8D85-F24FD5716A2B}"/>
    <cellStyle name="Style 69 9 3 2 2" xfId="23534" xr:uid="{BE13447F-3FA5-493D-8250-5238B774FE68}"/>
    <cellStyle name="Style 69 9 3 3" xfId="22070" xr:uid="{2E15C4C2-29F7-40F8-B8EC-DF0FC2DECFC4}"/>
    <cellStyle name="Style 69 9 4" xfId="7330" xr:uid="{A7CD92EA-92B5-4BAF-930D-658528CC6CC7}"/>
    <cellStyle name="Style 69 9 4 2" xfId="23535" xr:uid="{2CB13CB4-A3AC-4E70-9FE9-3F26DEEBE4A4}"/>
    <cellStyle name="Style 69 9 5" xfId="7331" xr:uid="{53C4AB7A-AF33-4381-852D-E70FC6AFC58C}"/>
    <cellStyle name="Style 69 9 5 2" xfId="23536" xr:uid="{A5E9D0FB-FE7C-4DD0-AC84-4E7DBDEAD2B4}"/>
    <cellStyle name="Style 69 9 6" xfId="7332" xr:uid="{13DDEF5A-1A59-43E7-A78F-9014CFE28C52}"/>
    <cellStyle name="Style 69 9 6 2" xfId="23537" xr:uid="{9EF3485A-6BAF-4700-AA43-A757404B00F0}"/>
    <cellStyle name="Style 69 9 7" xfId="7333" xr:uid="{138CE53A-19D5-489E-B6F3-56C54EFA86BC}"/>
    <cellStyle name="Style 69 9 7 2" xfId="23538" xr:uid="{32CF40A7-81D5-4C4A-BC8D-A2C552D8A4B4}"/>
    <cellStyle name="Style 69 9 8" xfId="7334" xr:uid="{76C77DFF-5DCB-46E2-8976-D2CFFB77DFAB}"/>
    <cellStyle name="Style 69 9 8 2" xfId="23539" xr:uid="{8AE55E68-BD2E-4E9F-A140-A395DDD759D2}"/>
    <cellStyle name="Style 69 9 9" xfId="7335" xr:uid="{0919BBB5-32E5-4FC7-95EA-A9D45A13D518}"/>
    <cellStyle name="Style 69 9 9 2" xfId="23540" xr:uid="{6E06AEDE-15BC-46D2-A797-550E25C30F4F}"/>
    <cellStyle name="Style 69_ADDON" xfId="20528" xr:uid="{545BA7D5-8D34-466C-BA1D-6616770F5087}"/>
    <cellStyle name="Style 70" xfId="1908" xr:uid="{CA2B8C6C-0E07-472C-8E29-949770CF5CB9}"/>
    <cellStyle name="Style 70 10" xfId="7336" xr:uid="{3293F8B2-6D1F-4DC6-9B65-EA12C4F1DF37}"/>
    <cellStyle name="Style 70 10 2" xfId="23541" xr:uid="{22458FA6-4F2B-4546-B2DB-E8B92B3158A4}"/>
    <cellStyle name="Style 70 11" xfId="7337" xr:uid="{BFC3A064-3473-410E-8977-7390C1FB093F}"/>
    <cellStyle name="Style 70 11 2" xfId="23542" xr:uid="{A6B9BB2B-B395-4FA9-81B4-DD309E908598}"/>
    <cellStyle name="Style 70 12" xfId="7338" xr:uid="{84DA2C86-7FBF-425B-B62C-DE565215EE47}"/>
    <cellStyle name="Style 70 12 2" xfId="23543" xr:uid="{17FF6022-D925-44E0-8944-CDBB9A489DE2}"/>
    <cellStyle name="Style 70 13" xfId="7339" xr:uid="{721673BC-732F-4ADF-A5C2-4F7AB01B7C39}"/>
    <cellStyle name="Style 70 13 2" xfId="23544" xr:uid="{94C3EAEF-06FB-4F59-9FFD-569361B04E21}"/>
    <cellStyle name="Style 70 14" xfId="7340" xr:uid="{FC4F3A37-BA38-4178-AEA8-0BFB05019561}"/>
    <cellStyle name="Style 70 14 2" xfId="23545" xr:uid="{A6ACD7A1-5FE6-4D0E-A1BF-C8F00E3F0261}"/>
    <cellStyle name="Style 70 15" xfId="18926" xr:uid="{AAC7409C-AACC-4397-982F-9C412E2C59DB}"/>
    <cellStyle name="Style 70 2" xfId="1909" xr:uid="{FFF5F6C9-AC26-4D3D-A3BC-79F7181BCD8C}"/>
    <cellStyle name="Style 70 2 10" xfId="18927" xr:uid="{E2181224-D550-4C01-AAF6-B8F768D80E66}"/>
    <cellStyle name="Style 70 2 2" xfId="7341" xr:uid="{53EB93E1-2645-49B2-B3F2-840220DF024B}"/>
    <cellStyle name="Style 70 2 2 2" xfId="7342" xr:uid="{D1797C38-E457-48E4-AD2B-BA88E597F76C}"/>
    <cellStyle name="Style 70 2 2 2 2" xfId="23547" xr:uid="{30F6C727-2D89-4A65-AD7C-9D0F77504083}"/>
    <cellStyle name="Style 70 2 2 3" xfId="23546" xr:uid="{0C844C58-7DE9-418E-B029-914AD53A458F}"/>
    <cellStyle name="Style 70 2 3" xfId="7343" xr:uid="{31F5743A-181F-4317-8FCE-2CE52FD76602}"/>
    <cellStyle name="Style 70 2 3 2" xfId="23548" xr:uid="{4FBA489B-6686-4AF6-82F9-8D20A3A38CDE}"/>
    <cellStyle name="Style 70 2 4" xfId="7344" xr:uid="{64CC2BE4-1FCF-42B2-8532-ACE29F93E508}"/>
    <cellStyle name="Style 70 2 4 2" xfId="23549" xr:uid="{4FC8C55C-CD1C-45BD-B888-C4168DABE78E}"/>
    <cellStyle name="Style 70 2 5" xfId="7345" xr:uid="{E8691699-D597-4A37-80E5-27D8BA8567A8}"/>
    <cellStyle name="Style 70 2 5 2" xfId="23550" xr:uid="{F32A66FF-0BC5-44F8-8895-519900617FEF}"/>
    <cellStyle name="Style 70 2 6" xfId="7346" xr:uid="{9A07448E-1613-4100-88B4-1770E7377266}"/>
    <cellStyle name="Style 70 2 6 2" xfId="23551" xr:uid="{4DEB265D-0A40-4EA9-87AC-300D011BA099}"/>
    <cellStyle name="Style 70 2 7" xfId="7347" xr:uid="{267202AD-D4D8-4D3C-97FB-9F0D6A229E13}"/>
    <cellStyle name="Style 70 2 7 2" xfId="23552" xr:uid="{CB857722-4BAF-4A76-993A-7FFBBD7124A2}"/>
    <cellStyle name="Style 70 2 8" xfId="7348" xr:uid="{D9989BD9-BF16-432C-B3F4-2B808EBC5AA2}"/>
    <cellStyle name="Style 70 2 8 2" xfId="23553" xr:uid="{C0406D2E-E730-4709-B5CD-AE3828419823}"/>
    <cellStyle name="Style 70 2 9" xfId="7349" xr:uid="{0BCA8865-6B8C-4038-BF2E-60E0E9F822CC}"/>
    <cellStyle name="Style 70 2 9 2" xfId="23554" xr:uid="{A48F21F0-AAAE-4132-866B-33A94BD0D25D}"/>
    <cellStyle name="Style 70 3" xfId="1910" xr:uid="{6DEF2960-3769-465D-9049-B10F7ADEBE81}"/>
    <cellStyle name="Style 70 3 10" xfId="7350" xr:uid="{DD341F1A-A72D-4184-87EB-F96796267E68}"/>
    <cellStyle name="Style 70 3 10 2" xfId="23555" xr:uid="{C963F991-44E8-466C-81AB-002880E2FB3C}"/>
    <cellStyle name="Style 70 3 11" xfId="7351" xr:uid="{4013E0A9-75D5-4E1E-9410-A2084BEE4A08}"/>
    <cellStyle name="Style 70 3 11 2" xfId="23556" xr:uid="{2E3C152C-1EE7-4154-B703-9D34978CDD70}"/>
    <cellStyle name="Style 70 3 12" xfId="7352" xr:uid="{7C0700A3-95C8-4D00-B3E4-7F2E01D619BC}"/>
    <cellStyle name="Style 70 3 12 2" xfId="23557" xr:uid="{A13B7018-E729-4C00-806E-FE82582ACB4D}"/>
    <cellStyle name="Style 70 3 13" xfId="18928" xr:uid="{4E9992CC-29EF-45A7-8226-9B049EB7BAFC}"/>
    <cellStyle name="Style 70 3 2" xfId="1911" xr:uid="{45A61842-5F8E-40AF-90AC-CFF7FBB85E3F}"/>
    <cellStyle name="Style 70 3 2 2" xfId="7353" xr:uid="{516A9667-1966-407B-BB1D-1AECD71330E4}"/>
    <cellStyle name="Style 70 3 2 2 2" xfId="23558" xr:uid="{1B036DF5-A3DB-47BB-A43D-81B057FC2151}"/>
    <cellStyle name="Style 70 3 2 3" xfId="7354" xr:uid="{8417A4F0-BA47-4E03-BEF1-9EF5C07E53C9}"/>
    <cellStyle name="Style 70 3 2 3 2" xfId="23559" xr:uid="{2A92F3AB-AB0F-40F9-9977-A6FADF9798F0}"/>
    <cellStyle name="Style 70 3 2 4" xfId="7355" xr:uid="{56F204C9-BC5D-4EA5-A877-0CA7380798F2}"/>
    <cellStyle name="Style 70 3 2 4 2" xfId="23560" xr:uid="{1178FAED-51BE-4853-864A-38A263393A4E}"/>
    <cellStyle name="Style 70 3 2 5" xfId="7356" xr:uid="{1F4520F0-E181-4FF9-BC36-2273F1DE551A}"/>
    <cellStyle name="Style 70 3 2 5 2" xfId="23561" xr:uid="{9527F38B-FA65-4925-AABD-9608CB271508}"/>
    <cellStyle name="Style 70 3 2 6" xfId="7357" xr:uid="{4CF56455-A3FE-4DF2-88DD-329494A0262B}"/>
    <cellStyle name="Style 70 3 2 6 2" xfId="23562" xr:uid="{34D3D390-3233-4B07-A68B-88FD70266731}"/>
    <cellStyle name="Style 70 3 2 7" xfId="7358" xr:uid="{EC0FF813-97FD-4118-9E82-69EF62D6FB7C}"/>
    <cellStyle name="Style 70 3 2 7 2" xfId="23563" xr:uid="{9F0DE151-794F-41EF-856B-100CFF12915C}"/>
    <cellStyle name="Style 70 3 2 8" xfId="7359" xr:uid="{BEC68BBF-F358-4D7F-B671-BC61757C29BC}"/>
    <cellStyle name="Style 70 3 2 8 2" xfId="23564" xr:uid="{BC756B45-5DCC-4AC1-916A-E62400060DAD}"/>
    <cellStyle name="Style 70 3 2 9" xfId="18929" xr:uid="{EDA268B6-66E6-48F9-A1FD-BE84C3D9EBF0}"/>
    <cellStyle name="Style 70 3 3" xfId="1912" xr:uid="{EE747D20-CB50-473F-8C3E-99C97008F6BD}"/>
    <cellStyle name="Style 70 3 3 10" xfId="7360" xr:uid="{495BFFF0-0C5E-431C-99DB-9AF6E780906D}"/>
    <cellStyle name="Style 70 3 3 10 2" xfId="23565" xr:uid="{88CBC978-29CC-4C9C-B3EC-F1196C14FB98}"/>
    <cellStyle name="Style 70 3 3 11" xfId="18930" xr:uid="{495B0532-1280-4F33-A8CA-D78BF8E73D42}"/>
    <cellStyle name="Style 70 3 3 2" xfId="1913" xr:uid="{85E0FE9E-3603-48AD-9214-B4C10631A5D1}"/>
    <cellStyle name="Style 70 3 3 2 2" xfId="7361" xr:uid="{36A75830-C5D9-4A67-BECE-3F57C472FDEC}"/>
    <cellStyle name="Style 70 3 3 2 2 2" xfId="23566" xr:uid="{B42FA700-F9F8-4610-AA46-0F20C9292267}"/>
    <cellStyle name="Style 70 3 3 2 3" xfId="7362" xr:uid="{C148C76F-1A13-4D4F-85AA-5D0E58D25868}"/>
    <cellStyle name="Style 70 3 3 2 3 2" xfId="23567" xr:uid="{63B84AD1-1066-4399-B640-E3F610C3E906}"/>
    <cellStyle name="Style 70 3 3 2 4" xfId="7363" xr:uid="{C5F8BF6B-412E-480E-8413-21AC0A02505B}"/>
    <cellStyle name="Style 70 3 3 2 4 2" xfId="23568" xr:uid="{0A7052FD-BBC5-49DF-BD89-7EF979759440}"/>
    <cellStyle name="Style 70 3 3 2 5" xfId="7364" xr:uid="{A1960553-E196-43D1-927F-A1FA30696DF6}"/>
    <cellStyle name="Style 70 3 3 2 5 2" xfId="23569" xr:uid="{9CCC7A3D-B16D-48A2-8037-FD5AFC3F5A76}"/>
    <cellStyle name="Style 70 3 3 2 6" xfId="7365" xr:uid="{1BA4A578-5EA4-4303-A144-C9F44109409A}"/>
    <cellStyle name="Style 70 3 3 2 6 2" xfId="23570" xr:uid="{97B33B63-097A-40D5-9A37-0B880B74BC65}"/>
    <cellStyle name="Style 70 3 3 2 7" xfId="7366" xr:uid="{1CE6DB72-6E13-4B1B-B0E3-A7F9483348F5}"/>
    <cellStyle name="Style 70 3 3 2 7 2" xfId="23571" xr:uid="{24B67FE7-BF12-4A5C-AEEE-20F94F66A6B0}"/>
    <cellStyle name="Style 70 3 3 2 8" xfId="7367" xr:uid="{EF200747-7E10-478D-8005-6535805D676A}"/>
    <cellStyle name="Style 70 3 3 2 8 2" xfId="23572" xr:uid="{AE8C0BA7-7061-44F1-B410-F41D6E52A922}"/>
    <cellStyle name="Style 70 3 3 2 9" xfId="18931" xr:uid="{F635493E-A961-40D2-8F82-4A7B0B005489}"/>
    <cellStyle name="Style 70 3 3 3" xfId="4368" xr:uid="{EB56E188-DBD9-47A3-9832-7C6F82EAA4D7}"/>
    <cellStyle name="Style 70 3 3 3 2" xfId="7368" xr:uid="{D6A4151B-003A-430B-A12C-6E9D50586539}"/>
    <cellStyle name="Style 70 3 3 3 2 2" xfId="23573" xr:uid="{941921BE-BC10-41F1-BBDF-EC9691AA058B}"/>
    <cellStyle name="Style 70 3 3 3 3" xfId="7369" xr:uid="{D4448F4B-1287-479E-B7A9-8FCD3F1E13E3}"/>
    <cellStyle name="Style 70 3 3 3 3 2" xfId="23574" xr:uid="{4AD31243-8F36-4CA3-808F-108ADDD0ED2C}"/>
    <cellStyle name="Style 70 3 3 3 4" xfId="18932" xr:uid="{43B6039C-14EB-4533-B1BE-119952AAAB9B}"/>
    <cellStyle name="Style 70 3 3 4" xfId="4369" xr:uid="{DD67E6C0-2D1F-4A03-A049-F35CB107DEDF}"/>
    <cellStyle name="Style 70 3 3 4 2" xfId="7370" xr:uid="{A1186B59-9CA6-4BEB-A27B-64FA4F6AB4A0}"/>
    <cellStyle name="Style 70 3 3 4 2 2" xfId="23575" xr:uid="{0246591E-C200-4E17-A0E0-F55C1D4DF94B}"/>
    <cellStyle name="Style 70 3 3 4 3" xfId="19625" xr:uid="{FAE36175-69FB-4BCD-94B8-3108A792F565}"/>
    <cellStyle name="Style 70 3 3 5" xfId="7371" xr:uid="{E8649102-AFDC-48CF-9277-F971A7977AE5}"/>
    <cellStyle name="Style 70 3 3 5 2" xfId="23576" xr:uid="{44C0D732-A172-4BFB-8482-AC2A3530518E}"/>
    <cellStyle name="Style 70 3 3 6" xfId="7372" xr:uid="{EE0938AD-0B0E-4486-B698-3A12AB89DB48}"/>
    <cellStyle name="Style 70 3 3 6 2" xfId="23577" xr:uid="{2EF25950-9FC9-4D35-B3ED-9B9D8D7CBDC6}"/>
    <cellStyle name="Style 70 3 3 7" xfId="7373" xr:uid="{4AD03BDB-883A-4465-8FB3-9C2EE5A910E8}"/>
    <cellStyle name="Style 70 3 3 7 2" xfId="23578" xr:uid="{9229C9F3-1FEE-4414-AEAE-CB696EAA9BD6}"/>
    <cellStyle name="Style 70 3 3 8" xfId="7374" xr:uid="{153D0239-B2DF-4CD2-A89F-822CEC7671B3}"/>
    <cellStyle name="Style 70 3 3 8 2" xfId="23579" xr:uid="{B33B60F3-0D72-4C9A-B7EB-70B352A0E724}"/>
    <cellStyle name="Style 70 3 3 9" xfId="7375" xr:uid="{58CF4671-83A0-4209-8933-DA9238B0410C}"/>
    <cellStyle name="Style 70 3 3 9 2" xfId="23580" xr:uid="{81F8249F-6DCC-4312-A865-5CBADFBC3EC7}"/>
    <cellStyle name="Style 70 3 4" xfId="1914" xr:uid="{B0537813-CFE9-4D35-8580-7E1549A76188}"/>
    <cellStyle name="Style 70 3 4 10" xfId="18933" xr:uid="{F3A7A602-8349-4D10-8BAB-5359E7910FD6}"/>
    <cellStyle name="Style 70 3 4 2" xfId="1915" xr:uid="{B0985D2B-A989-4B80-9D93-B9F815ABA373}"/>
    <cellStyle name="Style 70 3 4 2 2" xfId="7376" xr:uid="{0E5F2BC6-947C-4422-8EAF-7526518F11F6}"/>
    <cellStyle name="Style 70 3 4 2 2 2" xfId="23581" xr:uid="{960322B3-C482-4FED-A6E4-944131B74775}"/>
    <cellStyle name="Style 70 3 4 2 3" xfId="7377" xr:uid="{9BBA8D5F-D50E-4916-86B3-175593940E25}"/>
    <cellStyle name="Style 70 3 4 2 3 2" xfId="23582" xr:uid="{7CD9F1E9-212C-4786-B8DF-F602B902809B}"/>
    <cellStyle name="Style 70 3 4 2 4" xfId="7378" xr:uid="{0BAC1C4F-86DD-4C29-9DF9-4D0AABF060C3}"/>
    <cellStyle name="Style 70 3 4 2 4 2" xfId="23583" xr:uid="{11A87979-576E-4415-8A80-DD65C928DE67}"/>
    <cellStyle name="Style 70 3 4 2 5 2" xfId="23584" xr:uid="{8A887371-4A27-40B3-B016-59DF02E4EDAB}"/>
    <cellStyle name="Style 70 3 4 2 6 2" xfId="23585" xr:uid="{920B5372-DE95-4D03-9D70-2ECC9720DC7A}"/>
    <cellStyle name="Style 70 3 4 2 7 2" xfId="23586" xr:uid="{22927DDA-80E9-40F1-BD7E-E290BC3C8E64}"/>
    <cellStyle name="Style 70 3 4 2 8 2" xfId="23587" xr:uid="{E4DED791-A589-4BC3-9713-B6DCD6381DBB}"/>
    <cellStyle name="Style 70 3 4 3" xfId="7379" xr:uid="{BBA1B4BB-C03F-4096-9C6B-9AF753944737}"/>
    <cellStyle name="Style 70 3 4 4" xfId="7380" xr:uid="{7E9B42F6-A113-49DC-96BA-6927CE506987}"/>
    <cellStyle name="Style 70 3 4 5" xfId="7381" xr:uid="{37559C6C-449D-4A88-B1DD-1AA14F802EF0}"/>
    <cellStyle name="Style 70 3 4 6" xfId="7382" xr:uid="{DDC36458-CAB0-4EDE-AC59-174E40484506}"/>
    <cellStyle name="Style 70 3 4 7" xfId="7383" xr:uid="{499CE497-2B3F-4220-AEEC-6B8DD5D8DF79}"/>
    <cellStyle name="Style 70 3 4 8" xfId="7384" xr:uid="{99CA4EBD-7CC4-46BF-A48F-566419BA82EC}"/>
    <cellStyle name="Style 70 3 4 9" xfId="7385" xr:uid="{DB0E1493-C64B-4022-A2C4-F598DBE5725C}"/>
    <cellStyle name="Style 70 3 5" xfId="4370" xr:uid="{34B5CCD2-D149-4ADB-B93E-FF169D585AE3}"/>
    <cellStyle name="Style 70 3 5 2 2" xfId="23588" xr:uid="{F181F72E-693D-4969-B8E6-4CF985751B4A}"/>
    <cellStyle name="Style 70 3 5 3 2" xfId="23589" xr:uid="{257C8BF7-B2AC-4E79-BBAB-59B3621D263C}"/>
    <cellStyle name="Style 70 3 6" xfId="7386" xr:uid="{DD6B5B1F-5F9C-4627-9215-2076D3207FC6}"/>
    <cellStyle name="Style 70 3 7" xfId="7387" xr:uid="{C7E9647A-D0DF-461E-9403-E685A89E16A5}"/>
    <cellStyle name="Style 70 3 8" xfId="7388" xr:uid="{93AE49E7-7843-4E5D-A22B-9B8ECFB17B49}"/>
    <cellStyle name="Style 70 3 9" xfId="7389" xr:uid="{29BCE4EC-41D3-44EB-8DBE-1AD30CA001E8}"/>
    <cellStyle name="Style 70 4" xfId="1916" xr:uid="{79A59036-6C0B-425E-A993-401A55467DFA}"/>
    <cellStyle name="Style 70 4 10 2" xfId="23590" xr:uid="{A01FC22E-FAD2-49BD-8FA3-327596D4704F}"/>
    <cellStyle name="Style 70 4 2" xfId="1917" xr:uid="{955397DA-D5A3-469D-AA7E-2265730F26E0}"/>
    <cellStyle name="Style 70 4 2 2 2" xfId="23591" xr:uid="{93193EA1-C468-4B3E-8136-BAB86F63F9D4}"/>
    <cellStyle name="Style 70 4 2 3 2" xfId="23592" xr:uid="{0F10227F-2E60-44C4-B4BC-1B6162CB0915}"/>
    <cellStyle name="Style 70 4 2 4 2" xfId="23593" xr:uid="{393087E9-E40C-4FA5-BCED-BAD76F0AC5EB}"/>
    <cellStyle name="Style 70 4 2 5 2" xfId="23594" xr:uid="{A3D0FF09-8468-4E09-A349-C4C3062C54DA}"/>
    <cellStyle name="Style 70 4 2 6 2" xfId="23595" xr:uid="{9FF0D7F0-E12F-437F-9520-F8DCD80ACF57}"/>
    <cellStyle name="Style 70 4 2 7 2" xfId="23596" xr:uid="{4004B5A2-2555-47A0-A2FC-1EE615DABCF9}"/>
    <cellStyle name="Style 70 4 2 8 2" xfId="23597" xr:uid="{48F722BF-E270-4BBD-A677-57E872074D1D}"/>
    <cellStyle name="Style 70 4 3" xfId="4371" xr:uid="{B017986C-770A-405D-8DA4-1A1235017946}"/>
    <cellStyle name="Style 70 4 3 2 2" xfId="23598" xr:uid="{FF687AC3-ABD3-4ED8-8170-B6D68C04168B}"/>
    <cellStyle name="Style 70 4 3 3 2" xfId="23599" xr:uid="{78DD440D-A753-45DF-B72F-D6584823AFC2}"/>
    <cellStyle name="Style 70 4 4" xfId="4372" xr:uid="{8CA3DD34-7CD1-4398-9205-1052DFFC678B}"/>
    <cellStyle name="Style 70 4 4 2 2" xfId="23600" xr:uid="{0D1E0B68-C82E-4899-AAA9-9704B6FF9CF5}"/>
    <cellStyle name="Style 70 4 5" xfId="7390" xr:uid="{587CAE22-574C-4EDA-B739-F6D5305FD7E1}"/>
    <cellStyle name="Style 70 4 6" xfId="7391" xr:uid="{0FD8E34F-3696-436C-B931-9E785C8758C4}"/>
    <cellStyle name="Style 70 4 7" xfId="7392" xr:uid="{6BB5093E-770C-44F1-845E-B9AD11764AC5}"/>
    <cellStyle name="Style 70 4 8" xfId="7393" xr:uid="{1496FA5A-8D12-4498-AEC4-CE1D7342AB5A}"/>
    <cellStyle name="Style 70 4 9" xfId="7394" xr:uid="{ADFFA104-F5BA-4D01-ADC0-A4F47E016ACC}"/>
    <cellStyle name="Style 70 5" xfId="1918" xr:uid="{3D226206-B147-4F98-8C13-513599330394}"/>
    <cellStyle name="Style 70 5 11" xfId="18934" xr:uid="{95E3200F-1ADE-4294-B71B-F53056DB4283}"/>
    <cellStyle name="Style 70 5 2 2" xfId="7395" xr:uid="{D15624C1-03AD-4A11-8CB0-72B21426C2E9}"/>
    <cellStyle name="Style 70 5 2 4" xfId="7396" xr:uid="{B8DD02D0-FF53-4394-9788-48E937209FD6}"/>
    <cellStyle name="Style 70 5 2 5 2" xfId="23601" xr:uid="{6110937F-1BE3-4D5A-863E-078E1AEB75C6}"/>
    <cellStyle name="Style 70 5 2 7 2" xfId="23602" xr:uid="{EE56FEE8-3FA0-4D94-8BE1-1AA79587CA8C}"/>
    <cellStyle name="Style 70 5 4 2" xfId="23603" xr:uid="{9324EF9C-32DF-41A5-9813-91D5CA938B22}"/>
    <cellStyle name="Style 70 5 6 2" xfId="23604" xr:uid="{F0F0A3DF-020C-406D-83AF-D108F679E800}"/>
    <cellStyle name="Style 70 5 9" xfId="7397" xr:uid="{CA198153-298B-4668-846A-F870D8C513B9}"/>
    <cellStyle name="Style 70 6 10" xfId="7398" xr:uid="{78D87B0F-B0B9-49C5-8C96-037AD61F3EF2}"/>
    <cellStyle name="Style 70 6 2 2" xfId="7399" xr:uid="{80206AA8-76AD-4A91-8D65-9C0DBFF1BA7E}"/>
    <cellStyle name="Style 70 6 2 4" xfId="7400" xr:uid="{285E118C-5F2C-45D1-874B-DA618E7C9792}"/>
    <cellStyle name="Style 70 6 2 4 2" xfId="23605" xr:uid="{3E5FDC48-14A4-42CE-AAEF-DA4D5BF375CA}"/>
    <cellStyle name="Style 70 6 2 5" xfId="7401" xr:uid="{2BDFFC75-657C-4AC3-B125-E71689774200}"/>
    <cellStyle name="Style 70 6 2 6" xfId="7402" xr:uid="{31C2AED4-7288-4564-AFA8-8A3877665554}"/>
    <cellStyle name="Style 70 6 2 7" xfId="7403" xr:uid="{3F6A7EE8-AB7F-4500-A18D-4F045E341465}"/>
    <cellStyle name="Style 70 6 2 8" xfId="7404" xr:uid="{52A92283-732D-4D43-898F-8016ED96FC6E}"/>
    <cellStyle name="Style 70 6 2 8 2" xfId="23606" xr:uid="{8D278FB8-3DDA-4624-80AB-2F8640FB0CD0}"/>
    <cellStyle name="Style 70 6 2 9" xfId="19626" xr:uid="{6A4E752A-8DA6-44CC-9928-FB4205058033}"/>
    <cellStyle name="Style 70 6 3 3" xfId="22520" xr:uid="{8E28E311-BE7A-4537-9F4B-B622B8C3A828}"/>
    <cellStyle name="Style 70 6 5" xfId="7405" xr:uid="{866AD052-5FCB-41F9-A9DE-44022BA18C43}"/>
    <cellStyle name="Style 70 6 5 2" xfId="23607" xr:uid="{E21F24E1-6E2F-4F0F-B233-2D0B56EC8E92}"/>
    <cellStyle name="Style 70 6 7" xfId="7406" xr:uid="{E8353AD5-375F-4655-BB50-DA1B147E8EDB}"/>
    <cellStyle name="Style 70 6 8" xfId="7407" xr:uid="{E013F190-4B32-49BE-BCE1-7B7C498593F4}"/>
    <cellStyle name="Style 70 6 9" xfId="7408" xr:uid="{0D82FB0D-2498-4DF7-A4A9-08737EEB3DFA}"/>
    <cellStyle name="Style 70 6 9 2" xfId="23608" xr:uid="{910E0AF5-3113-46B6-BE28-5402A901CD23}"/>
    <cellStyle name="Style 70 7 2" xfId="4373" xr:uid="{E811A379-CD5E-4FA0-A2C2-A12EB45BA8DC}"/>
    <cellStyle name="Style 70 7 4" xfId="18935" xr:uid="{E4CBA0BD-C752-4AFE-B0B2-3445D4FDED6F}"/>
    <cellStyle name="Style 70 8" xfId="4374" xr:uid="{C5D7846E-2A07-4F90-B4EF-06E949AF852C}"/>
    <cellStyle name="Style 70 8 2 2" xfId="23609" xr:uid="{C35DA21A-12BD-40B4-883C-E316AEB9BD5E}"/>
    <cellStyle name="Style 70 9 2" xfId="7409" xr:uid="{7B721BA4-5F82-420D-B513-CEF205B5CA75}"/>
    <cellStyle name="Style 70 9 2 2" xfId="23610" xr:uid="{93F9BF65-45D6-4BB6-802A-7229846C38C3}"/>
    <cellStyle name="Style 70_ADDON" xfId="20499" xr:uid="{5C19FCE5-E2A5-43A3-B516-911A5E4DEC39}"/>
    <cellStyle name="Style 71 10" xfId="7410" xr:uid="{814925D6-1F48-4923-92E2-DF32FFE2E348}"/>
    <cellStyle name="Style 71 11" xfId="7411" xr:uid="{358B79B2-1749-4C9B-8C69-FDEEA610E6E8}"/>
    <cellStyle name="Style 71 11 2" xfId="23611" xr:uid="{8CBD9E34-0D34-4312-8E0B-D7F3ED1517DC}"/>
    <cellStyle name="Style 71 12 2" xfId="23612" xr:uid="{205BC388-30AC-4B96-AB4D-8CE301FE73F2}"/>
    <cellStyle name="Style 71 13 2" xfId="23613" xr:uid="{F5F854EA-034A-4684-80B9-D70437899FBD}"/>
    <cellStyle name="Style 71 15 2" xfId="23614" xr:uid="{8C73A103-96F2-4F5A-90C2-CB2FC405C1FF}"/>
    <cellStyle name="Style 71 2 10 2" xfId="23615" xr:uid="{A7CDDA5D-7E90-458C-A992-749929DA5036}"/>
    <cellStyle name="Style 71 2 11" xfId="7412" xr:uid="{6A627A15-5E40-4035-8A38-098F497F778C}"/>
    <cellStyle name="Style 71 2 13" xfId="7413" xr:uid="{E4349C7E-C30C-4068-9F30-CABB80FAB333}"/>
    <cellStyle name="Style 71 2 2 10 2" xfId="23616" xr:uid="{5131A497-9489-4FFE-9658-24B26D0606E9}"/>
    <cellStyle name="Style 71 2 2 12 2" xfId="23617" xr:uid="{2C0EA22F-03D6-4CF5-B425-C79A8AAE79EE}"/>
    <cellStyle name="Style 71 2 2 2" xfId="1919" xr:uid="{F6E00E1E-75C6-4BEB-8E58-344220FC6489}"/>
    <cellStyle name="Style 71 2 2 2 11" xfId="7414" xr:uid="{9B098FF1-DB7F-4758-AC7B-B0043C453DDF}"/>
    <cellStyle name="Style 71 2 2 2 2" xfId="1920" xr:uid="{9A9A01CE-AF6B-4FED-A91B-8FE75CA29718}"/>
    <cellStyle name="Style 71 2 2 2 2 2" xfId="1921" xr:uid="{3C18CF6B-4194-4AB8-808D-C0B5420BA423}"/>
    <cellStyle name="Style 71 2 2 2 2 2 2" xfId="7415" xr:uid="{0196A02A-43FD-4147-A778-8872EFB6F9A3}"/>
    <cellStyle name="Style 71 2 2 2 2 2 3 2" xfId="23618" xr:uid="{D993D3FA-757A-46E3-8C12-D880A827AB10}"/>
    <cellStyle name="Style 71 2 2 2 2 2 5 2" xfId="23619" xr:uid="{A5C95622-176F-4567-86B9-8A2080808983}"/>
    <cellStyle name="Style 71 2 2 2 2 2 6 2" xfId="23620" xr:uid="{FE76B375-8472-4349-9BD2-443312A15D35}"/>
    <cellStyle name="Style 71 2 2 2 2 2 7 2" xfId="23621" xr:uid="{765BACE2-035D-462B-8432-0F183A897CAE}"/>
    <cellStyle name="Style 71 2 2 2 2 2 8 2" xfId="23622" xr:uid="{7E576FE4-D1F7-4D41-BDF5-5C4C1536ABBD}"/>
    <cellStyle name="Style 71 2 2 2 2 4" xfId="7416" xr:uid="{1D1E3153-230F-475E-A693-4B5A1FACFE2E}"/>
    <cellStyle name="Style 71 2 2 2 2 6" xfId="7417" xr:uid="{E616786C-462F-4227-B437-888A165AF8A0}"/>
    <cellStyle name="Style 71 2 2 2 2 7" xfId="7418" xr:uid="{2A36E944-3769-483A-93B7-6C2F8455B4CA}"/>
    <cellStyle name="Style 71 2 2 2 2 8" xfId="7419" xr:uid="{FD472262-A2AE-480E-AF83-6BEC0AA16F31}"/>
    <cellStyle name="Style 71 2 2 2 2 9 2" xfId="23623" xr:uid="{1C26294E-7AA3-43DF-A8F1-0FF50F85F918}"/>
    <cellStyle name="Style 71 2 2 2 3 2 2" xfId="7420" xr:uid="{972C6D2D-9A15-4927-AC9C-7FBC7E038FFB}"/>
    <cellStyle name="Style 71 2 2 2 3 4" xfId="7421" xr:uid="{C8ED6B4B-0C2B-46BB-8B7E-FC72D0DE858A}"/>
    <cellStyle name="Style 71 2 2 2 3 5" xfId="7422" xr:uid="{E1BB82A1-D01A-4A10-AB7B-6506683FA2D6}"/>
    <cellStyle name="Style 71 2 2 2 3 6 2" xfId="23624" xr:uid="{E80BE84C-EAF7-44F9-8265-8AA8A9B958A9}"/>
    <cellStyle name="Style 71 2 2 2 3 8" xfId="7423" xr:uid="{A6AA8E1E-0CA3-42B4-B4C9-C9C44436E1E6}"/>
    <cellStyle name="Style 71 2 2 2 4 2 2" xfId="23625" xr:uid="{78BB096C-6018-4298-B838-9BE64C2E2C89}"/>
    <cellStyle name="Style 71 2 2 2 5 2" xfId="23626" xr:uid="{52F9DD9A-1964-45C6-9CA1-C1C2574F9BF9}"/>
    <cellStyle name="Style 71 2 2 2 6 2" xfId="23627" xr:uid="{97DA3A8A-C014-43A4-96A8-98CA67BE805D}"/>
    <cellStyle name="Style 71 2 2 2 7 2" xfId="23628" xr:uid="{51C77B82-82A2-471A-A4D1-A07C00F5088D}"/>
    <cellStyle name="Style 71 2 2 2 9 2" xfId="23629" xr:uid="{1E2F7AF9-FBEE-4ECF-A07A-874596C9346C}"/>
    <cellStyle name="Style 71 2 2 3 10" xfId="7424" xr:uid="{5358D98D-A87C-4C5E-A1BF-2CF403E2D3F2}"/>
    <cellStyle name="Style 71 2 2 3 2" xfId="1922" xr:uid="{A11A08C4-3D58-40B9-B011-2C08D97FD6C3}"/>
    <cellStyle name="Style 71 2 2 3 2 2 2" xfId="7425" xr:uid="{0430B71F-CE93-4EDF-933F-65848D6A1343}"/>
    <cellStyle name="Style 71 2 2 3 2 3 2" xfId="23630" xr:uid="{BB0A4558-2C1C-4635-9565-13EBF77AE6B0}"/>
    <cellStyle name="Style 71 2 2 3 2 4" xfId="7426" xr:uid="{2374929F-0489-4CB5-A9A7-2CA110E0D591}"/>
    <cellStyle name="Style 71 2 2 3 2 6" xfId="7427" xr:uid="{6EBE337E-26FA-4D0D-B577-E25AC8774379}"/>
    <cellStyle name="Style 71 2 2 3 2 7" xfId="7428" xr:uid="{41B63524-A05E-49AB-9BF5-0C1F69777AA4}"/>
    <cellStyle name="Style 71 2 2 3 2 8" xfId="7429" xr:uid="{E5596699-1644-4757-AD6B-D79352E73A2D}"/>
    <cellStyle name="Style 71 2 2 3 3" xfId="7430" xr:uid="{E8B6B827-BB32-4C98-899D-E6CBECF773BE}"/>
    <cellStyle name="Style 71 2 2 3 4 2" xfId="23631" xr:uid="{7DC37C84-6BE3-4418-AE84-5490E6302564}"/>
    <cellStyle name="Style 71 2 2 3 5 2" xfId="23632" xr:uid="{8A58873A-C131-4325-9D9F-3030B64181F8}"/>
    <cellStyle name="Style 71 2 2 3 6 2" xfId="23633" xr:uid="{EBED677A-784F-4AEC-AC67-4F0F9D3687C0}"/>
    <cellStyle name="Style 71 2 2 3 8 2" xfId="23634" xr:uid="{2F7C49EE-1C3F-4A07-A2E2-63BAF7488F97}"/>
    <cellStyle name="Style 71 2 2 3 9 2" xfId="23635" xr:uid="{16C92046-449B-4541-BBE0-F8E776BF85CF}"/>
    <cellStyle name="Style 71 2 2 4 2 2" xfId="7431" xr:uid="{0AD8F330-97A3-4EA9-A617-D35F6DE2DFEE}"/>
    <cellStyle name="Style 71 2 2 4 2 2 2" xfId="23636" xr:uid="{A1CC1ECA-84E6-4A25-BC01-944ED4DD2FB4}"/>
    <cellStyle name="Style 71 2 2 4 3 2" xfId="23637" xr:uid="{A8DD718A-DA61-4B8A-A083-68F5C6222AE5}"/>
    <cellStyle name="Style 71 2 2 4 5 2" xfId="23638" xr:uid="{277E8F27-A399-40F4-9091-F9BFFFB7A178}"/>
    <cellStyle name="Style 71 2 2 4 6 2" xfId="23639" xr:uid="{DA9CF6C1-D012-4513-87A8-6E887B96E321}"/>
    <cellStyle name="Style 71 2 2 4 8 2" xfId="23640" xr:uid="{C4C3AC46-C004-4D6B-9C82-7BD36B3060D0}"/>
    <cellStyle name="Style 71 2 2 5 2" xfId="7432" xr:uid="{24EA924A-558A-438C-8E21-D087658AC4D5}"/>
    <cellStyle name="Style 71 2 2 6" xfId="7433" xr:uid="{F10E851D-47F6-4660-AAA9-451E069FBEFF}"/>
    <cellStyle name="Style 71 2 2 7" xfId="7434" xr:uid="{C5DC9D5C-A49E-4E52-A947-33A7D204444E}"/>
    <cellStyle name="Style 71 2 2 9" xfId="7435" xr:uid="{0E463153-8249-49B4-9F46-88E3FB561E24}"/>
    <cellStyle name="Style 71 2 3" xfId="1923" xr:uid="{D673FDC7-C40A-4068-A245-8447BD5F4776}"/>
    <cellStyle name="Style 71 2 3 11" xfId="7436" xr:uid="{EEC3D768-4643-493C-9E5A-BFA4C38C37C4}"/>
    <cellStyle name="Style 71 2 3 11 2" xfId="23641" xr:uid="{6C4AAD31-308C-4697-968D-F7737CDE63B8}"/>
    <cellStyle name="Style 71 2 3 2 10 2" xfId="23642" xr:uid="{BD214643-D4CF-43C6-80B5-4D1D95B06676}"/>
    <cellStyle name="Style 71 2 3 2 2 2 2" xfId="7437" xr:uid="{0F8D4572-8256-45AC-866C-EEEA57703D81}"/>
    <cellStyle name="Style 71 2 3 2 2 3" xfId="7438" xr:uid="{89745A63-67EC-4280-8B45-81E6825FAE27}"/>
    <cellStyle name="Style 71 2 3 2 2 5" xfId="7439" xr:uid="{94DBC091-D992-47AF-8F5A-704D62DF5734}"/>
    <cellStyle name="Style 71 2 3 2 2 5 2" xfId="23643" xr:uid="{63BF0388-0F92-4686-82CD-376D742A6B25}"/>
    <cellStyle name="Style 71 2 3 2 2 7" xfId="7440" xr:uid="{6D15414C-B363-4624-93D6-0F5BDD74DFE8}"/>
    <cellStyle name="Style 71 2 3 2 2 7 2" xfId="23644" xr:uid="{AD40361A-F633-4968-BE3D-45FF67D556FD}"/>
    <cellStyle name="Style 71 2 3 2 3" xfId="7441" xr:uid="{2D29E096-7EA7-43F8-9BB2-247A7D6697B5}"/>
    <cellStyle name="Style 71 2 3 2 4" xfId="7442" xr:uid="{9B1F0719-BEB7-450F-9F8B-BC0981A4E0CA}"/>
    <cellStyle name="Style 71 2 3 2 5 2" xfId="23645" xr:uid="{9727EAA1-84AE-4C8C-87DA-D37BF6229846}"/>
    <cellStyle name="Style 71 2 3 2 6 2" xfId="23646" xr:uid="{46046406-493F-4FDE-99AE-0CA99CC3C4E2}"/>
    <cellStyle name="Style 71 2 3 2 7" xfId="7443" xr:uid="{F6CA5364-5CC2-4F8C-8F13-1E7D1D082860}"/>
    <cellStyle name="Style 71 2 3 2 8 2" xfId="23647" xr:uid="{9BA48DEA-1CFA-41AF-978C-1EE6761900A2}"/>
    <cellStyle name="Style 71 2 3 3 2" xfId="7444" xr:uid="{27514BBA-BC15-4DE6-AE17-366926CA279F}"/>
    <cellStyle name="Style 71 2 3 3 2 2" xfId="7445" xr:uid="{96D1B483-F521-4ADD-BF14-6DBB11AD44EF}"/>
    <cellStyle name="Style 71 2 3 3 3 2" xfId="23648" xr:uid="{351AC958-5B32-4E2B-B21D-181E6CFFFEA2}"/>
    <cellStyle name="Style 71 2 3 3 4 2" xfId="23649" xr:uid="{5952C633-A212-4A1D-97BB-51855D4BD416}"/>
    <cellStyle name="Style 71 2 3 3 6 2" xfId="23650" xr:uid="{BC210AD8-3629-492D-B5D8-2836FAD68DFB}"/>
    <cellStyle name="Style 71 2 3 3 7" xfId="7446" xr:uid="{AE73C9AD-4FC0-44E8-A5B2-EA22DDBE76E3}"/>
    <cellStyle name="Style 71 2 3 3 8 2" xfId="23651" xr:uid="{47BEF22D-862F-4117-8569-229AE96BE879}"/>
    <cellStyle name="Style 71 2 3 4" xfId="7447" xr:uid="{E0643697-0E3E-4FFE-8E80-2C91EC86C1FF}"/>
    <cellStyle name="Style 71 2 3 5" xfId="7448" xr:uid="{8876BA89-951A-4EE8-9977-77ECD2568E91}"/>
    <cellStyle name="Style 71 2 3 6" xfId="7449" xr:uid="{D4B52F05-2B42-448C-A0B3-0AD98D603E83}"/>
    <cellStyle name="Style 71 2 3 7" xfId="7450" xr:uid="{AA3E8B45-EC1D-464E-A4CC-8A364CBA3FFA}"/>
    <cellStyle name="Style 71 2 3 8 2" xfId="23652" xr:uid="{DDE7A9CA-37B0-4D88-BD0D-CDB669318473}"/>
    <cellStyle name="Style 71 2 3 9" xfId="7451" xr:uid="{B03089F7-EF97-4F3D-9EC2-2BBD3138F7AF}"/>
    <cellStyle name="Style 71 2 4 10 2" xfId="23653" xr:uid="{DD7AE7CE-9360-4FD5-8D1F-3013BFE82759}"/>
    <cellStyle name="Style 71 2 4 2" xfId="1924" xr:uid="{25D23E09-1294-4617-B4BB-5E401E450EDC}"/>
    <cellStyle name="Style 71 2 4 2 2 2 2" xfId="23654" xr:uid="{44B0F5D9-9B28-4982-A0F2-9AF38088F7BB}"/>
    <cellStyle name="Style 71 2 4 2 3 2" xfId="23655" xr:uid="{6FB5BA4C-654B-4ABB-AAD3-C85ED37C3496}"/>
    <cellStyle name="Style 71 2 4 2 4" xfId="7452" xr:uid="{B7079968-DAC5-4B0E-81DF-0723FCA96CE9}"/>
    <cellStyle name="Style 71 2 4 2 5 2" xfId="23656" xr:uid="{5DE9AE5A-619E-4F5D-9861-537B270084FC}"/>
    <cellStyle name="Style 71 2 4 2 6" xfId="7453" xr:uid="{8F98C0B2-BAE7-4211-8E10-751873BEBEA3}"/>
    <cellStyle name="Style 71 2 4 2 7 2" xfId="23657" xr:uid="{8B817EA8-2767-42D1-BAAD-B23283F79EB4}"/>
    <cellStyle name="Style 71 2 4 3 2" xfId="7454" xr:uid="{E1054FD9-93E9-4914-B929-A7936073A87C}"/>
    <cellStyle name="Style 71 2 4 3 2 2" xfId="23658" xr:uid="{CC29EAC1-4BC8-4C4F-A71C-25CE0B62EC42}"/>
    <cellStyle name="Style 71 2 4 5" xfId="7455" xr:uid="{333EAA3B-66E5-445E-84AD-E9750AD4BC6A}"/>
    <cellStyle name="Style 71 2 4 5 2" xfId="23659" xr:uid="{85DDF4FA-114F-46B3-B6F0-FB49540D5539}"/>
    <cellStyle name="Style 71 2 4 7" xfId="7456" xr:uid="{2466A8E0-750F-4788-BDCC-F442E5C4F0DF}"/>
    <cellStyle name="Style 71 2 4 8" xfId="7457" xr:uid="{4B172233-A834-4ECF-B2C7-3B8A37640845}"/>
    <cellStyle name="Style 71 2 5" xfId="1925" xr:uid="{7231F462-6008-4708-AAD0-C2A876A3E33A}"/>
    <cellStyle name="Style 71 2 5 2 2" xfId="7458" xr:uid="{827DD5BB-05AD-4BED-8B42-725C492A1C58}"/>
    <cellStyle name="Style 71 2 5 3" xfId="7459" xr:uid="{CD08B1A6-1502-4266-924B-41D911E126D6}"/>
    <cellStyle name="Style 71 2 5 4 2" xfId="23660" xr:uid="{A3905B92-AB20-430A-89FC-2EBADA60C113}"/>
    <cellStyle name="Style 71 2 5 5" xfId="7460" xr:uid="{97E20C17-3930-471F-8F1B-00372F5FA996}"/>
    <cellStyle name="Style 71 2 5 7" xfId="7461" xr:uid="{F1C32ECC-3EFD-4899-83A7-A43D93482DCC}"/>
    <cellStyle name="Style 71 2 5 8" xfId="7462" xr:uid="{59702E07-A7D7-433A-A6DE-BF1559B331C0}"/>
    <cellStyle name="Style 71 2 6" xfId="7463" xr:uid="{01D803A1-9F55-49A9-8B3B-F1FDAC912A1D}"/>
    <cellStyle name="Style 71 2 7 2" xfId="23661" xr:uid="{ED2F6BAB-1069-4A82-8415-7A15734AE2AC}"/>
    <cellStyle name="Style 71 2 8 2" xfId="23662" xr:uid="{08FF5169-E753-41E4-B528-4A4AACFF1D93}"/>
    <cellStyle name="Style 71 3 10" xfId="7464" xr:uid="{61FA42E4-FA9A-400F-AEFE-D651C3CB87A5}"/>
    <cellStyle name="Style 71 3 10 2" xfId="23663" xr:uid="{752B9D97-D8DE-48EF-8E66-AEF9B5C97663}"/>
    <cellStyle name="Style 71 3 12" xfId="7465" xr:uid="{01339F01-D153-486A-AA93-9AE5600047C4}"/>
    <cellStyle name="Style 71 3 13" xfId="7466" xr:uid="{8FE63FFC-B7D5-4A7C-9EAF-98213F4C79F2}"/>
    <cellStyle name="Style 71 3 2" xfId="1926" xr:uid="{3C5515F3-F4D3-4724-A011-FC2506A94209}"/>
    <cellStyle name="Style 71 3 2 10 2" xfId="23664" xr:uid="{BCA916C6-283D-4380-979E-3040EC30469A}"/>
    <cellStyle name="Style 71 3 2 12 2" xfId="23665" xr:uid="{64F82398-BAF6-44AA-ACA5-EF8AD029D8AB}"/>
    <cellStyle name="Style 71 3 2 2" xfId="1927" xr:uid="{E52C263B-8147-4F8F-8591-34F6FBB5DE36}"/>
    <cellStyle name="Style 71 3 2 2 11" xfId="7467" xr:uid="{E1A76506-81E5-4555-8DB4-1364C6DF044F}"/>
    <cellStyle name="Style 71 3 2 2 11 2" xfId="23666" xr:uid="{81356166-5E85-42FE-BDCD-89CAD243C3F1}"/>
    <cellStyle name="Style 71 3 2 2 2 10 2" xfId="23667" xr:uid="{2936CF9D-A92D-4459-8DCA-960834387C19}"/>
    <cellStyle name="Style 71 3 2 2 2 2 2 2" xfId="7468" xr:uid="{E8B3801D-5175-49D6-9367-A9E190FC8B65}"/>
    <cellStyle name="Style 71 3 2 2 2 2 2 2 2" xfId="23668" xr:uid="{0B37C2EC-FD0E-41E6-AD40-9FB2B511C6AD}"/>
    <cellStyle name="Style 71 3 2 2 2 2 4 2" xfId="23669" xr:uid="{AC48D03B-6561-4A39-8C52-1B661215EDE7}"/>
    <cellStyle name="Style 71 3 2 2 2 2 5 2" xfId="23670" xr:uid="{6B3552A7-460D-4A1D-ADEF-4A0BA9E32F8E}"/>
    <cellStyle name="Style 71 3 2 2 2 2 6 2" xfId="23671" xr:uid="{D556D1EC-ADD3-49B6-96CC-ADB95E8EB70D}"/>
    <cellStyle name="Style 71 3 2 2 2 2 7 2" xfId="23672" xr:uid="{599D7B34-F7D1-403F-AD68-A145A59196E2}"/>
    <cellStyle name="Style 71 3 2 2 2 3" xfId="7469" xr:uid="{C7EAE3F1-E165-41AE-B7F5-A4A5B1356656}"/>
    <cellStyle name="Style 71 3 2 2 2 3 2" xfId="7470" xr:uid="{4D73E6A0-9B39-4BA7-9A8D-47BED21E6B31}"/>
    <cellStyle name="Style 71 3 2 2 2 5" xfId="7471" xr:uid="{0FAE5B03-4492-4988-8394-8B98DABE8FEB}"/>
    <cellStyle name="Style 71 3 2 2 2 6" xfId="7472" xr:uid="{99157268-740C-4DD3-8260-5EE20A0DB463}"/>
    <cellStyle name="Style 71 3 2 2 2 7 2" xfId="23673" xr:uid="{5E7DBC29-B74E-46BD-91D5-A8CB51C4BAF9}"/>
    <cellStyle name="Style 71 3 2 2 2 8" xfId="7473" xr:uid="{A36CB3B0-DCF5-4A04-898F-6C6AD67BF987}"/>
    <cellStyle name="Style 71 3 2 2 2 9 2" xfId="23674" xr:uid="{FCD31344-1DE5-490D-B4F4-87DB61698729}"/>
    <cellStyle name="Style 71 3 2 2 3" xfId="1928" xr:uid="{E0911E58-A652-4AA7-B430-24EC4A8F2609}"/>
    <cellStyle name="Style 71 3 2 2 3 2 2" xfId="7474" xr:uid="{43440A4F-A2B5-4B5A-8D36-099C46F94986}"/>
    <cellStyle name="Style 71 3 2 2 3 3 2" xfId="23675" xr:uid="{F99A26D6-CB94-419B-AE91-60570D276E51}"/>
    <cellStyle name="Style 71 3 2 2 3 5" xfId="7475" xr:uid="{A3032924-13E3-4B8A-A628-D995E5A84975}"/>
    <cellStyle name="Style 71 3 2 2 3 5 2" xfId="23676" xr:uid="{13DFBD05-7688-4356-A1C4-1663DD053C54}"/>
    <cellStyle name="Style 71 3 2 2 3 7" xfId="7476" xr:uid="{2BB2434F-2DDE-4E64-83DE-39EBC0632606}"/>
    <cellStyle name="Style 71 3 2 2 3 8" xfId="7477" xr:uid="{0426792B-4CB7-43D1-9A2E-CAA5ED5A8104}"/>
    <cellStyle name="Style 71 3 2 2 3 8 2" xfId="23677" xr:uid="{70DD5593-EC7F-49C8-ABF2-35F32D0AF9F6}"/>
    <cellStyle name="Style 71 3 2 2 4 2 2" xfId="23678" xr:uid="{3C583D66-7254-4EA3-B49C-6A5B73E45FD1}"/>
    <cellStyle name="Style 71 3 2 2 5 2" xfId="23679" xr:uid="{84C480CD-7862-4577-9EB8-F7FB475D189C}"/>
    <cellStyle name="Style 71 3 2 2 7" xfId="7478" xr:uid="{B08528F6-6C7E-45F7-BFE9-E2431D0055E2}"/>
    <cellStyle name="Style 71 3 2 2 7 2" xfId="23680" xr:uid="{0D5E63F5-1DE0-4B49-B2E8-6E4B4B0924F6}"/>
    <cellStyle name="Style 71 3 2 2 9 2" xfId="23681" xr:uid="{AF288F90-A26F-44A0-AD30-DD8A34455E2E}"/>
    <cellStyle name="Style 71 3 2 3 10" xfId="7479" xr:uid="{D1286A5A-6EB5-490C-A0A3-163AD3CA4C75}"/>
    <cellStyle name="Style 71 3 2 3 10 2" xfId="23682" xr:uid="{83624222-918C-474F-855D-9E2E5EE81B2B}"/>
    <cellStyle name="Style 71 3 2 3 2 2 2" xfId="7480" xr:uid="{46D21DE5-057C-4078-A566-C2AB3BCF3E92}"/>
    <cellStyle name="Style 71 3 2 3 2 3" xfId="7481" xr:uid="{75353309-92FD-4028-B8CF-E4A6E23125C0}"/>
    <cellStyle name="Style 71 3 2 3 2 4" xfId="7482" xr:uid="{FA76D2CA-4A82-4FF2-A0D0-86DF2A3BB1B5}"/>
    <cellStyle name="Style 71 3 2 3 2 6" xfId="7483" xr:uid="{1EE8E05B-6B4B-482C-93A1-559E9FF842FF}"/>
    <cellStyle name="Style 71 3 2 3 2 7" xfId="7484" xr:uid="{8B5AB3F5-D081-4D4C-A06A-1C26A6516B2B}"/>
    <cellStyle name="Style 71 3 2 3 2 7 2" xfId="23683" xr:uid="{98B76A1E-15D3-499F-8127-2852630D4C23}"/>
    <cellStyle name="Style 71 3 2 3 3" xfId="7485" xr:uid="{2E2C739D-11AA-488C-8F7B-6AA84B889F0C}"/>
    <cellStyle name="Style 71 3 2 3 3 2 2" xfId="23684" xr:uid="{85F70F7E-E881-4645-AA3A-20C81857F76A}"/>
    <cellStyle name="Style 71 3 2 3 4 2" xfId="23685" xr:uid="{B6C5C254-1782-493B-9AFA-FFEE4BF6E63F}"/>
    <cellStyle name="Style 71 3 2 3 5 2" xfId="23686" xr:uid="{4C6C2413-F2EC-4795-91FE-4EB552F46269}"/>
    <cellStyle name="Style 71 3 2 3 7 2" xfId="23687" xr:uid="{67AFD991-1F30-45B6-9167-2627A1C5B7AA}"/>
    <cellStyle name="Style 71 3 2 3 8" xfId="7486" xr:uid="{B1326982-729D-49F6-AF3C-9721522C95DB}"/>
    <cellStyle name="Style 71 3 2 3 9 2" xfId="23688" xr:uid="{32E9C213-D563-4CCC-80B7-07028C73CE6D}"/>
    <cellStyle name="Style 71 3 2 4 2 2 2" xfId="23689" xr:uid="{F046B64F-F199-498B-8A7D-3A5BB6929DDD}"/>
    <cellStyle name="Style 71 3 2 4 3 2" xfId="23690" xr:uid="{092B9EF0-3CCA-45E5-9E47-BDD81B2CF99F}"/>
    <cellStyle name="Style 71 3 2 4 4 2" xfId="23691" xr:uid="{709525D3-39E2-424D-877B-31CB6D640CDE}"/>
    <cellStyle name="Style 71 3 2 4 5 2" xfId="23692" xr:uid="{64AB830A-4589-4082-B7A5-254A20AE5D9B}"/>
    <cellStyle name="Style 71 3 2 4 6" xfId="7487" xr:uid="{407C9C84-E0B7-47FF-BA1C-C792362BCC90}"/>
    <cellStyle name="Style 71 3 2 4 7 2" xfId="23693" xr:uid="{B0C3AAF1-15FE-4654-A7E5-08C446BA6FA5}"/>
    <cellStyle name="Style 71 3 2 4 8 2" xfId="23694" xr:uid="{CA7ADF91-2D73-4164-A5EF-6BCA16E75940}"/>
    <cellStyle name="Style 71 3 2 5 2" xfId="7488" xr:uid="{3F5F8226-6B18-454A-A1A3-47E5C97DBD7B}"/>
    <cellStyle name="Style 71 3 2 6" xfId="7489" xr:uid="{F545BDD2-EFA6-4B3C-B3BE-A39DA3BEA00C}"/>
    <cellStyle name="Style 71 3 2 7" xfId="7490" xr:uid="{3DB8D298-CC47-432B-930D-68F801A8DCD6}"/>
    <cellStyle name="Style 71 3 2 8" xfId="7491" xr:uid="{29476F7C-75E7-45DE-A323-F89A516BF47E}"/>
    <cellStyle name="Style 71 3 2 8 2" xfId="23695" xr:uid="{2341E4EB-3A3F-4DF8-BC1E-AA6745E40EB6}"/>
    <cellStyle name="Style 71 3 2 9" xfId="7492" xr:uid="{2DC9CF85-7D77-4471-B349-5728615B58C6}"/>
    <cellStyle name="Style 71 3 3" xfId="1929" xr:uid="{CD0F5BBE-8043-4C86-BF70-520F48297650}"/>
    <cellStyle name="Style 71 3 3 10 2" xfId="23696" xr:uid="{060BE259-2668-4E81-9CF4-937F9546108D}"/>
    <cellStyle name="Style 71 3 3 11" xfId="7493" xr:uid="{EB849206-511F-4627-8391-E7EDDDA76E57}"/>
    <cellStyle name="Style 71 3 3 11 2" xfId="23697" xr:uid="{25FC4E49-A8BD-4515-BDA2-C10CEF1251D9}"/>
    <cellStyle name="Style 71 3 3 2 10" xfId="7494" xr:uid="{C086527F-BDB1-46BE-8371-FDA11FCF1952}"/>
    <cellStyle name="Style 71 3 3 2 11" xfId="7495" xr:uid="{E0ECD5BB-4578-41B4-A802-908D1119055C}"/>
    <cellStyle name="Style 71 3 3 2 11 2" xfId="23698" xr:uid="{58BBE7C5-AC4F-4E7A-BC7C-978496AACE22}"/>
    <cellStyle name="Style 71 3 3 2 2" xfId="1930" xr:uid="{6624CBAE-8BFE-4025-8A28-8D847677035B}"/>
    <cellStyle name="Style 71 3 3 2 2 10 2" xfId="23699" xr:uid="{C1E56A26-07A4-4864-BC5B-D10601670DD4}"/>
    <cellStyle name="Style 71 3 3 2 2 2 2" xfId="7496" xr:uid="{99270E49-47A0-4E94-8E92-B4B6E8297BBF}"/>
    <cellStyle name="Style 71 3 3 2 2 2 2 2 2" xfId="23700" xr:uid="{AF1F55DA-08C4-4690-866F-99C85F980F97}"/>
    <cellStyle name="Style 71 3 3 2 2 2 3" xfId="7497" xr:uid="{4B61AF06-85ED-4B39-9562-75A7890D7697}"/>
    <cellStyle name="Style 71 3 3 2 2 2 3 2" xfId="23701" xr:uid="{935EC6E8-A566-403A-921E-67543DCC59BB}"/>
    <cellStyle name="Style 71 3 3 2 2 2 4 2" xfId="23702" xr:uid="{3DB69161-2FD5-4F1E-9741-45F3111EF80F}"/>
    <cellStyle name="Style 71 3 3 2 2 2 5 2" xfId="23703" xr:uid="{3E174434-9AE1-4961-A16F-45ED037E1594}"/>
    <cellStyle name="Style 71 3 3 2 2 2 6 2" xfId="23704" xr:uid="{532ACF32-0608-4259-915F-98235DB49FC6}"/>
    <cellStyle name="Style 71 3 3 2 2 2 7 2" xfId="23705" xr:uid="{40AFB272-F744-4EF4-8126-7EEAA2E71660}"/>
    <cellStyle name="Style 71 3 3 2 2 2 8" xfId="7498" xr:uid="{D155F218-8BB6-4E7E-ACCD-481BCD5232CD}"/>
    <cellStyle name="Style 71 3 3 2 2 2 8 2" xfId="23706" xr:uid="{A80D9618-0778-4996-A613-A4F72CBD2449}"/>
    <cellStyle name="Style 71 3 3 2 2 3 2" xfId="7499" xr:uid="{6B947EF5-65B0-44D9-BD80-8D1DF7BA44DA}"/>
    <cellStyle name="Style 71 3 3 2 2 3 2 2" xfId="23707" xr:uid="{69729CD3-57AB-447C-81A6-5B2DF274C87B}"/>
    <cellStyle name="Style 71 3 3 2 2 4" xfId="7500" xr:uid="{C962BC38-E9E1-470A-8277-3E0C3C382981}"/>
    <cellStyle name="Style 71 3 3 2 2 5" xfId="7501" xr:uid="{0AA7AED4-3EED-4017-A69A-A53AFF51DC63}"/>
    <cellStyle name="Style 71 3 3 2 2 6" xfId="7502" xr:uid="{F5940592-0383-435C-B66D-5F995349CA46}"/>
    <cellStyle name="Style 71 3 3 2 2 6 2" xfId="23708" xr:uid="{2893EE77-5D82-4AC7-ABD4-59E3B6D9F8CB}"/>
    <cellStyle name="Style 71 3 3 2 2 7" xfId="7503" xr:uid="{F1F7BE02-A87B-453B-A3CE-D1F91360B9A8}"/>
    <cellStyle name="Style 71 3 3 2 2 8" xfId="7504" xr:uid="{FE611911-4692-467C-8478-3A967149D86E}"/>
    <cellStyle name="Style 71 3 3 2 2 8 2" xfId="23709" xr:uid="{18183FEB-1E2C-4E20-A55B-3BAE505C968D}"/>
    <cellStyle name="Style 71 3 3 2 2 9" xfId="7505" xr:uid="{052508A1-BEA4-4ED0-9921-7D68974EE609}"/>
    <cellStyle name="Style 71 3 3 2 3" xfId="1931" xr:uid="{905ED0D6-B2B8-47FE-953C-F51575D2414F}"/>
    <cellStyle name="Style 71 3 3 2 3 2 2" xfId="7506" xr:uid="{A237BB1C-F73F-4D51-92B4-D2B266374862}"/>
    <cellStyle name="Style 71 3 3 2 3 2 2 2" xfId="23710" xr:uid="{E0F6D6B8-6A96-472D-87B6-F4CD7E30928D}"/>
    <cellStyle name="Style 71 3 3 2 3 3" xfId="7507" xr:uid="{E97431B3-C2F9-4AC6-8D94-D273871ADECD}"/>
    <cellStyle name="Style 71 3 3 2 3 4" xfId="7508" xr:uid="{29C76E2F-0FFE-49AF-A3FA-D8309ED292B7}"/>
    <cellStyle name="Style 71 3 3 2 3 5" xfId="7509" xr:uid="{A92B1BF5-0D85-4C1B-A258-C3EB50EBA335}"/>
    <cellStyle name="Style 71 3 3 2 3 5 2" xfId="23711" xr:uid="{B1C90AA4-4A2F-4C34-803F-985C275962D7}"/>
    <cellStyle name="Style 71 3 3 2 3 6" xfId="7510" xr:uid="{4871DBE9-9673-4FF2-8267-0605F4475C3D}"/>
    <cellStyle name="Style 71 3 3 2 3 7" xfId="7511" xr:uid="{DEC6C225-EE39-4A50-9DF3-8558085369F2}"/>
    <cellStyle name="Style 71 3 3 2 3 7 2" xfId="23712" xr:uid="{B55EB658-9134-419C-8AB5-0BF98CBD3702}"/>
    <cellStyle name="Style 71 3 3 2 3 8" xfId="7512" xr:uid="{45D3B198-47F5-4DF2-919F-977BE038AD9C}"/>
    <cellStyle name="Style 71 3 3 2 4" xfId="7513" xr:uid="{F8F5E840-79B5-484B-A4CB-02888B597F44}"/>
    <cellStyle name="Style 71 3 3 2 4 2 2" xfId="23713" xr:uid="{25833D68-BCBC-4E82-B285-11E4EC543A87}"/>
    <cellStyle name="Style 71 3 3 2 5 2" xfId="23714" xr:uid="{2DFC1CD7-0FC1-4CCB-A19E-14176593C8F8}"/>
    <cellStyle name="Style 71 3 3 2 6 2" xfId="23715" xr:uid="{97F8DF31-0C7C-432C-B3A7-7EA71BE36424}"/>
    <cellStyle name="Style 71 3 3 2 7" xfId="7514" xr:uid="{412C1EDC-9AE8-447A-AC57-2E575737304C}"/>
    <cellStyle name="Style 71 3 3 2 7 2" xfId="23716" xr:uid="{04E421C2-C8B8-458C-A629-8D014590BDB6}"/>
    <cellStyle name="Style 71 3 3 2 8 2" xfId="23717" xr:uid="{27A13EAA-D42B-42ED-A3E4-8D783C975439}"/>
    <cellStyle name="Style 71 3 3 2 9" xfId="7515" xr:uid="{14658A08-37A0-4896-9252-4862987B98C9}"/>
    <cellStyle name="Style 71 3 3 2 9 2" xfId="23718" xr:uid="{318BEE6E-E975-44C3-BC44-D25BF3FE3B2D}"/>
    <cellStyle name="Style 71 3 3 3" xfId="1932" xr:uid="{C7850BE8-2AA8-4D89-80C9-BF03E132FD98}"/>
    <cellStyle name="Style 71 3 3 3 2" xfId="7516" xr:uid="{79B9E985-E156-43EE-A970-218A1D0196DC}"/>
    <cellStyle name="Style 71 3 3 3 2 2 2" xfId="23719" xr:uid="{F4ED8895-42EF-4F27-B3A4-799BA0319842}"/>
    <cellStyle name="Style 71 3 3 3 3 2" xfId="23720" xr:uid="{2B23A249-7B7F-4272-BF8C-DABC30636DAE}"/>
    <cellStyle name="Style 71 3 3 3 4" xfId="7517" xr:uid="{11FB137B-83AA-4939-9A6F-3AD5DE4302C0}"/>
    <cellStyle name="Style 71 3 3 3 4 2" xfId="23721" xr:uid="{757C099D-8E51-476E-AB59-6058AA087679}"/>
    <cellStyle name="Style 71 3 3 3 5 2" xfId="23722" xr:uid="{EA6541E1-3FA9-436D-903E-76057C8BE9E9}"/>
    <cellStyle name="Style 71 3 3 3 6 2" xfId="23723" xr:uid="{EE9A71DB-80D5-415C-9842-06EDAABA22B6}"/>
    <cellStyle name="Style 71 3 3 3 7" xfId="7518" xr:uid="{4273DFF9-4F8F-4C55-9D80-E5CE0899056C}"/>
    <cellStyle name="Style 71 3 3 3 7 2" xfId="23724" xr:uid="{EF4D0FF4-3910-4FF0-9A6B-4140B4219540}"/>
    <cellStyle name="Style 71 3 3 3 8 2" xfId="23725" xr:uid="{3E1A6A0D-BD25-43AC-A421-30D25B207081}"/>
    <cellStyle name="Style 71 3 3 3 9 2" xfId="23726" xr:uid="{90066B46-CFE1-4BEF-8A1B-12C443B67B5D}"/>
    <cellStyle name="Style 71 3 3 4" xfId="4375" xr:uid="{89DFCA7E-ABEF-4DCC-B626-746B40ED815F}"/>
    <cellStyle name="Style 71 3 3 4 2" xfId="7519" xr:uid="{BB1A5994-BEA5-4DFA-91D4-0E4AA60679A3}"/>
    <cellStyle name="Style 71 3 3 5" xfId="7520" xr:uid="{EE5933CA-502E-424A-B51E-00B5656DFFC8}"/>
    <cellStyle name="Style 71 3 3 5 2" xfId="7521" xr:uid="{EB8F226C-D43F-47A2-9D98-D08F18FB6DD0}"/>
    <cellStyle name="Style 71 3 3 5 2 2" xfId="23727" xr:uid="{27AFD61F-83B2-4ECA-B78E-BB9AEF1CA033}"/>
    <cellStyle name="Style 71 3 3 6 2" xfId="23728" xr:uid="{38AA8312-EFE3-4235-A16E-0A66BC85A6D9}"/>
    <cellStyle name="Style 71 3 3 7 2" xfId="23729" xr:uid="{5D88E779-85C3-4612-9612-E25CCEC8C10B}"/>
    <cellStyle name="Style 71 3 3 8 2" xfId="23730" xr:uid="{1DE1FD5D-0BAB-4D38-B144-305E5A73AE72}"/>
    <cellStyle name="Style 71 3 3 9 2" xfId="23731" xr:uid="{36794169-940F-4F08-AC49-998896E98E49}"/>
    <cellStyle name="Style 71 3 4" xfId="1933" xr:uid="{AD2B2095-1A68-489E-BE6F-E559795363D9}"/>
    <cellStyle name="Style 71 3 4 10" xfId="7522" xr:uid="{1790B5F4-C392-4702-B79A-F68374F85755}"/>
    <cellStyle name="Style 71 3 4 2" xfId="1934" xr:uid="{90FA8E05-F15A-4CDD-93F5-2E7C862732B3}"/>
    <cellStyle name="Style 71 3 4 2 2" xfId="7523" xr:uid="{004F164D-4CBF-4879-BC58-DC0D6E8DC01C}"/>
    <cellStyle name="Style 71 3 4 2 2 2" xfId="7524" xr:uid="{E26DA291-27DF-4D1E-81F9-05D6582C7042}"/>
    <cellStyle name="Style 71 3 4 2 2 2 2" xfId="23732" xr:uid="{89D5D5C3-4883-4903-8A94-4F17F7DEA866}"/>
    <cellStyle name="Style 71 3 4 2 3" xfId="7525" xr:uid="{EBC97C7D-8D35-4128-866B-0FF31677B62D}"/>
    <cellStyle name="Style 71 3 4 2 4" xfId="7526" xr:uid="{98B7CE33-3AC8-4FAC-9C57-4980F8E1DC98}"/>
    <cellStyle name="Style 71 3 4 2 5" xfId="7527" xr:uid="{437CA7C7-92A1-49B6-AD91-CEE0B26046AC}"/>
    <cellStyle name="Style 71 3 4 2 5 2" xfId="23733" xr:uid="{4DCE34AC-EE42-4655-9B36-D8B50A7170DF}"/>
    <cellStyle name="Style 71 3 4 2 6" xfId="7528" xr:uid="{0182CDC3-D329-4AEC-8DBA-BA9C7BD56710}"/>
    <cellStyle name="Style 71 3 4 2 7" xfId="7529" xr:uid="{0190E8D1-FAEA-4C92-B7C1-C532359812F8}"/>
    <cellStyle name="Style 71 3 4 2 8" xfId="7530" xr:uid="{6EBE5106-0592-4ECD-A01B-7C5EE5B824DF}"/>
    <cellStyle name="Style 71 3 4 2 8 2" xfId="23734" xr:uid="{2D90EC25-5E3A-482E-8E6A-8B7D67FC62E3}"/>
    <cellStyle name="Style 71 3 4 3" xfId="7531" xr:uid="{EEBE966F-82BE-4D91-AA5A-D536FB790637}"/>
    <cellStyle name="Style 71 3 4 3 2 2" xfId="23735" xr:uid="{4E7AC73F-E055-4DE3-8273-4931E473339B}"/>
    <cellStyle name="Style 71 3 4 4 2" xfId="23736" xr:uid="{6D7D918C-A01A-4F2C-B38E-D7BE4539F8EF}"/>
    <cellStyle name="Style 71 3 4 5 2" xfId="23737" xr:uid="{A7FA4307-D30F-4A32-94A7-5CB805B2FB7F}"/>
    <cellStyle name="Style 71 3 4 6" xfId="7532" xr:uid="{1D2A881A-9BD4-4A1B-BFAE-0CE590A38629}"/>
    <cellStyle name="Style 71 3 4 6 2" xfId="23738" xr:uid="{CAB2CCDF-ABD1-4E26-A3EE-C7BF9F7A0630}"/>
    <cellStyle name="Style 71 3 4 7 2" xfId="23739" xr:uid="{36DFD611-9954-4B47-A687-FFAE795AFA3B}"/>
    <cellStyle name="Style 71 3 4 8 2" xfId="23740" xr:uid="{34C9014E-0B07-46C1-8ABB-ADF7DABEF10A}"/>
    <cellStyle name="Style 71 3 4 9 2" xfId="23741" xr:uid="{3EF1D23E-067A-4B36-A815-851178B7A0C0}"/>
    <cellStyle name="Style 71 3 5 2" xfId="7533" xr:uid="{6426F8A2-6509-4E3C-9327-49847B45D72E}"/>
    <cellStyle name="Style 71 3 5 2 2" xfId="7534" xr:uid="{E7750C3E-E409-44FE-8B79-3484C51FD07B}"/>
    <cellStyle name="Style 71 3 5 2 2 2" xfId="23742" xr:uid="{95191AEA-8966-4F90-B844-20ABF137D81F}"/>
    <cellStyle name="Style 71 3 5 3 2" xfId="23743" xr:uid="{89D2EED2-CFBC-4157-847C-77EEBEB89E73}"/>
    <cellStyle name="Style 71 3 5 4" xfId="7535" xr:uid="{4904DF63-A4F9-43B5-9B18-0B1681ED1B2E}"/>
    <cellStyle name="Style 71 3 5 4 2" xfId="23744" xr:uid="{BE78DEA2-4E41-43BF-96D1-3B31FC972509}"/>
    <cellStyle name="Style 71 3 5 5" xfId="7536" xr:uid="{925EDD8F-8553-487F-B91D-CD18DD026488}"/>
    <cellStyle name="Style 71 3 5 5 2" xfId="23745" xr:uid="{D0B99919-C15D-4CD5-B186-1F013A21015B}"/>
    <cellStyle name="Style 71 3 5 6 2" xfId="23746" xr:uid="{EEE4595B-5E1B-44A5-B9FB-78D4703FE98A}"/>
    <cellStyle name="Style 71 3 5 7 2" xfId="23747" xr:uid="{944272C6-0D05-4BDA-B41A-7D175ED14B00}"/>
    <cellStyle name="Style 71 3 5 8" xfId="7537" xr:uid="{4AEC0B60-8897-43F2-B066-D02657985CD6}"/>
    <cellStyle name="Style 71 3 5 8 2" xfId="23748" xr:uid="{B85521B6-4266-4CB1-82C6-90C5C11762CB}"/>
    <cellStyle name="Style 71 3 5 9 2" xfId="23749" xr:uid="{C02710F3-3419-4C35-961B-DDF05FB929A3}"/>
    <cellStyle name="Style 71 3 6" xfId="7538" xr:uid="{BA2F2983-73A8-44A0-BD01-AEB62DBE36FB}"/>
    <cellStyle name="Style 71 3 6 2" xfId="7539" xr:uid="{AF7B16E0-B721-4EFD-ADD9-55ECF35E943D}"/>
    <cellStyle name="Style 71 3 6 2 2" xfId="23750" xr:uid="{73E4FE02-BBDE-4DC8-BA0C-D0CA66EBE533}"/>
    <cellStyle name="Style 71 3 7" xfId="7540" xr:uid="{FA408F50-FE69-43A2-8155-80F6378E12FF}"/>
    <cellStyle name="Style 71 3 8" xfId="7541" xr:uid="{DE3CDA6F-A546-4458-B278-893C6079DB0A}"/>
    <cellStyle name="Style 71 3 8 2" xfId="23751" xr:uid="{DD409FB2-5DE9-42FA-8D37-E4E19EBBDC04}"/>
    <cellStyle name="Style 71 3 9" xfId="7542" xr:uid="{1ACDFC4D-E52C-4D3C-A52C-3B4BD4393870}"/>
    <cellStyle name="Style 71 3 9 2" xfId="23752" xr:uid="{FCB600EE-3AD7-4EB7-9B77-ECE691C61EC5}"/>
    <cellStyle name="Style 71 4" xfId="1935" xr:uid="{8D092096-6C6F-4E8B-8C72-F01A32F8814D}"/>
    <cellStyle name="Style 71 4 10" xfId="7543" xr:uid="{FBE52A40-3C84-40B8-9511-A2F0996C028E}"/>
    <cellStyle name="Style 71 4 10 2" xfId="23753" xr:uid="{2572E130-D6BD-4A27-8352-40448E693526}"/>
    <cellStyle name="Style 71 4 11" xfId="7544" xr:uid="{2D6CA1E5-650F-4672-BF0B-C789325613C8}"/>
    <cellStyle name="Style 71 4 11 2" xfId="23754" xr:uid="{9E7B7712-11CC-4A5E-979B-D9AC4857B045}"/>
    <cellStyle name="Style 71 4 2" xfId="1936" xr:uid="{58AD9601-4694-4738-9EEB-11201054B3F4}"/>
    <cellStyle name="Style 71 4 2 10" xfId="7545" xr:uid="{FA9E7615-FB06-4CBD-A56A-5BFC76D23D0E}"/>
    <cellStyle name="Style 71 4 2 10 2" xfId="23755" xr:uid="{97C2F174-9882-465C-A66E-79004E768902}"/>
    <cellStyle name="Style 71 4 2 11" xfId="7546" xr:uid="{C237E2CB-DA56-42CE-8F19-E58AFFA34C07}"/>
    <cellStyle name="Style 71 4 2 11 2" xfId="23756" xr:uid="{C4AD54B2-9A9B-4B6E-A4B1-456CC56852EA}"/>
    <cellStyle name="Style 71 4 2 2" xfId="1937" xr:uid="{7445C046-BEB1-437C-9802-935A8406B1E7}"/>
    <cellStyle name="Style 71 4 2 2 10" xfId="7547" xr:uid="{8739BF86-5F93-46FC-8FBA-A40EC4B15242}"/>
    <cellStyle name="Style 71 4 2 2 10 2" xfId="23757" xr:uid="{84200E78-C40C-4ABE-8EC9-27F3E65E89DB}"/>
    <cellStyle name="Style 71 4 2 2 2" xfId="1938" xr:uid="{9E3C36A5-A0F7-40CF-B69D-D824CC03D79E}"/>
    <cellStyle name="Style 71 4 2 2 2 2" xfId="7548" xr:uid="{16B76F06-B70A-48CE-A6EB-F0616234EDF7}"/>
    <cellStyle name="Style 71 4 2 2 2 2 2" xfId="7549" xr:uid="{7876C4E0-1A3A-450B-8B39-1C9F9ABC95EC}"/>
    <cellStyle name="Style 71 4 2 2 2 2 2 2" xfId="23758" xr:uid="{8D50690A-D049-41A6-A118-2DC8A1DE8A2B}"/>
    <cellStyle name="Style 71 4 2 2 2 3" xfId="7550" xr:uid="{B27D73D6-1185-45EE-B635-CCC2C918700F}"/>
    <cellStyle name="Style 71 4 2 2 2 3 2" xfId="23759" xr:uid="{5AAC4762-2B32-4F18-9B29-046CCAD135D6}"/>
    <cellStyle name="Style 71 4 2 2 2 4" xfId="7551" xr:uid="{6185C3AE-7E39-4688-A861-79CA4C5C02F0}"/>
    <cellStyle name="Style 71 4 2 2 2 4 2" xfId="23760" xr:uid="{F4128D48-6302-4DB7-9186-80B474B9A0AA}"/>
    <cellStyle name="Style 71 4 2 2 2 5" xfId="7552" xr:uid="{32FD60A5-8532-41E7-8859-E92F268F5F0F}"/>
    <cellStyle name="Style 71 4 2 2 2 5 2" xfId="23761" xr:uid="{E82C647A-34D8-4CDC-9CAC-2242B9BD9578}"/>
    <cellStyle name="Style 71 4 2 2 2 6" xfId="7553" xr:uid="{10C96106-88BA-4FB5-90AF-59FCA4B2B7E8}"/>
    <cellStyle name="Style 71 4 2 2 2 6 2" xfId="23762" xr:uid="{D9444DBE-71F5-4DDF-A779-CAA4A984FCAB}"/>
    <cellStyle name="Style 71 4 2 2 2 7" xfId="7554" xr:uid="{94F5DDB0-F9C1-4B60-95A3-3DE81E0FDD55}"/>
    <cellStyle name="Style 71 4 2 2 2 7 2" xfId="23763" xr:uid="{E91295E9-D152-4F21-8604-B124AB6D1721}"/>
    <cellStyle name="Style 71 4 2 2 2 8" xfId="7555" xr:uid="{4D49FF60-CA0E-4508-9E2E-37B3A5FEA80C}"/>
    <cellStyle name="Style 71 4 2 2 2 8 2" xfId="23764" xr:uid="{EB5ECE85-CC0C-45D2-B55A-D5BC1A647360}"/>
    <cellStyle name="Style 71 4 2 2 3" xfId="7556" xr:uid="{A310B04D-0CE8-4DF5-8087-797E3879ACBF}"/>
    <cellStyle name="Style 71 4 2 2 3 2" xfId="7557" xr:uid="{E0C0A430-91F3-4D38-A09F-AFC8D20A37D9}"/>
    <cellStyle name="Style 71 4 2 2 3 2 2" xfId="23765" xr:uid="{BA1EE28A-939F-4803-8BD4-36ABC3036FD5}"/>
    <cellStyle name="Style 71 4 2 2 4" xfId="7558" xr:uid="{61CF1A16-EF88-4A55-9F64-1ACAB3258A7D}"/>
    <cellStyle name="Style 71 4 2 2 4 2" xfId="23766" xr:uid="{D16744B1-2964-45D2-9F71-F28EFF35328A}"/>
    <cellStyle name="Style 71 4 2 2 5" xfId="7559" xr:uid="{07D63693-CC45-4465-82FD-ED83298D64D6}"/>
    <cellStyle name="Style 71 4 2 2 5 2" xfId="23767" xr:uid="{8413DC3E-5EB7-4B87-89D4-4B3F62717F4A}"/>
    <cellStyle name="Style 71 4 2 2 6" xfId="7560" xr:uid="{C496CC61-39B9-4A18-9B46-898D582CF39B}"/>
    <cellStyle name="Style 71 4 2 2 6 2" xfId="23768" xr:uid="{6DE4654C-8D61-4957-B8D6-5F807127ACEA}"/>
    <cellStyle name="Style 71 4 2 2 7" xfId="7561" xr:uid="{9687C615-78F9-4626-B935-88032A160760}"/>
    <cellStyle name="Style 71 4 2 2 7 2" xfId="23769" xr:uid="{F0FEECBD-F8F6-489E-84AC-EB6D1C504E6C}"/>
    <cellStyle name="Style 71 4 2 2 8" xfId="7562" xr:uid="{66C53B58-2860-47DF-A8FE-20D2FFB8C860}"/>
    <cellStyle name="Style 71 4 2 2 8 2" xfId="23770" xr:uid="{C0185ACB-DEE6-4C39-875D-6745AB8050F5}"/>
    <cellStyle name="Style 71 4 2 2 9" xfId="7563" xr:uid="{03A2728B-DFA7-4B43-B885-1D446E25FDF7}"/>
    <cellStyle name="Style 71 4 2 2 9 2" xfId="23771" xr:uid="{8DF17D23-FB15-4FBD-A497-88B5B421A83D}"/>
    <cellStyle name="Style 71 4 2 3" xfId="1939" xr:uid="{15215D24-A416-4CEF-85FD-C52C75EF0A4D}"/>
    <cellStyle name="Style 71 4 2 3 2" xfId="7564" xr:uid="{DD6C2D9D-21EE-4B09-804D-DC18CC3078A0}"/>
    <cellStyle name="Style 71 4 2 3 2 2" xfId="7565" xr:uid="{CBA6EB2B-D007-4947-9A0F-6ABB491538E9}"/>
    <cellStyle name="Style 71 4 2 3 2 2 2" xfId="23772" xr:uid="{6A2E8EE0-62BC-40C6-AF7D-899744B37392}"/>
    <cellStyle name="Style 71 4 2 3 3" xfId="7566" xr:uid="{C5637697-7871-47B8-8FF8-1DE3473C9563}"/>
    <cellStyle name="Style 71 4 2 3 3 2" xfId="23773" xr:uid="{9E3F1B41-A5F2-4697-ABE1-7B1A357B1D33}"/>
    <cellStyle name="Style 71 4 2 3 4" xfId="7567" xr:uid="{310A0608-09FE-4570-9D53-037FD7EB5CEC}"/>
    <cellStyle name="Style 71 4 2 3 4 2" xfId="23774" xr:uid="{9428B19D-A00F-44F6-95AD-294053E90FF3}"/>
    <cellStyle name="Style 71 4 2 3 5" xfId="7568" xr:uid="{A32CB7B8-099B-4A96-A53B-59DD0A82F263}"/>
    <cellStyle name="Style 71 4 2 3 5 2" xfId="23775" xr:uid="{2C8EC6CA-7D41-40BD-A557-0E0FF7DA7DF9}"/>
    <cellStyle name="Style 71 4 2 3 6" xfId="7569" xr:uid="{62024C0F-56B7-466E-B675-43F500F055AA}"/>
    <cellStyle name="Style 71 4 2 3 6 2" xfId="23776" xr:uid="{4D58D38F-65B0-4848-9B71-DFAF96E7AF64}"/>
    <cellStyle name="Style 71 4 2 3 7" xfId="7570" xr:uid="{0C36F53F-D835-451A-8168-72DE1855ED93}"/>
    <cellStyle name="Style 71 4 2 3 7 2" xfId="23777" xr:uid="{EBBD5312-344B-4646-B004-9718B07E859A}"/>
    <cellStyle name="Style 71 4 2 3 8" xfId="7571" xr:uid="{4D327641-315A-46B2-B5FF-E5F5151E3429}"/>
    <cellStyle name="Style 71 4 2 3 8 2" xfId="23778" xr:uid="{7F192FEF-E321-422D-B55C-74724FDDF060}"/>
    <cellStyle name="Style 71 4 2 4" xfId="7572" xr:uid="{2C393645-EC30-4D38-8096-7DDBFA8AB7AB}"/>
    <cellStyle name="Style 71 4 2 4 2" xfId="7573" xr:uid="{FB934C35-6BB5-4FEE-9988-E0A3B5D9B45F}"/>
    <cellStyle name="Style 71 4 2 4 2 2" xfId="23779" xr:uid="{2BBE4E09-4CE4-4D5F-B05C-E420DA2D075D}"/>
    <cellStyle name="Style 71 4 2 5" xfId="7574" xr:uid="{B00B1CC8-1870-4BCB-AFB9-87BFD3D30C05}"/>
    <cellStyle name="Style 71 4 2 5 2" xfId="23780" xr:uid="{F2455FE4-588F-4669-B9BE-1160086566F2}"/>
    <cellStyle name="Style 71 4 2 6" xfId="7575" xr:uid="{16A6FE05-F038-4793-880F-54405E81918D}"/>
    <cellStyle name="Style 71 4 2 6 2" xfId="23781" xr:uid="{22263F61-76AA-4883-8719-EDC490128307}"/>
    <cellStyle name="Style 71 4 2 7" xfId="7576" xr:uid="{40541AB4-90E5-4D41-8BB7-729E57832368}"/>
    <cellStyle name="Style 71 4 2 7 2" xfId="23782" xr:uid="{4EEDD6B3-5CBC-4B50-8BE0-5064EACA440B}"/>
    <cellStyle name="Style 71 4 2 8" xfId="7577" xr:uid="{1265937D-2EB1-439F-8DCA-7DDDE9B0F4CD}"/>
    <cellStyle name="Style 71 4 2 8 2" xfId="23783" xr:uid="{4E643D90-7369-44B6-9370-85003A900A69}"/>
    <cellStyle name="Style 71 4 2 9" xfId="7578" xr:uid="{93179094-90DC-482B-9903-F55DD013FB27}"/>
    <cellStyle name="Style 71 4 2 9 2" xfId="23784" xr:uid="{CB421F83-3175-451B-AA4D-1C54D8A7F51F}"/>
    <cellStyle name="Style 71 4 3" xfId="1940" xr:uid="{0980B7F3-8CC3-4536-942D-C45AC91D3337}"/>
    <cellStyle name="Style 71 4 3 2" xfId="7579" xr:uid="{BA618772-D564-471B-9E84-C5494905E539}"/>
    <cellStyle name="Style 71 4 3 2 2" xfId="7580" xr:uid="{BD02AC20-E8AD-43CB-9577-47F72471EA22}"/>
    <cellStyle name="Style 71 4 3 2 2 2" xfId="23785" xr:uid="{8FD75A7A-043E-4570-A054-26385C7C24FC}"/>
    <cellStyle name="Style 71 4 3 3" xfId="7581" xr:uid="{807EF302-1B2A-44B9-AF5B-31E1BFBF2FD3}"/>
    <cellStyle name="Style 71 4 3 3 2" xfId="23786" xr:uid="{A7023E11-E276-4FDE-99B4-F44336836FC7}"/>
    <cellStyle name="Style 71 4 3 4" xfId="7582" xr:uid="{A42109F9-443C-4D57-B5C4-A255C8C7C8D2}"/>
    <cellStyle name="Style 71 4 3 4 2" xfId="23787" xr:uid="{40CC545D-5B90-4F3A-9617-B59AB8523201}"/>
    <cellStyle name="Style 71 4 3 5" xfId="7583" xr:uid="{CB403110-191F-4FA0-84A7-1310A4BF6DE2}"/>
    <cellStyle name="Style 71 4 3 5 2" xfId="23788" xr:uid="{93FFD493-C6C6-487F-BE9D-512CE1AD9432}"/>
    <cellStyle name="Style 71 4 3 6" xfId="7584" xr:uid="{A619467A-CE2F-42F6-9059-039EB04E2E40}"/>
    <cellStyle name="Style 71 4 3 6 2" xfId="23789" xr:uid="{C15D8A4C-A38E-4A18-A49B-847152364706}"/>
    <cellStyle name="Style 71 4 3 7" xfId="7585" xr:uid="{4B826E83-3CBE-4753-A353-E77EAA100552}"/>
    <cellStyle name="Style 71 4 3 7 2" xfId="23790" xr:uid="{6299EFE5-1649-42BC-A6C5-D8B6E10EFAF0}"/>
    <cellStyle name="Style 71 4 3 8" xfId="7586" xr:uid="{C5592F7F-3F8F-4E2C-91E9-CE6889CDD0A4}"/>
    <cellStyle name="Style 71 4 3 8 2" xfId="23791" xr:uid="{8B180F36-B99F-4A94-9136-B81E9E909F15}"/>
    <cellStyle name="Style 71 4 3 9" xfId="7587" xr:uid="{45B85D26-3A7B-49C1-AC68-AF6B9C3B3C7B}"/>
    <cellStyle name="Style 71 4 3 9 2" xfId="23792" xr:uid="{A52A8269-5095-41D5-85C4-D8E97C84FDFD}"/>
    <cellStyle name="Style 71 4 4" xfId="4376" xr:uid="{BEF37900-CE70-4EE0-AAB6-81B1CBCCB60D}"/>
    <cellStyle name="Style 71 4 4 2" xfId="7588" xr:uid="{D73A38D4-D811-4F6E-9D30-C48E752B9B07}"/>
    <cellStyle name="Style 71 4 4 2 2" xfId="23793" xr:uid="{57C95D29-550D-487F-8657-015AFA9C8FA2}"/>
    <cellStyle name="Style 71 4 5" xfId="7589" xr:uid="{64F4025A-0CA7-428F-A080-BDF32400DC23}"/>
    <cellStyle name="Style 71 4 5 2" xfId="7590" xr:uid="{8C7F980E-5974-4282-A632-4005A14F6BB7}"/>
    <cellStyle name="Style 71 4 5 2 2" xfId="23794" xr:uid="{329E99BC-466C-4C76-801F-7A87E64C9612}"/>
    <cellStyle name="Style 71 4 6" xfId="7591" xr:uid="{7E07D017-FF4C-45A9-85F6-FBA5A605680C}"/>
    <cellStyle name="Style 71 4 6 2" xfId="23795" xr:uid="{A783C0D7-17A5-4506-90F4-AA382FC31303}"/>
    <cellStyle name="Style 71 4 7" xfId="7592" xr:uid="{6E2E2B2A-553D-43A8-8B82-059BEC86CE12}"/>
    <cellStyle name="Style 71 4 7 2" xfId="23796" xr:uid="{772E51AC-5768-49D2-A48B-A99DD9462E0F}"/>
    <cellStyle name="Style 71 4 8" xfId="7593" xr:uid="{5C7FB80C-9512-445C-B658-44E72B4517CD}"/>
    <cellStyle name="Style 71 4 8 2" xfId="23797" xr:uid="{DFA0FBFA-5536-4B6D-878E-AC2BAC35AA71}"/>
    <cellStyle name="Style 71 4 9" xfId="7594" xr:uid="{06452366-FB63-429F-BC2F-DDAACA2DEE65}"/>
    <cellStyle name="Style 71 4 9 2" xfId="23798" xr:uid="{57B5CB26-1589-4365-B165-8FFCA5349D42}"/>
    <cellStyle name="Style 71 5" xfId="1941" xr:uid="{967D91BB-CF5E-4963-BB7D-A1A272F8C20F}"/>
    <cellStyle name="Style 71 5 10" xfId="7595" xr:uid="{14887C30-A3E7-4DFB-A504-6BDED24A5183}"/>
    <cellStyle name="Style 71 5 10 2" xfId="23799" xr:uid="{BB710F7C-E759-4A2F-B5DD-0F867BFEAD00}"/>
    <cellStyle name="Style 71 5 2" xfId="1942" xr:uid="{BC4D548C-CBB9-404A-9451-E35055C66BF4}"/>
    <cellStyle name="Style 71 5 2 2" xfId="7596" xr:uid="{1F58704D-1BF0-4B78-BA61-4808DD4B48E4}"/>
    <cellStyle name="Style 71 5 2 2 2" xfId="7597" xr:uid="{35FF7A40-5163-4A35-B1A3-3CCBEC93DE47}"/>
    <cellStyle name="Style 71 5 2 2 2 2" xfId="23800" xr:uid="{45774D93-691E-4379-B7E7-28EDA273C82D}"/>
    <cellStyle name="Style 71 5 2 3" xfId="7598" xr:uid="{8B7C481C-51F4-4A87-8D3A-1AACDD0DB13B}"/>
    <cellStyle name="Style 71 5 2 3 2" xfId="23801" xr:uid="{938E2EBB-82B8-429B-8DF1-05A96578C4F0}"/>
    <cellStyle name="Style 71 5 2 4" xfId="7599" xr:uid="{B2195EBA-A80D-4E9E-A1F0-BA1F8B20B9F2}"/>
    <cellStyle name="Style 71 5 2 4 2" xfId="23802" xr:uid="{DE956593-6696-4F5A-B07F-F973A796E4CB}"/>
    <cellStyle name="Style 71 5 2 5" xfId="7600" xr:uid="{BA83D8AE-AAA3-4293-BFDA-6912B48C821D}"/>
    <cellStyle name="Style 71 5 2 5 2" xfId="23803" xr:uid="{871DF0A7-7CFF-4E9E-BE5F-9D6ED44A5D6B}"/>
    <cellStyle name="Style 71 5 2 6" xfId="7601" xr:uid="{E3AA281F-DA1B-4C37-B50D-B47791011EAA}"/>
    <cellStyle name="Style 71 5 2 6 2" xfId="23804" xr:uid="{C80A73AD-B668-4C09-88D0-AB2224C3B57E}"/>
    <cellStyle name="Style 71 5 2 7" xfId="7602" xr:uid="{FAB266D3-0BEC-4565-8522-B4E067AB2538}"/>
    <cellStyle name="Style 71 5 2 7 2" xfId="23805" xr:uid="{4C63C615-C883-4BAD-AF35-A37260A1D975}"/>
    <cellStyle name="Style 71 5 2 8" xfId="7603" xr:uid="{F100D453-0FBF-47D5-BA83-68F92E50BEC8}"/>
    <cellStyle name="Style 71 5 2 8 2" xfId="23806" xr:uid="{6D769F03-08D0-4043-9EC2-B0FAA7F1EC3F}"/>
    <cellStyle name="Style 71 5 3" xfId="7604" xr:uid="{83F947A8-1808-4F48-B687-9235AC9B7569}"/>
    <cellStyle name="Style 71 5 3 2" xfId="7605" xr:uid="{087F2231-731D-4509-A581-A239B16430CF}"/>
    <cellStyle name="Style 71 5 3 2 2" xfId="23807" xr:uid="{EBE39711-B21B-4069-AF0B-3C8E885A98A7}"/>
    <cellStyle name="Style 71 5 4" xfId="7606" xr:uid="{4B47EA58-1E56-4F02-8EAE-01E83619FAC1}"/>
    <cellStyle name="Style 71 5 4 2" xfId="23808" xr:uid="{AB2F6F55-3BA9-4D9B-9792-CF029863568E}"/>
    <cellStyle name="Style 71 5 5" xfId="7607" xr:uid="{EA0803E0-5068-42AD-9524-F41C9CCD453E}"/>
    <cellStyle name="Style 71 5 5 2" xfId="23809" xr:uid="{83C2E4E8-05D2-45B2-B929-7441B420928C}"/>
    <cellStyle name="Style 71 5 6" xfId="7608" xr:uid="{49C6DD21-D8C2-4B5C-8626-30E6BD7C9114}"/>
    <cellStyle name="Style 71 5 6 2" xfId="23810" xr:uid="{7E00AFCE-DDCA-42ED-B22E-763C683F46BA}"/>
    <cellStyle name="Style 71 5 7" xfId="7609" xr:uid="{A9AB608C-124C-4B0E-923C-80B4CD044CF8}"/>
    <cellStyle name="Style 71 5 7 2" xfId="23811" xr:uid="{5712C010-FADB-4DAA-837A-A68118CF4D69}"/>
    <cellStyle name="Style 71 5 8" xfId="7610" xr:uid="{3B638252-0E3D-47D3-BBD5-C4B85C098A43}"/>
    <cellStyle name="Style 71 5 8 2" xfId="23812" xr:uid="{01772DC6-7580-4BCF-9260-007776A6E391}"/>
    <cellStyle name="Style 71 5 9" xfId="7611" xr:uid="{7A6CECC4-190F-4531-8894-C1F9C56CFA79}"/>
    <cellStyle name="Style 71 5 9 2" xfId="23813" xr:uid="{101DB800-42D4-461B-A617-2FEB686A4CC2}"/>
    <cellStyle name="Style 71 6" xfId="1943" xr:uid="{E2A8A990-BAFF-474B-84C5-A5047E4FC1D5}"/>
    <cellStyle name="Style 71 6 2" xfId="2773" xr:uid="{356A8287-51E3-4B7B-88F9-233606E1FC8E}"/>
    <cellStyle name="Style 71 6 2 2" xfId="4377" xr:uid="{61102B83-0229-4BCF-A9CA-0D77B0F5DB77}"/>
    <cellStyle name="Style 71 6 2 2 2" xfId="23814" xr:uid="{C74D7F44-15F1-4F52-A255-9D90B7C0E10B}"/>
    <cellStyle name="Style 71 6 3" xfId="7612" xr:uid="{B5BD8887-9B27-4257-93D5-0DF88CB49968}"/>
    <cellStyle name="Style 71 6 3 2" xfId="7613" xr:uid="{2291D5F5-587F-41DA-B193-ADAA27E930B6}"/>
    <cellStyle name="Style 71 6 3 2 2" xfId="23815" xr:uid="{50F74FAC-D517-47D6-97D5-9515D3DDA43F}"/>
    <cellStyle name="Style 71 6 4" xfId="7614" xr:uid="{0393E656-FB7D-42AB-A7AF-6CD5BC4E31CE}"/>
    <cellStyle name="Style 71 6 4 2" xfId="23816" xr:uid="{83342BD4-5510-408B-B06F-1B0D83CF9B0C}"/>
    <cellStyle name="Style 71 6 5" xfId="7615" xr:uid="{F29210C4-BC30-4020-809C-4C4166CEA264}"/>
    <cellStyle name="Style 71 6 5 2" xfId="23817" xr:uid="{36CCFC67-881E-4618-811E-5C570215DFEE}"/>
    <cellStyle name="Style 71 6 6" xfId="7616" xr:uid="{15771459-CC07-4B8F-B35F-8CB49BADDEA0}"/>
    <cellStyle name="Style 71 6 6 2" xfId="23818" xr:uid="{62F117C3-8135-467B-A8C3-275162E762B5}"/>
    <cellStyle name="Style 71 6 7" xfId="7617" xr:uid="{60EC4C87-2BB1-46A3-AC9D-7F3CC34DF979}"/>
    <cellStyle name="Style 71 6 7 2" xfId="23819" xr:uid="{6B3F818B-37BF-46A3-B2CD-924F6796E3BA}"/>
    <cellStyle name="Style 71 6 8" xfId="7618" xr:uid="{25092AEA-B642-4A2B-A06A-40D3F1E93FB5}"/>
    <cellStyle name="Style 71 6 8 2" xfId="23820" xr:uid="{F8FFCCBB-D69B-4726-82B9-7E84BB396B0E}"/>
    <cellStyle name="Style 71 6 9" xfId="7619" xr:uid="{B547BD55-3C83-432A-8403-38FDAA41ECEB}"/>
    <cellStyle name="Style 71 6 9 2" xfId="23821" xr:uid="{D006F0C9-9425-4974-AB61-0543CD0E389C}"/>
    <cellStyle name="Style 71 7" xfId="2772" xr:uid="{FCA508D2-11BC-410A-B33F-3A0358F34EAD}"/>
    <cellStyle name="Style 71 7 2" xfId="4379" xr:uid="{89B22E73-AD07-4586-97B0-691AD0D8AFF0}"/>
    <cellStyle name="Style 71 7 3" xfId="4378" xr:uid="{E828669F-1074-4F9F-89B9-26BD6302402A}"/>
    <cellStyle name="Style 71 7 3 2" xfId="23822" xr:uid="{B47DE982-F4A3-4362-80CF-E24E1B54D884}"/>
    <cellStyle name="Style 71 8" xfId="4380" xr:uid="{84AED682-85B4-455F-8023-DEDD2396C743}"/>
    <cellStyle name="Style 71 8 2" xfId="7620" xr:uid="{92B470A4-5919-48F6-8B43-531240477E9C}"/>
    <cellStyle name="Style 71 8 2 2" xfId="23823" xr:uid="{5DB5AFF4-12C1-4EFC-9377-B57DBE476E8E}"/>
    <cellStyle name="Style 71 9" xfId="7621" xr:uid="{A27C10C1-B9F0-42F3-8FFC-EA86B3AEEB81}"/>
    <cellStyle name="Style 71 9 2" xfId="7622" xr:uid="{DE1F444A-57E8-490D-8D41-CFC8065A7C41}"/>
    <cellStyle name="Style 71 9 2 2" xfId="23824" xr:uid="{EC43FEF2-E3AB-4BFA-B00F-CBE420BF4CD3}"/>
    <cellStyle name="Style 71 9 3" xfId="21292" xr:uid="{15E79BB6-E81A-4E91-B420-85DBCEBDD04E}"/>
    <cellStyle name="Style 71_ADDON" xfId="20529" xr:uid="{0818B553-A5BE-4EDA-A1DA-30513363E53F}"/>
    <cellStyle name="Style 72" xfId="1944" xr:uid="{823EFFF8-2C7D-4023-B5C5-60019767F85E}"/>
    <cellStyle name="Style 72 10" xfId="7623" xr:uid="{CD7F469C-4F92-43F6-9F6D-01F6D12D3586}"/>
    <cellStyle name="Style 72 10 2" xfId="23825" xr:uid="{FD059E30-3D3E-4AA9-A00C-077425896539}"/>
    <cellStyle name="Style 72 11" xfId="7624" xr:uid="{618D39A4-4578-4338-A573-287C98776D0F}"/>
    <cellStyle name="Style 72 11 2" xfId="23826" xr:uid="{77BEBCFB-17AB-4224-ABAB-09F9CE2B6854}"/>
    <cellStyle name="Style 72 12" xfId="7625" xr:uid="{72AFE8F9-6901-4CB8-9BD1-D364A0C3A52A}"/>
    <cellStyle name="Style 72 12 2" xfId="23827" xr:uid="{F8AB4141-57F8-4483-807B-88813AB762A8}"/>
    <cellStyle name="Style 72 13" xfId="7626" xr:uid="{846F3C8A-99F4-43CD-A7B8-E98FF4AA8E39}"/>
    <cellStyle name="Style 72 13 2" xfId="23828" xr:uid="{9B3AE982-9B5E-46F0-A40A-217C822311AD}"/>
    <cellStyle name="Style 72 14" xfId="7627" xr:uid="{8BC0D6FE-5C2E-408E-A116-2D43E88DFD9D}"/>
    <cellStyle name="Style 72 14 2" xfId="23829" xr:uid="{351EAC05-D969-4014-BD20-919ADB3E2DAC}"/>
    <cellStyle name="Style 72 15" xfId="7628" xr:uid="{1DBB0C6E-004E-4ED7-80A0-9F44185B38CA}"/>
    <cellStyle name="Style 72 15 2" xfId="23830" xr:uid="{7A70A230-F10C-41ED-BE0D-1AEF5D2D36D4}"/>
    <cellStyle name="Style 72 16" xfId="18936" xr:uid="{4C439D76-FBA2-42F9-B976-D1095DE68515}"/>
    <cellStyle name="Style 72 2" xfId="1945" xr:uid="{A3D2DA41-0025-4B69-B518-EDB0E1F1C874}"/>
    <cellStyle name="Style 72 2 10" xfId="7629" xr:uid="{31DA83D1-25AC-47FE-93BD-3BC61C0BCB3F}"/>
    <cellStyle name="Style 72 2 10 2" xfId="23831" xr:uid="{E6DE47BC-99DC-4675-A791-CEA59813FBB0}"/>
    <cellStyle name="Style 72 2 11" xfId="18937" xr:uid="{41FBCC7E-1D52-4EB0-A098-75111970F0E3}"/>
    <cellStyle name="Style 72 2 2" xfId="7630" xr:uid="{4759F50F-47DA-4B53-A107-DCD6DB1A1903}"/>
    <cellStyle name="Style 72 2 2 2" xfId="7631" xr:uid="{31B9DCA8-575E-46AB-B49F-F71146A83377}"/>
    <cellStyle name="Style 72 2 2 2 2" xfId="23833" xr:uid="{5352ABC5-760E-4878-8D27-B002E0D2F229}"/>
    <cellStyle name="Style 72 2 2 3" xfId="7632" xr:uid="{B446DDC2-448F-4D23-95FA-4B1DB95A7C1D}"/>
    <cellStyle name="Style 72 2 2 3 2" xfId="23834" xr:uid="{DD202F10-B0C4-4302-ADD0-F0182B6CFF2E}"/>
    <cellStyle name="Style 72 2 2 4" xfId="23832" xr:uid="{5866026E-1430-4393-A1CB-DEE109095C65}"/>
    <cellStyle name="Style 72 2 3" xfId="7633" xr:uid="{963C96C6-18E0-476A-9B99-532D68496D5D}"/>
    <cellStyle name="Style 72 2 3 2" xfId="23835" xr:uid="{E9236B7E-8BB2-4216-97F3-A949CDA16975}"/>
    <cellStyle name="Style 72 2 4" xfId="7634" xr:uid="{B2685F2C-5CF8-486A-A514-C4DDC038E1FC}"/>
    <cellStyle name="Style 72 2 4 2" xfId="23836" xr:uid="{F6CF9C83-3BD7-4B4E-810B-E5C636FB0817}"/>
    <cellStyle name="Style 72 2 5" xfId="7635" xr:uid="{72644443-B279-4D90-876C-297D8F047E7B}"/>
    <cellStyle name="Style 72 2 5 2" xfId="23837" xr:uid="{C7AD578E-513D-4E71-8A4C-A294002204B1}"/>
    <cellStyle name="Style 72 2 6" xfId="7636" xr:uid="{C88A3AFA-5F69-43C9-A955-15C374D230F8}"/>
    <cellStyle name="Style 72 2 6 2" xfId="23838" xr:uid="{803DD9EC-FA8D-4FAB-A566-30CDB5D0CE24}"/>
    <cellStyle name="Style 72 2 7" xfId="7637" xr:uid="{D1C409A0-007E-48F6-AB25-7BF98976CE60}"/>
    <cellStyle name="Style 72 2 7 2" xfId="23839" xr:uid="{4D81ADA7-EEBC-4747-9F99-B497F2107AF3}"/>
    <cellStyle name="Style 72 2 8" xfId="7638" xr:uid="{F6F7A392-7CDF-4129-9007-217359764BC5}"/>
    <cellStyle name="Style 72 2 8 2" xfId="23840" xr:uid="{6B3559F1-3C6C-470E-81DC-CEE4C9C99313}"/>
    <cellStyle name="Style 72 2 9" xfId="7639" xr:uid="{27CB4D16-01BC-49CD-AA71-5D7CD67F1237}"/>
    <cellStyle name="Style 72 2 9 2" xfId="23841" xr:uid="{B71023A9-764F-4038-AF87-A6C0306B7B10}"/>
    <cellStyle name="Style 72 3" xfId="1946" xr:uid="{3F2A78F1-7DC8-44A3-8844-D81C256CFA60}"/>
    <cellStyle name="Style 72 3 10" xfId="7640" xr:uid="{C0199EF4-90A9-46CC-AA3B-57A06AB8174F}"/>
    <cellStyle name="Style 72 3 10 2" xfId="23842" xr:uid="{F9F549C3-1E38-4EA3-83B7-5D197D9B84CD}"/>
    <cellStyle name="Style 72 3 11" xfId="7641" xr:uid="{161A34E9-3EB9-40F8-9595-874E7AB8A7CA}"/>
    <cellStyle name="Style 72 3 11 2" xfId="23843" xr:uid="{CFFDF4AA-71C4-47CD-934F-EAB05B26185F}"/>
    <cellStyle name="Style 72 3 12" xfId="7642" xr:uid="{909789A8-9F50-4AA7-9F73-D4C025CA4BC3}"/>
    <cellStyle name="Style 72 3 12 2" xfId="23844" xr:uid="{45193C6E-698F-4F27-A19D-E95426FEB817}"/>
    <cellStyle name="Style 72 3 13" xfId="7643" xr:uid="{FDB154AF-2F37-4EE4-9D62-F4B346F582BE}"/>
    <cellStyle name="Style 72 3 13 2" xfId="23845" xr:uid="{CADEB8EB-9027-4584-833C-BAA4B4495CF1}"/>
    <cellStyle name="Style 72 3 14" xfId="18938" xr:uid="{A3CA9B95-51D6-4902-896D-2F0AC4E43F72}"/>
    <cellStyle name="Style 72 3 2" xfId="1947" xr:uid="{7D51513A-1C1B-4944-9ED2-E6D10FA64D3D}"/>
    <cellStyle name="Style 72 3 2 10" xfId="18939" xr:uid="{8E7AA5AF-B435-4366-96EF-994393932433}"/>
    <cellStyle name="Style 72 3 2 2" xfId="7644" xr:uid="{7B63BE5C-ED92-481D-8685-D059FF2A1171}"/>
    <cellStyle name="Style 72 3 2 2 2" xfId="23846" xr:uid="{316AF9FA-66D6-450F-9D9B-74D6134065A5}"/>
    <cellStyle name="Style 72 3 2 3" xfId="7645" xr:uid="{A878798C-4362-44AE-A603-F9604F590B3C}"/>
    <cellStyle name="Style 72 3 2 3 2" xfId="23847" xr:uid="{F86E76BF-590D-43BA-8F36-0B72F117606C}"/>
    <cellStyle name="Style 72 3 2 4" xfId="7646" xr:uid="{9B00E885-15A5-430F-9F44-07258A2D265A}"/>
    <cellStyle name="Style 72 3 2 4 2" xfId="23848" xr:uid="{6E096E54-410F-4518-860F-D7EBF992BD30}"/>
    <cellStyle name="Style 72 3 2 5" xfId="7647" xr:uid="{4ED71A80-4C62-48D1-B024-C468CD21D654}"/>
    <cellStyle name="Style 72 3 2 5 2" xfId="23849" xr:uid="{DD652150-B8D0-4903-BB60-BF1B2A1539C1}"/>
    <cellStyle name="Style 72 3 2 6" xfId="7648" xr:uid="{1DEB54CB-FA1C-46E9-BE6F-AAAEE34592FF}"/>
    <cellStyle name="Style 72 3 2 6 2" xfId="23850" xr:uid="{842A985C-78B2-4A2B-B1C3-83E59250C0CF}"/>
    <cellStyle name="Style 72 3 2 7" xfId="7649" xr:uid="{87631E39-A3B3-4583-958B-4BAC3A07BA4D}"/>
    <cellStyle name="Style 72 3 2 7 2" xfId="23851" xr:uid="{1DADF943-5206-4225-A01D-6E650E9B653E}"/>
    <cellStyle name="Style 72 3 2 8" xfId="7650" xr:uid="{BA6BE5AF-E8EB-4664-852E-01C93832B087}"/>
    <cellStyle name="Style 72 3 2 8 2" xfId="23852" xr:uid="{849C77EA-F9EB-4C64-8880-730759B1B5C6}"/>
    <cellStyle name="Style 72 3 2 9" xfId="7651" xr:uid="{B1568E7B-FDBA-499A-8E9E-0A0A0AF9275D}"/>
    <cellStyle name="Style 72 3 2 9 2" xfId="23853" xr:uid="{4759913F-A456-460B-B3E3-F5AFD86C635A}"/>
    <cellStyle name="Style 72 3 3" xfId="1948" xr:uid="{B50167FA-19A8-48D2-A108-3C6569A4447A}"/>
    <cellStyle name="Style 72 3 3 10" xfId="7652" xr:uid="{796EAD4D-8E1F-49AA-8D1F-6848953897AD}"/>
    <cellStyle name="Style 72 3 3 10 2" xfId="23854" xr:uid="{4E757FF8-3F53-4C31-A638-092560564431}"/>
    <cellStyle name="Style 72 3 3 11" xfId="7653" xr:uid="{7F64EBFB-FB11-496B-AE12-A930544EFAFC}"/>
    <cellStyle name="Style 72 3 3 11 2" xfId="23855" xr:uid="{3FD77DA8-60A3-4D0C-A971-22C2DD07313E}"/>
    <cellStyle name="Style 72 3 3 12" xfId="18940" xr:uid="{049EAE79-9EDE-4991-8827-4C638096CC6C}"/>
    <cellStyle name="Style 72 3 3 2" xfId="1949" xr:uid="{16F7814E-9303-4631-966B-EEED9AD2B285}"/>
    <cellStyle name="Style 72 3 3 2 10" xfId="18941" xr:uid="{8FB0F56F-E2CB-46CC-BC4A-697481E9B3C5}"/>
    <cellStyle name="Style 72 3 3 2 2" xfId="7654" xr:uid="{E4E83B00-B908-4EE5-9E3B-AADDD12F25F2}"/>
    <cellStyle name="Style 72 3 3 2 2 2" xfId="23856" xr:uid="{D9777ED0-25CC-4F14-B1B0-1521A224FBD3}"/>
    <cellStyle name="Style 72 3 3 2 3" xfId="7655" xr:uid="{1ABB0DEE-7DFF-4558-83FC-8CF5034348F1}"/>
    <cellStyle name="Style 72 3 3 2 3 2" xfId="23857" xr:uid="{36D46283-EBD8-4497-8504-547C7639F9D6}"/>
    <cellStyle name="Style 72 3 3 2 4" xfId="7656" xr:uid="{1CD7E598-F06F-481D-A36A-124D5F809F41}"/>
    <cellStyle name="Style 72 3 3 2 4 2" xfId="23858" xr:uid="{850E9C28-18F2-403A-8F9E-A0B4A7096FE7}"/>
    <cellStyle name="Style 72 3 3 2 5" xfId="7657" xr:uid="{A0B10569-5F21-4874-AAFB-9B633BD684A0}"/>
    <cellStyle name="Style 72 3 3 2 5 2" xfId="23859" xr:uid="{4786E49A-B887-4BCB-9AEE-DD8C8449DA61}"/>
    <cellStyle name="Style 72 3 3 2 6" xfId="7658" xr:uid="{EDB05A7D-D63D-43E0-9F46-9A763AE97400}"/>
    <cellStyle name="Style 72 3 3 2 6 2" xfId="23860" xr:uid="{833C9F51-0018-4B0A-9504-B763DC6B6991}"/>
    <cellStyle name="Style 72 3 3 2 7" xfId="7659" xr:uid="{41BE67EA-35D9-46C3-AD70-DE13076A8D26}"/>
    <cellStyle name="Style 72 3 3 2 7 2" xfId="23861" xr:uid="{E1C28839-5FF6-4CEE-9F07-1EC9044E6E28}"/>
    <cellStyle name="Style 72 3 3 2 8" xfId="7660" xr:uid="{73CA0FA0-2BB3-4015-B7C0-D4294D83F975}"/>
    <cellStyle name="Style 72 3 3 2 8 2" xfId="23862" xr:uid="{716E77A1-F8C0-48D4-B41A-82A212F17F22}"/>
    <cellStyle name="Style 72 3 3 2 9" xfId="7661" xr:uid="{511679EB-5BF4-44C6-8AD1-DBC881374D85}"/>
    <cellStyle name="Style 72 3 3 2 9 2" xfId="23863" xr:uid="{A6525400-C06F-480A-BB1E-EF086A1DE394}"/>
    <cellStyle name="Style 72 3 3 3" xfId="4381" xr:uid="{A9A6A8A7-FA47-4C8D-B871-F336E4C7989E}"/>
    <cellStyle name="Style 72 3 3 3 2" xfId="7662" xr:uid="{74818DEC-E143-44C3-A792-DE49F747C4FE}"/>
    <cellStyle name="Style 72 3 3 3 2 2" xfId="23864" xr:uid="{04F5E1F7-2DAD-46F1-A223-70EEA58BFDCF}"/>
    <cellStyle name="Style 72 3 3 3 3" xfId="7663" xr:uid="{4C61B7A0-EFC1-40F2-A696-2C512B143EAC}"/>
    <cellStyle name="Style 72 3 3 3 3 2" xfId="23865" xr:uid="{CE487FBB-54A9-458C-97CF-E1F009472DF8}"/>
    <cellStyle name="Style 72 3 3 3 4" xfId="7664" xr:uid="{3D388309-D9B6-46CF-8407-67955046B817}"/>
    <cellStyle name="Style 72 3 3 3 4 2" xfId="23866" xr:uid="{C99E477B-2890-4550-B315-5C153DE7F217}"/>
    <cellStyle name="Style 72 3 3 3 5" xfId="18942" xr:uid="{B529BC00-ECF8-4756-8C69-B124896591DC}"/>
    <cellStyle name="Style 72 3 3 4" xfId="4382" xr:uid="{8E0C4E1C-391F-4B0A-8EC9-E057EABBA451}"/>
    <cellStyle name="Style 72 3 3 4 2" xfId="7665" xr:uid="{22B97862-B425-4E02-A87B-0E3A2B66D6B5}"/>
    <cellStyle name="Style 72 3 3 4 2 2" xfId="23867" xr:uid="{E1586CA9-9D72-49A2-9593-426C6C28B30C}"/>
    <cellStyle name="Style 72 3 3 4 3" xfId="19627" xr:uid="{CA636939-8199-45DB-968E-4087C46FC9BC}"/>
    <cellStyle name="Style 72 3 3 5" xfId="7666" xr:uid="{A985C2EA-82BF-4655-BE5C-A2A9021C17D7}"/>
    <cellStyle name="Style 72 3 3 5 2" xfId="23868" xr:uid="{3B650539-7B9D-4286-89D6-D747410127E2}"/>
    <cellStyle name="Style 72 3 3 6" xfId="7667" xr:uid="{74A56C42-4B11-4FC0-AF76-53CCA9812D96}"/>
    <cellStyle name="Style 72 3 3 6 2" xfId="23869" xr:uid="{0054735B-C8DD-4761-9DE9-184949FCC1BF}"/>
    <cellStyle name="Style 72 3 3 7" xfId="7668" xr:uid="{EE86EBDF-BF40-4193-B6BF-B9D5B5AF7ABD}"/>
    <cellStyle name="Style 72 3 3 7 2" xfId="23870" xr:uid="{FD953DEF-23B1-420F-AF54-FA1FA56011D9}"/>
    <cellStyle name="Style 72 3 3 8" xfId="7669" xr:uid="{00B4FBBD-0EFE-48EA-A58A-4FEEF7843A23}"/>
    <cellStyle name="Style 72 3 3 8 2" xfId="23871" xr:uid="{5196769C-0FDC-4237-80FD-EC5028CEAC17}"/>
    <cellStyle name="Style 72 3 3 9" xfId="7670" xr:uid="{64E346A8-29BF-4CA0-9612-5ADFFD2A5539}"/>
    <cellStyle name="Style 72 3 3 9 2" xfId="23872" xr:uid="{27E28710-9927-48BE-B0B0-76E64C696753}"/>
    <cellStyle name="Style 72 3 4" xfId="1950" xr:uid="{8AA7A666-CE9B-4A31-92F7-1941067E643B}"/>
    <cellStyle name="Style 72 3 4 10" xfId="7671" xr:uid="{3E5E0FE0-6995-4E19-8FBD-7CAFC8B84491}"/>
    <cellStyle name="Style 72 3 4 10 2" xfId="23873" xr:uid="{D53CD91B-898D-4518-94AD-30B9DD697DB0}"/>
    <cellStyle name="Style 72 3 4 11" xfId="18943" xr:uid="{F2F3032B-2130-4D5B-996B-B390FA6A4D68}"/>
    <cellStyle name="Style 72 3 4 2" xfId="1951" xr:uid="{16276438-72B3-4900-AD4E-F24D772967E0}"/>
    <cellStyle name="Style 72 3 4 2 10" xfId="18944" xr:uid="{B86B2D88-9713-404F-BCCB-32F368DE37C3}"/>
    <cellStyle name="Style 72 3 4 2 2" xfId="7672" xr:uid="{18CD3C12-BE9B-4C7E-B2CD-CEA104BBD91B}"/>
    <cellStyle name="Style 72 3 4 2 2 2" xfId="23874" xr:uid="{6CC32EAB-1ED0-42B1-BF8F-2DD92335E673}"/>
    <cellStyle name="Style 72 3 4 2 3" xfId="7673" xr:uid="{857B10A3-D8C0-49AE-9879-40022B94D276}"/>
    <cellStyle name="Style 72 3 4 2 3 2" xfId="23875" xr:uid="{B8EC598C-4D70-4B05-84C2-92B7E61D5530}"/>
    <cellStyle name="Style 72 3 4 2 4" xfId="7674" xr:uid="{6EBD401E-4F1B-456E-835D-CFCA1C062016}"/>
    <cellStyle name="Style 72 3 4 2 4 2" xfId="23876" xr:uid="{568DAB0E-1185-443F-B221-FA8CAB9D769B}"/>
    <cellStyle name="Style 72 3 4 2 5" xfId="7675" xr:uid="{26F285D2-C7ED-4185-A101-282BCE3158D6}"/>
    <cellStyle name="Style 72 3 4 2 5 2" xfId="23877" xr:uid="{A8484946-407B-4763-AFC9-11EF927279F7}"/>
    <cellStyle name="Style 72 3 4 2 6" xfId="7676" xr:uid="{7B37F8EB-88CB-4AE9-B39B-B10B6D77E16F}"/>
    <cellStyle name="Style 72 3 4 2 6 2" xfId="23878" xr:uid="{2412E24C-814D-4779-85FF-C77C01E79EDA}"/>
    <cellStyle name="Style 72 3 4 2 7" xfId="7677" xr:uid="{B5DB077E-1773-4FBC-A054-692A62F8708A}"/>
    <cellStyle name="Style 72 3 4 2 7 2" xfId="23879" xr:uid="{B0CC8D84-322F-4074-9012-5AB6463FBD67}"/>
    <cellStyle name="Style 72 3 4 2 8" xfId="7678" xr:uid="{951C7877-EC77-43CB-B582-A6C4ECEF2DFD}"/>
    <cellStyle name="Style 72 3 4 2 8 2" xfId="23880" xr:uid="{8F4056C6-CD73-4CCF-A483-DAAC79D698B9}"/>
    <cellStyle name="Style 72 3 4 2 9" xfId="7679" xr:uid="{5774DC02-6617-4C23-816B-0505DEA447E3}"/>
    <cellStyle name="Style 72 3 4 2 9 2" xfId="23881" xr:uid="{9D585194-292C-415B-BCA0-732ABFF6F109}"/>
    <cellStyle name="Style 72 3 4 3" xfId="7680" xr:uid="{80F99F57-51E3-453E-8298-F183E36130A5}"/>
    <cellStyle name="Style 72 3 4 3 2" xfId="23882" xr:uid="{529B2D93-8C98-4907-A209-0F055CDA0D32}"/>
    <cellStyle name="Style 72 3 4 4" xfId="7681" xr:uid="{4A0FCBF3-54CC-44DB-8AF0-4B2A99166712}"/>
    <cellStyle name="Style 72 3 4 4 2" xfId="23883" xr:uid="{19220B1A-03FE-4828-BE56-99A72A667A4F}"/>
    <cellStyle name="Style 72 3 4 5" xfId="7682" xr:uid="{512C4D1C-3FDB-42F3-95F1-722299C4C286}"/>
    <cellStyle name="Style 72 3 4 5 2" xfId="23884" xr:uid="{7A3C7BE4-0F56-4026-A676-FB56457A16D8}"/>
    <cellStyle name="Style 72 3 4 6" xfId="7683" xr:uid="{6D7D0D28-DEB9-4FB2-ABBE-CBCC720DA731}"/>
    <cellStyle name="Style 72 3 4 6 2" xfId="23885" xr:uid="{417B99EA-AA32-4B9D-85B8-DE16B0A998E3}"/>
    <cellStyle name="Style 72 3 4 7" xfId="7684" xr:uid="{4A40EEB3-FDCD-409C-ABE1-031952E1E17D}"/>
    <cellStyle name="Style 72 3 4 7 2" xfId="23886" xr:uid="{9CD09B03-D0C6-4F75-AB52-572DA99F01AF}"/>
    <cellStyle name="Style 72 3 4 8" xfId="7685" xr:uid="{35D829FB-9063-4BD0-BB6A-24F269FB0753}"/>
    <cellStyle name="Style 72 3 4 8 2" xfId="23887" xr:uid="{957552E7-01E6-4C8A-A9FC-CD646C696976}"/>
    <cellStyle name="Style 72 3 4 9" xfId="7686" xr:uid="{EDD21095-DE04-4BBC-BB96-9C25AC0D6683}"/>
    <cellStyle name="Style 72 3 4 9 2" xfId="23888" xr:uid="{47DD7201-0756-4AE4-B9E4-26065662E541}"/>
    <cellStyle name="Style 72 3 5" xfId="4383" xr:uid="{C42C656D-A24D-4DF7-BF5D-7E934BDDA4D9}"/>
    <cellStyle name="Style 72 3 5 2" xfId="7687" xr:uid="{43E80952-EE8E-4E51-8E02-F7EBD77E2C3D}"/>
    <cellStyle name="Style 72 3 5 2 2" xfId="23889" xr:uid="{4AE50E36-05B9-413D-AD58-5B255600E57B}"/>
    <cellStyle name="Style 72 3 5 3" xfId="7688" xr:uid="{D88982D6-6EC5-4090-9F56-D2F9F1BA4121}"/>
    <cellStyle name="Style 72 3 5 3 2" xfId="23890" xr:uid="{B2662D5A-4031-481A-92FA-D577813A9992}"/>
    <cellStyle name="Style 72 3 5 4" xfId="7689" xr:uid="{F011A463-E07B-493B-9725-69AE1185E9BA}"/>
    <cellStyle name="Style 72 3 5 4 2" xfId="23891" xr:uid="{1E04B1A7-345F-4171-B687-AAA8EC74E9ED}"/>
    <cellStyle name="Style 72 3 5 5" xfId="19628" xr:uid="{C00A2FF1-160D-42F6-8D99-79F5D8E8A3BC}"/>
    <cellStyle name="Style 72 3 6" xfId="7690" xr:uid="{B0C239A7-A5AB-45F0-9F8D-AB91E3ECC1CD}"/>
    <cellStyle name="Style 72 3 6 2" xfId="23892" xr:uid="{ACC73B73-3333-4BE8-94C3-1C0D6F715D72}"/>
    <cellStyle name="Style 72 3 7" xfId="7691" xr:uid="{EED24DD7-B64E-4718-8587-B61B5FA798D1}"/>
    <cellStyle name="Style 72 3 7 2" xfId="23893" xr:uid="{8EE1AD04-C9A7-4D2B-B027-34493D7854A6}"/>
    <cellStyle name="Style 72 3 8" xfId="7692" xr:uid="{A75DCC95-1E1B-48EC-A2DF-2FB88CE44FDB}"/>
    <cellStyle name="Style 72 3 8 2" xfId="23894" xr:uid="{D0602FF2-A662-4273-B0D6-07E59FA8B39A}"/>
    <cellStyle name="Style 72 3 9" xfId="7693" xr:uid="{62175B2C-5182-4DF8-8230-EF6B76E5C0D6}"/>
    <cellStyle name="Style 72 3 9 2" xfId="23895" xr:uid="{E60BF82E-BC41-4353-8589-65A8C40717BC}"/>
    <cellStyle name="Style 72 4" xfId="1952" xr:uid="{C840A8B2-9360-42BA-AD3A-598CD26C823F}"/>
    <cellStyle name="Style 72 4 10" xfId="7694" xr:uid="{A922DED9-D698-421C-8A1C-D180EFED0344}"/>
    <cellStyle name="Style 72 4 10 2" xfId="23896" xr:uid="{6C958660-5F25-4D3D-8268-9238F5FD3B61}"/>
    <cellStyle name="Style 72 4 11" xfId="7695" xr:uid="{D2146313-EA14-4B90-BC97-CA7562567DB7}"/>
    <cellStyle name="Style 72 4 11 2" xfId="23897" xr:uid="{36161462-C1E7-451F-9434-F1E10276F0AE}"/>
    <cellStyle name="Style 72 4 12" xfId="18945" xr:uid="{C7A15222-A43B-44C6-B8A2-D844BFF48CA6}"/>
    <cellStyle name="Style 72 4 2" xfId="1953" xr:uid="{A585D347-CB3E-456D-8BE7-A2D7E5B29D17}"/>
    <cellStyle name="Style 72 4 2 10" xfId="18946" xr:uid="{61C4DC6A-21B6-4129-B904-D4BD95D30ACA}"/>
    <cellStyle name="Style 72 4 2 2" xfId="7696" xr:uid="{119FB913-2E78-4863-82DB-D3B2B706404B}"/>
    <cellStyle name="Style 72 4 2 2 2" xfId="23898" xr:uid="{AE3F6FD1-91B3-43EF-A8A3-DA11E0C625BB}"/>
    <cellStyle name="Style 72 4 2 3" xfId="7697" xr:uid="{28678B47-3AEB-4F0D-AC30-B3FED45BDA69}"/>
    <cellStyle name="Style 72 4 2 3 2" xfId="23899" xr:uid="{E1886012-2C71-4779-AE67-1092440BEBC6}"/>
    <cellStyle name="Style 72 4 2 4" xfId="7698" xr:uid="{17B3D844-D37F-489F-9872-A3722D530765}"/>
    <cellStyle name="Style 72 4 2 4 2" xfId="23900" xr:uid="{59503D06-D7A9-4F7B-A80A-4DF9ED88BDEB}"/>
    <cellStyle name="Style 72 4 2 5" xfId="7699" xr:uid="{348FFE29-0214-4832-B1F7-CFE7DE90C137}"/>
    <cellStyle name="Style 72 4 2 5 2" xfId="23901" xr:uid="{FCAB7F98-076F-4C84-9334-4DCFC07D0045}"/>
    <cellStyle name="Style 72 4 2 6 2" xfId="23902" xr:uid="{59868A89-30BD-4554-A5A3-F7848E1DAEC2}"/>
    <cellStyle name="Style 72 4 2 7 2" xfId="23903" xr:uid="{96481727-8E7A-4CF0-9BDB-DFF3E666D2A1}"/>
    <cellStyle name="Style 72 4 2 8 2" xfId="23904" xr:uid="{414BEB6B-E86F-442D-9C35-6E8747070451}"/>
    <cellStyle name="Style 72 4 2 9 2" xfId="23905" xr:uid="{0D99A871-B57E-4FF9-B1C2-6564E91410D9}"/>
    <cellStyle name="Style 72 4 3 2" xfId="7700" xr:uid="{32F9892C-D035-4D1A-A15A-1044F32123C9}"/>
    <cellStyle name="Style 72 4 3 3" xfId="7701" xr:uid="{A396A241-6653-4CA9-89B2-65280C16D372}"/>
    <cellStyle name="Style 72 4 3 4" xfId="7702" xr:uid="{46395F24-4D50-4A1D-A5CD-B67E11B6152C}"/>
    <cellStyle name="Style 72 4 3 5" xfId="18947" xr:uid="{2327F706-1210-451F-B966-ADFFE0DFC97A}"/>
    <cellStyle name="Style 72 4 4 2" xfId="7703" xr:uid="{82E49E86-7ABB-4EFD-9334-41C6CDF99583}"/>
    <cellStyle name="Style 72 4 4 3" xfId="19629" xr:uid="{AE04003B-D04E-4B27-BF69-4AA37978D131}"/>
    <cellStyle name="Style 72 4 5 2" xfId="23906" xr:uid="{2BF0561D-C475-4D15-9E94-BD5689782F62}"/>
    <cellStyle name="Style 72 4 6 2" xfId="23907" xr:uid="{C1E2DF8A-7C52-41D3-8B6F-52F2FBB04575}"/>
    <cellStyle name="Style 72 4 7 2" xfId="23908" xr:uid="{642AB288-E1CE-44EF-840F-544BA05B92D7}"/>
    <cellStyle name="Style 72 4 8 2" xfId="23909" xr:uid="{4121BE97-AA9D-4EF7-8F99-148A5A897345}"/>
    <cellStyle name="Style 72 4 9 2" xfId="23910" xr:uid="{39231FB2-ED72-42C9-809C-BF06DBAEB85F}"/>
    <cellStyle name="Style 72 5 10" xfId="7704" xr:uid="{E2818560-49B1-499E-9312-BFA50B4E0002}"/>
    <cellStyle name="Style 72 5 11" xfId="18948" xr:uid="{DEDBEA75-0B2B-4F16-B651-95AA4E93AAAA}"/>
    <cellStyle name="Style 72 5 2 10" xfId="18949" xr:uid="{88C3A7A4-CF8A-42AB-9C65-7F91DCE3F0E2}"/>
    <cellStyle name="Style 72 5 2 2 2" xfId="23911" xr:uid="{BAAFF906-0D52-4588-9F4E-A4D6A1C20771}"/>
    <cellStyle name="Style 72 5 2 3 2" xfId="23912" xr:uid="{DB6C8E59-24D1-4DA8-A436-78AB6F1DCC7F}"/>
    <cellStyle name="Style 72 5 2 4 2" xfId="23913" xr:uid="{3DDC59CD-EE40-49B1-84D3-55378310777C}"/>
    <cellStyle name="Style 72 5 2 5 2" xfId="23914" xr:uid="{C6B5E341-0460-4E41-BD6B-0F670F50AF01}"/>
    <cellStyle name="Style 72 5 2 6 2" xfId="23915" xr:uid="{32E0D2CD-DE6E-41EA-9028-2CB84648E86C}"/>
    <cellStyle name="Style 72 5 2 7 2" xfId="23916" xr:uid="{61F857DB-00D0-47F4-8D7C-03CA33662C5A}"/>
    <cellStyle name="Style 72 5 2 8 2" xfId="23917" xr:uid="{7877FB07-F32E-4A90-B0E4-C6EC541915C0}"/>
    <cellStyle name="Style 72 5 2 9 2" xfId="23918" xr:uid="{F2CDC0DE-5C72-4767-B5BE-32369F031FA0}"/>
    <cellStyle name="Style 72 5 3 2" xfId="23919" xr:uid="{454F76A6-00F2-4C51-833C-FAAF0BEB6A8D}"/>
    <cellStyle name="Style 72 5 4 2" xfId="23920" xr:uid="{5C1ECD16-1E59-4EB6-8B87-44D7070FD2BA}"/>
    <cellStyle name="Style 72 5 5 2" xfId="23921" xr:uid="{E16D269E-BDC6-45DE-8E4C-1F3B6270D8CF}"/>
    <cellStyle name="Style 72 5 6 2" xfId="23922" xr:uid="{5B4CA64D-B9E5-4917-8515-80AEC02D8EED}"/>
    <cellStyle name="Style 72 5 7 2" xfId="23923" xr:uid="{20A604DE-9FC5-4631-8E99-D3CF2789FAB7}"/>
    <cellStyle name="Style 72 5 8 2" xfId="23924" xr:uid="{A809A40C-784B-43AF-9F39-15CEC9D3A05C}"/>
    <cellStyle name="Style 72 5 9 2" xfId="23925" xr:uid="{9150A72C-F386-4034-874D-0227753AAB5A}"/>
    <cellStyle name="Style 72 6 10" xfId="7705" xr:uid="{564F1E60-65BC-4C3F-A004-234F6F60C424}"/>
    <cellStyle name="Style 72 6 11" xfId="18950" xr:uid="{36EED615-CAA5-4E8E-A2A8-A2A1CCAF412B}"/>
    <cellStyle name="Style 72 6 2 2" xfId="7706" xr:uid="{7AF9E5DD-ADFD-4710-8884-A036E60F62EA}"/>
    <cellStyle name="Style 72 6 2 3" xfId="7707" xr:uid="{8A94191A-C49B-45F7-AD0A-E8E341E92180}"/>
    <cellStyle name="Style 72 6 2 4" xfId="7708" xr:uid="{9B151FF4-27D7-4888-AB6C-473D45747895}"/>
    <cellStyle name="Style 72 6 2 5" xfId="7709" xr:uid="{100A3D5B-BD68-4256-BADB-0BB333CFB8BD}"/>
    <cellStyle name="Style 72 6 2 6" xfId="7710" xr:uid="{26E4EED1-648F-4172-91E7-1672F2C35CFF}"/>
    <cellStyle name="Style 72 6 2 7" xfId="7711" xr:uid="{29DADEA1-73E0-4305-8DAD-23F7793ED495}"/>
    <cellStyle name="Style 72 6 2 8" xfId="7712" xr:uid="{1E478E90-22B0-4FED-8B1D-0AF7148EC43D}"/>
    <cellStyle name="Style 72 6 2 9" xfId="19630" xr:uid="{8B325400-87DB-4391-8475-96A52B960E85}"/>
    <cellStyle name="Style 72 6 3 2" xfId="7713" xr:uid="{9A803747-0B0A-454B-890C-C0736CE30EFC}"/>
    <cellStyle name="Style 72 6 3 3" xfId="22521" xr:uid="{A21DE495-3823-4687-8FCB-7F2AAC9FCB47}"/>
    <cellStyle name="Style 72 6 4 2" xfId="23926" xr:uid="{14DDADB5-D47A-4B5B-8BBD-96103150876A}"/>
    <cellStyle name="Style 72 6 5 2" xfId="23927" xr:uid="{8C14D593-011F-44E6-9746-8F0F08B6F39C}"/>
    <cellStyle name="Style 72 6 6 2" xfId="23928" xr:uid="{5DE53D8C-0224-4870-8219-C865E33352DC}"/>
    <cellStyle name="Style 72 6 7 2" xfId="23929" xr:uid="{6B7BE66C-E0F7-4161-9620-AC79EE7CA826}"/>
    <cellStyle name="Style 72 6 8 2" xfId="23930" xr:uid="{83E2C7C6-A20F-4165-9F15-19F920C02A0E}"/>
    <cellStyle name="Style 72 6 9 2" xfId="23931" xr:uid="{DCE9CEDC-ED63-481A-8974-2B41B9B12E48}"/>
    <cellStyle name="Style 72 7 2" xfId="4385" xr:uid="{3C41ACB0-8D89-41FC-8E75-FD2B9172D857}"/>
    <cellStyle name="Style 72 7 3" xfId="4384" xr:uid="{EA02726F-89FE-44CA-BD61-A7767A3C4EDD}"/>
    <cellStyle name="Style 72 7 4" xfId="18951" xr:uid="{11FFE077-04B7-497A-96B2-076149AABAA6}"/>
    <cellStyle name="Style 72 8 2" xfId="7714" xr:uid="{B7328272-85A3-4A61-ACA0-448BD4469FE1}"/>
    <cellStyle name="Style 72 8 3" xfId="19631" xr:uid="{F77C5FCD-B6BC-4D95-9EA8-583AED34E9DD}"/>
    <cellStyle name="Style 72 9 2" xfId="7715" xr:uid="{D3BFAC49-7E59-4A51-981C-17D26CFDB92D}"/>
    <cellStyle name="Style 72 9 3" xfId="21293" xr:uid="{94A7DE31-9E12-4F68-92D6-E4D51A7822AC}"/>
    <cellStyle name="Style 73" xfId="1954" xr:uid="{E24D5EC6-64A9-4A96-896F-34E47A75D33E}"/>
    <cellStyle name="Style 73 10 10" xfId="7716" xr:uid="{00B83F5D-4B36-4819-8DE3-6F5469886139}"/>
    <cellStyle name="Style 73 10 11" xfId="18953" xr:uid="{29AC44B8-9879-479E-9761-2144011ACBF5}"/>
    <cellStyle name="Style 73 10 2 2" xfId="4386" xr:uid="{9C784628-F457-4F34-86B1-3C861E8A16CF}"/>
    <cellStyle name="Style 73 10 2 2 2 2" xfId="23932" xr:uid="{072DCC80-9A9B-4B94-ADE5-B2588F723369}"/>
    <cellStyle name="Style 73 10 2 3" xfId="7717" xr:uid="{834C4B34-9C54-4AFD-9DC4-ED506CFF40A6}"/>
    <cellStyle name="Style 73 10 2 4" xfId="7718" xr:uid="{5E1E6260-D683-4E9D-9F26-547D4751600B}"/>
    <cellStyle name="Style 73 10 2 5" xfId="7719" xr:uid="{013BC336-2BC3-424A-8618-06563E76C711}"/>
    <cellStyle name="Style 73 10 2 6" xfId="7720" xr:uid="{30856005-7086-4FF0-BA9E-0B4041872281}"/>
    <cellStyle name="Style 73 10 2 7" xfId="7721" xr:uid="{32CBF980-F13B-4736-8ADC-003B3AABCEA0}"/>
    <cellStyle name="Style 73 10 2 8" xfId="7722" xr:uid="{BAE000B6-8726-4E55-A12D-94F4E9F237B3}"/>
    <cellStyle name="Style 73 10 2 9" xfId="19632" xr:uid="{B1211623-249C-462C-BC3B-68BA73959925}"/>
    <cellStyle name="Style 73 10 3 2" xfId="7723" xr:uid="{F54B1AA6-1D6C-4AF2-A4CE-6DC79922C080}"/>
    <cellStyle name="Style 73 10 3 3" xfId="22072" xr:uid="{4C7A7019-BB12-433B-9B46-4E4C69452069}"/>
    <cellStyle name="Style 73 10 4 2" xfId="23933" xr:uid="{22D75FE3-8AE1-437C-9A03-B33D38D9DE53}"/>
    <cellStyle name="Style 73 10 5 2" xfId="23934" xr:uid="{1EB9EB98-1726-492A-9AB7-83DFA178A627}"/>
    <cellStyle name="Style 73 10 6 2" xfId="23935" xr:uid="{086F982B-91B6-4076-BA19-EA36B881FEE5}"/>
    <cellStyle name="Style 73 10 7 2" xfId="23936" xr:uid="{68EDFAEC-3678-4B48-B6D8-65FA72973C73}"/>
    <cellStyle name="Style 73 10 8 2" xfId="23937" xr:uid="{9EF54E9A-3EBA-40EC-B288-AB6072E32573}"/>
    <cellStyle name="Style 73 10 9 2" xfId="23938" xr:uid="{42348794-DAF5-4C5A-998B-DE66829E124A}"/>
    <cellStyle name="Style 73 11 10" xfId="7724" xr:uid="{DC09AD7B-4437-4E8A-AFF4-B1D57AE7CF04}"/>
    <cellStyle name="Style 73 11 11" xfId="18954" xr:uid="{4D627091-10DD-4F76-A6AF-8BDEDE3E2EFE}"/>
    <cellStyle name="Style 73 11 2 2" xfId="4387" xr:uid="{476A03C0-2089-4C91-B5FF-AFBEEA2F6E39}"/>
    <cellStyle name="Style 73 11 2 2 2 2" xfId="23939" xr:uid="{A453F7F8-C3DA-4AB2-B27A-50B4CAC03A50}"/>
    <cellStyle name="Style 73 11 2 3" xfId="7725" xr:uid="{A7FD0939-4861-4A9C-B8E1-6F1D0E8EEB53}"/>
    <cellStyle name="Style 73 11 2 4" xfId="7726" xr:uid="{D92125B7-2C7A-4465-B929-5D7E5F9F5B3E}"/>
    <cellStyle name="Style 73 11 2 5" xfId="7727" xr:uid="{AC3BE9E5-8E1A-48E9-A636-82ADC55ECC79}"/>
    <cellStyle name="Style 73 11 2 6" xfId="7728" xr:uid="{8C4868CA-A88E-4702-8C96-6727F916B7CA}"/>
    <cellStyle name="Style 73 11 2 7" xfId="7729" xr:uid="{9C5D4182-5FFC-4FB6-8A24-D60B1A2CEE7D}"/>
    <cellStyle name="Style 73 11 2 8" xfId="7730" xr:uid="{DBB737D3-6FEA-4FA7-A658-CBB3E768EB93}"/>
    <cellStyle name="Style 73 11 2 9" xfId="19633" xr:uid="{15F01F5B-BB99-4CCC-9895-0972FF2589A2}"/>
    <cellStyle name="Style 73 11 3 2" xfId="7731" xr:uid="{BB1C59E5-234B-45CD-9A31-0FFDFCB9C80C}"/>
    <cellStyle name="Style 73 11 3 3" xfId="22073" xr:uid="{8BE71E64-8717-49F1-BEE5-09163A9CB021}"/>
    <cellStyle name="Style 73 11 4 2" xfId="23940" xr:uid="{61162B70-9755-4101-9B32-2BD644FAE381}"/>
    <cellStyle name="Style 73 11 5 2" xfId="23941" xr:uid="{D4C74CD7-E873-457B-8F7F-BEACC192B5E2}"/>
    <cellStyle name="Style 73 11 6 2" xfId="23942" xr:uid="{BB99D811-213E-47A6-A37F-6A6DC1524D7B}"/>
    <cellStyle name="Style 73 11 7 2" xfId="23943" xr:uid="{359B0CA5-7305-46FE-9278-F8C04258825A}"/>
    <cellStyle name="Style 73 11 8 2" xfId="23944" xr:uid="{E048C5CD-FD00-42B9-8B48-BDF367C4964F}"/>
    <cellStyle name="Style 73 11 9 2" xfId="23945" xr:uid="{206861E2-661D-439A-9CD7-DABD22C290DD}"/>
    <cellStyle name="Style 73 12" xfId="1955" xr:uid="{7D1EF61B-985D-4832-B41E-830B05BB33ED}"/>
    <cellStyle name="Style 73 12 10" xfId="7732" xr:uid="{CAA22087-2EB1-4EA9-A0EA-F24F19EAD2FE}"/>
    <cellStyle name="Style 73 12 10 2" xfId="23946" xr:uid="{8269CB9B-EA95-4845-B0D4-CBC1EAEC19B5}"/>
    <cellStyle name="Style 73 12 11" xfId="7733" xr:uid="{1FE8731F-5AA5-4CB3-9136-6FD271E80CF7}"/>
    <cellStyle name="Style 73 12 11 2" xfId="23947" xr:uid="{260B31DD-E4BB-4DE9-9E53-2E2CC9006A48}"/>
    <cellStyle name="Style 73 12 12" xfId="19634" xr:uid="{213B5FD0-E170-44DC-B761-845E1FA2C837}"/>
    <cellStyle name="Style 73 12 2" xfId="4388" xr:uid="{4DA40005-6215-4657-A7C2-6317B931C9A0}"/>
    <cellStyle name="Style 73 12 2 2" xfId="7734" xr:uid="{0AF96349-272A-4F00-928E-343421C25CE5}"/>
    <cellStyle name="Style 73 12 2 2 2" xfId="23948" xr:uid="{A67EC490-ABC2-4690-8E28-4B50691E4AC1}"/>
    <cellStyle name="Style 73 12 2 3" xfId="7735" xr:uid="{CE85D7C1-86A0-4B08-B69B-3B47A429BE72}"/>
    <cellStyle name="Style 73 12 2 3 2" xfId="23949" xr:uid="{65348500-977C-4CE9-AED9-78DDD6240949}"/>
    <cellStyle name="Style 73 12 2 4" xfId="7736" xr:uid="{A413B607-A48A-4BAF-8DCB-BC6A24ADB076}"/>
    <cellStyle name="Style 73 12 2 4 2" xfId="23950" xr:uid="{83275BE5-E1D2-4D3E-9858-874A6E8CC17B}"/>
    <cellStyle name="Style 73 12 2 5" xfId="7737" xr:uid="{5375323D-23C6-4DA5-8393-CBE9B326AD91}"/>
    <cellStyle name="Style 73 12 2 5 2" xfId="23951" xr:uid="{80317171-91E0-4C6A-85ED-69A12C4E0151}"/>
    <cellStyle name="Style 73 12 2 6" xfId="7738" xr:uid="{45D7D95E-AA2A-4E25-9DA3-73872C03A475}"/>
    <cellStyle name="Style 73 12 2 6 2" xfId="23952" xr:uid="{35FAE8C7-9947-4708-AACC-A112EC801933}"/>
    <cellStyle name="Style 73 12 2 7" xfId="7739" xr:uid="{CE75DF19-FFAE-4DF3-8872-F15CFCAF6F5E}"/>
    <cellStyle name="Style 73 12 2 7 2" xfId="23953" xr:uid="{919B3AE5-E5E0-497D-90CC-67B9B78FB642}"/>
    <cellStyle name="Style 73 12 2 8" xfId="22074" xr:uid="{A25CAFAC-7A22-455B-B536-83078A954FD4}"/>
    <cellStyle name="Style 73 12 3" xfId="7740" xr:uid="{BCE32381-B63D-482A-8B9D-0CFF2393BE71}"/>
    <cellStyle name="Style 73 12 3 2" xfId="7741" xr:uid="{7D59A348-3430-4F06-8768-B616C08340F3}"/>
    <cellStyle name="Style 73 12 3 2 2" xfId="23955" xr:uid="{6DBB47C2-A5AE-43E9-A69C-58F9E6138DB1}"/>
    <cellStyle name="Style 73 12 3 3" xfId="7742" xr:uid="{DABAAD4B-F8FF-43EC-9720-1905D54385DA}"/>
    <cellStyle name="Style 73 12 3 3 2" xfId="23956" xr:uid="{F41474ED-CA3A-43DD-B49F-02B88B6ED233}"/>
    <cellStyle name="Style 73 12 3 4" xfId="7743" xr:uid="{BCEF2BD2-1D41-4F0C-9A8D-7B5EC468418B}"/>
    <cellStyle name="Style 73 12 3 4 2" xfId="23957" xr:uid="{5D0D7ED8-8FEE-4C32-8612-8C89EDE23FA2}"/>
    <cellStyle name="Style 73 12 3 5" xfId="7744" xr:uid="{CCAE0447-9652-4E5E-9BEC-E22435FC218B}"/>
    <cellStyle name="Style 73 12 3 5 2" xfId="23958" xr:uid="{530AE3DB-25B1-40E7-AFD7-6C473D6A1040}"/>
    <cellStyle name="Style 73 12 3 6" xfId="7745" xr:uid="{8C82E8F1-9E6A-4CF5-AF3C-B058CD04D5EF}"/>
    <cellStyle name="Style 73 12 3 6 2" xfId="23959" xr:uid="{F22662C5-6DEC-400F-9E9B-A3CB1E6A49D0}"/>
    <cellStyle name="Style 73 12 3 7" xfId="23954" xr:uid="{85AC2615-EDCE-4057-B903-C5508A139493}"/>
    <cellStyle name="Style 73 12 4" xfId="7746" xr:uid="{80595769-6B13-4DD3-82BF-E35E8AA3E637}"/>
    <cellStyle name="Style 73 12 4 2" xfId="7747" xr:uid="{77F0E509-ACAC-4150-A5F4-190560D00BBC}"/>
    <cellStyle name="Style 73 12 4 2 2" xfId="23961" xr:uid="{7646CDA6-FE6F-489F-9D1E-0260DC717484}"/>
    <cellStyle name="Style 73 12 4 3" xfId="7748" xr:uid="{E4E08FC2-0538-4656-A138-9412B780D658}"/>
    <cellStyle name="Style 73 12 4 3 2" xfId="23962" xr:uid="{E33A23FA-7CC0-48A1-A948-C8058BD1EEBB}"/>
    <cellStyle name="Style 73 12 4 4" xfId="7749" xr:uid="{2D1D6288-3E51-4043-A8CF-1D9511603B89}"/>
    <cellStyle name="Style 73 12 4 4 2" xfId="23963" xr:uid="{6BA56E73-EE99-4CFE-ACE4-730FB9B22011}"/>
    <cellStyle name="Style 73 12 4 5" xfId="7750" xr:uid="{AA3A84C2-5CA6-43DC-A152-58DDFA2D6860}"/>
    <cellStyle name="Style 73 12 4 5 2" xfId="23964" xr:uid="{61F442CE-016F-481B-8842-169DC447E89D}"/>
    <cellStyle name="Style 73 12 4 6" xfId="7751" xr:uid="{309F1EA3-C77C-4870-B8A3-5246A8D689F9}"/>
    <cellStyle name="Style 73 12 4 6 2" xfId="23965" xr:uid="{3C62EA50-61E4-4753-B2DD-DE40A14659D9}"/>
    <cellStyle name="Style 73 12 4 7" xfId="23960" xr:uid="{111F9FD5-6B2B-46DD-8601-8B89B445BB17}"/>
    <cellStyle name="Style 73 12 5" xfId="7752" xr:uid="{707E335D-81B6-4BC3-8106-10840339E2B8}"/>
    <cellStyle name="Style 73 12 5 2" xfId="23966" xr:uid="{9C9AD459-7323-49D1-8D01-D6034D1E34C8}"/>
    <cellStyle name="Style 73 12 6" xfId="7753" xr:uid="{912EC5E8-6D3C-49A8-9A87-FD6D1562F516}"/>
    <cellStyle name="Style 73 12 6 2" xfId="23967" xr:uid="{F26459EA-92B8-43D2-ACBF-635EE2FCAE68}"/>
    <cellStyle name="Style 73 12 7" xfId="7754" xr:uid="{9901D2FD-5BCC-407E-BA0E-86A2044BE500}"/>
    <cellStyle name="Style 73 12 7 2" xfId="23968" xr:uid="{93ACD0AB-34EC-44B8-9C10-27B88079F8D8}"/>
    <cellStyle name="Style 73 12 8" xfId="7755" xr:uid="{15D66C6E-D939-48F2-A5C1-226E5EA0F428}"/>
    <cellStyle name="Style 73 12 8 2" xfId="23969" xr:uid="{9DA1A345-E138-4011-9C32-3E95CB23F954}"/>
    <cellStyle name="Style 73 12 9" xfId="7756" xr:uid="{A257FC42-5C84-4D55-A6B8-DB9B9AF0B821}"/>
    <cellStyle name="Style 73 12 9 2" xfId="23970" xr:uid="{6C795DE0-1341-4206-9A63-6F6773E74F6A}"/>
    <cellStyle name="Style 73 13" xfId="7757" xr:uid="{AB0FE9CD-4E51-4F5C-9BA1-DAC72F182F15}"/>
    <cellStyle name="Style 73 13 2" xfId="7758" xr:uid="{D83D0999-CFE3-40E3-853C-F928F264F336}"/>
    <cellStyle name="Style 73 13 2 2" xfId="23971" xr:uid="{107678A6-4F7D-49DB-B182-3872727D7E5C}"/>
    <cellStyle name="Style 73 13 3" xfId="7759" xr:uid="{692DC41F-D54E-439B-8C33-2C4D3FEA8BA4}"/>
    <cellStyle name="Style 73 13 3 2" xfId="23972" xr:uid="{80239DDD-C4C9-4AA3-8484-6464C6428AB7}"/>
    <cellStyle name="Style 73 13 4" xfId="7760" xr:uid="{184072DC-F7C1-4DC9-9532-AFE9FF6BE251}"/>
    <cellStyle name="Style 73 13 4 2" xfId="23973" xr:uid="{0A99AC77-CA47-48B2-A9CD-2BF7EFA34EB4}"/>
    <cellStyle name="Style 73 13 5" xfId="7761" xr:uid="{F73C0A5D-AD8C-4A29-938E-60FB2FF15F8E}"/>
    <cellStyle name="Style 73 13 5 2" xfId="23974" xr:uid="{F7EC77FE-5A40-4CE5-9621-68E84F9593CC}"/>
    <cellStyle name="Style 73 13 6" xfId="7762" xr:uid="{1D208C4D-738C-401D-ABE2-05FF60DB13E2}"/>
    <cellStyle name="Style 73 13 6 2" xfId="23975" xr:uid="{9C5EC57E-6CF7-4B6D-8C67-B0901AD9D2CE}"/>
    <cellStyle name="Style 73 13 7" xfId="7763" xr:uid="{A15106FA-9827-42D2-B6C0-9E1BA93834BE}"/>
    <cellStyle name="Style 73 13 7 2" xfId="23976" xr:uid="{73A8E5E0-2B23-46CB-A765-D5ADA6A7E317}"/>
    <cellStyle name="Style 73 13 8" xfId="7764" xr:uid="{56A84B71-9F3C-4CD7-B39C-559D54DB18D0}"/>
    <cellStyle name="Style 73 13 8 2" xfId="23977" xr:uid="{4B1E7CBF-26E0-4C4A-9F60-25DAA0EACBBC}"/>
    <cellStyle name="Style 73 13 9" xfId="21294" xr:uid="{B1AF5956-8421-4B84-B733-48BF6BEB3049}"/>
    <cellStyle name="Style 73 14" xfId="7765" xr:uid="{0DD19041-5633-47F6-AAD5-FDB046741B58}"/>
    <cellStyle name="Style 73 14 2" xfId="7766" xr:uid="{CDB999BB-5851-4FC2-AC0B-63DD633568C8}"/>
    <cellStyle name="Style 73 14 2 2" xfId="23979" xr:uid="{6FDB1BC5-BB0F-440C-BE30-590942701D0C}"/>
    <cellStyle name="Style 73 14 3" xfId="7767" xr:uid="{61E29884-970E-4ACA-938B-D8EF29B93942}"/>
    <cellStyle name="Style 73 14 3 2" xfId="23980" xr:uid="{F56D9396-4276-4A72-AD05-5BC6723D393C}"/>
    <cellStyle name="Style 73 14 4" xfId="7768" xr:uid="{81207B5C-A996-4376-B2E2-526E0DFC77FB}"/>
    <cellStyle name="Style 73 14 4 2" xfId="23981" xr:uid="{24553763-EF58-49D7-B550-B842F4545531}"/>
    <cellStyle name="Style 73 14 5" xfId="7769" xr:uid="{722252BF-ACF5-4A4E-9C0A-DB4D9A86CCA8}"/>
    <cellStyle name="Style 73 14 5 2" xfId="23982" xr:uid="{DB900CD3-E462-4381-AAAE-07095D1EFC14}"/>
    <cellStyle name="Style 73 14 6" xfId="7770" xr:uid="{706EE49B-C185-4FC3-B0AD-A5212E37C0BE}"/>
    <cellStyle name="Style 73 14 6 2" xfId="23983" xr:uid="{6BACD492-36AA-4C40-AB77-17715505196C}"/>
    <cellStyle name="Style 73 14 7" xfId="7771" xr:uid="{3BE1E5AD-169F-4210-AB10-DE8CA4174318}"/>
    <cellStyle name="Style 73 14 7 2" xfId="23984" xr:uid="{B206506A-306A-4146-9974-ADCFC56E480F}"/>
    <cellStyle name="Style 73 14 8" xfId="23978" xr:uid="{CD8532F8-7847-43FE-971D-94E79C4CDF88}"/>
    <cellStyle name="Style 73 15" xfId="7772" xr:uid="{327CF2E8-51C8-4E98-A4E6-9E224696D079}"/>
    <cellStyle name="Style 73 15 2" xfId="7773" xr:uid="{B865198D-3B84-45F8-B59A-427308B46BF0}"/>
    <cellStyle name="Style 73 15 2 2" xfId="23986" xr:uid="{FEB33E34-77B4-49FC-8CDD-4E06994899C7}"/>
    <cellStyle name="Style 73 15 3" xfId="7774" xr:uid="{55C7C969-B7E9-4C8B-9E57-A0E221969920}"/>
    <cellStyle name="Style 73 15 3 2" xfId="23987" xr:uid="{54437E81-AD72-4702-8684-3A0923BA9DA9}"/>
    <cellStyle name="Style 73 15 4" xfId="7775" xr:uid="{7277A446-48DE-47C2-ABF8-6FAF645444AA}"/>
    <cellStyle name="Style 73 15 4 2" xfId="23988" xr:uid="{15BFC524-3BF3-4B00-A9D3-53CFCF76A67C}"/>
    <cellStyle name="Style 73 15 5" xfId="7776" xr:uid="{45BE207A-0DDB-4C0E-A805-BC891CB42906}"/>
    <cellStyle name="Style 73 15 5 2" xfId="23989" xr:uid="{37EB21C5-C853-4ECF-948D-B9EAA6775DD9}"/>
    <cellStyle name="Style 73 15 6" xfId="7777" xr:uid="{B02DB651-C85F-4BAC-BC71-ED5638375505}"/>
    <cellStyle name="Style 73 15 6 2" xfId="23990" xr:uid="{14078B4D-9125-434D-A9CF-3AD0C9824547}"/>
    <cellStyle name="Style 73 15 7" xfId="23985" xr:uid="{4180C899-5D95-468F-A28C-6A2639091A31}"/>
    <cellStyle name="Style 73 16" xfId="7778" xr:uid="{52F5450E-7D3B-4D6B-BF56-23C75BC25E26}"/>
    <cellStyle name="Style 73 16 2" xfId="23991" xr:uid="{FC7A143C-ACD3-4C81-940A-7A62B854224A}"/>
    <cellStyle name="Style 73 17" xfId="7779" xr:uid="{AC3CE815-F960-455A-AA83-10CB7BE5BD23}"/>
    <cellStyle name="Style 73 17 2" xfId="23992" xr:uid="{68FE6F0E-6911-463D-A9BF-6B24B2B0FFED}"/>
    <cellStyle name="Style 73 18" xfId="7780" xr:uid="{60AB758B-E10F-49C9-B1D2-8E328E41E5E6}"/>
    <cellStyle name="Style 73 18 2" xfId="23993" xr:uid="{7BB1ABE6-1C40-4340-B065-1ACB4601A944}"/>
    <cellStyle name="Style 73 19" xfId="7781" xr:uid="{5E1EDBB0-FA55-4B86-9C4A-78C348F88B71}"/>
    <cellStyle name="Style 73 19 2" xfId="23994" xr:uid="{98B3D732-24CC-4053-9ED8-D8D0418D6396}"/>
    <cellStyle name="Style 73 2" xfId="1956" xr:uid="{F0DDE7A2-A974-419B-9C6E-DC808819899E}"/>
    <cellStyle name="Style 73 2 10" xfId="18955" xr:uid="{A86DC6F6-A005-49D0-85AF-814770A9029E}"/>
    <cellStyle name="Style 73 2 2" xfId="2952" xr:uid="{94EA84C1-3561-4286-8D71-FFA5E1032E09}"/>
    <cellStyle name="Style 73 2 2 2" xfId="7782" xr:uid="{6C9418B3-BB1C-4275-996B-754D2D8DC180}"/>
    <cellStyle name="Style 73 2 2 2 2" xfId="23995" xr:uid="{8873D1FE-98BB-447C-BC73-0A73F094E42A}"/>
    <cellStyle name="Style 73 2 2 3" xfId="21295" xr:uid="{25EF6D92-C67D-4E6D-BD75-6D4B0872C5AA}"/>
    <cellStyle name="Style 73 2 3" xfId="7783" xr:uid="{23EC6DE6-C773-4209-AB34-53688D63EA2E}"/>
    <cellStyle name="Style 73 2 3 2" xfId="23996" xr:uid="{5A110974-D339-4C4C-A962-634903F8297F}"/>
    <cellStyle name="Style 73 2 4" xfId="7784" xr:uid="{367449B3-0193-482A-AA4F-59E47B368AA2}"/>
    <cellStyle name="Style 73 2 4 2" xfId="23997" xr:uid="{216D60CD-9E0C-4B61-85CA-E7D27E93C2F6}"/>
    <cellStyle name="Style 73 2 5" xfId="7785" xr:uid="{C94A51EB-7165-4E77-8253-55832E1F9AD5}"/>
    <cellStyle name="Style 73 2 5 2" xfId="23998" xr:uid="{2E485A29-788A-435F-B3F9-B90001D42DE4}"/>
    <cellStyle name="Style 73 2 6" xfId="7786" xr:uid="{4A9B0E83-948E-4B05-AA65-D64C0ECBEF3B}"/>
    <cellStyle name="Style 73 2 6 2" xfId="23999" xr:uid="{17EECAC4-7DC9-453D-B49D-1CEA77640FF0}"/>
    <cellStyle name="Style 73 2 7" xfId="7787" xr:uid="{5B707920-267E-41CD-B4A0-199474D329D5}"/>
    <cellStyle name="Style 73 2 7 2" xfId="24000" xr:uid="{70C8314F-D6DB-4998-BF39-8870A4104C50}"/>
    <cellStyle name="Style 73 2 8" xfId="7788" xr:uid="{DE08BF73-A89B-4761-8DFF-13AD5FB04667}"/>
    <cellStyle name="Style 73 2 8 2" xfId="24001" xr:uid="{EA2C7FBD-2A2A-40CD-92D2-0A50F7029102}"/>
    <cellStyle name="Style 73 2 9" xfId="7789" xr:uid="{74842F7F-63E2-41C6-BE6B-FCC48446733C}"/>
    <cellStyle name="Style 73 2 9 2" xfId="24002" xr:uid="{549230F3-12BE-4971-B3D0-629C4863A4E0}"/>
    <cellStyle name="Style 73 20" xfId="7790" xr:uid="{6FF195EF-2541-4073-B195-9C514F6786E1}"/>
    <cellStyle name="Style 73 20 2" xfId="24003" xr:uid="{43757F9C-711E-43C9-9379-35E5B9C067EF}"/>
    <cellStyle name="Style 73 21" xfId="7791" xr:uid="{497B99F9-2AFB-4FB8-A0FA-BF624E402F89}"/>
    <cellStyle name="Style 73 21 2" xfId="24004" xr:uid="{9CF6F5AB-C4BC-482A-8F70-DAB3C91B6850}"/>
    <cellStyle name="Style 73 22" xfId="7792" xr:uid="{DB1BECDB-7D01-4117-9742-9429E7C8B078}"/>
    <cellStyle name="Style 73 22 2" xfId="24005" xr:uid="{9C834725-F613-4FDD-8913-BDB787F6CB8E}"/>
    <cellStyle name="Style 73 23" xfId="18952" xr:uid="{021FA913-6AF9-432D-BA5B-F4DCCC75DACB}"/>
    <cellStyle name="Style 73 3" xfId="1957" xr:uid="{4A3FF299-87C9-4485-9078-3D948BA66BBF}"/>
    <cellStyle name="Style 73 3 10" xfId="7793" xr:uid="{CB55F730-43DF-4F00-AC7F-C5F5D14CCCDB}"/>
    <cellStyle name="Style 73 3 10 2" xfId="24006" xr:uid="{6B304EE7-4980-4C51-B1A3-21F1F9FB542F}"/>
    <cellStyle name="Style 73 3 11" xfId="7794" xr:uid="{C4D95702-33D8-490C-A106-137B09C3BC62}"/>
    <cellStyle name="Style 73 3 11 2" xfId="24007" xr:uid="{A6C86846-2AED-4039-BD82-2842F249DF2D}"/>
    <cellStyle name="Style 73 3 12" xfId="7795" xr:uid="{13F11ADB-6E19-4823-850E-471757E96A7A}"/>
    <cellStyle name="Style 73 3 12 2" xfId="24008" xr:uid="{49AF222D-FEE2-4733-9390-B907C1D89B85}"/>
    <cellStyle name="Style 73 3 13" xfId="7796" xr:uid="{4C5B003B-D4BF-4617-A91A-BB86A9309F62}"/>
    <cellStyle name="Style 73 3 13 2" xfId="24009" xr:uid="{CA2CD156-15D1-4B20-B555-5CFC0A9621B8}"/>
    <cellStyle name="Style 73 3 14" xfId="18956" xr:uid="{ACABED6B-D480-48BF-9F40-419351FAC4F7}"/>
    <cellStyle name="Style 73 3 2" xfId="1958" xr:uid="{0019999C-662F-4EC9-B883-53DB9B70B5C8}"/>
    <cellStyle name="Style 73 3 2 10" xfId="7797" xr:uid="{BD230942-31DD-4F49-A598-1B55DB604041}"/>
    <cellStyle name="Style 73 3 2 10 2" xfId="24010" xr:uid="{0315A4C5-98ED-45C1-A384-9FAEC2324FA2}"/>
    <cellStyle name="Style 73 3 2 11" xfId="18957" xr:uid="{380AA7E8-DF9A-42CD-9FB7-C28F45F996DD}"/>
    <cellStyle name="Style 73 3 2 2" xfId="1959" xr:uid="{19ABA003-4697-441D-B52E-D13DC59BDCBB}"/>
    <cellStyle name="Style 73 3 2 2 10" xfId="18958" xr:uid="{7AAAE7C5-2244-4A55-80C8-A4395AB5FF11}"/>
    <cellStyle name="Style 73 3 2 2 2" xfId="4389" xr:uid="{BD16E4A7-A332-4062-89C0-488368FBA0C2}"/>
    <cellStyle name="Style 73 3 2 2 2 2" xfId="7798" xr:uid="{A2508D2F-C60D-4D6F-95B4-4E39953E0196}"/>
    <cellStyle name="Style 73 3 2 2 2 2 2" xfId="24011" xr:uid="{91BBACC6-D546-4275-BE0B-38200765A7E2}"/>
    <cellStyle name="Style 73 3 2 2 2 3" xfId="22075" xr:uid="{24A02D61-6899-410B-96DB-E4D10A4E3ECA}"/>
    <cellStyle name="Style 73 3 2 2 3" xfId="7799" xr:uid="{D724A31F-117C-4F90-957C-D1008D42421B}"/>
    <cellStyle name="Style 73 3 2 2 3 2" xfId="24012" xr:uid="{63116D7E-2DBD-4FDE-BEC8-C11570B1A4A8}"/>
    <cellStyle name="Style 73 3 2 2 4" xfId="7800" xr:uid="{5990E61F-6312-475B-AD41-3D6B5748F029}"/>
    <cellStyle name="Style 73 3 2 2 4 2" xfId="24013" xr:uid="{32CE6B8B-F5D4-443E-8251-2D1480F6D7E3}"/>
    <cellStyle name="Style 73 3 2 2 5" xfId="7801" xr:uid="{970B7C8B-4AFD-495E-BBC2-2BFD9213B3C6}"/>
    <cellStyle name="Style 73 3 2 2 5 2" xfId="24014" xr:uid="{2CB757D6-6560-4D31-A6AC-8C05759AF207}"/>
    <cellStyle name="Style 73 3 2 2 6" xfId="7802" xr:uid="{EBDD4456-3D52-4293-8867-6636C126F684}"/>
    <cellStyle name="Style 73 3 2 2 6 2" xfId="24015" xr:uid="{FB1CDF84-8F51-4B75-9523-DCEF73762069}"/>
    <cellStyle name="Style 73 3 2 2 7" xfId="7803" xr:uid="{3DC7DF59-8896-4855-BDD1-630CA798E3B1}"/>
    <cellStyle name="Style 73 3 2 2 7 2" xfId="24016" xr:uid="{4A8BE60C-4DB8-404A-B856-E0A179663297}"/>
    <cellStyle name="Style 73 3 2 2 8" xfId="7804" xr:uid="{5B798581-47A6-40C9-9684-324B1214E215}"/>
    <cellStyle name="Style 73 3 2 2 8 2" xfId="24017" xr:uid="{86CC2D28-C38D-4781-B5FC-CFB1222B44CE}"/>
    <cellStyle name="Style 73 3 2 2 9" xfId="7805" xr:uid="{D86B425F-7824-468D-9EBF-E095C3F3FAE5}"/>
    <cellStyle name="Style 73 3 2 2 9 2" xfId="24018" xr:uid="{CDE57FB0-580E-4558-B065-C69BCB09BCB4}"/>
    <cellStyle name="Style 73 3 2 3" xfId="2954" xr:uid="{FFC648BC-F50D-4F92-BC4E-7BFBED76D0DE}"/>
    <cellStyle name="Style 73 3 2 3 2" xfId="7806" xr:uid="{BEE1CE05-3FB9-46BF-A231-EC40FBE8D1FB}"/>
    <cellStyle name="Style 73 3 2 3 2 2" xfId="24019" xr:uid="{B2E9BACE-31A8-4053-8609-9D534C51259F}"/>
    <cellStyle name="Style 73 3 2 3 3" xfId="21297" xr:uid="{9068A638-DA1E-4E6C-BA52-946FD53CAA54}"/>
    <cellStyle name="Style 73 3 2 4" xfId="7807" xr:uid="{6B0BE044-C39A-4076-8BEB-94D03BB6FE91}"/>
    <cellStyle name="Style 73 3 2 4 2" xfId="24020" xr:uid="{5CEC9328-24A7-4204-AD30-59545EE26243}"/>
    <cellStyle name="Style 73 3 2 5" xfId="7808" xr:uid="{01142D37-2B30-4559-B5AD-3B3219DA431F}"/>
    <cellStyle name="Style 73 3 2 5 2" xfId="24021" xr:uid="{93F71E95-3067-46B3-A381-039B50868A20}"/>
    <cellStyle name="Style 73 3 2 6" xfId="7809" xr:uid="{355A5452-1F63-4EFE-8FAA-5602E5AAB1B8}"/>
    <cellStyle name="Style 73 3 2 6 2" xfId="24022" xr:uid="{E1F9CB67-5DFC-47A5-A9A6-29CD1B0C1308}"/>
    <cellStyle name="Style 73 3 2 7" xfId="7810" xr:uid="{A88A7E23-49B0-418E-82B5-E14209F89E05}"/>
    <cellStyle name="Style 73 3 2 7 2" xfId="24023" xr:uid="{FD89A3CD-3676-4F54-A93F-1AD4AF830847}"/>
    <cellStyle name="Style 73 3 2 8" xfId="7811" xr:uid="{C765EAF3-B79B-4815-88B4-C9E020AE91F0}"/>
    <cellStyle name="Style 73 3 2 8 2" xfId="24024" xr:uid="{0B569C07-B0E2-4E65-BE27-3F1668DC36B8}"/>
    <cellStyle name="Style 73 3 2 9" xfId="7812" xr:uid="{99FCB04B-56E3-4784-9813-8FD011028CF4}"/>
    <cellStyle name="Style 73 3 2 9 2" xfId="24025" xr:uid="{1DFC8AA7-C282-4EEC-9D78-D0C06083D8F2}"/>
    <cellStyle name="Style 73 3 3" xfId="1960" xr:uid="{2F7524A2-CFCF-4526-A9E5-1DB5339D21EC}"/>
    <cellStyle name="Style 73 3 3 10" xfId="7813" xr:uid="{E0729550-C89E-4C85-82ED-EFC1F1F31870}"/>
    <cellStyle name="Style 73 3 3 10 2" xfId="24026" xr:uid="{3B5AEF04-0BDC-4EF8-A693-CD1F73A674B1}"/>
    <cellStyle name="Style 73 3 3 11" xfId="7814" xr:uid="{389712F9-3C95-442F-ADDC-3701694CACDD}"/>
    <cellStyle name="Style 73 3 3 11 2" xfId="24027" xr:uid="{15CA3CEF-E84F-4D76-860B-130D64AAAB51}"/>
    <cellStyle name="Style 73 3 3 12" xfId="7815" xr:uid="{EEE24748-B172-47BE-BD17-6C992ADFC381}"/>
    <cellStyle name="Style 73 3 3 12 2" xfId="24028" xr:uid="{63A11A4B-FCDE-409E-A37F-960208E28966}"/>
    <cellStyle name="Style 73 3 3 13" xfId="7816" xr:uid="{10F3A6F7-3568-4939-BFD2-972C8B814658}"/>
    <cellStyle name="Style 73 3 3 13 2" xfId="24029" xr:uid="{C0CAFDEB-F940-42B1-B137-EB168C883447}"/>
    <cellStyle name="Style 73 3 3 14" xfId="7817" xr:uid="{1C4664D2-D1FF-4504-8926-22F05ACAFBD6}"/>
    <cellStyle name="Style 73 3 3 14 2" xfId="24030" xr:uid="{58A480FA-C4CF-4C30-B21E-607AE4D7403B}"/>
    <cellStyle name="Style 73 3 3 15" xfId="18959" xr:uid="{051D3A19-2FEA-42D1-A9B5-20E95CB058AC}"/>
    <cellStyle name="Style 73 3 3 2" xfId="1961" xr:uid="{898F2E18-0C08-404C-B354-DC190FFAEBB6}"/>
    <cellStyle name="Style 73 3 3 2 10" xfId="7818" xr:uid="{F7FBFEA4-6D2E-4C19-BC74-9F7416FD3303}"/>
    <cellStyle name="Style 73 3 3 2 10 2" xfId="24031" xr:uid="{5E1BBB84-853A-48BC-9589-C2889063CA8F}"/>
    <cellStyle name="Style 73 3 3 2 11" xfId="18960" xr:uid="{00751043-9DEB-4B33-A289-48C12EC916A8}"/>
    <cellStyle name="Style 73 3 3 2 2" xfId="4391" xr:uid="{5E20CB8B-4F65-4658-B3B5-8CBFE33D6B97}"/>
    <cellStyle name="Style 73 3 3 2 2 2" xfId="7819" xr:uid="{7E269B13-4C5B-4F2B-B095-F5CBF7C3431A}"/>
    <cellStyle name="Style 73 3 3 2 2 2 2" xfId="24032" xr:uid="{D48AD0A3-5CF6-40FE-91B0-4757E3C69B89}"/>
    <cellStyle name="Style 73 3 3 2 2 3" xfId="22077" xr:uid="{DB82ED00-D433-4E6A-B72D-9EAB3CA14AD8}"/>
    <cellStyle name="Style 73 3 3 2 3" xfId="7820" xr:uid="{98344B5D-667F-4CFB-B372-3A5843E9F5FD}"/>
    <cellStyle name="Style 73 3 3 2 3 2" xfId="24033" xr:uid="{D9215D5D-8841-4346-8EC8-03BB6A13F0EC}"/>
    <cellStyle name="Style 73 3 3 2 4" xfId="7821" xr:uid="{BA20FF49-95D2-46BA-89F8-0F7643508CA7}"/>
    <cellStyle name="Style 73 3 3 2 4 2" xfId="24034" xr:uid="{5BA8543D-20C2-4808-8402-356F7F3A46BB}"/>
    <cellStyle name="Style 73 3 3 2 5" xfId="7822" xr:uid="{C0FF36DD-D7BE-4A8C-9B59-5205F89D8738}"/>
    <cellStyle name="Style 73 3 3 2 5 2" xfId="24035" xr:uid="{C96A411C-F223-4506-9356-76A498E1582C}"/>
    <cellStyle name="Style 73 3 3 2 6" xfId="7823" xr:uid="{4FF4B170-2251-45FB-8C62-8F33D9EACD97}"/>
    <cellStyle name="Style 73 3 3 2 6 2" xfId="24036" xr:uid="{23EC2926-3B31-4C6F-9CB8-360371C7E29D}"/>
    <cellStyle name="Style 73 3 3 2 7" xfId="7824" xr:uid="{B10D46FF-E716-4D5D-B6F8-6C815D87DA4B}"/>
    <cellStyle name="Style 73 3 3 2 7 2" xfId="24037" xr:uid="{AFE789CA-2C05-411F-B5E6-12DE9BE191EA}"/>
    <cellStyle name="Style 73 3 3 2 8" xfId="7825" xr:uid="{DF17F642-8A5D-4D69-A382-98CFCBE3E1E6}"/>
    <cellStyle name="Style 73 3 3 2 8 2" xfId="24038" xr:uid="{853B76C9-2510-4657-8654-0B3CE954A508}"/>
    <cellStyle name="Style 73 3 3 2 9" xfId="7826" xr:uid="{5C4E283D-85A9-4A45-AC4F-BE108F189366}"/>
    <cellStyle name="Style 73 3 3 2 9 2" xfId="24039" xr:uid="{53C8D577-E3FA-4DB8-AF3B-FA64506EA3FE}"/>
    <cellStyle name="Style 73 3 3 3" xfId="1962" xr:uid="{54CE753B-6AEB-40CB-998E-188A5D4BB8B0}"/>
    <cellStyle name="Style 73 3 3 3 10" xfId="7827" xr:uid="{714CD6FB-D147-4B19-8D95-EC9FD8A17F4E}"/>
    <cellStyle name="Style 73 3 3 3 10 2" xfId="24040" xr:uid="{98C6B6DE-2B04-4B88-A425-DECD74C9B92A}"/>
    <cellStyle name="Style 73 3 3 3 11" xfId="7828" xr:uid="{A8CBCC11-1D2C-4C95-B138-E553AA940F0B}"/>
    <cellStyle name="Style 73 3 3 3 11 2" xfId="24041" xr:uid="{DA5F159A-DA41-48CE-AB3C-A5DB3F3CCAA5}"/>
    <cellStyle name="Style 73 3 3 3 12" xfId="7829" xr:uid="{CB4A6858-90DF-4C22-945A-40FE70CE81CB}"/>
    <cellStyle name="Style 73 3 3 3 12 2" xfId="24042" xr:uid="{EB227AE8-3A38-448A-AB9E-C8DD7DCC0693}"/>
    <cellStyle name="Style 73 3 3 3 13" xfId="18961" xr:uid="{71E5BC5B-5C84-4D99-8FB8-DAD769E18317}"/>
    <cellStyle name="Style 73 3 3 3 2" xfId="1963" xr:uid="{57462976-A785-47E9-83A0-4BC3B42FD86A}"/>
    <cellStyle name="Style 73 3 3 3 2 10" xfId="7830" xr:uid="{AF722005-2B96-40F5-A9A6-05680FFFE408}"/>
    <cellStyle name="Style 73 3 3 3 2 10 2" xfId="24043" xr:uid="{5F9B7F72-2A44-4AAD-A9A4-E12E9E9E2DF2}"/>
    <cellStyle name="Style 73 3 3 3 2 11" xfId="18962" xr:uid="{7F1EE67F-5325-4C61-87E2-7BBBF8100A18}"/>
    <cellStyle name="Style 73 3 3 3 2 2" xfId="4393" xr:uid="{76E7AB98-FA29-4877-8E6C-558AEBF5C1F9}"/>
    <cellStyle name="Style 73 3 3 3 2 2 2" xfId="7831" xr:uid="{416DEDAA-B34E-4013-9B7F-F5492F22D7E6}"/>
    <cellStyle name="Style 73 3 3 3 2 2 2 2" xfId="24044" xr:uid="{32F41A84-A9C0-4781-9F80-FC9D8FB2ACC7}"/>
    <cellStyle name="Style 73 3 3 3 2 2 3" xfId="22079" xr:uid="{AB9ABD98-6693-4357-A777-1D5FF8F10F38}"/>
    <cellStyle name="Style 73 3 3 3 2 3" xfId="7832" xr:uid="{8D6A040D-0D39-4B38-959F-E9FD250B425E}"/>
    <cellStyle name="Style 73 3 3 3 2 3 2" xfId="24045" xr:uid="{1634D4A3-F727-4BA0-9512-9C0A648FA3FE}"/>
    <cellStyle name="Style 73 3 3 3 2 4" xfId="7833" xr:uid="{F17408FE-E77B-40CE-B845-C17FD3508994}"/>
    <cellStyle name="Style 73 3 3 3 2 4 2" xfId="24046" xr:uid="{2E1EAFFB-291B-4864-800B-56C40AFD2DDC}"/>
    <cellStyle name="Style 73 3 3 3 2 5" xfId="7834" xr:uid="{0E0D138C-0C9A-48E7-997A-C161183AD5B3}"/>
    <cellStyle name="Style 73 3 3 3 2 5 2" xfId="24047" xr:uid="{9B54E467-CA5B-45DE-8FE5-ACE4D7D837BF}"/>
    <cellStyle name="Style 73 3 3 3 2 6" xfId="7835" xr:uid="{B02E8CB6-EB2E-427B-892C-6E8376F531F5}"/>
    <cellStyle name="Style 73 3 3 3 2 6 2" xfId="24048" xr:uid="{80950F6F-D49F-468E-AF7D-C10D3EE85FF0}"/>
    <cellStyle name="Style 73 3 3 3 2 7" xfId="7836" xr:uid="{C36D2D21-39E2-4BF3-A59F-8C4DBFCD1FE5}"/>
    <cellStyle name="Style 73 3 3 3 2 7 2" xfId="24049" xr:uid="{443D0583-B3E1-4AF0-AAA2-BF0EDD1693DC}"/>
    <cellStyle name="Style 73 3 3 3 2 8" xfId="7837" xr:uid="{A17BFF99-43F8-4A47-B198-7C656869B7C7}"/>
    <cellStyle name="Style 73 3 3 3 2 8 2" xfId="24050" xr:uid="{A04EFC78-2179-4D71-A4B0-86F209C02F78}"/>
    <cellStyle name="Style 73 3 3 3 2 9" xfId="7838" xr:uid="{8D779FCE-210A-441C-B846-BFA034322211}"/>
    <cellStyle name="Style 73 3 3 3 2 9 2" xfId="24051" xr:uid="{DB0B1D16-526C-4D3C-8516-505DBC8DCAA0}"/>
    <cellStyle name="Style 73 3 3 3 3" xfId="4394" xr:uid="{37442CB3-D152-4CEE-96E9-AE464E937C43}"/>
    <cellStyle name="Style 73 3 3 3 3 2" xfId="7839" xr:uid="{4185A8D6-39BD-4C26-B0A5-5AB40DF5EDB6}"/>
    <cellStyle name="Style 73 3 3 3 3 2 2" xfId="24052" xr:uid="{386D2BA9-0E00-41FC-9437-252D6CB088F2}"/>
    <cellStyle name="Style 73 3 3 3 3 3" xfId="7840" xr:uid="{CD94573D-A963-4B20-A76C-8E70EF0906CA}"/>
    <cellStyle name="Style 73 3 3 3 3 3 2" xfId="24053" xr:uid="{03613AB0-1C8D-43B5-9D0E-9397A67F1831}"/>
    <cellStyle name="Style 73 3 3 3 3 4" xfId="7841" xr:uid="{04DB5BC8-E329-4326-BFB2-38BB129138ED}"/>
    <cellStyle name="Style 73 3 3 3 3 4 2" xfId="24054" xr:uid="{CA49CE5B-DF6F-4B5C-8DB4-3EE123F5C0ED}"/>
    <cellStyle name="Style 73 3 3 3 3 5" xfId="18963" xr:uid="{F9776B70-742B-4AEF-BBD8-BCEE248979CF}"/>
    <cellStyle name="Style 73 3 3 3 4" xfId="4395" xr:uid="{4FF0E95E-5EA3-4F3E-A1C2-8245691F010E}"/>
    <cellStyle name="Style 73 3 3 3 4 2" xfId="7842" xr:uid="{3CB095E9-7C3D-4CC5-A6F9-B0E9836DBF81}"/>
    <cellStyle name="Style 73 3 3 3 4 2 2" xfId="24055" xr:uid="{A6821883-5868-4C01-97B6-1EAC60EDAAFD}"/>
    <cellStyle name="Style 73 3 3 3 4 3" xfId="19635" xr:uid="{1651D0AC-7B5F-4C75-B711-E8949CCC87BC}"/>
    <cellStyle name="Style 73 3 3 3 5" xfId="4392" xr:uid="{4A940713-520B-4AA4-8558-95B8F82A3928}"/>
    <cellStyle name="Style 73 3 3 3 5 2" xfId="7843" xr:uid="{224374DA-034B-463C-8B72-02F5E4122A4C}"/>
    <cellStyle name="Style 73 3 3 3 5 2 2" xfId="24056" xr:uid="{EC685FAE-900B-4054-99BD-85D445BE31BE}"/>
    <cellStyle name="Style 73 3 3 3 5 3" xfId="22078" xr:uid="{DD939287-2E44-4420-98CF-FF74127439E5}"/>
    <cellStyle name="Style 73 3 3 3 6" xfId="7844" xr:uid="{71530D00-770C-43A2-8BF1-FAB93F20F934}"/>
    <cellStyle name="Style 73 3 3 3 6 2" xfId="24057" xr:uid="{37C772AF-3A36-4F39-B105-B6B65ECC8363}"/>
    <cellStyle name="Style 73 3 3 3 7" xfId="7845" xr:uid="{2003A221-E26B-4B19-BF37-B9F31EF4C469}"/>
    <cellStyle name="Style 73 3 3 3 7 2" xfId="24058" xr:uid="{1B3CE71C-9F30-468F-9291-21819BB456C2}"/>
    <cellStyle name="Style 73 3 3 3 8" xfId="7846" xr:uid="{3D9EA882-C686-4AB7-A4FD-802C5CC6F435}"/>
    <cellStyle name="Style 73 3 3 3 8 2" xfId="24059" xr:uid="{7060F238-4157-486D-8782-11B772F6A32B}"/>
    <cellStyle name="Style 73 3 3 3 9" xfId="7847" xr:uid="{8CE8A0F2-ABE9-419C-8888-55A55BD08C98}"/>
    <cellStyle name="Style 73 3 3 3 9 2" xfId="24060" xr:uid="{882FA6A3-35D4-4F40-9927-3A58746B1F24}"/>
    <cellStyle name="Style 73 3 3 4" xfId="1964" xr:uid="{F3154FE0-7C6C-486D-AB60-E3C0B4DC4F64}"/>
    <cellStyle name="Style 73 3 3 4 10" xfId="7848" xr:uid="{5705DCFD-7FB9-48E6-8F4B-9F3E65977FCF}"/>
    <cellStyle name="Style 73 3 3 4 10 2" xfId="24061" xr:uid="{D2C5AF23-3D16-4D81-AA1E-EF657686B3CD}"/>
    <cellStyle name="Style 73 3 3 4 11" xfId="7849" xr:uid="{4652BDC1-7D84-4CDF-A89B-A7BCCA8576E2}"/>
    <cellStyle name="Style 73 3 3 4 11 2" xfId="24062" xr:uid="{0B4C630F-2D66-4835-A86D-4E71C15ED1FA}"/>
    <cellStyle name="Style 73 3 3 4 12" xfId="18964" xr:uid="{7EA864EC-7EA6-4887-8555-942F8190C4B6}"/>
    <cellStyle name="Style 73 3 3 4 2" xfId="1965" xr:uid="{5B7A3C22-816A-407D-9880-6C7180402F15}"/>
    <cellStyle name="Style 73 3 3 4 2 10" xfId="7850" xr:uid="{D0984307-9C55-40B0-B674-9C4930003C59}"/>
    <cellStyle name="Style 73 3 3 4 2 10 2" xfId="24063" xr:uid="{B42FB16A-B1D2-4006-B0E7-84549AC3AB30}"/>
    <cellStyle name="Style 73 3 3 4 2 11" xfId="18965" xr:uid="{79CFFF5D-94CA-4D2D-B627-2A9245F02DFB}"/>
    <cellStyle name="Style 73 3 3 4 2 2" xfId="4397" xr:uid="{12B2B3F1-1E2F-4C55-A061-922241D99651}"/>
    <cellStyle name="Style 73 3 3 4 2 2 2" xfId="7851" xr:uid="{87C54498-4EBC-4370-9334-8642E36BB0AC}"/>
    <cellStyle name="Style 73 3 3 4 2 2 2 2" xfId="24064" xr:uid="{4FCEA2A8-F76A-4DAC-9A99-AB4FB5087715}"/>
    <cellStyle name="Style 73 3 3 4 2 2 3" xfId="22081" xr:uid="{320CED91-4A8D-4C95-8F93-70CE35523336}"/>
    <cellStyle name="Style 73 3 3 4 2 3" xfId="7852" xr:uid="{4B0C1B6F-ADA7-4348-9E06-D7997986F513}"/>
    <cellStyle name="Style 73 3 3 4 2 3 2" xfId="24065" xr:uid="{296D3932-7BDC-434D-AFA1-F408D6E4ABA8}"/>
    <cellStyle name="Style 73 3 3 4 2 4" xfId="7853" xr:uid="{F570095B-3CF1-449E-BEFA-E2C73850A4C8}"/>
    <cellStyle name="Style 73 3 3 4 2 4 2" xfId="24066" xr:uid="{FC715BEB-2FB6-47D4-B320-5612547459CB}"/>
    <cellStyle name="Style 73 3 3 4 2 5" xfId="7854" xr:uid="{543D5269-5A1E-4A48-AD23-45D22B2F70A4}"/>
    <cellStyle name="Style 73 3 3 4 2 5 2" xfId="24067" xr:uid="{3B4D0A63-FCA9-42A8-B515-FE57FECF3413}"/>
    <cellStyle name="Style 73 3 3 4 2 6" xfId="7855" xr:uid="{E603EABF-550B-4038-9D45-764115421D31}"/>
    <cellStyle name="Style 73 3 3 4 2 6 2" xfId="24068" xr:uid="{B6F3EC57-0F42-4E50-8709-D935B1EA42D7}"/>
    <cellStyle name="Style 73 3 3 4 2 7" xfId="7856" xr:uid="{76B62E41-CCD4-4F04-957B-343B389252A0}"/>
    <cellStyle name="Style 73 3 3 4 2 7 2" xfId="24069" xr:uid="{D47E21D7-E954-4875-B0A8-0F702EC2EDCB}"/>
    <cellStyle name="Style 73 3 3 4 2 8" xfId="7857" xr:uid="{304F7B32-C83A-4D6A-BB2A-28CE0791FB22}"/>
    <cellStyle name="Style 73 3 3 4 2 8 2" xfId="24070" xr:uid="{EBE64BAE-5F81-4077-A23A-928B0154C30A}"/>
    <cellStyle name="Style 73 3 3 4 2 9" xfId="7858" xr:uid="{5AB7FA95-C4E9-464D-BFBF-8430F12162B8}"/>
    <cellStyle name="Style 73 3 3 4 2 9 2" xfId="24071" xr:uid="{4E8D08B9-2887-43F7-8A13-0D625A9CF6BC}"/>
    <cellStyle name="Style 73 3 3 4 3" xfId="4396" xr:uid="{F447AB0E-B68A-4653-ABEE-4F97EE8BB974}"/>
    <cellStyle name="Style 73 3 3 4 3 2" xfId="7859" xr:uid="{308462F9-A8BC-43EC-8BE2-01E3B577C7EA}"/>
    <cellStyle name="Style 73 3 3 4 3 2 2" xfId="24072" xr:uid="{529B15F7-BCF0-4896-91EC-922F720D822D}"/>
    <cellStyle name="Style 73 3 3 4 3 3" xfId="22080" xr:uid="{EE3E2017-EB1B-46CB-89E5-9E126289FC7E}"/>
    <cellStyle name="Style 73 3 3 4 4" xfId="7860" xr:uid="{8B4F5943-A416-4DAB-84D7-29AE64AA36C5}"/>
    <cellStyle name="Style 73 3 3 4 4 2" xfId="24073" xr:uid="{25273E0F-D8C5-4407-B981-204AD98A4498}"/>
    <cellStyle name="Style 73 3 3 4 5" xfId="7861" xr:uid="{05F3A651-F497-44EF-B566-AA0AA2F096B2}"/>
    <cellStyle name="Style 73 3 3 4 5 2" xfId="24074" xr:uid="{C153C784-4E99-4AFC-8779-6A27D35DA356}"/>
    <cellStyle name="Style 73 3 3 4 6" xfId="7862" xr:uid="{E63EAEB6-2A32-4AEC-8C0A-A46686B9FA8A}"/>
    <cellStyle name="Style 73 3 3 4 6 2" xfId="24075" xr:uid="{687E8E82-38EB-4D7D-8A45-6CCA82C241DF}"/>
    <cellStyle name="Style 73 3 3 4 7" xfId="7863" xr:uid="{6641D6E4-5848-4A3C-A29D-3E23C9C57242}"/>
    <cellStyle name="Style 73 3 3 4 7 2" xfId="24076" xr:uid="{E3509A7F-2A66-40BB-8EA9-1959B18DC80F}"/>
    <cellStyle name="Style 73 3 3 4 8" xfId="7864" xr:uid="{A46B78D2-4B2B-4E79-9B59-E3AC4DB74F15}"/>
    <cellStyle name="Style 73 3 3 4 8 2" xfId="24077" xr:uid="{A573F825-A554-4B97-947F-9593F49BF7D0}"/>
    <cellStyle name="Style 73 3 3 4 9" xfId="7865" xr:uid="{41F47745-60FF-4ADC-82BC-0EEE0C1B7524}"/>
    <cellStyle name="Style 73 3 3 4 9 2" xfId="24078" xr:uid="{64F5781C-15A3-4A32-A7F8-CB31A9181456}"/>
    <cellStyle name="Style 73 3 3 5" xfId="4398" xr:uid="{1C840D70-4B81-473F-B918-602E40B16179}"/>
    <cellStyle name="Style 73 3 3 5 2" xfId="7866" xr:uid="{AE8C604E-8198-45F1-824C-EA455922E573}"/>
    <cellStyle name="Style 73 3 3 5 2 2" xfId="24079" xr:uid="{1D378E9F-57A1-48B7-8F4E-4E5BBD224F4A}"/>
    <cellStyle name="Style 73 3 3 5 3" xfId="7867" xr:uid="{EF6874CF-4985-4E27-B855-B17A65D81521}"/>
    <cellStyle name="Style 73 3 3 5 3 2" xfId="24080" xr:uid="{70D83D78-B1D5-4EED-B9F6-3C099D7619B9}"/>
    <cellStyle name="Style 73 3 3 5 4" xfId="7868" xr:uid="{33B5B667-D726-4BAA-BAFD-6C15A9871598}"/>
    <cellStyle name="Style 73 3 3 5 4 2" xfId="24081" xr:uid="{26C2AF85-80B8-4C70-9BA2-53A37029B538}"/>
    <cellStyle name="Style 73 3 3 5 5" xfId="19636" xr:uid="{55FB478A-520F-4A92-8176-6736144CC191}"/>
    <cellStyle name="Style 73 3 3 6" xfId="4390" xr:uid="{3346DD73-9E0D-4C8D-AFB9-2AA5A4B7D522}"/>
    <cellStyle name="Style 73 3 3 6 2" xfId="7869" xr:uid="{92551DCF-29E0-4EB6-90CB-9C2EC28F7A5D}"/>
    <cellStyle name="Style 73 3 3 6 2 2" xfId="24082" xr:uid="{7EDEA45C-80B4-4D8C-853D-6F1657783609}"/>
    <cellStyle name="Style 73 3 3 6 3" xfId="22076" xr:uid="{F39C8F30-2F60-4445-9419-215F19890364}"/>
    <cellStyle name="Style 73 3 3 7" xfId="7870" xr:uid="{785E8DF7-7747-45DC-99BB-E9035BA53A64}"/>
    <cellStyle name="Style 73 3 3 7 2" xfId="24083" xr:uid="{C4090D6B-1202-480C-9989-1AB8BA95A728}"/>
    <cellStyle name="Style 73 3 3 8" xfId="7871" xr:uid="{F036AC51-5BB7-40A5-AFAE-7573CCC37BB2}"/>
    <cellStyle name="Style 73 3 3 8 2" xfId="24084" xr:uid="{23BFF938-6507-47BD-97D9-4F0BE8DD4CA0}"/>
    <cellStyle name="Style 73 3 3 9" xfId="7872" xr:uid="{727B7B17-BA8F-4530-A0A7-884A51B0FD5E}"/>
    <cellStyle name="Style 73 3 3 9 2" xfId="24085" xr:uid="{F38EAFA1-68D4-49AD-AD19-E1042B27746E}"/>
    <cellStyle name="Style 73 3 4" xfId="1966" xr:uid="{D0032ADA-9D46-4D48-BA58-2DC59D0DF6CC}"/>
    <cellStyle name="Style 73 3 4 10" xfId="7873" xr:uid="{397C635C-FFF4-4B92-9863-1669CB5DEB97}"/>
    <cellStyle name="Style 73 3 4 10 2" xfId="24086" xr:uid="{A1F539B6-0714-4FD4-B491-F223F02A2E3E}"/>
    <cellStyle name="Style 73 3 4 11" xfId="18966" xr:uid="{45EA121C-FA0B-42D9-8AB9-996EA594B57A}"/>
    <cellStyle name="Style 73 3 4 2" xfId="4400" xr:uid="{87AFEA35-B96F-4BEA-AC9F-F0212DD5E707}"/>
    <cellStyle name="Style 73 3 4 2 2" xfId="7874" xr:uid="{F6A607EF-396F-489B-A003-DD835DE5EF80}"/>
    <cellStyle name="Style 73 3 4 2 2 2" xfId="24087" xr:uid="{3CB30BB0-8584-4344-8C88-C981D00DF159}"/>
    <cellStyle name="Style 73 3 4 2 3" xfId="18967" xr:uid="{E031DA8B-ADB7-4518-A161-F021A3A2B4CA}"/>
    <cellStyle name="Style 73 3 4 3" xfId="4401" xr:uid="{73200AB5-7988-4F48-9D97-F96B3F985043}"/>
    <cellStyle name="Style 73 3 4 3 2" xfId="7875" xr:uid="{F35A1106-D313-4162-9F32-DE90AB5EB38A}"/>
    <cellStyle name="Style 73 3 4 3 2 2" xfId="24088" xr:uid="{069357D9-DD57-4A96-A719-92864508D9E7}"/>
    <cellStyle name="Style 73 3 4 3 3" xfId="19637" xr:uid="{53CCDF62-D3FD-467B-9EA6-AC2289611F4F}"/>
    <cellStyle name="Style 73 3 4 4" xfId="4399" xr:uid="{1D7ABFC2-E9D4-4C6E-872F-BAAF5D583FA9}"/>
    <cellStyle name="Style 73 3 4 4 2" xfId="7876" xr:uid="{966580F7-1E13-4C15-B84E-F56A66756EA2}"/>
    <cellStyle name="Style 73 3 4 4 2 2" xfId="24089" xr:uid="{DF5BAF34-829D-459B-8C76-F9FC752C6786}"/>
    <cellStyle name="Style 73 3 4 4 3" xfId="22082" xr:uid="{77B2B8FD-18B9-4E72-8B75-D698546961D5}"/>
    <cellStyle name="Style 73 3 4 5" xfId="7877" xr:uid="{1465BAEF-D1F6-4346-AD13-6DCF64CEBA5A}"/>
    <cellStyle name="Style 73 3 4 5 2" xfId="24090" xr:uid="{46885A65-AB1B-472B-90D2-72FC2B0BC5FC}"/>
    <cellStyle name="Style 73 3 4 6" xfId="7878" xr:uid="{CC61576F-9472-4B4B-B460-D6142B0AFD3F}"/>
    <cellStyle name="Style 73 3 4 6 2" xfId="24091" xr:uid="{BB7D6079-A79F-482F-B018-BCF548990D4C}"/>
    <cellStyle name="Style 73 3 4 7" xfId="7879" xr:uid="{8F11CEED-4DFD-4A1C-A449-65EAB9089291}"/>
    <cellStyle name="Style 73 3 4 7 2" xfId="24092" xr:uid="{20769A81-128D-4F4F-B32C-86B48E18FFFC}"/>
    <cellStyle name="Style 73 3 4 8" xfId="7880" xr:uid="{C8F8189B-E1A1-4C44-B40D-3D7C6CCD3C21}"/>
    <cellStyle name="Style 73 3 4 8 2" xfId="24093" xr:uid="{D7416B32-E1ED-46D6-BC02-827F420EEEC6}"/>
    <cellStyle name="Style 73 3 4 9" xfId="7881" xr:uid="{2FBFD88E-7C6F-4690-A091-1CAAF21FE871}"/>
    <cellStyle name="Style 73 3 4 9 2" xfId="24094" xr:uid="{25603059-F7C1-4CEA-8361-DF5EDACE7B48}"/>
    <cellStyle name="Style 73 3 5" xfId="4402" xr:uid="{C6BC1B91-CBDF-4229-824A-BA593AD7BFA7}"/>
    <cellStyle name="Style 73 3 5 2" xfId="7882" xr:uid="{A2BA181B-4225-4BC3-B554-40B26D4E4C1C}"/>
    <cellStyle name="Style 73 3 5 2 2" xfId="22083" xr:uid="{61A026B2-F8D5-44F2-AFA4-87EE72EE8266}"/>
    <cellStyle name="Style 73 3 5 3" xfId="7883" xr:uid="{D3BD280F-5030-45B8-BACF-186D2D62376C}"/>
    <cellStyle name="Style 73 3 5 3 2" xfId="24095" xr:uid="{28B18F1C-66D2-4174-B702-B8285F0AAE06}"/>
    <cellStyle name="Style 73 3 5 4" xfId="18968" xr:uid="{9934267E-18D6-482A-917F-6E29D649A284}"/>
    <cellStyle name="Style 73 3 6" xfId="2953" xr:uid="{6BB29D44-A53E-4917-8B4A-0EFE91C1B71F}"/>
    <cellStyle name="Style 73 3 6 2" xfId="7884" xr:uid="{47C203D4-F05C-4A7E-BD02-1765F227D1A8}"/>
    <cellStyle name="Style 73 3 6 2 2" xfId="24096" xr:uid="{F8F0EC34-2A59-4EAE-9E70-2F78FB4474A2}"/>
    <cellStyle name="Style 73 3 6 3" xfId="21296" xr:uid="{E7461DFC-9475-4E89-A2C2-FB73BC8B4C27}"/>
    <cellStyle name="Style 73 3 7" xfId="7885" xr:uid="{EC12E519-D9C1-4BCA-BF24-A1A987AE1BA5}"/>
    <cellStyle name="Style 73 3 7 2" xfId="24097" xr:uid="{B12F30CA-0A44-4082-B206-E67473E2F66C}"/>
    <cellStyle name="Style 73 3 8" xfId="7886" xr:uid="{FEFEE54B-C562-422C-B652-6F6E166AA124}"/>
    <cellStyle name="Style 73 3 8 2" xfId="24098" xr:uid="{7DE4B70D-4B77-40A6-94DF-13553ACD70FD}"/>
    <cellStyle name="Style 73 3 9" xfId="7887" xr:uid="{383FDDE8-2132-4BC6-A6FA-8DA576B56BF6}"/>
    <cellStyle name="Style 73 3 9 2" xfId="24099" xr:uid="{A98E6D92-DCB0-4D5C-97A5-AE8D2B38EE1F}"/>
    <cellStyle name="Style 73 4" xfId="1967" xr:uid="{A18DAB92-951E-413E-A21A-195C4CDD2BA3}"/>
    <cellStyle name="Style 73 4 10" xfId="7888" xr:uid="{167C85C8-87F5-4E0F-851C-5C77337CD497}"/>
    <cellStyle name="Style 73 4 10 2" xfId="24100" xr:uid="{3EE4A7C8-BC3D-44DF-A213-2F68282699FB}"/>
    <cellStyle name="Style 73 4 11" xfId="7889" xr:uid="{E2D9F0F8-594B-481E-97E7-77D89F3B5149}"/>
    <cellStyle name="Style 73 4 11 2" xfId="24101" xr:uid="{CA1B434A-EC20-4F47-89A2-D16150321976}"/>
    <cellStyle name="Style 73 4 12" xfId="7890" xr:uid="{90FC9E77-226D-4C63-B7FC-181E702D44D4}"/>
    <cellStyle name="Style 73 4 12 2" xfId="24102" xr:uid="{2F602C03-86D5-472D-A301-4325E3E227D6}"/>
    <cellStyle name="Style 73 4 13" xfId="7891" xr:uid="{C75EB9DD-2D07-413F-9775-DBE1FA636453}"/>
    <cellStyle name="Style 73 4 13 2" xfId="24103" xr:uid="{0855DB22-80BB-4D7F-907C-C265DE5E98F2}"/>
    <cellStyle name="Style 73 4 14" xfId="18969" xr:uid="{8891CAF3-FA91-469B-82B9-293632937634}"/>
    <cellStyle name="Style 73 4 2" xfId="1968" xr:uid="{77F972B5-E6F2-48F8-B09F-E3BA5FD63974}"/>
    <cellStyle name="Style 73 4 2 10" xfId="7892" xr:uid="{165AB04C-134E-400A-902B-E73464F14AB2}"/>
    <cellStyle name="Style 73 4 2 10 2" xfId="24104" xr:uid="{5CA9414A-5F02-4B06-A94F-5E4E4082A091}"/>
    <cellStyle name="Style 73 4 2 11" xfId="7893" xr:uid="{11E36FF4-3144-4F2C-AE09-7E996EFD882E}"/>
    <cellStyle name="Style 73 4 2 11 2" xfId="24105" xr:uid="{0452702E-538C-46C0-B27C-78D7620C6AAB}"/>
    <cellStyle name="Style 73 4 2 12" xfId="7894" xr:uid="{10873DF4-B8DE-4114-9919-7A2CDF35AEFF}"/>
    <cellStyle name="Style 73 4 2 12 2" xfId="24106" xr:uid="{FE273572-CE97-494D-BB29-96340AA891C2}"/>
    <cellStyle name="Style 73 4 2 13" xfId="7895" xr:uid="{94AE3BCB-080C-4F12-8619-F9AE776EE591}"/>
    <cellStyle name="Style 73 4 2 13 2" xfId="24107" xr:uid="{3402BF2E-BC8B-40BD-A2C3-94246681191E}"/>
    <cellStyle name="Style 73 4 2 14" xfId="7896" xr:uid="{0B68F197-00A9-4B2E-9C3C-49E21B4CEC0E}"/>
    <cellStyle name="Style 73 4 2 14 2" xfId="24108" xr:uid="{50D076D1-0717-4CC7-AEFB-5FA2B2076270}"/>
    <cellStyle name="Style 73 4 2 15" xfId="18970" xr:uid="{A7D9C65A-9371-476D-8715-75E8CA07D5B4}"/>
    <cellStyle name="Style 73 4 2 2" xfId="1969" xr:uid="{930CC1AE-B97F-463C-A680-DBCA8D2B1526}"/>
    <cellStyle name="Style 73 4 2 2 10" xfId="7897" xr:uid="{318809D8-2385-40A4-9E11-776C9B8EAE0E}"/>
    <cellStyle name="Style 73 4 2 2 10 2" xfId="24109" xr:uid="{C16634AA-4EC4-4248-8DA9-79D20A42445F}"/>
    <cellStyle name="Style 73 4 2 2 11" xfId="18971" xr:uid="{1DB4A563-4FA3-4C93-B326-EC3FDC72A664}"/>
    <cellStyle name="Style 73 4 2 2 2" xfId="4405" xr:uid="{49DDA2D6-CBEC-4055-89B8-F4A4BE52996E}"/>
    <cellStyle name="Style 73 4 2 2 2 2" xfId="7898" xr:uid="{C2B69C87-E412-472E-B998-E2F5F793665D}"/>
    <cellStyle name="Style 73 4 2 2 2 2 2" xfId="24110" xr:uid="{5B282C82-B0DA-4397-A3F4-0CC7B8B51C30}"/>
    <cellStyle name="Style 73 4 2 2 2 3" xfId="22085" xr:uid="{8E504148-92A9-4CD6-99DB-DDA4F26F5B4F}"/>
    <cellStyle name="Style 73 4 2 2 3" xfId="7899" xr:uid="{EF2DDED3-F025-4D02-96E2-22D2DFC48354}"/>
    <cellStyle name="Style 73 4 2 2 3 2" xfId="24111" xr:uid="{0163E81C-E723-409F-8DFC-0E361438AEA0}"/>
    <cellStyle name="Style 73 4 2 2 4" xfId="7900" xr:uid="{C7704AAA-4260-42F0-8BAE-4BA658BA613E}"/>
    <cellStyle name="Style 73 4 2 2 4 2" xfId="24112" xr:uid="{0F787DC0-5711-4067-826B-923A5755E56E}"/>
    <cellStyle name="Style 73 4 2 2 5" xfId="7901" xr:uid="{DF2C8A73-857B-443E-86A6-0A790D98952B}"/>
    <cellStyle name="Style 73 4 2 2 5 2" xfId="24113" xr:uid="{959DE738-D172-4088-BB13-67AE43F56977}"/>
    <cellStyle name="Style 73 4 2 2 6" xfId="7902" xr:uid="{D718889F-9D0D-4D66-A82C-F0E6C4D14740}"/>
    <cellStyle name="Style 73 4 2 2 6 2" xfId="24114" xr:uid="{34FCC135-C8C9-4C4C-97B1-950396D0D4C7}"/>
    <cellStyle name="Style 73 4 2 2 7" xfId="7903" xr:uid="{4DB22603-EB29-4FE5-8E35-15BE6A0B7276}"/>
    <cellStyle name="Style 73 4 2 2 7 2" xfId="24115" xr:uid="{8D96F128-C194-4E89-8085-25981C3C8FE9}"/>
    <cellStyle name="Style 73 4 2 2 8" xfId="7904" xr:uid="{93ED8343-EED6-49A1-ADB7-38B8E17B93BB}"/>
    <cellStyle name="Style 73 4 2 2 8 2" xfId="24116" xr:uid="{D71DAFA5-00B3-47E0-B148-39617A199F4E}"/>
    <cellStyle name="Style 73 4 2 2 9" xfId="7905" xr:uid="{207ADBE5-05E1-4D39-A8D3-ED95B24883CF}"/>
    <cellStyle name="Style 73 4 2 2 9 2" xfId="24117" xr:uid="{6560B311-7E77-412B-9621-26B647FF9199}"/>
    <cellStyle name="Style 73 4 2 3" xfId="1970" xr:uid="{442C4C22-C977-4F1D-8584-1FB7A5FBB428}"/>
    <cellStyle name="Style 73 4 2 3 10" xfId="7906" xr:uid="{933D85C6-246E-4AEE-96F8-2841D3623166}"/>
    <cellStyle name="Style 73 4 2 3 10 2" xfId="24118" xr:uid="{4232E89A-DF8C-4564-ABD5-A61AE2A1477D}"/>
    <cellStyle name="Style 73 4 2 3 11" xfId="7907" xr:uid="{F987C9CB-5385-491C-BAF4-879B78554D53}"/>
    <cellStyle name="Style 73 4 2 3 11 2" xfId="24119" xr:uid="{FDDC9897-F158-4089-9077-DA167AA1E17E}"/>
    <cellStyle name="Style 73 4 2 3 12" xfId="7908" xr:uid="{56D657BC-5C66-405F-A3EF-A11FB6F4CCB7}"/>
    <cellStyle name="Style 73 4 2 3 12 2" xfId="24120" xr:uid="{B41B3282-40AA-4471-8FD5-AE0F33A33994}"/>
    <cellStyle name="Style 73 4 2 3 13" xfId="18972" xr:uid="{FD955DE6-040D-4561-974B-3565BD8DF6E2}"/>
    <cellStyle name="Style 73 4 2 3 2" xfId="1971" xr:uid="{3BF8CB2D-DFA0-4B9C-8AFC-4FE0BC38AD17}"/>
    <cellStyle name="Style 73 4 2 3 2 10" xfId="7909" xr:uid="{583132EC-C75D-4207-90EF-48EA7E239F7E}"/>
    <cellStyle name="Style 73 4 2 3 2 10 2" xfId="24121" xr:uid="{2C38FA4A-0E60-4D53-843A-C433A227B361}"/>
    <cellStyle name="Style 73 4 2 3 2 11" xfId="18973" xr:uid="{F7A47394-2A19-4B54-920D-CEE2436BB275}"/>
    <cellStyle name="Style 73 4 2 3 2 2" xfId="4407" xr:uid="{617F9668-4AA1-4C8E-99F6-F821D84B9257}"/>
    <cellStyle name="Style 73 4 2 3 2 2 2" xfId="7910" xr:uid="{E4C0715F-658D-49BD-8CFF-8F41E0CE4E0D}"/>
    <cellStyle name="Style 73 4 2 3 2 2 2 2" xfId="24122" xr:uid="{D9397D20-BD44-4906-8B37-ACD5D149F419}"/>
    <cellStyle name="Style 73 4 2 3 2 2 3" xfId="22087" xr:uid="{64F08D48-4BF9-4804-8E83-8B40D4B19221}"/>
    <cellStyle name="Style 73 4 2 3 2 3" xfId="7911" xr:uid="{1BFFED49-42D7-4147-8E74-14F6B8565D8E}"/>
    <cellStyle name="Style 73 4 2 3 2 3 2" xfId="24123" xr:uid="{0058A08F-BEEC-40D9-8D08-866247F182B5}"/>
    <cellStyle name="Style 73 4 2 3 2 4" xfId="7912" xr:uid="{934C6B1C-7015-4FB9-9779-79841F52A003}"/>
    <cellStyle name="Style 73 4 2 3 2 4 2" xfId="24124" xr:uid="{C2CD3ECA-EA1E-4A88-9EE6-B240F2893937}"/>
    <cellStyle name="Style 73 4 2 3 2 5" xfId="7913" xr:uid="{E9F2F77C-81ED-4179-A74E-8674D24096B1}"/>
    <cellStyle name="Style 73 4 2 3 2 5 2" xfId="24125" xr:uid="{BAF98A5B-39BA-4E79-9DBF-49C5F0341FC8}"/>
    <cellStyle name="Style 73 4 2 3 2 6" xfId="7914" xr:uid="{48D2293B-B13B-42A2-9071-F8A153AEBAB5}"/>
    <cellStyle name="Style 73 4 2 3 2 6 2" xfId="24126" xr:uid="{247F4157-A202-4418-BFA8-A8C953BF11DE}"/>
    <cellStyle name="Style 73 4 2 3 2 7" xfId="7915" xr:uid="{3795902D-5072-4935-AC41-168F90F84233}"/>
    <cellStyle name="Style 73 4 2 3 2 7 2" xfId="24127" xr:uid="{C488DECE-48B5-4C58-ADB3-1B2F6DFF6B21}"/>
    <cellStyle name="Style 73 4 2 3 2 8" xfId="7916" xr:uid="{214567DB-059F-4B93-869A-FDBDCDC3C16F}"/>
    <cellStyle name="Style 73 4 2 3 2 8 2" xfId="24128" xr:uid="{9FB58F0B-8A47-45DE-99A2-BB5C6284B021}"/>
    <cellStyle name="Style 73 4 2 3 2 9" xfId="7917" xr:uid="{33A2D9BD-1902-494A-8732-1E3D6AE3044D}"/>
    <cellStyle name="Style 73 4 2 3 2 9 2" xfId="24129" xr:uid="{0E09B257-21AA-4CE9-B2B1-4F00C86AAB5B}"/>
    <cellStyle name="Style 73 4 2 3 3" xfId="4408" xr:uid="{B998D5E6-BB2C-4923-8412-40A902322016}"/>
    <cellStyle name="Style 73 4 2 3 3 2" xfId="7918" xr:uid="{8A556299-191C-4395-A2A4-37942CDF2247}"/>
    <cellStyle name="Style 73 4 2 3 3 2 2" xfId="24130" xr:uid="{EB9F991A-E5B0-40C1-AC58-BCFE77B7976B}"/>
    <cellStyle name="Style 73 4 2 3 3 3" xfId="7919" xr:uid="{D98B70DC-ECD4-459D-BEF3-2813B5E2FE22}"/>
    <cellStyle name="Style 73 4 2 3 3 3 2" xfId="24131" xr:uid="{89B2B92D-6995-4364-ACD0-E333E2F8AA46}"/>
    <cellStyle name="Style 73 4 2 3 3 4" xfId="7920" xr:uid="{F4061A8A-CE2E-4AF5-8E52-BCBBE7CA535C}"/>
    <cellStyle name="Style 73 4 2 3 3 4 2" xfId="24132" xr:uid="{AFBF53FC-353D-4A11-8A11-822DC1DF3E72}"/>
    <cellStyle name="Style 73 4 2 3 3 5" xfId="18974" xr:uid="{9429D0C8-1537-4BF6-96A5-A4E7F3484281}"/>
    <cellStyle name="Style 73 4 2 3 4" xfId="4409" xr:uid="{695458DC-D833-4793-90D5-D81BC852BBB4}"/>
    <cellStyle name="Style 73 4 2 3 4 2" xfId="7921" xr:uid="{CE23BCD4-B18F-4139-9D8D-5641382A8632}"/>
    <cellStyle name="Style 73 4 2 3 4 2 2" xfId="24133" xr:uid="{1F8875EC-A528-4D8D-8E58-ECF06DD97380}"/>
    <cellStyle name="Style 73 4 2 3 4 3" xfId="19638" xr:uid="{2F9D87D7-4901-467C-A207-391309B08586}"/>
    <cellStyle name="Style 73 4 2 3 5" xfId="4406" xr:uid="{C5329AAB-E696-4DF1-A90E-89A58F81CBD7}"/>
    <cellStyle name="Style 73 4 2 3 5 2" xfId="7922" xr:uid="{EDDF1A58-0AD3-438A-98C1-30070D4B0E50}"/>
    <cellStyle name="Style 73 4 2 3 5 2 2" xfId="24134" xr:uid="{B63D5BDC-4DDF-4535-9847-35B7FF1C2A5D}"/>
    <cellStyle name="Style 73 4 2 3 5 3" xfId="22086" xr:uid="{01EBC05B-76A6-42EB-AFF0-F3A82AB14917}"/>
    <cellStyle name="Style 73 4 2 3 6" xfId="7923" xr:uid="{90149935-CB8F-44AC-B96E-0F1CA83727F4}"/>
    <cellStyle name="Style 73 4 2 3 6 2" xfId="24135" xr:uid="{0751031A-2A9F-4A95-A02D-63E9E4E16D42}"/>
    <cellStyle name="Style 73 4 2 3 7" xfId="7924" xr:uid="{15A44DB3-1112-4B8E-97AC-7E13ADEDCBEB}"/>
    <cellStyle name="Style 73 4 2 3 7 2" xfId="24136" xr:uid="{B562A312-2D5C-4751-B5D3-5AC6CE079A97}"/>
    <cellStyle name="Style 73 4 2 3 8" xfId="7925" xr:uid="{4BB0CB78-3A0A-402D-AEA9-410F8F599C1C}"/>
    <cellStyle name="Style 73 4 2 3 8 2" xfId="24137" xr:uid="{A5CAC5B3-C8D6-4AF2-8976-32E65345B86A}"/>
    <cellStyle name="Style 73 4 2 3 9" xfId="7926" xr:uid="{6D9C5322-1E8F-4341-8AD2-21F51FDFB2B4}"/>
    <cellStyle name="Style 73 4 2 3 9 2" xfId="24138" xr:uid="{51DE7F5D-BC93-4982-A32B-DDB6016561A9}"/>
    <cellStyle name="Style 73 4 2 4" xfId="1972" xr:uid="{73F6E06C-C2EF-43F3-BCB3-7CB1D94F33B4}"/>
    <cellStyle name="Style 73 4 2 4 10" xfId="7927" xr:uid="{D2A24C45-3430-44C3-B008-C48640A9F738}"/>
    <cellStyle name="Style 73 4 2 4 10 2" xfId="24139" xr:uid="{A4F24E69-E295-4AC5-9425-FC805B78AB3A}"/>
    <cellStyle name="Style 73 4 2 4 11" xfId="7928" xr:uid="{9C19B4D7-CB8D-4166-9DFD-31616F896C40}"/>
    <cellStyle name="Style 73 4 2 4 11 2" xfId="24140" xr:uid="{508D2059-2D7A-4995-8D44-5CE9B1047DF7}"/>
    <cellStyle name="Style 73 4 2 4 12" xfId="18975" xr:uid="{5666E3F5-F9DA-4593-B876-713D2921F072}"/>
    <cellStyle name="Style 73 4 2 4 2" xfId="1973" xr:uid="{247C1FA1-C4F1-40CE-B40F-6DC0465EEEB4}"/>
    <cellStyle name="Style 73 4 2 4 2 10" xfId="7929" xr:uid="{BC32BAAD-1EED-4BD1-BAB1-1FEBC08286DA}"/>
    <cellStyle name="Style 73 4 2 4 2 10 2" xfId="24141" xr:uid="{44817E66-8246-4993-AFE1-CFDD8C289AAD}"/>
    <cellStyle name="Style 73 4 2 4 2 11" xfId="18976" xr:uid="{7D5B46AE-08B1-4848-98F5-F6F29FCA6F29}"/>
    <cellStyle name="Style 73 4 2 4 2 2" xfId="4411" xr:uid="{1D7E0B98-B67A-4703-86C6-85090CC1A8F5}"/>
    <cellStyle name="Style 73 4 2 4 2 2 2" xfId="7930" xr:uid="{FBDF6E77-2E3A-44DF-A486-A20169F6003F}"/>
    <cellStyle name="Style 73 4 2 4 2 2 2 2" xfId="24142" xr:uid="{E174A950-9148-423F-A801-9194F3AE9B54}"/>
    <cellStyle name="Style 73 4 2 4 2 2 3" xfId="22089" xr:uid="{048DBF73-7508-4B07-AA4A-6E59D6CD88B6}"/>
    <cellStyle name="Style 73 4 2 4 2 3" xfId="7931" xr:uid="{BFED49F6-5DE9-4B5E-A1AD-1EB52AB55E49}"/>
    <cellStyle name="Style 73 4 2 4 2 3 2" xfId="24143" xr:uid="{4ACEF021-BAEB-4BE2-A863-AC363FB21544}"/>
    <cellStyle name="Style 73 4 2 4 2 4" xfId="7932" xr:uid="{1B3977BA-D597-4B1F-AC61-EEF4AC84877E}"/>
    <cellStyle name="Style 73 4 2 4 2 4 2" xfId="24144" xr:uid="{82350695-9581-4152-8977-39D4FDC47D7E}"/>
    <cellStyle name="Style 73 4 2 4 2 5" xfId="7933" xr:uid="{3F6CD0BF-1B9D-4EA8-B243-700E5B01DEE8}"/>
    <cellStyle name="Style 73 4 2 4 2 5 2" xfId="24145" xr:uid="{A5B151DD-81E1-4A43-AE58-710324DCA818}"/>
    <cellStyle name="Style 73 4 2 4 2 6" xfId="7934" xr:uid="{0494B750-2A69-4298-820C-9DC2C7B7B893}"/>
    <cellStyle name="Style 73 4 2 4 2 6 2" xfId="24146" xr:uid="{E7DC910A-64D0-41A3-8C82-FF1D48604B9C}"/>
    <cellStyle name="Style 73 4 2 4 2 7" xfId="7935" xr:uid="{41B7A6FA-F791-436B-8660-759E1DA01C1E}"/>
    <cellStyle name="Style 73 4 2 4 2 7 2" xfId="24147" xr:uid="{CAB46BA9-2021-49E0-9EF3-ACA81AA59ABE}"/>
    <cellStyle name="Style 73 4 2 4 2 8" xfId="7936" xr:uid="{677EA3CB-124A-4A0F-B128-6FD594E7F094}"/>
    <cellStyle name="Style 73 4 2 4 2 8 2" xfId="24148" xr:uid="{447BC61C-199A-4E0D-BE6A-7E07EC3853BE}"/>
    <cellStyle name="Style 73 4 2 4 2 9" xfId="7937" xr:uid="{F688847C-B400-41F1-8077-710CD9ACEF2D}"/>
    <cellStyle name="Style 73 4 2 4 2 9 2" xfId="24149" xr:uid="{EA9BB089-F85C-475C-B6FE-CFAC23135F3F}"/>
    <cellStyle name="Style 73 4 2 4 3" xfId="4410" xr:uid="{082CEAD9-4C4A-44E6-8887-3FEDC763D085}"/>
    <cellStyle name="Style 73 4 2 4 3 2" xfId="7938" xr:uid="{C832B559-5CD0-4FED-9669-EB333187C1E2}"/>
    <cellStyle name="Style 73 4 2 4 3 2 2" xfId="24150" xr:uid="{1A2C3907-C442-4E92-A9F6-4A6D48842823}"/>
    <cellStyle name="Style 73 4 2 4 3 3" xfId="22088" xr:uid="{7BE3F85E-4DB3-4C7C-BA46-55D014C52628}"/>
    <cellStyle name="Style 73 4 2 4 4" xfId="7939" xr:uid="{BA3DD4FB-A315-4188-8324-C8037D291ACB}"/>
    <cellStyle name="Style 73 4 2 4 4 2" xfId="24151" xr:uid="{E12E0B57-5E69-44B6-BDE1-455E51BEC860}"/>
    <cellStyle name="Style 73 4 2 4 5" xfId="7940" xr:uid="{32B97103-12BD-4C82-BB8B-DFA41B4764BF}"/>
    <cellStyle name="Style 73 4 2 4 5 2" xfId="24152" xr:uid="{A7D1C45C-2A2E-4F44-B1B7-2729A268DFD9}"/>
    <cellStyle name="Style 73 4 2 4 6" xfId="7941" xr:uid="{F96AE567-86D1-46FA-836D-9113168E1E0C}"/>
    <cellStyle name="Style 73 4 2 4 6 2" xfId="24153" xr:uid="{5F126511-1E17-4749-870A-1A99C9F0E184}"/>
    <cellStyle name="Style 73 4 2 4 7" xfId="7942" xr:uid="{1A1A417D-0649-4DFF-9429-EBA3BD9D694B}"/>
    <cellStyle name="Style 73 4 2 4 7 2" xfId="24154" xr:uid="{378C10BB-CDD9-467C-A3FF-473F8CF048DD}"/>
    <cellStyle name="Style 73 4 2 4 8" xfId="7943" xr:uid="{B364CD95-559E-4442-86A7-FAF9605BFA1D}"/>
    <cellStyle name="Style 73 4 2 4 8 2" xfId="24155" xr:uid="{FB87DC79-C7AF-4C96-83AD-011BFEAD4935}"/>
    <cellStyle name="Style 73 4 2 4 9" xfId="7944" xr:uid="{E4F7ED4B-7CC7-420D-B560-A685CCB028C1}"/>
    <cellStyle name="Style 73 4 2 4 9 2" xfId="24156" xr:uid="{F3E0C40F-2453-4967-BD44-8321EEB6BEC8}"/>
    <cellStyle name="Style 73 4 2 5" xfId="4412" xr:uid="{A2DBEB8E-2883-42EF-9C0B-762A10D89E14}"/>
    <cellStyle name="Style 73 4 2 5 2" xfId="7945" xr:uid="{FF298062-F9BA-4234-A010-6278C4C39695}"/>
    <cellStyle name="Style 73 4 2 5 2 2" xfId="24157" xr:uid="{BDA1E36D-6C89-4FFC-B034-DF7C4C4E8F99}"/>
    <cellStyle name="Style 73 4 2 5 3" xfId="7946" xr:uid="{C8972D68-7DE6-414C-94B9-81136279B924}"/>
    <cellStyle name="Style 73 4 2 5 3 2" xfId="24158" xr:uid="{F1ED8B8A-4C82-4C9B-941B-ED337822C256}"/>
    <cellStyle name="Style 73 4 2 5 4" xfId="7947" xr:uid="{F4E81671-CED8-4279-8E7C-FA4EC95A8086}"/>
    <cellStyle name="Style 73 4 2 5 4 2" xfId="24159" xr:uid="{DBE046F6-C714-400C-A0B4-F17297498AD0}"/>
    <cellStyle name="Style 73 4 2 5 5" xfId="19639" xr:uid="{36AE55B3-0B5D-44A6-975A-123E027749D9}"/>
    <cellStyle name="Style 73 4 2 6" xfId="4404" xr:uid="{6E150FC6-DF31-45E2-8A34-B43BDAEC3529}"/>
    <cellStyle name="Style 73 4 2 6 2" xfId="7948" xr:uid="{6E2EB0FA-946D-4174-A7D0-E77CBA1CDEB5}"/>
    <cellStyle name="Style 73 4 2 6 2 2" xfId="24160" xr:uid="{BDB6D01F-81F5-46A9-8E97-1EE6972F4C99}"/>
    <cellStyle name="Style 73 4 2 6 3" xfId="22084" xr:uid="{30C6AE71-A81D-466C-96FC-CBBF1B914E7E}"/>
    <cellStyle name="Style 73 4 2 7" xfId="7949" xr:uid="{14FC0901-F90F-4FA8-8E2C-8B40F5931CBD}"/>
    <cellStyle name="Style 73 4 2 7 2" xfId="24161" xr:uid="{0F7528AB-EE15-415F-B99A-74A382C2FAC9}"/>
    <cellStyle name="Style 73 4 2 8" xfId="7950" xr:uid="{33016E91-19BF-460F-900F-8AC472625EF1}"/>
    <cellStyle name="Style 73 4 2 8 2" xfId="24162" xr:uid="{DB5B6496-B1AC-4E1F-82AD-DF4E8B72001F}"/>
    <cellStyle name="Style 73 4 2 9" xfId="7951" xr:uid="{BEBA1F44-31D8-4627-B904-5E5120D72BA9}"/>
    <cellStyle name="Style 73 4 2 9 2" xfId="24163" xr:uid="{63EFAED9-52E3-4756-80BD-B0B76CDD8A5A}"/>
    <cellStyle name="Style 73 4 3" xfId="1974" xr:uid="{3C0A0192-41C9-49F2-BBF5-3C11CBF4249D}"/>
    <cellStyle name="Style 73 4 3 10" xfId="7952" xr:uid="{90C2057B-FD70-4375-92F1-727B8965AF17}"/>
    <cellStyle name="Style 73 4 3 10 2" xfId="24164" xr:uid="{34662612-59B0-42E9-A262-36E37CE0EA2C}"/>
    <cellStyle name="Style 73 4 3 11" xfId="18977" xr:uid="{4A2B2A9D-E8AC-4E5E-ACCD-ACEEE5066914}"/>
    <cellStyle name="Style 73 4 3 2" xfId="4413" xr:uid="{46479280-858F-4AC2-8AD9-BBD8247ADE01}"/>
    <cellStyle name="Style 73 4 3 2 2" xfId="7953" xr:uid="{10947B96-5FF4-4784-8AA6-CBBD17A248B1}"/>
    <cellStyle name="Style 73 4 3 2 2 2" xfId="24165" xr:uid="{B89A875D-DDD7-4F4E-AC6A-320190BAE685}"/>
    <cellStyle name="Style 73 4 3 2 3" xfId="22090" xr:uid="{081E07A7-92D7-4B7C-8A27-4E5C5785B4F0}"/>
    <cellStyle name="Style 73 4 3 3" xfId="7954" xr:uid="{532218C2-91E0-4CF2-A018-5193123D08DC}"/>
    <cellStyle name="Style 73 4 3 3 2" xfId="24166" xr:uid="{6B1C00C0-E775-434B-9AE5-0221392DEB21}"/>
    <cellStyle name="Style 73 4 3 4" xfId="7955" xr:uid="{D3579AA4-87AF-4782-AD18-CADCB8EEC6DF}"/>
    <cellStyle name="Style 73 4 3 4 2" xfId="24167" xr:uid="{CF952EF6-795E-49FD-8599-51F64CDEFF5C}"/>
    <cellStyle name="Style 73 4 3 5" xfId="7956" xr:uid="{B4104286-3067-4D40-B656-0599501BAD28}"/>
    <cellStyle name="Style 73 4 3 5 2" xfId="24168" xr:uid="{83E5E723-7982-4C75-997F-D0B6E77D234B}"/>
    <cellStyle name="Style 73 4 3 6" xfId="7957" xr:uid="{86D19DFE-580A-4FF9-9FFA-B1E67EC3F3DB}"/>
    <cellStyle name="Style 73 4 3 6 2" xfId="24169" xr:uid="{4B80B280-0484-4269-8D5A-383AEEC91EA7}"/>
    <cellStyle name="Style 73 4 3 7" xfId="7958" xr:uid="{0FF38432-0AA3-4475-964D-79AD85188589}"/>
    <cellStyle name="Style 73 4 3 7 2" xfId="24170" xr:uid="{FBEC29D2-94FE-4591-8AD7-C84681809321}"/>
    <cellStyle name="Style 73 4 3 8" xfId="7959" xr:uid="{233FBA76-8683-4610-B955-30E70131BACE}"/>
    <cellStyle name="Style 73 4 3 8 2" xfId="24171" xr:uid="{7B4E4E73-C632-41E1-9414-2A9C53415748}"/>
    <cellStyle name="Style 73 4 3 9" xfId="7960" xr:uid="{70619E69-9F1B-4C64-BDB8-ACAD3A59A06E}"/>
    <cellStyle name="Style 73 4 3 9 2" xfId="24172" xr:uid="{9745747A-80AC-4103-A196-4D59EFA31B5B}"/>
    <cellStyle name="Style 73 4 4" xfId="4414" xr:uid="{69317E27-E3BF-4722-B1B7-EFF2C7FBDDE8}"/>
    <cellStyle name="Style 73 4 4 2" xfId="4415" xr:uid="{5AAA026F-D82C-4768-ADA9-7C035F4F6F04}"/>
    <cellStyle name="Style 73 4 4 2 2" xfId="7961" xr:uid="{483DF5CE-606B-449F-BFF0-6B2BF97356AC}"/>
    <cellStyle name="Style 73 4 4 2 2 2" xfId="24173" xr:uid="{85DDE34F-FFCB-4D50-A296-7F09E75240C7}"/>
    <cellStyle name="Style 73 4 4 2 3" xfId="19640" xr:uid="{3D1735CF-7CF1-4902-8D18-A237ABA43119}"/>
    <cellStyle name="Style 73 4 4 3" xfId="7962" xr:uid="{1E6C9699-83E8-4B99-B7B1-43B27ECBEC99}"/>
    <cellStyle name="Style 73 4 4 3 2" xfId="24174" xr:uid="{0FEB4DEF-40CC-46B8-9E8B-85C141699DC2}"/>
    <cellStyle name="Style 73 4 4 4" xfId="7963" xr:uid="{99E6AD74-9FB9-4F12-88E5-B0F7DB100862}"/>
    <cellStyle name="Style 73 4 4 4 2" xfId="24175" xr:uid="{E5438C1F-A9D1-41FE-B5A8-262C03ACEA62}"/>
    <cellStyle name="Style 73 4 4 5" xfId="18978" xr:uid="{2B1E10DF-E988-4C30-B49C-F130B0158477}"/>
    <cellStyle name="Style 73 4 5" xfId="4403" xr:uid="{84F7D9E4-F9CB-4C07-A62C-143044605EAB}"/>
    <cellStyle name="Style 73 4 5 2" xfId="7964" xr:uid="{E5403F10-A218-4B52-AD96-FACA291345D8}"/>
    <cellStyle name="Style 73 4 5 2 2" xfId="24176" xr:uid="{9AFDB741-FB20-4A39-AEB6-5FB0B9B6840F}"/>
    <cellStyle name="Style 73 4 5 3" xfId="20663" xr:uid="{F69D40D6-3369-4351-96A9-6462A36616F0}"/>
    <cellStyle name="Style 73 4 6" xfId="2955" xr:uid="{F7635CA1-2369-41A5-8FDA-E3A49E8077DE}"/>
    <cellStyle name="Style 73 4 6 2" xfId="7965" xr:uid="{8B26885A-7B2B-417B-93EC-D6E79D6B6ED8}"/>
    <cellStyle name="Style 73 4 6 2 2" xfId="24177" xr:uid="{F258DD05-8CAD-42AD-8385-7840BECBEADD}"/>
    <cellStyle name="Style 73 4 6 3" xfId="21298" xr:uid="{EFF0B015-C144-4596-85D4-967325E8164A}"/>
    <cellStyle name="Style 73 4 7" xfId="7966" xr:uid="{5706AC7A-D45D-4822-91A7-108888329CEA}"/>
    <cellStyle name="Style 73 4 7 2" xfId="24178" xr:uid="{680D1DFA-7514-433B-BD6D-25B1456A0AAC}"/>
    <cellStyle name="Style 73 4 8" xfId="7967" xr:uid="{DDC3CF59-00BC-4840-AB81-6FFF484CDFEA}"/>
    <cellStyle name="Style 73 4 8 2" xfId="24179" xr:uid="{84126FE4-3AAD-452A-BCC5-E6D72A0890F7}"/>
    <cellStyle name="Style 73 4 9" xfId="7968" xr:uid="{1F80A3BD-BA2F-44F0-AB83-9B497D49FFCD}"/>
    <cellStyle name="Style 73 4 9 2" xfId="24180" xr:uid="{B286FE29-4EA2-4367-9E9B-5B47D3FF343E}"/>
    <cellStyle name="Style 73 5" xfId="1975" xr:uid="{1E450D4C-B0D1-4ACA-9393-5ECCA4FC83BC}"/>
    <cellStyle name="Style 73 5 10" xfId="7969" xr:uid="{D86F165A-2F07-4979-BE42-4E7FA99B2EB2}"/>
    <cellStyle name="Style 73 5 10 2" xfId="24181" xr:uid="{D5B64FA3-BF50-41F8-B054-E0273C066212}"/>
    <cellStyle name="Style 73 5 11" xfId="7970" xr:uid="{1613179E-C483-433A-AFAB-05990D0FC1E0}"/>
    <cellStyle name="Style 73 5 11 2" xfId="24182" xr:uid="{FE906478-F10A-472E-B2CB-19F0C6523D5D}"/>
    <cellStyle name="Style 73 5 12" xfId="7971" xr:uid="{BA7414EF-046C-44FC-BB71-FAF8B7146CE0}"/>
    <cellStyle name="Style 73 5 12 2" xfId="24183" xr:uid="{A8DA5AA9-3603-4F71-BC53-9C1FA096D386}"/>
    <cellStyle name="Style 73 5 13" xfId="7972" xr:uid="{5AD49E88-849A-4890-8996-227C0342A7B5}"/>
    <cellStyle name="Style 73 5 13 2" xfId="24184" xr:uid="{E720522B-D1C7-4FDF-90FB-A9F9B70B3EFA}"/>
    <cellStyle name="Style 73 5 14" xfId="18979" xr:uid="{238BEE4B-1E7C-4F0C-AB38-43D4568AAB85}"/>
    <cellStyle name="Style 73 5 2" xfId="1976" xr:uid="{ECF26991-B56D-4F03-904E-DCC8368428E2}"/>
    <cellStyle name="Style 73 5 2 10" xfId="7973" xr:uid="{3C59D653-2604-4BBB-B399-6D1B5B3B5EB0}"/>
    <cellStyle name="Style 73 5 2 10 2" xfId="24185" xr:uid="{56BA74A6-672F-4B86-B70A-FF6257A80568}"/>
    <cellStyle name="Style 73 5 2 11" xfId="7974" xr:uid="{C6A173F5-8677-4F83-8DEE-CA726CF77D64}"/>
    <cellStyle name="Style 73 5 2 11 2" xfId="24186" xr:uid="{1BF6D913-FD07-4AB3-BD86-D1CF4333B54B}"/>
    <cellStyle name="Style 73 5 2 12" xfId="7975" xr:uid="{E7E00625-6E38-468C-9F4F-C96FBA569A50}"/>
    <cellStyle name="Style 73 5 2 12 2" xfId="24187" xr:uid="{FD1C7AD5-E0D4-4A5C-9B36-D46865DE06A3}"/>
    <cellStyle name="Style 73 5 2 13" xfId="7976" xr:uid="{A4210717-DC73-4A76-8FE2-870266375206}"/>
    <cellStyle name="Style 73 5 2 13 2" xfId="24188" xr:uid="{E87F34B7-4C10-4FA5-B330-0F85CA8AAF1B}"/>
    <cellStyle name="Style 73 5 2 14" xfId="18980" xr:uid="{DFAA1106-C6A8-4BC7-B0D0-B21FE824525B}"/>
    <cellStyle name="Style 73 5 2 2" xfId="1977" xr:uid="{66F91B78-3906-4684-AC2D-DCDFEEC1D04F}"/>
    <cellStyle name="Style 73 5 2 2 10" xfId="7977" xr:uid="{2280211C-45E4-4652-AEC1-8CA734A67DA5}"/>
    <cellStyle name="Style 73 5 2 2 10 2" xfId="24189" xr:uid="{3E6AFF44-BD27-465B-8FC3-10FDB76A9F21}"/>
    <cellStyle name="Style 73 5 2 2 11" xfId="18981" xr:uid="{E5792901-49E0-4C5D-BDCA-FE79794AE3EF}"/>
    <cellStyle name="Style 73 5 2 2 2" xfId="4418" xr:uid="{6DDDDC77-514E-40B3-A4AD-5450038A3AD9}"/>
    <cellStyle name="Style 73 5 2 2 2 2" xfId="7978" xr:uid="{7A2AB5D0-2D95-45C3-B023-DD7390641D7E}"/>
    <cellStyle name="Style 73 5 2 2 2 2 2" xfId="24190" xr:uid="{ED25B7A5-7AA2-4FB1-9752-B853311D50BF}"/>
    <cellStyle name="Style 73 5 2 2 2 3" xfId="22092" xr:uid="{F524DABF-C25D-4838-B623-284F772F4592}"/>
    <cellStyle name="Style 73 5 2 2 3" xfId="7979" xr:uid="{DD808A3C-35CB-43D2-A5CF-83521E7A79CB}"/>
    <cellStyle name="Style 73 5 2 2 3 2" xfId="24191" xr:uid="{27CA28EB-73CF-4FA5-B70F-BD29D60ADF79}"/>
    <cellStyle name="Style 73 5 2 2 4" xfId="7980" xr:uid="{B0C3DCA8-2D78-4DE6-85B9-EAC420601407}"/>
    <cellStyle name="Style 73 5 2 2 4 2" xfId="24192" xr:uid="{3E9AF068-C665-4FAA-96B6-DE5C07E76C22}"/>
    <cellStyle name="Style 73 5 2 2 5" xfId="7981" xr:uid="{02A4C608-81E3-4387-B9E5-CE748B9193DD}"/>
    <cellStyle name="Style 73 5 2 2 5 2" xfId="24193" xr:uid="{5F2A6426-DF94-4E8F-B6D1-2F547B0CBC31}"/>
    <cellStyle name="Style 73 5 2 2 6" xfId="7982" xr:uid="{66470DA2-41FD-4B36-9893-5029039BC562}"/>
    <cellStyle name="Style 73 5 2 2 6 2" xfId="24194" xr:uid="{F6880455-C1F8-4327-BAAD-B8621FD76D84}"/>
    <cellStyle name="Style 73 5 2 2 7" xfId="7983" xr:uid="{3DB79026-0298-449C-B19F-C02603E429CD}"/>
    <cellStyle name="Style 73 5 2 2 7 2" xfId="24195" xr:uid="{A0A61A51-3AFA-4767-99CE-51C87DBA65E4}"/>
    <cellStyle name="Style 73 5 2 2 8" xfId="7984" xr:uid="{40562E08-8DEA-41C1-AE0B-2FB1A2C72F9C}"/>
    <cellStyle name="Style 73 5 2 2 8 2" xfId="24196" xr:uid="{DB79461C-C709-42FD-B840-1D48F9202E5B}"/>
    <cellStyle name="Style 73 5 2 2 9" xfId="7985" xr:uid="{E3ADE721-EB9F-4555-B992-83B7C49BF505}"/>
    <cellStyle name="Style 73 5 2 2 9 2" xfId="24197" xr:uid="{5FE06F53-5E7F-4737-8BB7-F678B587E0D3}"/>
    <cellStyle name="Style 73 5 2 3" xfId="1978" xr:uid="{933C1A8E-F718-4958-B211-079AB524053A}"/>
    <cellStyle name="Style 73 5 2 3 10" xfId="7986" xr:uid="{342275D1-AE9B-4B7A-A0D4-E5A4E8A6344D}"/>
    <cellStyle name="Style 73 5 2 3 10 2" xfId="24198" xr:uid="{DAAE0C1B-5B2B-4F43-8E5D-3CB6096DCB1D}"/>
    <cellStyle name="Style 73 5 2 3 11" xfId="7987" xr:uid="{49C7FA11-44BF-4A88-81BE-06058208DB46}"/>
    <cellStyle name="Style 73 5 2 3 11 2" xfId="24199" xr:uid="{97D496E9-DFE5-419F-AD5C-0C117D81B4D6}"/>
    <cellStyle name="Style 73 5 2 3 12" xfId="7988" xr:uid="{3464D562-AD65-4687-995E-30DD6658AA84}"/>
    <cellStyle name="Style 73 5 2 3 12 2" xfId="24200" xr:uid="{17EF6722-7D20-4AC1-B0FE-DEEE2DEE3C82}"/>
    <cellStyle name="Style 73 5 2 3 13" xfId="18982" xr:uid="{04BECEAA-28F4-4EEE-84B1-EF5041FA3D9B}"/>
    <cellStyle name="Style 73 5 2 3 2" xfId="1979" xr:uid="{E2B189BE-5F48-40AB-A848-1B292B9270D0}"/>
    <cellStyle name="Style 73 5 2 3 2 10" xfId="7989" xr:uid="{2E12129E-2C32-49A8-BB41-1E6042126854}"/>
    <cellStyle name="Style 73 5 2 3 2 10 2" xfId="24201" xr:uid="{874F3D1C-233C-4773-9A92-596C6E927649}"/>
    <cellStyle name="Style 73 5 2 3 2 11" xfId="18983" xr:uid="{AA20F2CE-306E-41BA-BA05-7BA846272F18}"/>
    <cellStyle name="Style 73 5 2 3 2 2" xfId="4420" xr:uid="{CBBD3AAE-4F28-455F-B835-9CFC28EF2BB6}"/>
    <cellStyle name="Style 73 5 2 3 2 2 2" xfId="7990" xr:uid="{4B2F9C1E-7232-4CB7-8BCF-652AC05859F6}"/>
    <cellStyle name="Style 73 5 2 3 2 2 2 2" xfId="24202" xr:uid="{B5856807-A157-4221-84E7-1500035F19DA}"/>
    <cellStyle name="Style 73 5 2 3 2 2 3" xfId="22094" xr:uid="{5D6BB3B6-D1B3-45F7-B7CB-BEDB991683A1}"/>
    <cellStyle name="Style 73 5 2 3 2 3" xfId="7991" xr:uid="{6BDD6A91-BCF7-4D40-9414-19871E70F371}"/>
    <cellStyle name="Style 73 5 2 3 2 3 2" xfId="24203" xr:uid="{D792E83D-CE75-4EFA-A52A-57A126E9F5A1}"/>
    <cellStyle name="Style 73 5 2 3 2 4" xfId="7992" xr:uid="{1AC9874D-BEC4-4A30-B774-D9E21AE96F7D}"/>
    <cellStyle name="Style 73 5 2 3 2 4 2" xfId="24204" xr:uid="{C2CB100F-190A-4008-9F3D-A9E6D7D906E1}"/>
    <cellStyle name="Style 73 5 2 3 2 5" xfId="7993" xr:uid="{2A562D8C-36DC-43C1-9CB3-7CD619B3D91D}"/>
    <cellStyle name="Style 73 5 2 3 2 5 2" xfId="24205" xr:uid="{76E104DE-B732-4EBC-B67D-94B222D5000E}"/>
    <cellStyle name="Style 73 5 2 3 2 6" xfId="7994" xr:uid="{FB6493E7-6F4E-4FBA-B773-241CA77F2E1A}"/>
    <cellStyle name="Style 73 5 2 3 2 6 2" xfId="24206" xr:uid="{AFB2A59B-E4BC-4011-9C19-B7F7647C6346}"/>
    <cellStyle name="Style 73 5 2 3 2 7" xfId="7995" xr:uid="{FB329650-9493-407E-9C6D-40A13B688206}"/>
    <cellStyle name="Style 73 5 2 3 2 7 2" xfId="24207" xr:uid="{A72AF85F-E82A-41B7-A867-B71919ADD0DF}"/>
    <cellStyle name="Style 73 5 2 3 2 8" xfId="7996" xr:uid="{C91333D7-9359-467D-B87F-6616C5A099D8}"/>
    <cellStyle name="Style 73 5 2 3 2 8 2" xfId="24208" xr:uid="{9C8D1609-E737-406E-BFA0-87E99CDA621A}"/>
    <cellStyle name="Style 73 5 2 3 2 9" xfId="7997" xr:uid="{43E31A89-9FF3-4092-B7EC-001B764D4DD4}"/>
    <cellStyle name="Style 73 5 2 3 2 9 2" xfId="24209" xr:uid="{2A37828C-0A62-40DD-B562-E1805205F809}"/>
    <cellStyle name="Style 73 5 2 3 3" xfId="4421" xr:uid="{B9219FF9-5515-4A28-B5B2-F5918DCC27D7}"/>
    <cellStyle name="Style 73 5 2 3 3 2" xfId="7998" xr:uid="{088AD717-0607-4468-8F8A-8E83ACF80088}"/>
    <cellStyle name="Style 73 5 2 3 3 2 2" xfId="24210" xr:uid="{15173D2E-B9D2-47CD-9BAA-58FFD43EC96B}"/>
    <cellStyle name="Style 73 5 2 3 3 3" xfId="7999" xr:uid="{E98B3628-FD50-4172-BD41-4D9F35B07B9F}"/>
    <cellStyle name="Style 73 5 2 3 3 3 2" xfId="24211" xr:uid="{FB52F3DD-55EF-493C-B11A-144EEF8B6180}"/>
    <cellStyle name="Style 73 5 2 3 3 4" xfId="8000" xr:uid="{135D0580-5891-4725-87FF-0FBA4A462722}"/>
    <cellStyle name="Style 73 5 2 3 3 4 2" xfId="24212" xr:uid="{FB8D4641-A738-49A2-9868-F96183A3BB34}"/>
    <cellStyle name="Style 73 5 2 3 3 5" xfId="18984" xr:uid="{4A53E063-60F2-4E6E-8AA9-18B76CB28F23}"/>
    <cellStyle name="Style 73 5 2 3 4" xfId="4422" xr:uid="{5B8064AD-7F64-42DC-BA50-C3B09E2DDCD9}"/>
    <cellStyle name="Style 73 5 2 3 4 2" xfId="8001" xr:uid="{41A4F25F-1783-4110-A339-9F113F10FED0}"/>
    <cellStyle name="Style 73 5 2 3 4 2 2" xfId="24213" xr:uid="{F9D2105D-1BDE-4746-B359-7662F741BB7B}"/>
    <cellStyle name="Style 73 5 2 3 4 3" xfId="19641" xr:uid="{6243C0D9-0F2D-4ABC-BB4E-0BA8BFFA2F37}"/>
    <cellStyle name="Style 73 5 2 3 5" xfId="4419" xr:uid="{F6D87059-7B26-4828-B198-F0B68E466F0D}"/>
    <cellStyle name="Style 73 5 2 3 5 2" xfId="8002" xr:uid="{62E0DE36-0564-448F-BD77-B72AEA5093D6}"/>
    <cellStyle name="Style 73 5 2 3 5 2 2" xfId="24214" xr:uid="{E51BA764-A445-4D6E-93CE-F0647F9114E7}"/>
    <cellStyle name="Style 73 5 2 3 5 3" xfId="22093" xr:uid="{223891CC-B383-46B9-9E74-497A30EAEE68}"/>
    <cellStyle name="Style 73 5 2 3 6" xfId="8003" xr:uid="{EC50CCD9-72AF-4A39-96E4-3A9AD0979FFA}"/>
    <cellStyle name="Style 73 5 2 3 6 2" xfId="24215" xr:uid="{1D90524E-ED22-42B9-B4E6-7E3ED6B1BE43}"/>
    <cellStyle name="Style 73 5 2 3 7" xfId="8004" xr:uid="{31380866-7ACE-486F-96BE-A16D0CB5573E}"/>
    <cellStyle name="Style 73 5 2 3 7 2" xfId="24216" xr:uid="{1923F4E0-E023-45C2-ADC3-C02F55E992AD}"/>
    <cellStyle name="Style 73 5 2 3 8" xfId="8005" xr:uid="{08F27ADA-E52D-4C79-91D2-B81EA507AFA8}"/>
    <cellStyle name="Style 73 5 2 3 8 2" xfId="24217" xr:uid="{9A523D49-1C31-47C1-A36D-D5211A8ACA49}"/>
    <cellStyle name="Style 73 5 2 3 9" xfId="8006" xr:uid="{B0391452-DA1D-47EC-8E17-E529580B6426}"/>
    <cellStyle name="Style 73 5 2 3 9 2" xfId="24218" xr:uid="{7E8CEB13-7BD8-474B-86F1-533F271BAAC2}"/>
    <cellStyle name="Style 73 5 2 4" xfId="1980" xr:uid="{EF1D4231-3B41-4021-B25A-0A1C05393EBF}"/>
    <cellStyle name="Style 73 5 2 4 10" xfId="8007" xr:uid="{726F573F-273A-4D9F-9892-43F1F5930968}"/>
    <cellStyle name="Style 73 5 2 4 10 2" xfId="24219" xr:uid="{4E04A909-CF6B-46EF-8589-B80F48233B50}"/>
    <cellStyle name="Style 73 5 2 4 11" xfId="8008" xr:uid="{0C92AB65-ACF6-4FEC-9B7D-41063798ED11}"/>
    <cellStyle name="Style 73 5 2 4 11 2" xfId="24220" xr:uid="{A41CA581-A744-43E9-8C57-D37372E7240A}"/>
    <cellStyle name="Style 73 5 2 4 12" xfId="18985" xr:uid="{148F9461-3F79-4A31-8877-CB55A41CA67A}"/>
    <cellStyle name="Style 73 5 2 4 2" xfId="1981" xr:uid="{D40EA85F-E44B-413A-9FC1-C95A5B3C61E9}"/>
    <cellStyle name="Style 73 5 2 4 2 10" xfId="8009" xr:uid="{08823DB9-EF48-4021-9A39-33A120D3B7A1}"/>
    <cellStyle name="Style 73 5 2 4 2 10 2" xfId="24221" xr:uid="{055A4558-AC25-4CFE-B12E-4E97A896DEDC}"/>
    <cellStyle name="Style 73 5 2 4 2 11" xfId="18986" xr:uid="{E8F5D398-C751-4B46-A052-C1FB2C917558}"/>
    <cellStyle name="Style 73 5 2 4 2 2" xfId="4424" xr:uid="{7BD1738D-4B3F-47DF-B538-E7868AEAFC24}"/>
    <cellStyle name="Style 73 5 2 4 2 2 2" xfId="8010" xr:uid="{B920155D-39F8-450A-B05A-B802F8853280}"/>
    <cellStyle name="Style 73 5 2 4 2 2 2 2" xfId="24222" xr:uid="{D9C56D25-868B-4ED8-ABB4-9D4EF96561D4}"/>
    <cellStyle name="Style 73 5 2 4 2 2 3" xfId="22096" xr:uid="{20F3FB7D-D58E-4EB4-83BF-8AEB5D792C71}"/>
    <cellStyle name="Style 73 5 2 4 2 3" xfId="8011" xr:uid="{0E5D1307-58ED-45D3-BB92-9F8E1B3287C5}"/>
    <cellStyle name="Style 73 5 2 4 2 3 2" xfId="24223" xr:uid="{8E8DF52A-F704-4066-BD82-A47BB98853A5}"/>
    <cellStyle name="Style 73 5 2 4 2 4" xfId="8012" xr:uid="{3DCE9676-3797-4950-ACBA-228F8F5BD38A}"/>
    <cellStyle name="Style 73 5 2 4 2 4 2" xfId="24224" xr:uid="{F867219B-716A-436F-8398-330B838CDBFF}"/>
    <cellStyle name="Style 73 5 2 4 2 5" xfId="8013" xr:uid="{5EDFF93A-FAE6-4702-9A02-63237CBB127A}"/>
    <cellStyle name="Style 73 5 2 4 2 5 2" xfId="24225" xr:uid="{C742A51A-AD8B-42E3-A97B-4944EF97CD62}"/>
    <cellStyle name="Style 73 5 2 4 2 6" xfId="8014" xr:uid="{26E806F8-D75B-4A65-9AC1-1FE0C2BF8964}"/>
    <cellStyle name="Style 73 5 2 4 2 6 2" xfId="24226" xr:uid="{343CACB5-B750-4575-9782-63CA062C8634}"/>
    <cellStyle name="Style 73 5 2 4 2 7" xfId="8015" xr:uid="{FC2EB7F1-5D9B-4BA2-8A7A-7377DE5A50E9}"/>
    <cellStyle name="Style 73 5 2 4 2 7 2" xfId="24227" xr:uid="{94BE4021-BCE4-4D42-8C57-7426ABDB5013}"/>
    <cellStyle name="Style 73 5 2 4 2 8" xfId="8016" xr:uid="{EBA55A71-5DEF-4FCE-812E-82B742D7549F}"/>
    <cellStyle name="Style 73 5 2 4 2 8 2" xfId="24228" xr:uid="{5E2C9A21-2464-42D7-9E1C-DE99FA70C39B}"/>
    <cellStyle name="Style 73 5 2 4 2 9" xfId="8017" xr:uid="{1226FCDE-1152-4A56-8454-470159C9A3A9}"/>
    <cellStyle name="Style 73 5 2 4 2 9 2" xfId="24229" xr:uid="{FE8B3FD9-613E-4299-8A0F-0D975A9BC183}"/>
    <cellStyle name="Style 73 5 2 4 3" xfId="4423" xr:uid="{A1A31AFA-370D-40B5-AFFA-D59F0BFD5A5A}"/>
    <cellStyle name="Style 73 5 2 4 3 2" xfId="8018" xr:uid="{702EFD64-64FC-4303-8FE6-70C531A11ADC}"/>
    <cellStyle name="Style 73 5 2 4 3 2 2" xfId="24230" xr:uid="{07646320-802F-49C7-B466-529B3ABAF10F}"/>
    <cellStyle name="Style 73 5 2 4 3 3" xfId="22095" xr:uid="{8B80A189-0448-40E2-B5D5-9797723EC806}"/>
    <cellStyle name="Style 73 5 2 4 4" xfId="8019" xr:uid="{1FE12F11-1CC7-48D6-BBBE-FE3504573E14}"/>
    <cellStyle name="Style 73 5 2 4 4 2" xfId="24231" xr:uid="{A97C0DCB-1C5C-48F0-A085-899E4F3325B7}"/>
    <cellStyle name="Style 73 5 2 4 5" xfId="8020" xr:uid="{507016A9-D61A-479C-B696-7DCC76322520}"/>
    <cellStyle name="Style 73 5 2 4 5 2" xfId="24232" xr:uid="{5D10EFD7-356E-4ED5-8CDB-0EC85A53356B}"/>
    <cellStyle name="Style 73 5 2 4 6" xfId="8021" xr:uid="{8341D673-106D-4AC9-9B91-FEDA9D95D88E}"/>
    <cellStyle name="Style 73 5 2 4 6 2" xfId="24233" xr:uid="{A07527C2-6F66-49CD-A38B-400F881D9FF2}"/>
    <cellStyle name="Style 73 5 2 4 7" xfId="8022" xr:uid="{939671C2-89DE-4772-A2C1-9C10391A4663}"/>
    <cellStyle name="Style 73 5 2 4 7 2" xfId="24234" xr:uid="{2286FEBF-4E06-4D59-BD27-BEA4E7868C89}"/>
    <cellStyle name="Style 73 5 2 4 8" xfId="8023" xr:uid="{1216CF10-8DB7-4E18-8B21-BA480A01C53A}"/>
    <cellStyle name="Style 73 5 2 4 8 2" xfId="24235" xr:uid="{56033CA2-34D4-4698-95CC-8068163A337A}"/>
    <cellStyle name="Style 73 5 2 4 9" xfId="8024" xr:uid="{D5ADEB5D-3A82-4380-9BAE-DDB087B1EA54}"/>
    <cellStyle name="Style 73 5 2 4 9 2" xfId="24236" xr:uid="{154028BD-8719-4C64-8890-132CCB7EDCFD}"/>
    <cellStyle name="Style 73 5 2 5" xfId="4425" xr:uid="{5B798B78-0823-4C5E-A14C-C5F23FCF7F1A}"/>
    <cellStyle name="Style 73 5 2 5 2" xfId="8025" xr:uid="{140C9E19-D2F8-49CA-B669-BEA347398BAE}"/>
    <cellStyle name="Style 73 5 2 5 2 2" xfId="24237" xr:uid="{25EABECB-7632-4912-9369-6F9AAD0900C8}"/>
    <cellStyle name="Style 73 5 2 5 3" xfId="19642" xr:uid="{5A2F8D80-4964-4104-B76A-023AE8A98063}"/>
    <cellStyle name="Style 73 5 2 6" xfId="4417" xr:uid="{784B1473-8D24-4930-8739-78714F236CB9}"/>
    <cellStyle name="Style 73 5 2 6 2" xfId="8026" xr:uid="{E5C1B9C4-08EE-4628-B50B-0B89F9A6E42F}"/>
    <cellStyle name="Style 73 5 2 6 2 2" xfId="24238" xr:uid="{42B133EA-89CF-41D1-B02C-4AC8A31FFD40}"/>
    <cellStyle name="Style 73 5 2 6 3" xfId="22091" xr:uid="{702E398E-C7A0-45B9-983B-B7AA3474BB43}"/>
    <cellStyle name="Style 73 5 2 7" xfId="8027" xr:uid="{009C3FC3-BCAD-46C5-8D58-A972314A2AAC}"/>
    <cellStyle name="Style 73 5 2 7 2" xfId="24239" xr:uid="{59F90956-8A94-452C-8CD0-9A3BFAD2DBC8}"/>
    <cellStyle name="Style 73 5 2 8" xfId="8028" xr:uid="{1A7A4085-1B9D-4DC1-9C49-87562A610923}"/>
    <cellStyle name="Style 73 5 2 8 2" xfId="24240" xr:uid="{267BEF47-B2BF-4163-80F3-063C9760442F}"/>
    <cellStyle name="Style 73 5 2 9" xfId="8029" xr:uid="{543D54B0-FD2F-43BD-B5BE-072C8B6B4B08}"/>
    <cellStyle name="Style 73 5 2 9 2" xfId="24241" xr:uid="{42D4F454-D0FA-4693-9B46-1F8BD73D4B92}"/>
    <cellStyle name="Style 73 5 3" xfId="1982" xr:uid="{BF06182C-FC43-4374-AB62-CEC89CB09A54}"/>
    <cellStyle name="Style 73 5 3 10" xfId="8030" xr:uid="{BC45C41C-36F6-4D76-B071-6169AC0AA581}"/>
    <cellStyle name="Style 73 5 3 10 2" xfId="24242" xr:uid="{8FE8B41C-FF91-42F6-98C9-0310CBC9B025}"/>
    <cellStyle name="Style 73 5 3 11" xfId="18987" xr:uid="{467434B2-D923-4708-9BD5-841816DE9905}"/>
    <cellStyle name="Style 73 5 3 2" xfId="4426" xr:uid="{11A02A1F-484B-4351-A402-6F894C9861B1}"/>
    <cellStyle name="Style 73 5 3 2 2" xfId="8031" xr:uid="{1995955B-2150-47A3-AB2C-343245EE2F1E}"/>
    <cellStyle name="Style 73 5 3 2 2 2" xfId="24243" xr:uid="{6D53C013-E092-4C36-8219-CCECCFFCE46A}"/>
    <cellStyle name="Style 73 5 3 2 3" xfId="22097" xr:uid="{DB76495E-6316-43D1-B407-AC2A24CFB05B}"/>
    <cellStyle name="Style 73 5 3 3" xfId="8032" xr:uid="{E7CD99A0-C20D-48AA-886A-2D7BCA89B792}"/>
    <cellStyle name="Style 73 5 3 3 2" xfId="24244" xr:uid="{A112FE20-1863-4C96-98BF-5D2DC185813E}"/>
    <cellStyle name="Style 73 5 3 4" xfId="8033" xr:uid="{BD76E015-54A0-433D-8ECB-6A2014260044}"/>
    <cellStyle name="Style 73 5 3 4 2" xfId="24245" xr:uid="{6D8935EC-DC04-48D0-BAB7-1F1A127E08AC}"/>
    <cellStyle name="Style 73 5 3 5" xfId="8034" xr:uid="{7987AA24-A337-40D2-BB8D-A44DE73387E6}"/>
    <cellStyle name="Style 73 5 3 5 2" xfId="24246" xr:uid="{A9511634-6EE2-4AD5-A726-EB3DA36C2B1C}"/>
    <cellStyle name="Style 73 5 3 6" xfId="8035" xr:uid="{48D0A0D2-A9B2-4673-9240-4A2FF74D241E}"/>
    <cellStyle name="Style 73 5 3 6 2" xfId="24247" xr:uid="{C17D3353-C2C2-4DED-A70C-9B9ED0F69DA8}"/>
    <cellStyle name="Style 73 5 3 7" xfId="8036" xr:uid="{F5C05FC1-C4A6-4F4A-BF4F-5C074C5AFBED}"/>
    <cellStyle name="Style 73 5 3 7 2" xfId="24248" xr:uid="{82DD5C5E-EE98-4194-9300-B3A6748B68C8}"/>
    <cellStyle name="Style 73 5 3 8" xfId="8037" xr:uid="{3A4297F3-6A03-4C79-AC90-CC6907062B63}"/>
    <cellStyle name="Style 73 5 3 8 2" xfId="24249" xr:uid="{FD3C80F0-116E-46B4-916F-4474FB484B88}"/>
    <cellStyle name="Style 73 5 3 9" xfId="8038" xr:uid="{E4ECCABD-EA90-41C0-A0DD-6F744C7397F8}"/>
    <cellStyle name="Style 73 5 3 9 2" xfId="24250" xr:uid="{F8592BC7-FAE2-4809-8FCF-C8637116C5D3}"/>
    <cellStyle name="Style 73 5 4" xfId="4427" xr:uid="{0796670E-39FB-4E03-BD7B-6BC336C162F7}"/>
    <cellStyle name="Style 73 5 4 2" xfId="4428" xr:uid="{5982E5C2-16C2-467A-A142-78AB5D5AF008}"/>
    <cellStyle name="Style 73 5 4 2 2" xfId="8039" xr:uid="{D535EE55-EDCA-49A0-963D-DE1E03DF72AC}"/>
    <cellStyle name="Style 73 5 4 2 2 2" xfId="24251" xr:uid="{63073D29-EC43-47FC-BBBB-BC0F6DD3F078}"/>
    <cellStyle name="Style 73 5 4 2 3" xfId="19643" xr:uid="{1CE1C12F-CCEA-4C49-AA2E-C64A03C94650}"/>
    <cellStyle name="Style 73 5 4 3" xfId="8040" xr:uid="{194B1E5F-A313-4551-8E91-DE1DF460C539}"/>
    <cellStyle name="Style 73 5 4 3 2" xfId="24252" xr:uid="{F91A5F04-D46C-4F02-8038-C3AF16301BC9}"/>
    <cellStyle name="Style 73 5 4 4" xfId="8041" xr:uid="{4F7CFC35-0A6E-4D77-8243-8DE1C0C2E806}"/>
    <cellStyle name="Style 73 5 4 4 2" xfId="24253" xr:uid="{319FD97C-914F-4E8F-AAC5-E99B1020F896}"/>
    <cellStyle name="Style 73 5 4 5" xfId="18988" xr:uid="{DC4FC687-F411-4134-9C8A-57D8583F64A0}"/>
    <cellStyle name="Style 73 5 5" xfId="4416" xr:uid="{28ADC56A-010D-4010-B229-FCFE3A6BD7A8}"/>
    <cellStyle name="Style 73 5 5 2" xfId="8042" xr:uid="{FB939702-0343-43DB-8008-B2A3C41E5B1D}"/>
    <cellStyle name="Style 73 5 5 2 2" xfId="24254" xr:uid="{C829C26E-7F2F-48D6-8011-5286DF6F5D6E}"/>
    <cellStyle name="Style 73 5 5 3" xfId="20664" xr:uid="{BA8B73BA-4158-4976-9228-C2DCF4781700}"/>
    <cellStyle name="Style 73 5 6" xfId="2956" xr:uid="{4744456C-1BAD-4479-9593-6D7E7046D15C}"/>
    <cellStyle name="Style 73 5 6 2" xfId="8043" xr:uid="{FA267051-F64D-446A-BC54-1CCBDCB0F3C8}"/>
    <cellStyle name="Style 73 5 6 2 2" xfId="24255" xr:uid="{423B4C2C-8E56-4731-910F-77CDCB00CF8B}"/>
    <cellStyle name="Style 73 5 6 3" xfId="21299" xr:uid="{00863792-9B17-4EC7-B0E9-251B2C7945DC}"/>
    <cellStyle name="Style 73 5 7" xfId="8044" xr:uid="{D0CDE03C-7963-4CC2-83ED-7E300B3D832D}"/>
    <cellStyle name="Style 73 5 7 2" xfId="24256" xr:uid="{92B29573-EB43-4CF1-A6DD-A6E35A24C509}"/>
    <cellStyle name="Style 73 5 8" xfId="8045" xr:uid="{9617847C-8F83-41DC-8B18-4CB641092059}"/>
    <cellStyle name="Style 73 5 8 2" xfId="24257" xr:uid="{AA68E0D0-72AC-4E8B-998C-7C3CF72BC0DE}"/>
    <cellStyle name="Style 73 5 9" xfId="8046" xr:uid="{BF28AB77-AB21-4D27-94F3-9205F77B0AAA}"/>
    <cellStyle name="Style 73 5 9 2" xfId="24258" xr:uid="{CF599466-B93D-4C98-9E22-A754F1831C27}"/>
    <cellStyle name="Style 73 6" xfId="1983" xr:uid="{4FE7BDA8-234A-4D05-8539-059FA54496B7}"/>
    <cellStyle name="Style 73 6 10" xfId="8047" xr:uid="{F0066FB9-72E5-4AD5-87E8-6E6580B69C8F}"/>
    <cellStyle name="Style 73 6 10 2" xfId="24259" xr:uid="{117C7C4E-B569-4F2B-B22C-2F6B07163DE2}"/>
    <cellStyle name="Style 73 6 11" xfId="8048" xr:uid="{EB72C044-4185-4FE9-B43C-D2695E99880C}"/>
    <cellStyle name="Style 73 6 11 2" xfId="24260" xr:uid="{EF159E16-2B8F-407B-987C-117FA022B1FD}"/>
    <cellStyle name="Style 73 6 12" xfId="8049" xr:uid="{100230BC-0ADC-4897-B15C-A213B951CEEA}"/>
    <cellStyle name="Style 73 6 12 2" xfId="24261" xr:uid="{1415E5A2-1810-4186-9CCE-88514B8A2FDF}"/>
    <cellStyle name="Style 73 6 13" xfId="8050" xr:uid="{7F44D111-63BB-4F8D-A7BD-DA932173F6E2}"/>
    <cellStyle name="Style 73 6 13 2" xfId="24262" xr:uid="{8FC93DBF-453E-4963-8245-8E91D95044E1}"/>
    <cellStyle name="Style 73 6 14" xfId="8051" xr:uid="{59805D8A-A28E-4D64-8132-FE3F46F56808}"/>
    <cellStyle name="Style 73 6 14 2" xfId="24263" xr:uid="{A92B82DF-63EC-4363-9F0D-B2B1FBB2BBEC}"/>
    <cellStyle name="Style 73 6 15" xfId="18989" xr:uid="{E81698E1-0F2F-4EE2-838C-D7A43287A803}"/>
    <cellStyle name="Style 73 6 2" xfId="1984" xr:uid="{F7E00277-3A19-47E8-B581-7018AC9F6FA8}"/>
    <cellStyle name="Style 73 6 2 10" xfId="8052" xr:uid="{2BDE7211-63AF-4294-833E-72CDC74821C9}"/>
    <cellStyle name="Style 73 6 2 10 2" xfId="24264" xr:uid="{C45AD53B-CAA3-4D67-B47E-A93D773D4D48}"/>
    <cellStyle name="Style 73 6 2 11" xfId="18990" xr:uid="{AF586AA6-AB84-4FAD-A329-91AD74ABC760}"/>
    <cellStyle name="Style 73 6 2 2" xfId="4430" xr:uid="{10CEDE15-9E77-4918-BE59-4F417DAFB5E9}"/>
    <cellStyle name="Style 73 6 2 2 2" xfId="8053" xr:uid="{31F8D15B-D2F6-491C-A258-0FFD781A3EA5}"/>
    <cellStyle name="Style 73 6 2 2 2 2" xfId="24265" xr:uid="{A27C5232-19A5-49F0-ADF8-7FA154FAA504}"/>
    <cellStyle name="Style 73 6 2 2 3" xfId="22099" xr:uid="{02EA2E56-7B66-4042-8EB3-FE5E5E8E4777}"/>
    <cellStyle name="Style 73 6 2 3" xfId="8054" xr:uid="{DAC12A38-CD3F-44DE-8172-21462642F85A}"/>
    <cellStyle name="Style 73 6 2 3 2" xfId="24266" xr:uid="{E99CE1EF-39CB-43C1-9519-6B8163ED93B0}"/>
    <cellStyle name="Style 73 6 2 4" xfId="8055" xr:uid="{5C36B8FA-9C99-4816-BF3B-AC5825452D02}"/>
    <cellStyle name="Style 73 6 2 4 2" xfId="24267" xr:uid="{97DA9031-B5E9-4B47-A21A-CD8EA3BBFD51}"/>
    <cellStyle name="Style 73 6 2 5" xfId="8056" xr:uid="{2E672893-ADC8-4134-A0D4-D3E0D0E4B446}"/>
    <cellStyle name="Style 73 6 2 5 2" xfId="24268" xr:uid="{30886B7F-4EDA-4B91-AD7A-2CD3E8732383}"/>
    <cellStyle name="Style 73 6 2 6" xfId="8057" xr:uid="{FE55A05F-A333-4C95-A5EA-51E1C8B7500B}"/>
    <cellStyle name="Style 73 6 2 6 2" xfId="24269" xr:uid="{8ECF6E03-EAF6-49BF-966D-BE200BAAB06C}"/>
    <cellStyle name="Style 73 6 2 7" xfId="8058" xr:uid="{E6E535EB-FCDD-414F-B832-1E175060AD74}"/>
    <cellStyle name="Style 73 6 2 7 2" xfId="24270" xr:uid="{C9D47345-1C8D-4417-A43C-0DC39401E19A}"/>
    <cellStyle name="Style 73 6 2 8" xfId="8059" xr:uid="{8A9F1598-453D-4A16-9553-1D86B5DAC07D}"/>
    <cellStyle name="Style 73 6 2 8 2" xfId="24271" xr:uid="{FDAF31F7-6196-4434-AA78-F59DA8CE76D1}"/>
    <cellStyle name="Style 73 6 2 9" xfId="8060" xr:uid="{0136DFFC-C50E-4236-A461-C1507F9B5342}"/>
    <cellStyle name="Style 73 6 2 9 2" xfId="24272" xr:uid="{4937C5E4-949B-4397-9BA8-9245527DC1D1}"/>
    <cellStyle name="Style 73 6 3" xfId="1985" xr:uid="{C45574C7-87A1-43A2-87DD-FE024C220F39}"/>
    <cellStyle name="Style 73 6 3 10" xfId="8061" xr:uid="{9C74593B-AE25-486A-A5DE-231CB2D9BC4B}"/>
    <cellStyle name="Style 73 6 3 10 2" xfId="24273" xr:uid="{D177D261-F3F1-462A-A9EB-4D52B092A45D}"/>
    <cellStyle name="Style 73 6 3 11" xfId="8062" xr:uid="{89138C29-3249-441E-93F3-102728D4A40B}"/>
    <cellStyle name="Style 73 6 3 11 2" xfId="24274" xr:uid="{552BBB97-F147-4079-AF6D-636EAA582C7C}"/>
    <cellStyle name="Style 73 6 3 12" xfId="8063" xr:uid="{2F6EA52A-0FA2-41AA-B825-F4C40A962680}"/>
    <cellStyle name="Style 73 6 3 12 2" xfId="24275" xr:uid="{F315BF69-ABAD-47F2-89AA-A8B2B922F8BF}"/>
    <cellStyle name="Style 73 6 3 13" xfId="18991" xr:uid="{188652A1-7277-44BA-AF33-C3CEB92C2D16}"/>
    <cellStyle name="Style 73 6 3 2" xfId="1986" xr:uid="{954AD874-C13E-427A-B186-1260AC15014C}"/>
    <cellStyle name="Style 73 6 3 2 10" xfId="8064" xr:uid="{E4BC94B7-F0CF-40D5-9F5F-65B1FDA21F6B}"/>
    <cellStyle name="Style 73 6 3 2 10 2" xfId="24276" xr:uid="{CD55130C-1622-4B6F-8EE4-5D0D4CF56386}"/>
    <cellStyle name="Style 73 6 3 2 11" xfId="18992" xr:uid="{BFE994E5-D14E-4D44-8DF6-87D627B52767}"/>
    <cellStyle name="Style 73 6 3 2 2" xfId="4432" xr:uid="{4D675B1B-DDFD-4A44-AE73-FA602188B56E}"/>
    <cellStyle name="Style 73 6 3 2 2 2" xfId="8065" xr:uid="{B89F5FAB-F550-462B-9BA3-B5372A11EDD5}"/>
    <cellStyle name="Style 73 6 3 2 2 2 2" xfId="24277" xr:uid="{EAAE9F90-50CD-4D81-B6E4-E0A977466E04}"/>
    <cellStyle name="Style 73 6 3 2 2 3" xfId="22101" xr:uid="{4B3F3C5F-3E8C-49EA-B387-E102DE259D4C}"/>
    <cellStyle name="Style 73 6 3 2 3" xfId="8066" xr:uid="{D26065BB-5902-4064-85B9-E98444940216}"/>
    <cellStyle name="Style 73 6 3 2 3 2" xfId="24278" xr:uid="{17D86C12-47C4-4D81-A50A-64C0C48CFB2A}"/>
    <cellStyle name="Style 73 6 3 2 4" xfId="8067" xr:uid="{D7C0922F-3D62-4AEF-BAC2-039D1C6FB993}"/>
    <cellStyle name="Style 73 6 3 2 4 2" xfId="24279" xr:uid="{E1EBBF8C-47B3-4870-A340-6CC826E75209}"/>
    <cellStyle name="Style 73 6 3 2 5" xfId="8068" xr:uid="{3F4B1B27-2527-48B6-BFE9-A71A7FE57974}"/>
    <cellStyle name="Style 73 6 3 2 5 2" xfId="24280" xr:uid="{56690892-667B-40A2-88EA-C7F1C0B9BACB}"/>
    <cellStyle name="Style 73 6 3 2 6" xfId="8069" xr:uid="{3829659F-D5C4-4D64-B2ED-773E66C9684B}"/>
    <cellStyle name="Style 73 6 3 2 6 2" xfId="24281" xr:uid="{23CED464-B2B1-441F-BC1E-88C5FAD5D07D}"/>
    <cellStyle name="Style 73 6 3 2 7" xfId="8070" xr:uid="{63EB16D3-F67D-4F4F-A170-DB858246D375}"/>
    <cellStyle name="Style 73 6 3 2 7 2" xfId="24282" xr:uid="{3EEA43D0-74C0-4D29-9834-BEEA06D96FE1}"/>
    <cellStyle name="Style 73 6 3 2 8" xfId="8071" xr:uid="{C8DCA1CD-5E2E-43C6-8BAE-3C87B3C27C6F}"/>
    <cellStyle name="Style 73 6 3 2 8 2" xfId="24283" xr:uid="{EC6332C7-DBB3-4C39-AB49-A684F42E03D7}"/>
    <cellStyle name="Style 73 6 3 2 9" xfId="8072" xr:uid="{1AE11C9A-6F25-4E67-801C-F004EF81DDC1}"/>
    <cellStyle name="Style 73 6 3 2 9 2" xfId="24284" xr:uid="{632B1BDA-57C9-4A47-ABDF-AFF641ACBAF5}"/>
    <cellStyle name="Style 73 6 3 3" xfId="4433" xr:uid="{F4AD0540-DAF9-4823-9B76-25F6A8DD2142}"/>
    <cellStyle name="Style 73 6 3 3 2" xfId="8073" xr:uid="{32FDA911-9BBD-4006-B282-9D071B77F63C}"/>
    <cellStyle name="Style 73 6 3 3 2 2" xfId="24285" xr:uid="{FE23D8CB-2143-48D6-8C2C-1FC3E1D2696F}"/>
    <cellStyle name="Style 73 6 3 3 3" xfId="8074" xr:uid="{040EEF7F-5E62-44A0-BFB6-343DED2AAB18}"/>
    <cellStyle name="Style 73 6 3 3 3 2" xfId="24286" xr:uid="{03C97E67-EAA5-489E-B627-6E4862A3D34C}"/>
    <cellStyle name="Style 73 6 3 3 4" xfId="8075" xr:uid="{FB972918-712D-4C2C-839A-4424420134AB}"/>
    <cellStyle name="Style 73 6 3 3 4 2" xfId="24287" xr:uid="{E6621AE4-61A6-4CBF-9995-A8C7620A3AC4}"/>
    <cellStyle name="Style 73 6 3 3 5" xfId="18993" xr:uid="{5C5E637A-DD3A-42B4-A33C-3D3FAE772CB4}"/>
    <cellStyle name="Style 73 6 3 4" xfId="4434" xr:uid="{73F92E67-69AE-46FF-9550-E80580A9391F}"/>
    <cellStyle name="Style 73 6 3 4 2" xfId="8076" xr:uid="{6EA6E1D7-D571-4559-ADC0-AA9E4A8A0E24}"/>
    <cellStyle name="Style 73 6 3 4 2 2" xfId="24288" xr:uid="{8289D279-5514-42CD-97F9-C840211C2D75}"/>
    <cellStyle name="Style 73 6 3 4 3" xfId="19644" xr:uid="{1E2E7B83-4A80-468E-A7C5-A7F4A4D999A2}"/>
    <cellStyle name="Style 73 6 3 5" xfId="4431" xr:uid="{1862C480-6331-4D49-AC7D-27653A68E6C3}"/>
    <cellStyle name="Style 73 6 3 5 2" xfId="8077" xr:uid="{4B60DCD6-D5B0-454D-BBDB-5CA84F35322D}"/>
    <cellStyle name="Style 73 6 3 5 2 2" xfId="24289" xr:uid="{A8F77013-40A3-4399-A5C2-2C6815522163}"/>
    <cellStyle name="Style 73 6 3 5 3" xfId="22100" xr:uid="{0FC1F7C3-DB43-4AA4-AA03-1820D78CE53F}"/>
    <cellStyle name="Style 73 6 3 6" xfId="8078" xr:uid="{A9B26EBE-3C44-48C2-AD93-D5A4355F90CA}"/>
    <cellStyle name="Style 73 6 3 6 2" xfId="24290" xr:uid="{39EB3869-1DD1-45C8-80EC-FA18D7DDA744}"/>
    <cellStyle name="Style 73 6 3 7" xfId="8079" xr:uid="{4ACCB130-D2B5-446A-A65D-D4D997A67479}"/>
    <cellStyle name="Style 73 6 3 7 2" xfId="24291" xr:uid="{1873D51D-4681-462F-8A19-5607A5FDC9B5}"/>
    <cellStyle name="Style 73 6 3 8" xfId="8080" xr:uid="{D285E112-9D4D-495D-94CA-D06CE9809059}"/>
    <cellStyle name="Style 73 6 3 8 2" xfId="24292" xr:uid="{BEB96B6F-9EF8-422B-9759-B61073C28286}"/>
    <cellStyle name="Style 73 6 3 9" xfId="8081" xr:uid="{3294B578-56E7-4357-846F-BEF44BEE7A1E}"/>
    <cellStyle name="Style 73 6 3 9 2" xfId="24293" xr:uid="{C0246050-8246-401F-8C0B-E495280D7A6C}"/>
    <cellStyle name="Style 73 6 4" xfId="1987" xr:uid="{3C74036D-4676-4008-B383-8D8290294E78}"/>
    <cellStyle name="Style 73 6 4 10" xfId="8082" xr:uid="{3AD7F7B6-76B5-42F3-8006-6A72BE4E31E2}"/>
    <cellStyle name="Style 73 6 4 10 2" xfId="24294" xr:uid="{D1B0C3CF-4271-409B-80E0-101F1D02C5B2}"/>
    <cellStyle name="Style 73 6 4 11" xfId="8083" xr:uid="{DB9E6062-031B-41CC-91FD-EFD6BD6AB999}"/>
    <cellStyle name="Style 73 6 4 11 2" xfId="24295" xr:uid="{5C83CA16-35C2-428D-B04C-C57CFA5878E4}"/>
    <cellStyle name="Style 73 6 4 12" xfId="8084" xr:uid="{7694061C-6827-4638-A335-E440E4C41E24}"/>
    <cellStyle name="Style 73 6 4 12 2" xfId="24296" xr:uid="{901D22FD-EA92-4FCB-9A5E-5DEA5709BBBF}"/>
    <cellStyle name="Style 73 6 4 13" xfId="18994" xr:uid="{AF45739F-B734-4B1C-B4D2-681F449B658C}"/>
    <cellStyle name="Style 73 6 4 2" xfId="1988" xr:uid="{F80D4913-9202-4CEA-BE58-668C140DCFFF}"/>
    <cellStyle name="Style 73 6 4 2 10" xfId="8085" xr:uid="{8E810A71-6082-4847-BFFC-367D1643692B}"/>
    <cellStyle name="Style 73 6 4 2 10 2" xfId="24297" xr:uid="{0CD1551D-45B0-4A9A-972E-BDE45F2129FE}"/>
    <cellStyle name="Style 73 6 4 2 11" xfId="8086" xr:uid="{03D7A469-553A-4999-8018-A2D99F0CB269}"/>
    <cellStyle name="Style 73 6 4 2 11 2" xfId="24298" xr:uid="{5A7D835E-5E41-4D7B-A817-862F93691B73}"/>
    <cellStyle name="Style 73 6 4 2 12" xfId="18995" xr:uid="{69D4C419-C28F-4CE2-839D-0A0A7EB475BC}"/>
    <cellStyle name="Style 73 6 4 2 2" xfId="4436" xr:uid="{12C800BA-DC64-4524-83EA-09F12394F151}"/>
    <cellStyle name="Style 73 6 4 2 2 2" xfId="8087" xr:uid="{AED29ADF-65DB-43A7-A337-2EDDB940E14B}"/>
    <cellStyle name="Style 73 6 4 2 2 2 2" xfId="24299" xr:uid="{C6CCAFBE-9142-442E-A984-2DA79A98E789}"/>
    <cellStyle name="Style 73 6 4 2 2 3" xfId="22103" xr:uid="{D8F2379F-1197-42FA-82CD-3C8EA01B2B60}"/>
    <cellStyle name="Style 73 6 4 2 3" xfId="8088" xr:uid="{8DE97B14-5533-4963-AAF7-F88920C701C3}"/>
    <cellStyle name="Style 73 6 4 2 3 2" xfId="24300" xr:uid="{A378909D-8543-413C-874B-2C06DDB6377D}"/>
    <cellStyle name="Style 73 6 4 2 4" xfId="8089" xr:uid="{131B3436-B3AF-4F0D-8475-869C44F18BC9}"/>
    <cellStyle name="Style 73 6 4 2 4 2" xfId="24301" xr:uid="{122B6472-7CFF-47B8-AF9D-DC67A57CFEE4}"/>
    <cellStyle name="Style 73 6 4 2 5" xfId="8090" xr:uid="{DD614BCB-7706-4F03-95DE-1200DDA4F1DA}"/>
    <cellStyle name="Style 73 6 4 2 5 2" xfId="24302" xr:uid="{30046AE1-6AF3-4A74-971D-5397EAE346B2}"/>
    <cellStyle name="Style 73 6 4 2 6" xfId="8091" xr:uid="{8CEDCB3F-D15D-477F-834B-72FE0BCEE52A}"/>
    <cellStyle name="Style 73 6 4 2 6 2" xfId="24303" xr:uid="{B95B3E26-3665-444B-BD4D-F57DE2BEEAFA}"/>
    <cellStyle name="Style 73 6 4 2 7" xfId="8092" xr:uid="{ED301ED3-661E-4AC5-9B4F-8A8F9B981F31}"/>
    <cellStyle name="Style 73 6 4 2 7 2" xfId="24304" xr:uid="{914AA01F-7C78-4569-AD8E-E1F109776F7F}"/>
    <cellStyle name="Style 73 6 4 2 8" xfId="8093" xr:uid="{44E89807-34F5-4284-8625-4EC01286A35F}"/>
    <cellStyle name="Style 73 6 4 2 8 2" xfId="24305" xr:uid="{15FAD970-5661-4BBC-B0D2-E5031C6C10FA}"/>
    <cellStyle name="Style 73 6 4 2 9" xfId="8094" xr:uid="{E16ABDE3-6330-449B-AF74-AF73AD83013F}"/>
    <cellStyle name="Style 73 6 4 2 9 2" xfId="24306" xr:uid="{53E8F9E1-BD21-419C-A5CC-D52BCD26094D}"/>
    <cellStyle name="Style 73 6 4 3" xfId="4435" xr:uid="{B050D45D-F0CD-4981-B860-EA739DC01A07}"/>
    <cellStyle name="Style 73 6 4 3 2" xfId="8095" xr:uid="{3BB5BC4E-97D3-4D53-BF4D-16BA2985A760}"/>
    <cellStyle name="Style 73 6 4 3 2 2" xfId="24307" xr:uid="{4ECB9A2D-0853-402F-8518-40B62E0C0977}"/>
    <cellStyle name="Style 73 6 4 3 3" xfId="22102" xr:uid="{5D84BA39-16ED-471E-AE5C-4E34A1C14837}"/>
    <cellStyle name="Style 73 6 4 4" xfId="8096" xr:uid="{95606018-9EF2-4E47-92B2-B36B1581A5DF}"/>
    <cellStyle name="Style 73 6 4 4 2" xfId="24308" xr:uid="{12296505-4FCC-4F86-AC68-1A9E52641FB9}"/>
    <cellStyle name="Style 73 6 4 5" xfId="8097" xr:uid="{17E37634-E201-4D69-9538-7EDEFBF9BBE1}"/>
    <cellStyle name="Style 73 6 4 5 2" xfId="24309" xr:uid="{D46FF557-717A-41FC-B253-1A2C0F73905E}"/>
    <cellStyle name="Style 73 6 4 6" xfId="8098" xr:uid="{CF476EB1-E8F3-42FA-B5DA-52ADD4A9A30F}"/>
    <cellStyle name="Style 73 6 4 6 2" xfId="24310" xr:uid="{89B43364-3073-41F7-8DC0-3B1192825855}"/>
    <cellStyle name="Style 73 6 4 7" xfId="8099" xr:uid="{9CE8B77D-D413-4FC4-A476-22BE09FDE6E0}"/>
    <cellStyle name="Style 73 6 4 7 2" xfId="24311" xr:uid="{5B527609-8B07-4D99-ADAF-3EDAC2A2C157}"/>
    <cellStyle name="Style 73 6 4 8" xfId="8100" xr:uid="{4D5D2EA3-DA21-4E32-86CD-A73C7C8DCC1B}"/>
    <cellStyle name="Style 73 6 4 8 2" xfId="24312" xr:uid="{CD456449-5A1D-40C8-94B4-729ABD8B8442}"/>
    <cellStyle name="Style 73 6 4 9" xfId="8101" xr:uid="{5860C1B1-11A6-444C-B532-9ECF1CC1F32C}"/>
    <cellStyle name="Style 73 6 4 9 2" xfId="24313" xr:uid="{9C7B1032-225E-459D-B7D5-5701C72D70CE}"/>
    <cellStyle name="Style 73 6 5" xfId="4437" xr:uid="{C585212D-2EC6-4507-AA09-0B672FA900AD}"/>
    <cellStyle name="Style 73 6 5 2" xfId="8102" xr:uid="{E1F629A9-A599-461B-BA07-D55EED2F055F}"/>
    <cellStyle name="Style 73 6 5 2 2" xfId="24314" xr:uid="{DC103938-D378-4E5D-A0E0-552ECF26DC3A}"/>
    <cellStyle name="Style 73 6 5 3" xfId="8103" xr:uid="{B1098341-E2B9-401D-9BA3-0F94FF70E0A8}"/>
    <cellStyle name="Style 73 6 5 3 2" xfId="24315" xr:uid="{128AE5D6-72EE-44F4-8C1A-9C0289199E3E}"/>
    <cellStyle name="Style 73 6 5 4" xfId="8104" xr:uid="{6EE0D1AB-29A4-4777-9712-B5EC7F811399}"/>
    <cellStyle name="Style 73 6 5 4 2" xfId="24316" xr:uid="{C514699A-970F-4A70-9628-C473EE44A540}"/>
    <cellStyle name="Style 73 6 5 5" xfId="19645" xr:uid="{C9B54F80-CA24-4564-A60A-69B8F0E0FBA3}"/>
    <cellStyle name="Style 73 6 6" xfId="4429" xr:uid="{52E7FACC-E001-43F3-B42E-62052907550E}"/>
    <cellStyle name="Style 73 6 6 2" xfId="8105" xr:uid="{97D91953-A770-4C37-B9E4-7BAA763E1A46}"/>
    <cellStyle name="Style 73 6 6 2 2" xfId="24317" xr:uid="{BDEECA0E-9F80-4503-8008-B523F63CD12B}"/>
    <cellStyle name="Style 73 6 6 3" xfId="22098" xr:uid="{538AA39F-9CCC-43BD-8C6A-CFFFC33734C0}"/>
    <cellStyle name="Style 73 6 7" xfId="8106" xr:uid="{84EF9C74-3146-4C21-8501-9C83C8AE8B89}"/>
    <cellStyle name="Style 73 6 7 2" xfId="24318" xr:uid="{0139E935-BF4C-4370-A8C6-37728DE68A00}"/>
    <cellStyle name="Style 73 6 8" xfId="8107" xr:uid="{61D59620-B8CC-4B0A-9F81-E2849DB7A522}"/>
    <cellStyle name="Style 73 6 8 2" xfId="24319" xr:uid="{B033F2F1-EF99-4FEB-B203-16D06CAEA84F}"/>
    <cellStyle name="Style 73 6 9" xfId="8108" xr:uid="{1748B949-DA7E-4D99-AF55-7CBB2FE60128}"/>
    <cellStyle name="Style 73 6 9 2" xfId="24320" xr:uid="{E7306AC0-3391-4686-9716-EEA89354BDB1}"/>
    <cellStyle name="Style 73 7" xfId="1989" xr:uid="{B8B19667-811B-4068-BB9C-46B53DDC6D6B}"/>
    <cellStyle name="Style 73 7 10" xfId="8109" xr:uid="{606CA9D2-B2BD-42E6-8FA3-A054AAAEE46A}"/>
    <cellStyle name="Style 73 7 10 2" xfId="24321" xr:uid="{98F7A745-EB05-4A92-9702-F07261665075}"/>
    <cellStyle name="Style 73 7 11" xfId="8110" xr:uid="{652FEE25-4C85-4D7B-B386-910E00ECE12C}"/>
    <cellStyle name="Style 73 7 11 2" xfId="24322" xr:uid="{C2FFD1BE-35A8-4DFB-A013-93B5837D465F}"/>
    <cellStyle name="Style 73 7 12" xfId="8111" xr:uid="{E6BACC54-4327-4770-A01C-19926A8993BD}"/>
    <cellStyle name="Style 73 7 12 2" xfId="24323" xr:uid="{3DD75B35-590A-43A7-9AF4-7CB6E83DF456}"/>
    <cellStyle name="Style 73 7 13" xfId="8112" xr:uid="{CCE5B3A8-6DAE-4236-BE96-BE4B4C543EA3}"/>
    <cellStyle name="Style 73 7 13 2" xfId="24324" xr:uid="{4A0BAD3D-2F69-47C3-9DCA-3461B35ABD6F}"/>
    <cellStyle name="Style 73 7 14" xfId="18996" xr:uid="{E174227E-86A5-4EB7-902E-B09AE7426454}"/>
    <cellStyle name="Style 73 7 2" xfId="1990" xr:uid="{B6DAA01C-38B9-4A42-B4D2-3730E2053E87}"/>
    <cellStyle name="Style 73 7 2 10" xfId="8113" xr:uid="{E4C660DC-0AF7-4166-A900-B8555FEDD2D7}"/>
    <cellStyle name="Style 73 7 2 10 2" xfId="24325" xr:uid="{949D7ADB-9659-42E4-8ECD-8A30A543B7C0}"/>
    <cellStyle name="Style 73 7 2 11" xfId="8114" xr:uid="{364C9BDF-A01D-47A2-A2AB-8966E0EEC3A3}"/>
    <cellStyle name="Style 73 7 2 11 2" xfId="24326" xr:uid="{AA96D99C-2593-45FF-9028-B1E40EA3D5AC}"/>
    <cellStyle name="Style 73 7 2 12" xfId="18997" xr:uid="{D26BC197-995D-49EB-9CAD-084D6BD1F8BE}"/>
    <cellStyle name="Style 73 7 2 2" xfId="4439" xr:uid="{C8A984EC-4B18-4709-8D0B-BD0A4F568E08}"/>
    <cellStyle name="Style 73 7 2 2 2" xfId="8115" xr:uid="{5927717A-74A2-4083-BFAA-F92157E9767A}"/>
    <cellStyle name="Style 73 7 2 2 2 2" xfId="24327" xr:uid="{44B2E40A-2E4A-4EBD-97E4-1E9579699ED6}"/>
    <cellStyle name="Style 73 7 2 2 3" xfId="22105" xr:uid="{B8E48FE9-9A2C-4C6D-9893-19115C2D8146}"/>
    <cellStyle name="Style 73 7 2 3" xfId="8116" xr:uid="{46241A74-C18C-4536-A51C-EF3F2974D0BD}"/>
    <cellStyle name="Style 73 7 2 3 2" xfId="24328" xr:uid="{66A39C96-1E76-48C4-A9CC-2B225360DB27}"/>
    <cellStyle name="Style 73 7 2 4" xfId="8117" xr:uid="{822152DF-D1B6-4492-83D3-AA62430441AE}"/>
    <cellStyle name="Style 73 7 2 4 2" xfId="24329" xr:uid="{EAAB3DD2-9FB0-44D7-9D17-638C69A446E8}"/>
    <cellStyle name="Style 73 7 2 5" xfId="8118" xr:uid="{E0132B46-D16C-4562-BBB2-E2F8B81E5BA1}"/>
    <cellStyle name="Style 73 7 2 5 2" xfId="24330" xr:uid="{09C02336-FD3F-4E14-A54F-B6BF74719D7F}"/>
    <cellStyle name="Style 73 7 2 6" xfId="8119" xr:uid="{EF2B2561-F3C1-4EDE-93DF-93D76761A57B}"/>
    <cellStyle name="Style 73 7 2 6 2" xfId="24331" xr:uid="{CBCCB172-55BF-46F3-83C2-FCA2C8A4095D}"/>
    <cellStyle name="Style 73 7 2 7" xfId="8120" xr:uid="{E7F47331-1011-4CAB-B4DB-0716C6C3DEB6}"/>
    <cellStyle name="Style 73 7 2 7 2" xfId="24332" xr:uid="{EC032740-DCE6-41C0-A0EC-C013374C5844}"/>
    <cellStyle name="Style 73 7 2 8" xfId="8121" xr:uid="{C37A9A22-AD57-4CF2-8295-83A4DEF88857}"/>
    <cellStyle name="Style 73 7 2 8 2" xfId="24333" xr:uid="{AA29893A-F5D1-4FF5-A72C-46C9E8B33F5F}"/>
    <cellStyle name="Style 73 7 2 9" xfId="8122" xr:uid="{0F46F0F2-F103-4E57-B80B-8E1C7599E537}"/>
    <cellStyle name="Style 73 7 2 9 2" xfId="24334" xr:uid="{9E9D2B0C-73CA-4573-903C-8F235FD35EF7}"/>
    <cellStyle name="Style 73 7 3" xfId="4440" xr:uid="{C07BD9C2-30E1-42AC-B0A8-67DC3C9D3699}"/>
    <cellStyle name="Style 73 7 3 2" xfId="8123" xr:uid="{6124D1B6-81C2-4E8C-BA61-888277D033E4}"/>
    <cellStyle name="Style 73 7 3 2 2" xfId="24335" xr:uid="{053B6D75-564C-4E53-A7A5-5EC300C55FBF}"/>
    <cellStyle name="Style 73 7 3 3" xfId="8124" xr:uid="{26734874-F81A-4351-B1DB-02970546A2D3}"/>
    <cellStyle name="Style 73 7 3 3 2" xfId="24336" xr:uid="{2DC56CFB-97AB-4C65-AF08-266DD2298AEA}"/>
    <cellStyle name="Style 73 7 3 4" xfId="8125" xr:uid="{381A89FB-1A3D-4C4F-B058-FF42428662E2}"/>
    <cellStyle name="Style 73 7 3 4 2" xfId="24337" xr:uid="{EC04E8D8-DFC1-4BED-B317-A4369B4E907A}"/>
    <cellStyle name="Style 73 7 3 5" xfId="18998" xr:uid="{948CEED4-8E8D-48D7-9EA4-C13EBB66FF58}"/>
    <cellStyle name="Style 73 7 4" xfId="4441" xr:uid="{FA650CA5-B466-4930-9DB2-EBCFDBEA9A7E}"/>
    <cellStyle name="Style 73 7 4 2" xfId="8126" xr:uid="{BEBBCB4D-E5B4-401F-8DD5-AC1BF6C95BA8}"/>
    <cellStyle name="Style 73 7 4 2 2" xfId="24338" xr:uid="{19C280DA-2D7E-4A41-A52E-BDBEFBD76D87}"/>
    <cellStyle name="Style 73 7 4 3" xfId="19646" xr:uid="{12CF3248-E5A2-4D56-8DEB-46CF909571F6}"/>
    <cellStyle name="Style 73 7 5" xfId="4438" xr:uid="{CA54794C-9A1C-40C8-BC3C-D2543393DC17}"/>
    <cellStyle name="Style 73 7 5 2" xfId="8127" xr:uid="{E635622D-0CAC-4BBB-A0C5-71DAA61AD979}"/>
    <cellStyle name="Style 73 7 5 2 2" xfId="24339" xr:uid="{6EC1BC03-77EE-448C-8D6F-56536E5E5F48}"/>
    <cellStyle name="Style 73 7 5 3" xfId="22104" xr:uid="{C90DDB67-54FE-4899-BA6D-EA689805ABC7}"/>
    <cellStyle name="Style 73 7 6" xfId="8128" xr:uid="{E305CC31-32DB-48EF-9F90-9125AE5A268C}"/>
    <cellStyle name="Style 73 7 6 2" xfId="24340" xr:uid="{520253E4-FDEB-488C-83CA-76BE104C0AF8}"/>
    <cellStyle name="Style 73 7 7" xfId="8129" xr:uid="{F51F29BB-B547-4639-B3E5-4A9ACBB1A834}"/>
    <cellStyle name="Style 73 7 7 2" xfId="24341" xr:uid="{076BDD86-546C-402F-82AD-B341C2C458AA}"/>
    <cellStyle name="Style 73 7 8" xfId="8130" xr:uid="{1BEB5227-47E3-4B21-9C1E-669EEE158B29}"/>
    <cellStyle name="Style 73 7 8 2" xfId="24342" xr:uid="{5B2515E7-20DE-484B-BE35-933D965F298A}"/>
    <cellStyle name="Style 73 7 9" xfId="8131" xr:uid="{D57F6E94-BD4A-4984-A003-A95CEADE5843}"/>
    <cellStyle name="Style 73 7 9 2" xfId="24343" xr:uid="{10F255C1-07C4-40E7-B5CD-1BD242CF9A29}"/>
    <cellStyle name="Style 73 8" xfId="1991" xr:uid="{D5D7DDD7-7310-45E7-A2F1-07A99E2565DB}"/>
    <cellStyle name="Style 73 8 10" xfId="8132" xr:uid="{88CD39CC-4172-4781-B51B-020E72262CD3}"/>
    <cellStyle name="Style 73 8 10 2" xfId="24344" xr:uid="{69078B50-7972-4ED3-B7C6-2AD332F9867B}"/>
    <cellStyle name="Style 73 8 11" xfId="8133" xr:uid="{30905AE1-D58B-4240-A56C-16947016EC58}"/>
    <cellStyle name="Style 73 8 11 2" xfId="24345" xr:uid="{D747D6D5-8A09-4BE9-AC8B-3D8B51A8B8FB}"/>
    <cellStyle name="Style 73 8 12" xfId="8134" xr:uid="{4D6813BC-3EA7-4FFE-859D-644B803E9074}"/>
    <cellStyle name="Style 73 8 12 2" xfId="24346" xr:uid="{1DF5CFDD-410D-4183-8536-AE32FC1D9F19}"/>
    <cellStyle name="Style 73 8 13" xfId="18999" xr:uid="{43119944-7F7B-4B73-9DDE-1D22F5DB0D3C}"/>
    <cellStyle name="Style 73 8 2" xfId="1992" xr:uid="{DE75AD6C-DF06-4289-BB1E-A567986904A8}"/>
    <cellStyle name="Style 73 8 2 10" xfId="8135" xr:uid="{B62871F7-424B-49F0-AE44-D0F534C525B2}"/>
    <cellStyle name="Style 73 8 2 10 2" xfId="24347" xr:uid="{B3FE5F65-1666-4DB4-B486-A3A5DEDC8F4F}"/>
    <cellStyle name="Style 73 8 2 11" xfId="8136" xr:uid="{7D555932-C028-488A-AE3E-95201040615C}"/>
    <cellStyle name="Style 73 8 2 11 2" xfId="24348" xr:uid="{6A90CDF4-5574-4595-A7AF-25638425FA42}"/>
    <cellStyle name="Style 73 8 2 12" xfId="19000" xr:uid="{D50162EB-4526-4285-B0D9-C21571DE0289}"/>
    <cellStyle name="Style 73 8 2 2" xfId="4443" xr:uid="{F6F040F2-698E-48F5-87DE-1D1664AFAA4D}"/>
    <cellStyle name="Style 73 8 2 2 2" xfId="8137" xr:uid="{EB7C0EBA-9D4E-4E48-8162-A2DE7005C890}"/>
    <cellStyle name="Style 73 8 2 2 2 2" xfId="24349" xr:uid="{E9B6978E-EF36-493A-A521-3A555595FFBC}"/>
    <cellStyle name="Style 73 8 2 2 3" xfId="22107" xr:uid="{E438E99A-0C6D-4895-9D66-8AECC5B4FAE0}"/>
    <cellStyle name="Style 73 8 2 3" xfId="8138" xr:uid="{0A40312C-D7AC-4122-98C8-74C074A1996B}"/>
    <cellStyle name="Style 73 8 2 3 2" xfId="24350" xr:uid="{28EC5929-7E51-4646-A486-8E815F7C8276}"/>
    <cellStyle name="Style 73 8 2 4" xfId="8139" xr:uid="{E68901C2-403F-4D5E-A87F-2335D6F64693}"/>
    <cellStyle name="Style 73 8 2 4 2" xfId="24351" xr:uid="{024DC9DB-16B8-4DCD-8C31-ABBF1241F6F8}"/>
    <cellStyle name="Style 73 8 2 5" xfId="8140" xr:uid="{E74FB6CF-754B-46B4-BE6A-4252830A5298}"/>
    <cellStyle name="Style 73 8 2 5 2" xfId="24352" xr:uid="{F6AC6D30-275A-4992-BAEC-EE748B7FC560}"/>
    <cellStyle name="Style 73 8 2 6" xfId="8141" xr:uid="{BC1E8738-6ECE-4A6B-8F70-FC6D544A4060}"/>
    <cellStyle name="Style 73 8 2 6 2" xfId="24353" xr:uid="{BF4568A7-BE37-494C-AA87-8A74BB0C9F06}"/>
    <cellStyle name="Style 73 8 2 7" xfId="8142" xr:uid="{D5027BE2-9C4D-4455-99A8-95DA16B7B847}"/>
    <cellStyle name="Style 73 8 2 7 2" xfId="24354" xr:uid="{56D69703-E2A3-4EC9-973B-F912EC02C57D}"/>
    <cellStyle name="Style 73 8 2 8" xfId="8143" xr:uid="{BB53F15C-F6B0-4CBF-BCD0-6839A47CB39C}"/>
    <cellStyle name="Style 73 8 2 8 2" xfId="24355" xr:uid="{808796CF-B626-4F3B-ADD7-C87D4D9F3099}"/>
    <cellStyle name="Style 73 8 2 9" xfId="8144" xr:uid="{8D38F6D2-5B52-44A8-BE8E-64098ED1542E}"/>
    <cellStyle name="Style 73 8 2 9 2" xfId="24356" xr:uid="{F49B9757-F30F-47A6-B593-96CD78249EE2}"/>
    <cellStyle name="Style 73 8 3" xfId="4444" xr:uid="{CAD3902D-28FC-4C3C-8997-7B60902CB26D}"/>
    <cellStyle name="Style 73 8 3 2" xfId="8145" xr:uid="{138C1A5A-D1BA-4BA9-B26B-489755A80534}"/>
    <cellStyle name="Style 73 8 3 2 2" xfId="24357" xr:uid="{033B4663-2B14-4506-BB5F-190BF15DBA30}"/>
    <cellStyle name="Style 73 8 3 3" xfId="19001" xr:uid="{01C4236D-3712-4B09-953D-1BEAA538B74B}"/>
    <cellStyle name="Style 73 8 4" xfId="4445" xr:uid="{458B1271-83F6-4E80-A16D-19011DABECD0}"/>
    <cellStyle name="Style 73 8 4 2" xfId="8146" xr:uid="{74401523-3AC0-4DE7-ADCB-C2E2E5F529B8}"/>
    <cellStyle name="Style 73 8 4 2 2" xfId="24358" xr:uid="{E0ABF1DA-F04E-418B-8577-415DCF38F5C4}"/>
    <cellStyle name="Style 73 8 4 3" xfId="19647" xr:uid="{9C079DAD-9A2F-4BA5-96F5-914C32D973FA}"/>
    <cellStyle name="Style 73 8 5" xfId="4442" xr:uid="{EED29EAE-383E-4C0E-8189-F6D76F447C3E}"/>
    <cellStyle name="Style 73 8 5 2" xfId="8147" xr:uid="{AFCA2DB1-CC48-4F70-9B66-7519F07CA295}"/>
    <cellStyle name="Style 73 8 5 2 2" xfId="24359" xr:uid="{38D5E20B-094A-4E4A-BFC7-7D4881721352}"/>
    <cellStyle name="Style 73 8 5 3" xfId="22106" xr:uid="{B522DA30-D6EA-40DB-A6D6-B548B8640910}"/>
    <cellStyle name="Style 73 8 6" xfId="8148" xr:uid="{7F9F62D5-02E9-4081-BC24-368F9ECE4FC0}"/>
    <cellStyle name="Style 73 8 6 2" xfId="24360" xr:uid="{62F69763-0021-4561-8B11-055F56170CE1}"/>
    <cellStyle name="Style 73 8 7" xfId="8149" xr:uid="{6712FAF9-E54B-40DC-9EF2-11A8EBDD6131}"/>
    <cellStyle name="Style 73 8 7 2" xfId="24361" xr:uid="{04545C4F-32EA-4BE2-A1E4-D80D6F1F4CF5}"/>
    <cellStyle name="Style 73 8 8" xfId="8150" xr:uid="{1D610DDC-5BB9-44A1-BC4B-DD009D22E97A}"/>
    <cellStyle name="Style 73 8 8 2" xfId="24362" xr:uid="{01B6E780-85C9-4AE5-874F-B8EE775128DE}"/>
    <cellStyle name="Style 73 8 9" xfId="8151" xr:uid="{88B610A8-1CBC-4D58-B2F5-BD20F59BB3E6}"/>
    <cellStyle name="Style 73 8 9 2" xfId="24363" xr:uid="{9612FD71-D784-4E3C-AC27-D065C0882A86}"/>
    <cellStyle name="Style 73 9" xfId="1993" xr:uid="{E91B71AA-3183-4D5F-90B8-6123317A4A96}"/>
    <cellStyle name="Style 73 9 10" xfId="8152" xr:uid="{ADC143F3-8FD5-4F88-A691-90640B7B01E2}"/>
    <cellStyle name="Style 73 9 10 2" xfId="24364" xr:uid="{32D7DEA6-936E-46DE-BC12-E37C9A50CA22}"/>
    <cellStyle name="Style 73 9 11" xfId="8153" xr:uid="{35590D40-DD68-4A66-86C2-6A2D4D11C8D1}"/>
    <cellStyle name="Style 73 9 11 2" xfId="24365" xr:uid="{C915F578-33CC-4058-938E-97E237B1798C}"/>
    <cellStyle name="Style 73 9 12" xfId="8154" xr:uid="{6CA8E20A-168A-4B56-B6BA-50D915D0ECC3}"/>
    <cellStyle name="Style 73 9 12 2" xfId="24366" xr:uid="{45DB976B-80AD-4759-863F-D4FE001637EC}"/>
    <cellStyle name="Style 73 9 13" xfId="19002" xr:uid="{C94C1202-C4BA-4EB9-85F3-7E92C777C0E9}"/>
    <cellStyle name="Style 73 9 2" xfId="1994" xr:uid="{3A7B6E1D-006E-496A-B576-6390C50BBC58}"/>
    <cellStyle name="Style 73 9 2 10" xfId="8155" xr:uid="{A136BB98-40CD-4499-B655-DE38329E03B7}"/>
    <cellStyle name="Style 73 9 2 10 2" xfId="24367" xr:uid="{5D517AEB-5CAE-427B-B069-6BF75CC6A0A7}"/>
    <cellStyle name="Style 73 9 2 11" xfId="19648" xr:uid="{BFF5D523-B948-4AEB-9034-C26505E2480C}"/>
    <cellStyle name="Style 73 9 2 2" xfId="4446" xr:uid="{CAFC1274-6D4A-48B9-9A7D-C6652BAABAF1}"/>
    <cellStyle name="Style 73 9 2 2 2" xfId="8156" xr:uid="{1A3A1105-1DD7-4181-A472-51D2F7FF55E0}"/>
    <cellStyle name="Style 73 9 2 2 2 2" xfId="24368" xr:uid="{11568B59-1117-41FF-848E-E5EA6A89D1D8}"/>
    <cellStyle name="Style 73 9 2 2 3" xfId="22109" xr:uid="{4360263E-4C10-46BE-8B6F-8DA5FC7EF04A}"/>
    <cellStyle name="Style 73 9 2 3" xfId="8157" xr:uid="{0882EAF6-B862-4E7D-8AE1-6DBA53EA6BAC}"/>
    <cellStyle name="Style 73 9 2 3 2" xfId="24369" xr:uid="{54D10D26-1FC7-4C27-8AA9-762282A3F3AD}"/>
    <cellStyle name="Style 73 9 2 4" xfId="8158" xr:uid="{14BBF090-EF0E-4DBA-9097-63ABF023B59E}"/>
    <cellStyle name="Style 73 9 2 4 2" xfId="24370" xr:uid="{489912DF-51A3-42A8-9051-9390939248FA}"/>
    <cellStyle name="Style 73 9 2 5" xfId="8159" xr:uid="{9CD5D49E-7F77-4542-9B72-3487E679269B}"/>
    <cellStyle name="Style 73 9 2 5 2" xfId="24371" xr:uid="{31D0FBB5-9021-4A26-A0D7-CBFB18658A6E}"/>
    <cellStyle name="Style 73 9 2 6" xfId="8160" xr:uid="{32EFF24B-CF0C-4529-B398-339AB9BDA3B7}"/>
    <cellStyle name="Style 73 9 2 6 2" xfId="24372" xr:uid="{D2128404-6241-46F2-B75C-880B2DFD6914}"/>
    <cellStyle name="Style 73 9 2 7" xfId="8161" xr:uid="{D34F9A04-6B91-4ED9-87DA-69AA21F53D86}"/>
    <cellStyle name="Style 73 9 2 7 2" xfId="24373" xr:uid="{A4A73E93-0080-4CA9-90A8-4721C868942A}"/>
    <cellStyle name="Style 73 9 2 8" xfId="8162" xr:uid="{4C905F7A-3D2A-4A00-8407-E56021204799}"/>
    <cellStyle name="Style 73 9 2 8 2" xfId="24374" xr:uid="{ABC9F9C5-0D79-42A5-90D2-700AD8E3C2B4}"/>
    <cellStyle name="Style 73 9 2 9" xfId="8163" xr:uid="{688BB7C9-1FB5-4E55-A2FF-3337E96F0493}"/>
    <cellStyle name="Style 73 9 2 9 2" xfId="24375" xr:uid="{F0B205D7-206C-44DE-A498-E7ADFE2F10AD}"/>
    <cellStyle name="Style 73 9 3" xfId="2774" xr:uid="{C4677409-9DF1-457A-A87A-00D96E60CD92}"/>
    <cellStyle name="Style 73 9 3 2" xfId="8164" xr:uid="{096E55FA-729E-47ED-B5AF-7FC617E3A2D0}"/>
    <cellStyle name="Style 73 9 3 2 2" xfId="24376" xr:uid="{382224BA-16CD-4BF3-BA18-A264AA38BD14}"/>
    <cellStyle name="Style 73 9 3 3" xfId="22108" xr:uid="{B0004CAC-7102-4134-AAC3-306555237C9F}"/>
    <cellStyle name="Style 73 9 4" xfId="8165" xr:uid="{2C473FA3-9868-4068-A205-D23E7C5774D2}"/>
    <cellStyle name="Style 73 9 4 2" xfId="24377" xr:uid="{4C68F0F5-D341-4B09-A69B-DE30D621210F}"/>
    <cellStyle name="Style 73 9 5" xfId="8166" xr:uid="{9C6E9191-27B2-4372-AD99-846A0287A2C4}"/>
    <cellStyle name="Style 73 9 5 2" xfId="24378" xr:uid="{DB379A0F-595B-4810-9247-2B42A2A6FEB8}"/>
    <cellStyle name="Style 73 9 6" xfId="8167" xr:uid="{B2F218FC-A87B-4D61-B84E-9728DB92550B}"/>
    <cellStyle name="Style 73 9 6 2" xfId="24379" xr:uid="{34A3AD78-A86F-4629-BD1C-74039B1F7684}"/>
    <cellStyle name="Style 73 9 7" xfId="8168" xr:uid="{39E6EF7E-7C55-40ED-B983-DE866D45A9B8}"/>
    <cellStyle name="Style 73 9 7 2" xfId="24380" xr:uid="{7A5AE1FA-9B23-4EED-ABC7-29BE8570AA38}"/>
    <cellStyle name="Style 73 9 8" xfId="8169" xr:uid="{115413C1-6EA7-4FCC-B253-5D3906559FBE}"/>
    <cellStyle name="Style 73 9 8 2" xfId="24381" xr:uid="{67B93579-1B68-4443-88BD-E0D6F964D403}"/>
    <cellStyle name="Style 73 9 9" xfId="8170" xr:uid="{822EE6F9-E58C-4098-B438-91CB6046FE79}"/>
    <cellStyle name="Style 73 9 9 2" xfId="24382" xr:uid="{52BAC5B8-F363-4543-9733-F256177D8A60}"/>
    <cellStyle name="Style 73_ADDON" xfId="20530" xr:uid="{D2A53F9B-7397-47E7-97B9-F7CA869A4109}"/>
    <cellStyle name="Style 74" xfId="1995" xr:uid="{D4A5BDED-1B15-4A4A-A0D5-98970E3B0359}"/>
    <cellStyle name="Style 74 10" xfId="8171" xr:uid="{DBCFA89F-2414-441F-B2BF-C788181B01A6}"/>
    <cellStyle name="Style 74 10 2" xfId="24383" xr:uid="{E945BC4A-3412-4263-8D25-13F9410E8BC7}"/>
    <cellStyle name="Style 74 11" xfId="8172" xr:uid="{DFABAE13-1026-4E85-839A-85CDE50D39F7}"/>
    <cellStyle name="Style 74 11 2" xfId="24384" xr:uid="{8B087359-80F3-4129-99F6-4A615C1C4C73}"/>
    <cellStyle name="Style 74 12" xfId="8173" xr:uid="{546B261C-BE0F-4270-AD5A-94679F24061D}"/>
    <cellStyle name="Style 74 12 2" xfId="24385" xr:uid="{2338D5D1-1FF0-4720-97B4-5D339F5701D3}"/>
    <cellStyle name="Style 74 13" xfId="8174" xr:uid="{F4A63872-9C18-4C38-98DE-90E7D900749E}"/>
    <cellStyle name="Style 74 13 2" xfId="24386" xr:uid="{78750BEF-AE83-4291-AC12-B287237ECC63}"/>
    <cellStyle name="Style 74 14" xfId="8175" xr:uid="{C53BA193-4F14-479B-AC55-BEE9991055B8}"/>
    <cellStyle name="Style 74 14 2" xfId="24387" xr:uid="{B06C2FC3-52FB-4F1D-867F-DA7EB1B5D2B6}"/>
    <cellStyle name="Style 74 15" xfId="8176" xr:uid="{6124DCB3-9285-4D1F-B4AA-145DA6262962}"/>
    <cellStyle name="Style 74 15 2" xfId="24388" xr:uid="{E5BD39BF-577E-44E2-9CAF-3757A8919D1C}"/>
    <cellStyle name="Style 74 16" xfId="8177" xr:uid="{6B5EF990-75DA-4578-97AC-A8A3D29C0C3A}"/>
    <cellStyle name="Style 74 16 2" xfId="24389" xr:uid="{BB52C49A-B95F-4CC7-9E54-C681550A8324}"/>
    <cellStyle name="Style 74 17" xfId="8178" xr:uid="{1A4688D0-73A3-41F2-A973-C062A4A861D4}"/>
    <cellStyle name="Style 74 17 2" xfId="24390" xr:uid="{1D19CD99-B0F8-49B4-AA38-AA9BFCC54578}"/>
    <cellStyle name="Style 74 2" xfId="1996" xr:uid="{E569B31C-6FA8-4ABA-8C1F-941CC9C77503}"/>
    <cellStyle name="Style 74 2 10" xfId="8179" xr:uid="{7F995194-5F12-4134-A21B-C0853210C6AD}"/>
    <cellStyle name="Style 74 2 10 2" xfId="24391" xr:uid="{50B9F6A2-166E-4934-8136-DE1FEB18E93B}"/>
    <cellStyle name="Style 74 2 11" xfId="8180" xr:uid="{632F6245-2C55-4353-B2EE-92A21E0DDD0D}"/>
    <cellStyle name="Style 74 2 11 2" xfId="24392" xr:uid="{A92593A5-DCD2-40FF-BE87-2C0987D1EB2B}"/>
    <cellStyle name="Style 74 2 12" xfId="8181" xr:uid="{E5389EEE-DDE6-432E-ACAE-D16B0BE1F8CD}"/>
    <cellStyle name="Style 74 2 12 2" xfId="24393" xr:uid="{CD09BC7B-CEA5-4385-9EAD-122519DFEC0F}"/>
    <cellStyle name="Style 74 2 13" xfId="8182" xr:uid="{9E1D7373-A2EE-4587-B6F4-97C1CCDB97DC}"/>
    <cellStyle name="Style 74 2 13 2" xfId="24394" xr:uid="{2FB2A8F9-5BDB-4CDD-967D-DCEE1FCE0ABE}"/>
    <cellStyle name="Style 74 2 14" xfId="8183" xr:uid="{F1BB3151-A90C-46F1-B189-87D25C7C2F40}"/>
    <cellStyle name="Style 74 2 14 2" xfId="24395" xr:uid="{924BB7F2-3F50-46D6-A437-A81B2782BEC9}"/>
    <cellStyle name="Style 74 2 15" xfId="8184" xr:uid="{9E6DC575-F6C1-4362-9034-5941DD0EF3FB}"/>
    <cellStyle name="Style 74 2 15 2" xfId="24396" xr:uid="{93BA3213-08F1-494A-AB6D-B011100071FD}"/>
    <cellStyle name="Style 74 2 2" xfId="1997" xr:uid="{995100D9-0DE1-43B7-83B1-0EE196F66406}"/>
    <cellStyle name="Style 74 2 2 10" xfId="8185" xr:uid="{45F84ABC-E935-46D9-8C2F-1BB59C40AA17}"/>
    <cellStyle name="Style 74 2 2 10 2" xfId="24397" xr:uid="{BEA005E8-E2E7-4AFE-8038-6AD4E530E103}"/>
    <cellStyle name="Style 74 2 2 11" xfId="8186" xr:uid="{4A540396-6700-499E-9FED-948369D8B661}"/>
    <cellStyle name="Style 74 2 2 11 2" xfId="24398" xr:uid="{F5BBDB5C-8F98-4870-8A66-42CBB6E4CEF8}"/>
    <cellStyle name="Style 74 2 2 12" xfId="8187" xr:uid="{E9521E30-E714-4AB2-AB15-7827370E1390}"/>
    <cellStyle name="Style 74 2 2 12 2" xfId="24399" xr:uid="{BE731A44-6299-48CF-814C-93795216E61D}"/>
    <cellStyle name="Style 74 2 2 13" xfId="8188" xr:uid="{F7337BE7-4B7C-4E1C-85F0-392D9E4391E6}"/>
    <cellStyle name="Style 74 2 2 13 2" xfId="24400" xr:uid="{7DEAD3D9-59F0-4BBB-B571-76D502E0A5D9}"/>
    <cellStyle name="Style 74 2 2 14" xfId="8189" xr:uid="{A0CA92D4-15F6-478D-AC4C-29E788182000}"/>
    <cellStyle name="Style 74 2 2 14 2" xfId="24401" xr:uid="{20B6E8BD-0E51-459F-9984-F32B6F3F60BB}"/>
    <cellStyle name="Style 74 2 2 2" xfId="1998" xr:uid="{6343FD4C-C6CE-4F2C-BA35-C9543F884E6B}"/>
    <cellStyle name="Style 74 2 2 2 10" xfId="8190" xr:uid="{A82820F0-D07C-42FE-A1C8-BE1E3CDAAE69}"/>
    <cellStyle name="Style 74 2 2 2 10 2" xfId="24402" xr:uid="{37280384-B023-4B50-83CB-71F1F4B0B8D0}"/>
    <cellStyle name="Style 74 2 2 2 11" xfId="8191" xr:uid="{96D1456F-CD96-478E-8D3D-CC11BE97AAC8}"/>
    <cellStyle name="Style 74 2 2 2 11 2" xfId="24403" xr:uid="{78991EA0-43AA-468C-8D7C-CFA3750DDED5}"/>
    <cellStyle name="Style 74 2 2 2 12" xfId="8192" xr:uid="{688E9D46-CF9D-40A9-8853-1078CC70E8B9}"/>
    <cellStyle name="Style 74 2 2 2 12 2" xfId="24404" xr:uid="{297FE22A-EAF4-4BBB-9947-052F743CD7BD}"/>
    <cellStyle name="Style 74 2 2 2 13" xfId="8193" xr:uid="{479F0521-1A3A-40D1-9FC6-0CCF7F34EF81}"/>
    <cellStyle name="Style 74 2 2 2 13 2" xfId="24405" xr:uid="{21B9DE23-B59E-40E4-ADB8-1A324D1F6869}"/>
    <cellStyle name="Style 74 2 2 2 2" xfId="1999" xr:uid="{359C9E81-76CD-41C5-B524-B98C238E02D9}"/>
    <cellStyle name="Style 74 2 2 2 2 10" xfId="8194" xr:uid="{8F433904-B240-4D0D-9FCC-58855AF74B38}"/>
    <cellStyle name="Style 74 2 2 2 2 10 2" xfId="24406" xr:uid="{AFA6C4F1-4A70-48AD-8158-8DF0EC5D81AE}"/>
    <cellStyle name="Style 74 2 2 2 2 11" xfId="8195" xr:uid="{6F827D6D-C3E2-4DA3-BF7C-26FDF875FB71}"/>
    <cellStyle name="Style 74 2 2 2 2 11 2" xfId="24407" xr:uid="{AE130196-D14B-46E1-8B20-BA90EE919DC8}"/>
    <cellStyle name="Style 74 2 2 2 2 12" xfId="8196" xr:uid="{4927FBB4-683C-4D30-B328-3C68B2618646}"/>
    <cellStyle name="Style 74 2 2 2 2 12 2" xfId="24408" xr:uid="{71D7DC7E-B2D2-45E1-9090-72416A983B84}"/>
    <cellStyle name="Style 74 2 2 2 2 2" xfId="2000" xr:uid="{E285859A-3FCE-4182-832D-FA052B3298D9}"/>
    <cellStyle name="Style 74 2 2 2 2 2 10" xfId="8197" xr:uid="{5D166366-22EC-4E87-98AD-9AD3EAFB6683}"/>
    <cellStyle name="Style 74 2 2 2 2 2 10 2" xfId="24409" xr:uid="{8BC0DDCA-3AF8-4CC3-8B4D-04C0202E6FF5}"/>
    <cellStyle name="Style 74 2 2 2 2 2 2" xfId="8198" xr:uid="{8B85BC89-795D-42BE-BDE7-5F41BD9166DA}"/>
    <cellStyle name="Style 74 2 2 2 2 2 2 2" xfId="8199" xr:uid="{4695F2B1-4370-4DD0-9BE7-152492C0F665}"/>
    <cellStyle name="Style 74 2 2 2 2 2 2 2 2" xfId="24410" xr:uid="{DA79FB09-2FDB-4187-9B8C-35D53C508649}"/>
    <cellStyle name="Style 74 2 2 2 2 2 3" xfId="8200" xr:uid="{73E19ED0-5AFB-42DE-945A-2118667B6496}"/>
    <cellStyle name="Style 74 2 2 2 2 2 3 2" xfId="24411" xr:uid="{2C0D4BC8-94B7-4D5D-AB56-ABDAF6A198EB}"/>
    <cellStyle name="Style 74 2 2 2 2 2 4" xfId="8201" xr:uid="{504ACEDD-6F8B-45BC-8F5D-3434097F5111}"/>
    <cellStyle name="Style 74 2 2 2 2 2 4 2" xfId="24412" xr:uid="{EA8BCE34-4BED-493B-AE07-FACF673A134C}"/>
    <cellStyle name="Style 74 2 2 2 2 2 5" xfId="8202" xr:uid="{7FA82D6D-2CBE-4FCE-9878-78B52B29C3B8}"/>
    <cellStyle name="Style 74 2 2 2 2 2 5 2" xfId="24413" xr:uid="{BBBC9EDE-5D1C-4990-B01A-2A791FF4D48F}"/>
    <cellStyle name="Style 74 2 2 2 2 2 6" xfId="8203" xr:uid="{1AEB2439-828E-4ACF-82C6-DFD081B1B8CB}"/>
    <cellStyle name="Style 74 2 2 2 2 2 6 2" xfId="24414" xr:uid="{1CAB1113-7D90-4977-AA25-96EB384AF663}"/>
    <cellStyle name="Style 74 2 2 2 2 2 7" xfId="8204" xr:uid="{DD606F4C-001D-4FF5-BC52-2F28C5CA1395}"/>
    <cellStyle name="Style 74 2 2 2 2 2 7 2" xfId="24415" xr:uid="{D0861628-4E04-43FB-B39F-234476207FB7}"/>
    <cellStyle name="Style 74 2 2 2 2 2 8" xfId="8205" xr:uid="{EA10556B-9292-4759-9D7A-2959BACFA355}"/>
    <cellStyle name="Style 74 2 2 2 2 2 8 2" xfId="24416" xr:uid="{42E34B74-3930-4841-9A5A-E09122D326E9}"/>
    <cellStyle name="Style 74 2 2 2 2 2 9" xfId="8206" xr:uid="{7D8AC201-68E1-405E-ADC3-6D4BF25221BD}"/>
    <cellStyle name="Style 74 2 2 2 2 2 9 2" xfId="24417" xr:uid="{A7C2FFDF-86BD-4382-8423-709C8DD8461B}"/>
    <cellStyle name="Style 74 2 2 2 2 3" xfId="8207" xr:uid="{4CD9B569-3A02-4138-8C9C-E59862A245C2}"/>
    <cellStyle name="Style 74 2 2 2 2 3 2" xfId="8208" xr:uid="{B94A2267-3884-472D-B5DB-7F2FE443B686}"/>
    <cellStyle name="Style 74 2 2 2 2 3 2 2" xfId="24418" xr:uid="{1C852EE5-1D26-4471-8579-8B0C15DAB9C6}"/>
    <cellStyle name="Style 74 2 2 2 2 4" xfId="8209" xr:uid="{FDD2CEF6-6293-4AA4-A840-079A600FCDE4}"/>
    <cellStyle name="Style 74 2 2 2 2 4 2" xfId="24419" xr:uid="{7DFD39AB-7C3D-4AFE-9F07-CE1D59420BC2}"/>
    <cellStyle name="Style 74 2 2 2 2 5" xfId="8210" xr:uid="{B3BB46ED-F191-46D5-8E9A-727ACEF72074}"/>
    <cellStyle name="Style 74 2 2 2 2 5 2" xfId="24420" xr:uid="{2E082AB5-A577-423E-90FF-DEDBC86770D2}"/>
    <cellStyle name="Style 74 2 2 2 2 6" xfId="8211" xr:uid="{5C72A7B1-87A1-4D0A-9B4B-7335417D1D4F}"/>
    <cellStyle name="Style 74 2 2 2 2 6 2" xfId="24421" xr:uid="{6658E119-4149-4B69-B3EE-DF57F302F822}"/>
    <cellStyle name="Style 74 2 2 2 2 7" xfId="8212" xr:uid="{E302049E-8EA2-4273-85A9-30D76644AF20}"/>
    <cellStyle name="Style 74 2 2 2 2 7 2" xfId="24422" xr:uid="{57373478-1E2E-4745-B0D2-CA28AE99D7EA}"/>
    <cellStyle name="Style 74 2 2 2 2 8" xfId="8213" xr:uid="{C6AC7E6C-91A2-4EA9-B003-FA8F038ACDB0}"/>
    <cellStyle name="Style 74 2 2 2 2 8 2" xfId="24423" xr:uid="{9CCD363F-174C-4E76-AF32-22ED1B759FBC}"/>
    <cellStyle name="Style 74 2 2 2 2 9" xfId="8214" xr:uid="{18F6D569-7C84-4D70-981C-5E8A097D4F30}"/>
    <cellStyle name="Style 74 2 2 2 2 9 2" xfId="24424" xr:uid="{4FCE4B03-D930-4934-837A-4E109A106190}"/>
    <cellStyle name="Style 74 2 2 2 3" xfId="2001" xr:uid="{A5416F51-6637-45DA-B3FE-ECC9868BFB48}"/>
    <cellStyle name="Style 74 2 2 2 3 10" xfId="8215" xr:uid="{C7132993-289E-4B49-94A7-DA9D6D689490}"/>
    <cellStyle name="Style 74 2 2 2 3 10 2" xfId="24425" xr:uid="{262AAEE6-591C-467A-B86C-D5331C1EF356}"/>
    <cellStyle name="Style 74 2 2 2 3 2" xfId="8216" xr:uid="{9994AE02-4C63-4632-AF5D-8C925096F06F}"/>
    <cellStyle name="Style 74 2 2 2 3 2 2" xfId="8217" xr:uid="{F8326588-7D69-47BD-91FB-F4F844EC49DC}"/>
    <cellStyle name="Style 74 2 2 2 3 2 2 2" xfId="24426" xr:uid="{A737D63E-C707-494F-996E-A38965804B22}"/>
    <cellStyle name="Style 74 2 2 2 3 3" xfId="8218" xr:uid="{D7D86D64-CA18-4A30-A079-C67A07067BF5}"/>
    <cellStyle name="Style 74 2 2 2 3 3 2" xfId="24427" xr:uid="{96B8A66C-D1C9-445D-BDE6-051B542D3854}"/>
    <cellStyle name="Style 74 2 2 2 3 4" xfId="8219" xr:uid="{193D204E-BD5B-41A8-A757-C3425123F05B}"/>
    <cellStyle name="Style 74 2 2 2 3 4 2" xfId="24428" xr:uid="{4CA53EEB-E524-487A-96B1-36E8F8474A77}"/>
    <cellStyle name="Style 74 2 2 2 3 5" xfId="8220" xr:uid="{D18E2C92-7BA8-4497-8BAF-6E345E9F663A}"/>
    <cellStyle name="Style 74 2 2 2 3 5 2" xfId="24429" xr:uid="{33A3E0A8-D326-4DED-ABA2-4B5F8F50999A}"/>
    <cellStyle name="Style 74 2 2 2 3 6" xfId="8221" xr:uid="{4BBC6748-A8F3-4C8C-B634-67BE4404A61A}"/>
    <cellStyle name="Style 74 2 2 2 3 6 2" xfId="24430" xr:uid="{6E4C6EC1-1100-437C-9006-59EE615D4C45}"/>
    <cellStyle name="Style 74 2 2 2 3 7" xfId="8222" xr:uid="{08121AAB-E778-43FA-AB03-78D2DBB6FE72}"/>
    <cellStyle name="Style 74 2 2 2 3 7 2" xfId="24431" xr:uid="{32620E77-2FB6-4473-B862-64B2A1926780}"/>
    <cellStyle name="Style 74 2 2 2 3 8" xfId="8223" xr:uid="{ACB5B76F-71E0-40BA-8502-9B02EE7D5892}"/>
    <cellStyle name="Style 74 2 2 2 3 8 2" xfId="24432" xr:uid="{9DCA623E-A1F9-46E5-9ABA-123EB4502BC2}"/>
    <cellStyle name="Style 74 2 2 2 3 9" xfId="8224" xr:uid="{C8226750-0727-44A7-A1A5-D8E33E251B07}"/>
    <cellStyle name="Style 74 2 2 2 3 9 2" xfId="24433" xr:uid="{DC70AEB2-8172-44A3-BDB7-C776D32E2B81}"/>
    <cellStyle name="Style 74 2 2 2 4" xfId="8225" xr:uid="{50283360-FF1C-48A4-A90A-FA61CD7C4516}"/>
    <cellStyle name="Style 74 2 2 2 4 2" xfId="8226" xr:uid="{E198BA39-CBCC-4314-B2A0-1B322FE5A606}"/>
    <cellStyle name="Style 74 2 2 2 4 2 2" xfId="24434" xr:uid="{8A31B49F-B40B-4DA8-881D-ECD12571044F}"/>
    <cellStyle name="Style 74 2 2 2 5" xfId="8227" xr:uid="{4DEB4D9E-77FB-4859-B75F-9719CFD262A5}"/>
    <cellStyle name="Style 74 2 2 2 5 2" xfId="24435" xr:uid="{F5CA57FA-C90D-4945-9F37-A34BE3D20402}"/>
    <cellStyle name="Style 74 2 2 2 6" xfId="8228" xr:uid="{B5AA056F-55E1-4E55-AE2B-D9D6F26823DF}"/>
    <cellStyle name="Style 74 2 2 2 6 2" xfId="24436" xr:uid="{B4E51B45-57EE-4D8F-A95F-78B256CE65B6}"/>
    <cellStyle name="Style 74 2 2 2 7" xfId="8229" xr:uid="{88012D05-78C8-417A-BB86-A60E77974C5F}"/>
    <cellStyle name="Style 74 2 2 2 7 2" xfId="24437" xr:uid="{CA4A1D25-F02F-4DD5-9341-B9049385089B}"/>
    <cellStyle name="Style 74 2 2 2 8" xfId="8230" xr:uid="{A03CBFA7-BC41-449B-AEE4-4AF12760F6C3}"/>
    <cellStyle name="Style 74 2 2 2 8 2" xfId="24438" xr:uid="{A8554BF3-B4A6-4F6F-90A9-2CCED4DD23ED}"/>
    <cellStyle name="Style 74 2 2 2 9" xfId="8231" xr:uid="{7BC221FC-72EA-48A8-8D75-92FCF18470E6}"/>
    <cellStyle name="Style 74 2 2 2 9 2" xfId="24439" xr:uid="{BD56E46B-6653-4EE4-B464-7ED930CCC7D1}"/>
    <cellStyle name="Style 74 2 2 3" xfId="2002" xr:uid="{B3489A3E-BDBE-4747-A996-DAD03A86E627}"/>
    <cellStyle name="Style 74 2 2 3 10" xfId="8232" xr:uid="{A0C3690E-5B83-4CBC-BCFC-517A46292467}"/>
    <cellStyle name="Style 74 2 2 3 10 2" xfId="24440" xr:uid="{9409448F-7F74-44B7-81DB-FA78095878AF}"/>
    <cellStyle name="Style 74 2 2 3 11" xfId="8233" xr:uid="{CF6AFA0D-A6C3-4AA3-84C2-124A57F5F280}"/>
    <cellStyle name="Style 74 2 2 3 11 2" xfId="24441" xr:uid="{B70B6074-53EE-4FD5-BF08-1B89A5F1401E}"/>
    <cellStyle name="Style 74 2 2 3 12" xfId="8234" xr:uid="{A0C6C8A3-8636-4A75-9EC3-C1F78B367395}"/>
    <cellStyle name="Style 74 2 2 3 12 2" xfId="24442" xr:uid="{3E7CC996-CDED-497C-8187-B009A55EE60B}"/>
    <cellStyle name="Style 74 2 2 3 2" xfId="2003" xr:uid="{99627D43-8B19-466B-9409-6C218BB387C5}"/>
    <cellStyle name="Style 74 2 2 3 2 10" xfId="8235" xr:uid="{F743C1CD-D205-4E80-BB3C-0CA73C7010C1}"/>
    <cellStyle name="Style 74 2 2 3 2 10 2" xfId="24443" xr:uid="{C8E633F2-3200-4B6E-8291-A8D3A11A9053}"/>
    <cellStyle name="Style 74 2 2 3 2 2" xfId="8236" xr:uid="{CA87B75C-1EAE-45CB-9C0B-A1B35AFBC977}"/>
    <cellStyle name="Style 74 2 2 3 2 2 2" xfId="8237" xr:uid="{65EE168E-F8E7-4C3B-BDF6-1FF0281F6568}"/>
    <cellStyle name="Style 74 2 2 3 2 2 2 2" xfId="24444" xr:uid="{AF6D615A-33B6-4398-9382-52A5AB6C5FDC}"/>
    <cellStyle name="Style 74 2 2 3 2 3" xfId="8238" xr:uid="{71C322ED-2C4B-4D9B-8461-B03A982BE844}"/>
    <cellStyle name="Style 74 2 2 3 2 3 2" xfId="24445" xr:uid="{1FDB4877-8A00-45A0-8CE4-E46CD694E4C9}"/>
    <cellStyle name="Style 74 2 2 3 2 4" xfId="8239" xr:uid="{EC23AFDD-A2B4-4204-8018-5A1440589820}"/>
    <cellStyle name="Style 74 2 2 3 2 4 2" xfId="24446" xr:uid="{02E63AC5-2204-4C5C-ADF4-460E5827A5F4}"/>
    <cellStyle name="Style 74 2 2 3 2 5" xfId="8240" xr:uid="{77D6CA10-FD45-4F79-93E6-490E80DA9D0A}"/>
    <cellStyle name="Style 74 2 2 3 2 5 2" xfId="24447" xr:uid="{7DBC07D3-D8A5-4BAA-B5B9-A82BC238C245}"/>
    <cellStyle name="Style 74 2 2 3 2 6" xfId="8241" xr:uid="{144D5F05-E17F-4558-B3D8-2B7BFABBF015}"/>
    <cellStyle name="Style 74 2 2 3 2 6 2" xfId="24448" xr:uid="{878F7C91-6A16-4D9E-B86F-8A28B0798655}"/>
    <cellStyle name="Style 74 2 2 3 2 7" xfId="8242" xr:uid="{247E6B98-2A3D-486F-8BA5-E08D4C74877E}"/>
    <cellStyle name="Style 74 2 2 3 2 7 2" xfId="24449" xr:uid="{46345A3F-6C0F-4785-952E-D25D6E60324F}"/>
    <cellStyle name="Style 74 2 2 3 2 8" xfId="8243" xr:uid="{10A834D8-3F85-4688-9C38-15B18E561720}"/>
    <cellStyle name="Style 74 2 2 3 2 8 2" xfId="24450" xr:uid="{9F1734E2-CEC3-41D0-A050-F2BDFD784300}"/>
    <cellStyle name="Style 74 2 2 3 2 9" xfId="8244" xr:uid="{BD04D37A-0BA9-4AB6-BDD0-682ABE51A1DB}"/>
    <cellStyle name="Style 74 2 2 3 2 9 2" xfId="24451" xr:uid="{175D2D60-6894-4562-ACF3-6BE79325758E}"/>
    <cellStyle name="Style 74 2 2 3 3" xfId="8245" xr:uid="{81E6BDE1-E5B2-4798-9E35-AFF11D9149F1}"/>
    <cellStyle name="Style 74 2 2 3 3 2" xfId="8246" xr:uid="{20C7E994-FD88-4681-97A7-C38E556DBCBB}"/>
    <cellStyle name="Style 74 2 2 3 3 2 2" xfId="24452" xr:uid="{3C17E025-FA1B-4BCD-8537-B1366C67B797}"/>
    <cellStyle name="Style 74 2 2 3 4" xfId="8247" xr:uid="{ADDABFCD-907C-4F42-A23F-20677F90A720}"/>
    <cellStyle name="Style 74 2 2 3 4 2" xfId="24453" xr:uid="{B777B880-7E70-47AD-977D-883540FA3CCA}"/>
    <cellStyle name="Style 74 2 2 3 5" xfId="8248" xr:uid="{048F3116-8AD1-4254-9652-74C9902C52CB}"/>
    <cellStyle name="Style 74 2 2 3 5 2" xfId="24454" xr:uid="{A70F96CC-48DE-4502-B822-8DDD94ED1938}"/>
    <cellStyle name="Style 74 2 2 3 6" xfId="8249" xr:uid="{537F23B2-2BE4-4728-A0B1-3E8986759216}"/>
    <cellStyle name="Style 74 2 2 3 6 2" xfId="24455" xr:uid="{48F11E9F-6CC5-42D4-ADC7-469AB7B7E685}"/>
    <cellStyle name="Style 74 2 2 3 7" xfId="8250" xr:uid="{4F06F1E6-2811-4D74-AD9B-4176AA398669}"/>
    <cellStyle name="Style 74 2 2 3 7 2" xfId="24456" xr:uid="{E019405C-E091-4BE0-805A-558A4B0947D4}"/>
    <cellStyle name="Style 74 2 2 3 8" xfId="8251" xr:uid="{4C253693-C460-462F-AD76-2DD168F4C90A}"/>
    <cellStyle name="Style 74 2 2 3 8 2" xfId="24457" xr:uid="{B4698B38-6A9C-46BE-ADF0-6CFA12AA909D}"/>
    <cellStyle name="Style 74 2 2 3 9" xfId="8252" xr:uid="{E186CEC6-DBA2-46D9-A52A-7D4F5D3087C5}"/>
    <cellStyle name="Style 74 2 2 3 9 2" xfId="24458" xr:uid="{92E14708-56B8-4F36-A2AF-FE3534A80304}"/>
    <cellStyle name="Style 74 2 2 4" xfId="2004" xr:uid="{8D173BAE-9F65-42D6-A748-4DDC8462BDFC}"/>
    <cellStyle name="Style 74 2 2 4 10" xfId="8253" xr:uid="{B6729350-388C-4E78-BBC3-FF8A225B2669}"/>
    <cellStyle name="Style 74 2 2 4 10 2" xfId="24459" xr:uid="{54DF0C1B-39AF-4D5A-87C1-8C50CE85C7F2}"/>
    <cellStyle name="Style 74 2 2 4 2" xfId="8254" xr:uid="{7AC7F978-23CE-4EC8-B831-B611F8B94EC9}"/>
    <cellStyle name="Style 74 2 2 4 2 2" xfId="8255" xr:uid="{723039D8-7784-4F33-8243-E70045038AD0}"/>
    <cellStyle name="Style 74 2 2 4 2 2 2" xfId="24460" xr:uid="{4346C277-2DDD-478F-A748-CF6F0619B55B}"/>
    <cellStyle name="Style 74 2 2 4 3" xfId="8256" xr:uid="{E4AB1F49-C6E1-4C36-BCDE-899AB9AD2060}"/>
    <cellStyle name="Style 74 2 2 4 3 2" xfId="24461" xr:uid="{5C89233E-46C0-4A12-B367-221F5BA9CA8B}"/>
    <cellStyle name="Style 74 2 2 4 4" xfId="8257" xr:uid="{F9864676-9BB0-40C2-BBE8-E1060442F28B}"/>
    <cellStyle name="Style 74 2 2 4 4 2" xfId="24462" xr:uid="{ACB87B89-5A30-4443-A9F6-C07E9299031C}"/>
    <cellStyle name="Style 74 2 2 4 5" xfId="8258" xr:uid="{A40E3108-19A3-4FF6-B86A-7F2522E943CC}"/>
    <cellStyle name="Style 74 2 2 4 5 2" xfId="24463" xr:uid="{C918E90E-F0CE-45DC-BB5B-09B478BAB1D8}"/>
    <cellStyle name="Style 74 2 2 4 6" xfId="8259" xr:uid="{B5B6141C-2F6F-43AB-9ED9-8F33EFBF0584}"/>
    <cellStyle name="Style 74 2 2 4 6 2" xfId="24464" xr:uid="{08977051-5053-4E0B-8509-F3B585886EB7}"/>
    <cellStyle name="Style 74 2 2 4 7" xfId="8260" xr:uid="{7950E968-5EDA-4108-8C77-9D2AF18ABFCC}"/>
    <cellStyle name="Style 74 2 2 4 7 2" xfId="24465" xr:uid="{7B1A2E9B-66C9-43E0-91DB-AEFB0AD98884}"/>
    <cellStyle name="Style 74 2 2 4 8" xfId="8261" xr:uid="{330DE425-4DAD-469F-B0E1-F788BCDF4936}"/>
    <cellStyle name="Style 74 2 2 4 8 2" xfId="24466" xr:uid="{E29CFD45-D27F-4F2C-9FAA-68F9920C60DE}"/>
    <cellStyle name="Style 74 2 2 4 9" xfId="8262" xr:uid="{46AF5F59-5ED1-4A55-B39C-1585EA694DA0}"/>
    <cellStyle name="Style 74 2 2 4 9 2" xfId="24467" xr:uid="{1D019804-E140-45E9-ADCB-096E11C44201}"/>
    <cellStyle name="Style 74 2 2 5" xfId="8263" xr:uid="{DB63C9FA-598F-4858-B882-ED5AAFCEAF90}"/>
    <cellStyle name="Style 74 2 2 5 2" xfId="8264" xr:uid="{005EA491-211E-4552-B33A-43D2623BF86D}"/>
    <cellStyle name="Style 74 2 2 5 2 2" xfId="24468" xr:uid="{4EF89AA8-C16F-49C8-B267-1AFC18F84D7E}"/>
    <cellStyle name="Style 74 2 2 6" xfId="8265" xr:uid="{4975F13A-FA16-4839-AFFC-B3411D5C8B11}"/>
    <cellStyle name="Style 74 2 2 6 2" xfId="24469" xr:uid="{9E8BDE88-61E8-4400-AEA2-A3CFDC1D61AD}"/>
    <cellStyle name="Style 74 2 2 7" xfId="8266" xr:uid="{AE64A61E-1476-4735-90A3-D55BC5DF87F8}"/>
    <cellStyle name="Style 74 2 2 7 2" xfId="24470" xr:uid="{531AC73C-C2DB-44F3-AF08-F66EF5C8DA8B}"/>
    <cellStyle name="Style 74 2 2 8" xfId="8267" xr:uid="{FFF8099F-8104-4640-8155-9E3C3FB3717F}"/>
    <cellStyle name="Style 74 2 2 8 2" xfId="24471" xr:uid="{59C0F3B9-315F-4BA8-A541-6BC7A4533F17}"/>
    <cellStyle name="Style 74 2 2 9" xfId="8268" xr:uid="{73FBCBC0-78DF-4397-9BBD-385B9D30DACD}"/>
    <cellStyle name="Style 74 2 2 9 2" xfId="24472" xr:uid="{B10671BA-8657-49B4-9548-1E3E606F7EC9}"/>
    <cellStyle name="Style 74 2 3" xfId="2005" xr:uid="{AF92A526-F9A3-43B1-AD8C-7A13CF22B4C7}"/>
    <cellStyle name="Style 74 2 3 10" xfId="8269" xr:uid="{E100BB46-4CB5-4C68-B0F7-95F98EA896AC}"/>
    <cellStyle name="Style 74 2 3 10 2" xfId="24473" xr:uid="{678145D4-662F-4C4C-990D-AEE1851E122A}"/>
    <cellStyle name="Style 74 2 3 11" xfId="8270" xr:uid="{52829C2E-CC54-4FB1-80B8-5182F6A6DD8C}"/>
    <cellStyle name="Style 74 2 3 11 2" xfId="24474" xr:uid="{18C5CC8C-95E7-4102-BF11-C0994D56BCB2}"/>
    <cellStyle name="Style 74 2 3 12" xfId="8271" xr:uid="{02AE95B1-1EFE-4FAD-80EF-920D3AB4E66D}"/>
    <cellStyle name="Style 74 2 3 12 2" xfId="24475" xr:uid="{46BCC354-7B1F-4CFE-9E77-69E462F5BDDB}"/>
    <cellStyle name="Style 74 2 3 13" xfId="8272" xr:uid="{68A5E67A-DBA1-406C-A2DE-08163E1AC23C}"/>
    <cellStyle name="Style 74 2 3 13 2" xfId="24476" xr:uid="{AC379FA7-35C0-416A-A5FF-053E8AF4ACD3}"/>
    <cellStyle name="Style 74 2 3 2" xfId="2006" xr:uid="{D0E6F322-B510-40B3-894D-C14DC31D226D}"/>
    <cellStyle name="Style 74 2 3 2 10" xfId="8273" xr:uid="{EA5964BE-8E37-418B-9DEE-5BED97C97A68}"/>
    <cellStyle name="Style 74 2 3 2 10 2" xfId="24477" xr:uid="{983E5D5C-0BC0-4430-87B8-4BBE3FE2B323}"/>
    <cellStyle name="Style 74 2 3 2 11" xfId="8274" xr:uid="{3297AAB0-262F-4F78-9EF0-A6DB8597E99E}"/>
    <cellStyle name="Style 74 2 3 2 11 2" xfId="24478" xr:uid="{8F430D03-D542-4C16-B3B3-98D53484FD7E}"/>
    <cellStyle name="Style 74 2 3 2 12" xfId="8275" xr:uid="{9C109608-2E74-428D-885E-03194C1DBF29}"/>
    <cellStyle name="Style 74 2 3 2 12 2" xfId="24479" xr:uid="{3F1303EB-D641-41A7-82FB-C833109AD6D0}"/>
    <cellStyle name="Style 74 2 3 2 2" xfId="2007" xr:uid="{1BBEB33E-3650-430F-AF56-D6DB52AADFCF}"/>
    <cellStyle name="Style 74 2 3 2 2 10" xfId="8276" xr:uid="{92905669-AECF-4A57-96CE-1D5BF454C4B0}"/>
    <cellStyle name="Style 74 2 3 2 2 10 2" xfId="24480" xr:uid="{A6A77849-BC9F-42C7-9762-4F1D72E45E7A}"/>
    <cellStyle name="Style 74 2 3 2 2 2" xfId="8277" xr:uid="{BC295F52-B768-443F-A652-55056338CEDD}"/>
    <cellStyle name="Style 74 2 3 2 2 2 2" xfId="8278" xr:uid="{26CFC6E8-B1DC-4930-975A-0BFD261CCE34}"/>
    <cellStyle name="Style 74 2 3 2 2 2 2 2" xfId="24481" xr:uid="{BF8A374C-4054-4C2C-B83F-0D794C1EBEE7}"/>
    <cellStyle name="Style 74 2 3 2 2 3" xfId="8279" xr:uid="{1673A99A-A9FE-4A57-AE0B-9223243F3E2E}"/>
    <cellStyle name="Style 74 2 3 2 2 3 2" xfId="24482" xr:uid="{4CBF273F-E6DE-4339-85A5-AEA6032C663E}"/>
    <cellStyle name="Style 74 2 3 2 2 4" xfId="8280" xr:uid="{80499904-777F-4D64-A3F6-628E890EE247}"/>
    <cellStyle name="Style 74 2 3 2 2 4 2" xfId="24483" xr:uid="{D2A3D188-E0CD-4D68-8562-186F7EDE019B}"/>
    <cellStyle name="Style 74 2 3 2 2 5" xfId="8281" xr:uid="{08BBEE08-A1CF-4F24-A9C9-EE503B7D9ECB}"/>
    <cellStyle name="Style 74 2 3 2 2 5 2" xfId="24484" xr:uid="{DAD3116F-10FC-4180-92C7-9966771B8D2F}"/>
    <cellStyle name="Style 74 2 3 2 2 6" xfId="8282" xr:uid="{43A2EF8F-DD21-406D-82D6-B33E25DF9E66}"/>
    <cellStyle name="Style 74 2 3 2 2 6 2" xfId="24485" xr:uid="{3A274F75-04F4-444C-B1EC-242B5C9145F8}"/>
    <cellStyle name="Style 74 2 3 2 2 7" xfId="8283" xr:uid="{341A005B-DB48-4B9E-80E2-E97988C65E65}"/>
    <cellStyle name="Style 74 2 3 2 2 7 2" xfId="24486" xr:uid="{6BE94584-EA0A-48D7-99DE-CD85EE7A1107}"/>
    <cellStyle name="Style 74 2 3 2 2 8" xfId="8284" xr:uid="{CDBA5537-020F-4FF7-B4AF-66320DC25627}"/>
    <cellStyle name="Style 74 2 3 2 2 8 2" xfId="24487" xr:uid="{FA81BFFE-E555-4290-9B1D-B1C245C57200}"/>
    <cellStyle name="Style 74 2 3 2 2 9" xfId="8285" xr:uid="{4753C657-20E8-46AD-A493-6A21D81ABF1F}"/>
    <cellStyle name="Style 74 2 3 2 2 9 2" xfId="24488" xr:uid="{1FAFCE6D-21F7-4565-828D-547314AB5BF3}"/>
    <cellStyle name="Style 74 2 3 2 3" xfId="8286" xr:uid="{834F760D-3583-4AC3-913F-9AF905F33FE4}"/>
    <cellStyle name="Style 74 2 3 2 3 2" xfId="8287" xr:uid="{AF551F2A-176A-4099-8AD8-6FA390948F36}"/>
    <cellStyle name="Style 74 2 3 2 3 2 2" xfId="24489" xr:uid="{C6123D31-05EA-4B96-A714-FF441AE03001}"/>
    <cellStyle name="Style 74 2 3 2 4" xfId="8288" xr:uid="{895C91CF-3295-4585-9BF0-4FA915685EF1}"/>
    <cellStyle name="Style 74 2 3 2 4 2" xfId="24490" xr:uid="{9C2B11E1-3EB0-4E38-95FF-3B7216EC1DC7}"/>
    <cellStyle name="Style 74 2 3 2 5" xfId="8289" xr:uid="{D88C5BE4-6409-4F23-9AE7-5514285F54B9}"/>
    <cellStyle name="Style 74 2 3 2 5 2" xfId="24491" xr:uid="{7A07835E-45B0-4D25-82C8-F34EB76AF03A}"/>
    <cellStyle name="Style 74 2 3 2 6" xfId="8290" xr:uid="{C558B60E-584D-4400-AA1F-274C1435C690}"/>
    <cellStyle name="Style 74 2 3 2 6 2" xfId="24492" xr:uid="{17AD7FC9-4A17-4C27-A1B7-5CAA3F9ED753}"/>
    <cellStyle name="Style 74 2 3 2 7" xfId="8291" xr:uid="{7BBC722E-19F7-4D65-B4DB-2F0C9F9DE8C8}"/>
    <cellStyle name="Style 74 2 3 2 7 2" xfId="24493" xr:uid="{39F8CB27-1171-428F-B39F-69C583C7E4CD}"/>
    <cellStyle name="Style 74 2 3 2 8" xfId="8292" xr:uid="{A4A06D74-4968-4008-A6ED-3B0DCA2E86C6}"/>
    <cellStyle name="Style 74 2 3 2 8 2" xfId="24494" xr:uid="{13B472FF-8484-4EED-ADD0-4228A2D1E2D0}"/>
    <cellStyle name="Style 74 2 3 2 9" xfId="8293" xr:uid="{DCDDC1A9-2DA8-4361-BE27-72F5F9A81E3E}"/>
    <cellStyle name="Style 74 2 3 2 9 2" xfId="24495" xr:uid="{E7F48C18-E9CA-47A3-AC60-B8D278811C08}"/>
    <cellStyle name="Style 74 2 3 3" xfId="2008" xr:uid="{2BFD8C9F-F574-43C1-9405-E61DB87BFF84}"/>
    <cellStyle name="Style 74 2 3 3 10" xfId="8294" xr:uid="{149C2757-85BF-420C-BC52-F7CD8E1194AA}"/>
    <cellStyle name="Style 74 2 3 3 10 2" xfId="24496" xr:uid="{BEED3A3B-1CBA-4827-AEB1-BB064241904D}"/>
    <cellStyle name="Style 74 2 3 3 2" xfId="8295" xr:uid="{F038086A-FA99-465E-994B-29604067C8BE}"/>
    <cellStyle name="Style 74 2 3 3 2 2" xfId="8296" xr:uid="{DBDA9517-5D21-4F70-A922-C542D57F1C3B}"/>
    <cellStyle name="Style 74 2 3 3 2 2 2" xfId="24497" xr:uid="{FA5FC1E6-9D5F-4DB2-971D-5CCCAF74F94D}"/>
    <cellStyle name="Style 74 2 3 3 3" xfId="8297" xr:uid="{C34531D0-6911-400B-8069-A6DCE2DCF747}"/>
    <cellStyle name="Style 74 2 3 3 3 2" xfId="24498" xr:uid="{53147B00-28CF-4760-AF4D-8E01216FBB8D}"/>
    <cellStyle name="Style 74 2 3 3 4" xfId="8298" xr:uid="{AEFE48C9-804D-44D8-A00A-BC9E7C93ED30}"/>
    <cellStyle name="Style 74 2 3 3 4 2" xfId="24499" xr:uid="{8870C127-9A0C-45A6-8CED-B0189C323820}"/>
    <cellStyle name="Style 74 2 3 3 5" xfId="8299" xr:uid="{7A2EAE44-EEB5-4C6F-AAAE-D7F63EDFAB3F}"/>
    <cellStyle name="Style 74 2 3 3 5 2" xfId="24500" xr:uid="{23F0B5BF-9417-4184-978E-365D9BFC5902}"/>
    <cellStyle name="Style 74 2 3 3 6" xfId="8300" xr:uid="{9EB7F253-963C-4A9F-9782-B9B6CDA78D00}"/>
    <cellStyle name="Style 74 2 3 3 6 2" xfId="24501" xr:uid="{C2C2B45D-CB02-4750-BC78-10692842AE46}"/>
    <cellStyle name="Style 74 2 3 3 7" xfId="8301" xr:uid="{94B155F8-38BB-4761-A24A-11793D619C6D}"/>
    <cellStyle name="Style 74 2 3 3 7 2" xfId="24502" xr:uid="{042E4AAA-5364-4842-A385-E567C74F8F8D}"/>
    <cellStyle name="Style 74 2 3 3 8" xfId="8302" xr:uid="{503C0E38-CD87-4673-88BB-1425E17BE80A}"/>
    <cellStyle name="Style 74 2 3 3 8 2" xfId="24503" xr:uid="{159AF495-115E-4EE4-BC64-007FC58D1773}"/>
    <cellStyle name="Style 74 2 3 3 9" xfId="8303" xr:uid="{28F5BD1E-A3DF-48BC-94DE-BFD52AAAED96}"/>
    <cellStyle name="Style 74 2 3 3 9 2" xfId="24504" xr:uid="{FE8DFC5A-7EB2-4125-830E-71109000E344}"/>
    <cellStyle name="Style 74 2 3 4" xfId="8304" xr:uid="{E0300F56-C4C7-4675-9108-736FFF7F636F}"/>
    <cellStyle name="Style 74 2 3 4 2" xfId="8305" xr:uid="{F022F326-FF7A-4DAC-8948-DFBACD2D6D73}"/>
    <cellStyle name="Style 74 2 3 4 2 2" xfId="24505" xr:uid="{FAF9DA03-82FB-429A-84B3-FD8AD8D5FFF4}"/>
    <cellStyle name="Style 74 2 3 5" xfId="8306" xr:uid="{4987E499-4ACE-4A57-A8BF-B136ACBEC803}"/>
    <cellStyle name="Style 74 2 3 5 2" xfId="24506" xr:uid="{24A670BB-DF9B-4E47-9BC3-56F92C2B0F1F}"/>
    <cellStyle name="Style 74 2 3 6" xfId="8307" xr:uid="{A65FF5DD-7376-45DF-BD2B-70B56D11063E}"/>
    <cellStyle name="Style 74 2 3 6 2" xfId="24507" xr:uid="{B6E3679F-080C-4EF2-A5AD-4A2E32A334FA}"/>
    <cellStyle name="Style 74 2 3 7" xfId="8308" xr:uid="{E9FA78BE-480C-49EB-A65A-0614BD9F477E}"/>
    <cellStyle name="Style 74 2 3 7 2" xfId="24508" xr:uid="{B71B2F6E-B1D2-4838-AB30-975C6A122857}"/>
    <cellStyle name="Style 74 2 3 8" xfId="8309" xr:uid="{B98B128F-7F85-4272-BC71-ED63C1845B38}"/>
    <cellStyle name="Style 74 2 3 8 2" xfId="24509" xr:uid="{B72ED6B2-8215-49C7-8E97-44EC9C562470}"/>
    <cellStyle name="Style 74 2 3 9" xfId="8310" xr:uid="{143FBF3F-063A-4FC9-939E-F98741DA474C}"/>
    <cellStyle name="Style 74 2 3 9 2" xfId="24510" xr:uid="{56D6B3BA-7905-463B-9C80-45479F65B602}"/>
    <cellStyle name="Style 74 2 4" xfId="2009" xr:uid="{BBAF2014-23C1-43A3-9668-9C44C9B2E00D}"/>
    <cellStyle name="Style 74 2 4 10" xfId="8311" xr:uid="{FFCD96C5-5DCA-4403-A790-5229216A1121}"/>
    <cellStyle name="Style 74 2 4 10 2" xfId="24511" xr:uid="{A948EC0E-2FFC-48A6-A723-417D3D010E5F}"/>
    <cellStyle name="Style 74 2 4 11" xfId="8312" xr:uid="{D3CDC667-6266-4475-98E3-8BCA082B2757}"/>
    <cellStyle name="Style 74 2 4 11 2" xfId="24512" xr:uid="{004C5F2C-1C39-4A58-89D3-699C490F0479}"/>
    <cellStyle name="Style 74 2 4 12" xfId="8313" xr:uid="{152E9B82-F1D4-4D34-A9EC-0302C5765C4C}"/>
    <cellStyle name="Style 74 2 4 12 2" xfId="24513" xr:uid="{72E93CDA-C21E-48F3-A6AF-E4E40425383B}"/>
    <cellStyle name="Style 74 2 4 2" xfId="2010" xr:uid="{515384E9-C9F1-4C81-89D7-611C20BCD5A8}"/>
    <cellStyle name="Style 74 2 4 2 10" xfId="8314" xr:uid="{725259C7-A4AD-4B66-BD1E-F2284C6E6D57}"/>
    <cellStyle name="Style 74 2 4 2 10 2" xfId="24514" xr:uid="{F876C7CC-7121-4F04-8DC4-C35B93AC5484}"/>
    <cellStyle name="Style 74 2 4 2 2" xfId="8315" xr:uid="{5D62F729-29C2-4F1E-A035-58C6DEA37FF6}"/>
    <cellStyle name="Style 74 2 4 2 2 2" xfId="8316" xr:uid="{3A96DDD9-E998-4F54-8F29-8549CECD112B}"/>
    <cellStyle name="Style 74 2 4 2 2 2 2" xfId="24515" xr:uid="{56595F15-3C86-4BFB-902C-BA9DD626E16C}"/>
    <cellStyle name="Style 74 2 4 2 3" xfId="8317" xr:uid="{0D11101B-BF4D-47C5-B7E7-F19662A5D1D5}"/>
    <cellStyle name="Style 74 2 4 2 3 2" xfId="24516" xr:uid="{D988FD6D-E981-40E4-870B-E9233D2F0FD0}"/>
    <cellStyle name="Style 74 2 4 2 4" xfId="8318" xr:uid="{6C9A2417-1D42-4364-8470-E86166C194D0}"/>
    <cellStyle name="Style 74 2 4 2 4 2" xfId="24517" xr:uid="{36B26F94-CBFD-454A-883E-7C4817AC5548}"/>
    <cellStyle name="Style 74 2 4 2 5" xfId="8319" xr:uid="{46010298-924D-4CF7-A5E0-B7A2244455DB}"/>
    <cellStyle name="Style 74 2 4 2 5 2" xfId="24518" xr:uid="{B240C2EE-159E-44F6-AF42-C5DE7FDCDD3C}"/>
    <cellStyle name="Style 74 2 4 2 6" xfId="8320" xr:uid="{7B4EF0F7-365F-46DB-BF75-21193D791FDD}"/>
    <cellStyle name="Style 74 2 4 2 6 2" xfId="24519" xr:uid="{3A05E279-931C-4F83-A317-42B83676F793}"/>
    <cellStyle name="Style 74 2 4 2 7" xfId="8321" xr:uid="{9E1E8840-EA51-491D-A255-2018EC9F5119}"/>
    <cellStyle name="Style 74 2 4 2 7 2" xfId="24520" xr:uid="{BA915CDD-A4ED-4701-8FA3-05F53E263DF8}"/>
    <cellStyle name="Style 74 2 4 2 8" xfId="8322" xr:uid="{1F524362-54BB-4B63-A26E-A504D122D772}"/>
    <cellStyle name="Style 74 2 4 2 8 2" xfId="24521" xr:uid="{5DC80269-5419-46E5-B779-97F30694E341}"/>
    <cellStyle name="Style 74 2 4 2 9" xfId="8323" xr:uid="{9ACD232C-04CD-4FD8-86CF-1A72C6A03935}"/>
    <cellStyle name="Style 74 2 4 2 9 2" xfId="24522" xr:uid="{3E6D42D3-B17F-4899-8D93-3ED69F3E53FD}"/>
    <cellStyle name="Style 74 2 4 3" xfId="8324" xr:uid="{8586E2DE-8934-46F7-9E9D-02063A19EEE8}"/>
    <cellStyle name="Style 74 2 4 3 2" xfId="8325" xr:uid="{FC478828-B44F-4E8B-B171-47F5C81CE921}"/>
    <cellStyle name="Style 74 2 4 3 2 2" xfId="24523" xr:uid="{CDCCDA34-14C1-4CFD-9CF5-DC98C9F7E408}"/>
    <cellStyle name="Style 74 2 4 4" xfId="8326" xr:uid="{A45E516B-1F5C-42E6-BCF3-0A2615D2C60A}"/>
    <cellStyle name="Style 74 2 4 4 2" xfId="24524" xr:uid="{279DAB52-2B8E-4709-AE50-504934F38410}"/>
    <cellStyle name="Style 74 2 4 5" xfId="8327" xr:uid="{8E3B168D-BC97-4365-BFAC-0A25AA1A0F35}"/>
    <cellStyle name="Style 74 2 4 5 2" xfId="24525" xr:uid="{39457828-663C-418D-B41B-1E5B1E095690}"/>
    <cellStyle name="Style 74 2 4 6" xfId="8328" xr:uid="{9313BD67-8301-44F1-944E-898DD48D616E}"/>
    <cellStyle name="Style 74 2 4 6 2" xfId="24526" xr:uid="{13E28A92-DC91-49FC-9F86-C9AEA09121CF}"/>
    <cellStyle name="Style 74 2 4 7" xfId="8329" xr:uid="{683AD605-E541-475B-8213-674B3FE20BED}"/>
    <cellStyle name="Style 74 2 4 7 2" xfId="24527" xr:uid="{4C259096-F24B-47E1-A7C9-694C3264A22E}"/>
    <cellStyle name="Style 74 2 4 8" xfId="8330" xr:uid="{946D92DB-0B9E-4481-ABA0-D60967356FB1}"/>
    <cellStyle name="Style 74 2 4 8 2" xfId="24528" xr:uid="{AFEBCC73-699F-4982-8C8E-423BE616B376}"/>
    <cellStyle name="Style 74 2 4 9" xfId="8331" xr:uid="{5A476900-009D-4E32-A04F-C4B26E9F4972}"/>
    <cellStyle name="Style 74 2 4 9 2" xfId="24529" xr:uid="{E9623CE9-AEA6-442D-A345-6601EC3A6917}"/>
    <cellStyle name="Style 74 2 5" xfId="2011" xr:uid="{211F9E82-CCA2-4C88-8970-FA3C5C70B75B}"/>
    <cellStyle name="Style 74 2 5 10" xfId="8332" xr:uid="{AB0FF36B-34B4-4D3F-86CB-C54CC81A521B}"/>
    <cellStyle name="Style 74 2 5 10 2" xfId="24530" xr:uid="{D45B9860-559D-4329-B70D-7B4DCF38B808}"/>
    <cellStyle name="Style 74 2 5 2" xfId="8333" xr:uid="{792F5BE0-BCDE-4C8B-8F90-309BDB0A82BA}"/>
    <cellStyle name="Style 74 2 5 2 2" xfId="8334" xr:uid="{0432CE31-8809-4F02-BFC3-A0D24B46C284}"/>
    <cellStyle name="Style 74 2 5 2 2 2" xfId="24531" xr:uid="{7AF42A9E-23AE-4998-AFA4-8894EBE8FCFA}"/>
    <cellStyle name="Style 74 2 5 3" xfId="8335" xr:uid="{B0BFB67C-C957-44EF-9427-A950FEAAE90A}"/>
    <cellStyle name="Style 74 2 5 3 2" xfId="24532" xr:uid="{22582838-A60F-416F-BB44-7EC4429703AE}"/>
    <cellStyle name="Style 74 2 5 4" xfId="8336" xr:uid="{0BDB3A4A-80B6-43B3-8D73-57322DAB0D65}"/>
    <cellStyle name="Style 74 2 5 4 2" xfId="24533" xr:uid="{A17D434E-8C82-4C55-9058-8B532BAE84F1}"/>
    <cellStyle name="Style 74 2 5 5" xfId="8337" xr:uid="{F81DE2F2-C234-4B03-AAEB-288E1BB06BB7}"/>
    <cellStyle name="Style 74 2 5 5 2" xfId="24534" xr:uid="{0A173E40-2AB4-4B47-9E7D-5AD5DED967A6}"/>
    <cellStyle name="Style 74 2 5 6" xfId="8338" xr:uid="{A6CA969F-D627-450A-8BFC-FEDB5DB48154}"/>
    <cellStyle name="Style 74 2 5 6 2" xfId="24535" xr:uid="{495A870D-9BC9-40F0-A486-C20633C7F413}"/>
    <cellStyle name="Style 74 2 5 7" xfId="8339" xr:uid="{977D9177-808D-4214-95F5-DF22945A6FA3}"/>
    <cellStyle name="Style 74 2 5 7 2" xfId="24536" xr:uid="{D5FC93AF-D676-463A-8F1B-7BFD5C2916F8}"/>
    <cellStyle name="Style 74 2 5 8" xfId="8340" xr:uid="{C6962522-9D39-4741-AE1F-4A98B3E205BB}"/>
    <cellStyle name="Style 74 2 5 8 2" xfId="24537" xr:uid="{658AC2CD-EE9C-426F-96EB-48F4763BCA15}"/>
    <cellStyle name="Style 74 2 5 9" xfId="8341" xr:uid="{CF6EF609-6DCA-4379-BF45-82950D23896F}"/>
    <cellStyle name="Style 74 2 5 9 2" xfId="24538" xr:uid="{1AA6AA37-5C37-4159-BF9B-9FEA979091DE}"/>
    <cellStyle name="Style 74 2 6" xfId="8342" xr:uid="{F3B56A0B-696B-4253-B888-AE4F255023D7}"/>
    <cellStyle name="Style 74 2 6 2" xfId="8343" xr:uid="{26D09FAC-88CF-43B3-B192-968055EB0759}"/>
    <cellStyle name="Style 74 2 6 2 2" xfId="24539" xr:uid="{CA2ECD42-2779-4935-AFBD-E05C00E0086F}"/>
    <cellStyle name="Style 74 2 7" xfId="8344" xr:uid="{0CBCEAB7-7F9B-4E0A-80CE-FE2A88C7E099}"/>
    <cellStyle name="Style 74 2 7 2" xfId="24540" xr:uid="{2FDDC614-2620-4418-8CD5-DC6D936D7AD2}"/>
    <cellStyle name="Style 74 2 8" xfId="8345" xr:uid="{40D4254C-6978-4EA8-ADBA-2346D5734BC3}"/>
    <cellStyle name="Style 74 2 8 2" xfId="24541" xr:uid="{F0C6FE20-E2A3-4492-A2D9-A363CEA28EFB}"/>
    <cellStyle name="Style 74 2 9" xfId="8346" xr:uid="{0A973F2D-7718-48EC-9733-E46EF4F48A7E}"/>
    <cellStyle name="Style 74 2 9 2" xfId="24542" xr:uid="{DC2F1F82-500F-429B-AF7C-383C443A9646}"/>
    <cellStyle name="Style 74 3" xfId="2012" xr:uid="{3C02CFE4-8AEF-4AEB-9CCB-7617014143B7}"/>
    <cellStyle name="Style 74 3 10" xfId="8347" xr:uid="{AED1667D-A7A5-47DA-82AE-510BFFB40BA7}"/>
    <cellStyle name="Style 74 3 10 2" xfId="24543" xr:uid="{2F302859-7A99-464C-ABFA-F96DB8F504FE}"/>
    <cellStyle name="Style 74 3 11" xfId="8348" xr:uid="{7E37A360-742F-4C49-A4EF-74B099C7C67A}"/>
    <cellStyle name="Style 74 3 11 2" xfId="24544" xr:uid="{22E880B3-897E-4B61-AE7E-038E47F8A046}"/>
    <cellStyle name="Style 74 3 12" xfId="8349" xr:uid="{5BFD4C7C-CCF0-4ED9-9DF1-A0199E9CC732}"/>
    <cellStyle name="Style 74 3 12 2" xfId="24545" xr:uid="{3FAA3E6E-87B0-4ED6-908E-0A3AA742ADFC}"/>
    <cellStyle name="Style 74 3 13" xfId="8350" xr:uid="{EFA549CE-BB1B-4763-989A-52A5ED2765AE}"/>
    <cellStyle name="Style 74 3 13 2" xfId="24546" xr:uid="{935EAFCD-C548-41DC-8CB2-6985FA8D0608}"/>
    <cellStyle name="Style 74 3 14" xfId="8351" xr:uid="{F32A673B-9A73-4AE4-AA67-14F46AF93850}"/>
    <cellStyle name="Style 74 3 14 2" xfId="24547" xr:uid="{F534DD4D-2CF9-4CC4-B300-85B349AD0D85}"/>
    <cellStyle name="Style 74 3 15" xfId="8352" xr:uid="{CD0F84B3-CEEC-439A-8D55-CC8A90DBFEBB}"/>
    <cellStyle name="Style 74 3 15 2" xfId="24548" xr:uid="{A2FA5D71-907F-45D7-A0B7-0D2BA8488631}"/>
    <cellStyle name="Style 74 3 2" xfId="2013" xr:uid="{A2D660AF-040B-41C9-B988-8E289BCE63E1}"/>
    <cellStyle name="Style 74 3 2 10" xfId="8353" xr:uid="{28C8EF0E-FC80-4E7F-8385-DCC51C8D9AAB}"/>
    <cellStyle name="Style 74 3 2 10 2" xfId="24549" xr:uid="{FE58B8F9-A1F9-44C5-BA74-60E54F46A266}"/>
    <cellStyle name="Style 74 3 2 11" xfId="8354" xr:uid="{3767C3A4-CB50-4B75-8EBC-75B1E06684AB}"/>
    <cellStyle name="Style 74 3 2 11 2" xfId="24550" xr:uid="{8F971D8F-99AE-4472-B2ED-E2BB1999AFFE}"/>
    <cellStyle name="Style 74 3 2 12" xfId="8355" xr:uid="{32BBB46C-56EB-40F9-A596-2152325C633A}"/>
    <cellStyle name="Style 74 3 2 12 2" xfId="24551" xr:uid="{A132F644-0F07-4024-A276-F477244AB7AB}"/>
    <cellStyle name="Style 74 3 2 13" xfId="8356" xr:uid="{2A7220E2-C98E-4B35-9986-B29E4BA674C7}"/>
    <cellStyle name="Style 74 3 2 13 2" xfId="24552" xr:uid="{B2527078-33A9-433B-8FF1-22ADAD2AF885}"/>
    <cellStyle name="Style 74 3 2 14" xfId="8357" xr:uid="{10D6B5B2-DE9A-46D7-9050-73F2169A9DEE}"/>
    <cellStyle name="Style 74 3 2 14 2" xfId="24553" xr:uid="{CDA481AE-7471-450E-88AF-4E2823635E46}"/>
    <cellStyle name="Style 74 3 2 2" xfId="2014" xr:uid="{F73BA3F9-E192-4C3C-B103-5F51DD46330C}"/>
    <cellStyle name="Style 74 3 2 2 10" xfId="8358" xr:uid="{084DA0A2-395B-425B-BE28-C2D5899AE31F}"/>
    <cellStyle name="Style 74 3 2 2 10 2" xfId="24554" xr:uid="{499CA1EF-D4DB-46C5-993C-B498F473D7DE}"/>
    <cellStyle name="Style 74 3 2 2 11" xfId="8359" xr:uid="{D8353C20-01C7-4DF2-9A68-B44E1F5E368F}"/>
    <cellStyle name="Style 74 3 2 2 11 2" xfId="24555" xr:uid="{02FCD317-BF98-4F3D-BCAF-A5830E0082C2}"/>
    <cellStyle name="Style 74 3 2 2 12" xfId="8360" xr:uid="{C6BD887E-2104-4C80-AD22-621E32370AA7}"/>
    <cellStyle name="Style 74 3 2 2 12 2" xfId="24556" xr:uid="{25E3E5A3-C342-4D2D-8E1F-F6673CB7B796}"/>
    <cellStyle name="Style 74 3 2 2 13" xfId="8361" xr:uid="{C55B1F4D-CE93-498B-A2FC-4EDAF4201A17}"/>
    <cellStyle name="Style 74 3 2 2 13 2" xfId="24557" xr:uid="{5620F0C0-B849-41AD-AE09-01E359A87675}"/>
    <cellStyle name="Style 74 3 2 2 2" xfId="2015" xr:uid="{8F2ABD79-4831-418A-BDD8-904D48463F36}"/>
    <cellStyle name="Style 74 3 2 2 2 10" xfId="8362" xr:uid="{393E084E-A7EC-42FA-A525-FE81A706BEFF}"/>
    <cellStyle name="Style 74 3 2 2 2 10 2" xfId="24558" xr:uid="{0551F8E3-EA33-451E-9158-C35B8C8D06D1}"/>
    <cellStyle name="Style 74 3 2 2 2 11" xfId="8363" xr:uid="{C20E6353-6FBA-426E-A20D-0E032604FC8B}"/>
    <cellStyle name="Style 74 3 2 2 2 11 2" xfId="24559" xr:uid="{CDE056FC-57CD-4596-B004-594B92E1EC44}"/>
    <cellStyle name="Style 74 3 2 2 2 12" xfId="8364" xr:uid="{9DCB2974-5F8E-4203-8427-2B3040308560}"/>
    <cellStyle name="Style 74 3 2 2 2 12 2" xfId="24560" xr:uid="{EA6C937F-BA62-41C8-9BC3-6AD2E19FE608}"/>
    <cellStyle name="Style 74 3 2 2 2 2" xfId="2016" xr:uid="{8D251A2B-ED8A-40AE-B9B4-708BD9C9E822}"/>
    <cellStyle name="Style 74 3 2 2 2 2 10" xfId="8365" xr:uid="{F678D8E4-D88A-410E-9C79-A94A60419C51}"/>
    <cellStyle name="Style 74 3 2 2 2 2 10 2" xfId="24561" xr:uid="{82331416-3200-43A8-8E98-87894C5C2033}"/>
    <cellStyle name="Style 74 3 2 2 2 2 2" xfId="8366" xr:uid="{933BF8AD-E6D7-4C13-81DA-8E73567FAF2C}"/>
    <cellStyle name="Style 74 3 2 2 2 2 2 2" xfId="8367" xr:uid="{FA9CB253-5EDD-4822-8C0A-55DFD2849E80}"/>
    <cellStyle name="Style 74 3 2 2 2 2 2 2 2" xfId="24562" xr:uid="{38388D15-A52F-47DD-B05F-C4957A39ABF5}"/>
    <cellStyle name="Style 74 3 2 2 2 2 3" xfId="8368" xr:uid="{18161D32-C331-4DDA-9AC2-B3D51FFF30D2}"/>
    <cellStyle name="Style 74 3 2 2 2 2 3 2" xfId="24563" xr:uid="{79E6C65C-E35F-4364-8A37-0EE69211EF65}"/>
    <cellStyle name="Style 74 3 2 2 2 2 4" xfId="8369" xr:uid="{A09EE2D4-6474-4AD6-8F67-D6A59BE8B428}"/>
    <cellStyle name="Style 74 3 2 2 2 2 4 2" xfId="24564" xr:uid="{89A060C4-A25C-48C5-AEEF-C5816D27910D}"/>
    <cellStyle name="Style 74 3 2 2 2 2 5" xfId="8370" xr:uid="{5FD82EA7-0623-4B75-B0CC-E7BE20B8B115}"/>
    <cellStyle name="Style 74 3 2 2 2 2 5 2" xfId="24565" xr:uid="{34775361-3C30-404F-8BBD-81DBAF33A40A}"/>
    <cellStyle name="Style 74 3 2 2 2 2 6" xfId="8371" xr:uid="{9A474CC1-E3BB-417A-B5B2-6FCA3D483404}"/>
    <cellStyle name="Style 74 3 2 2 2 2 6 2" xfId="24566" xr:uid="{60E53CB0-5CAC-4D39-90BA-6ADB8D5E945A}"/>
    <cellStyle name="Style 74 3 2 2 2 2 7" xfId="8372" xr:uid="{234CC5E5-91B5-4258-8CBC-ACC074193EBE}"/>
    <cellStyle name="Style 74 3 2 2 2 2 7 2" xfId="24567" xr:uid="{35380FAF-32D2-4690-9582-643C7BEDF2F2}"/>
    <cellStyle name="Style 74 3 2 2 2 2 8" xfId="8373" xr:uid="{AB4FEBDC-3314-4D03-9661-A6B29F1F74D0}"/>
    <cellStyle name="Style 74 3 2 2 2 2 8 2" xfId="24568" xr:uid="{D474BC80-8664-47B4-8A88-EB63DCAFD040}"/>
    <cellStyle name="Style 74 3 2 2 2 2 9" xfId="8374" xr:uid="{B1679304-FA8E-49AA-A78A-D083ED0FE2E4}"/>
    <cellStyle name="Style 74 3 2 2 2 2 9 2" xfId="24569" xr:uid="{E3F74483-5C23-4E94-8989-C6D386C05A61}"/>
    <cellStyle name="Style 74 3 2 2 2 3" xfId="8375" xr:uid="{1941FBFB-ABCC-4B09-BF24-ADC0F28E19D1}"/>
    <cellStyle name="Style 74 3 2 2 2 3 2" xfId="8376" xr:uid="{D712E6BF-8FF2-4563-8E25-2C5E33B87D6E}"/>
    <cellStyle name="Style 74 3 2 2 2 3 2 2" xfId="24570" xr:uid="{BE6D6993-C160-4E52-BA5B-2F4D185BD421}"/>
    <cellStyle name="Style 74 3 2 2 2 4" xfId="8377" xr:uid="{B7936AC8-2049-47B4-9AA1-92330276B729}"/>
    <cellStyle name="Style 74 3 2 2 2 4 2" xfId="24571" xr:uid="{11841C0B-EEA4-4750-B81F-DCFE6DEB0270}"/>
    <cellStyle name="Style 74 3 2 2 2 5" xfId="8378" xr:uid="{C67B7EDF-7A5F-40BB-A0A4-C21D6A558EEF}"/>
    <cellStyle name="Style 74 3 2 2 2 5 2" xfId="24572" xr:uid="{B52EF65D-1B78-4B8E-B050-9CC329BBE4BA}"/>
    <cellStyle name="Style 74 3 2 2 2 6" xfId="8379" xr:uid="{E4465819-EEAD-4C1A-B874-9D802B3FCB72}"/>
    <cellStyle name="Style 74 3 2 2 2 6 2" xfId="24573" xr:uid="{4FA8EF9C-8D24-46E4-B309-94DAC2DCD56A}"/>
    <cellStyle name="Style 74 3 2 2 2 7" xfId="8380" xr:uid="{EBDC6C5F-BC81-4470-A09D-1495D4A3C4D7}"/>
    <cellStyle name="Style 74 3 2 2 2 7 2" xfId="24574" xr:uid="{30F7D172-8099-46B1-93E8-AB16EB9DCC4E}"/>
    <cellStyle name="Style 74 3 2 2 2 8" xfId="8381" xr:uid="{883B7779-28B5-4F54-B7AC-49242FFDF931}"/>
    <cellStyle name="Style 74 3 2 2 2 8 2" xfId="24575" xr:uid="{E2B3F1D7-C6D3-4A0A-93BB-76FD78D61BBD}"/>
    <cellStyle name="Style 74 3 2 2 2 9" xfId="8382" xr:uid="{3DCAE137-6788-4218-BB9E-B2BB1C3C3F34}"/>
    <cellStyle name="Style 74 3 2 2 2 9 2" xfId="24576" xr:uid="{25EAE1EB-C7D7-4137-B590-2E5672A37080}"/>
    <cellStyle name="Style 74 3 2 2 3" xfId="2017" xr:uid="{72552B6A-B60D-4480-8F29-CFA85ED8229C}"/>
    <cellStyle name="Style 74 3 2 2 3 10" xfId="8383" xr:uid="{8C0D7FA9-CDC0-4200-818F-FE3BBCA834E8}"/>
    <cellStyle name="Style 74 3 2 2 3 10 2" xfId="24577" xr:uid="{8CF30877-1913-4EF2-896E-927188EACF25}"/>
    <cellStyle name="Style 74 3 2 2 3 2" xfId="8384" xr:uid="{0D11EEEF-3771-400D-BE43-C6056BACD856}"/>
    <cellStyle name="Style 74 3 2 2 3 2 2" xfId="8385" xr:uid="{59B79081-5C0F-45E3-B02C-EEFB18AB55DF}"/>
    <cellStyle name="Style 74 3 2 2 3 2 2 2" xfId="24578" xr:uid="{DAEE3114-E944-484E-B72E-4C768F3C8D15}"/>
    <cellStyle name="Style 74 3 2 2 3 3" xfId="8386" xr:uid="{DCF9D58A-B511-402D-90BD-26D992ABC5B3}"/>
    <cellStyle name="Style 74 3 2 2 3 3 2" xfId="24579" xr:uid="{A380E07B-FF4A-4600-A7F4-40E4EE064084}"/>
    <cellStyle name="Style 74 3 2 2 3 4" xfId="8387" xr:uid="{16FE499B-258D-49E6-8306-BF6F43CE94B2}"/>
    <cellStyle name="Style 74 3 2 2 3 4 2" xfId="24580" xr:uid="{3228C5C6-7D2C-4B0C-B6E1-91A99F84DAEC}"/>
    <cellStyle name="Style 74 3 2 2 3 5" xfId="8388" xr:uid="{9F719949-38BB-458A-95FF-0EEC05AE6BB1}"/>
    <cellStyle name="Style 74 3 2 2 3 5 2" xfId="24581" xr:uid="{21DD6B3D-5160-4752-A68C-8CA0B8A9E9B3}"/>
    <cellStyle name="Style 74 3 2 2 3 6" xfId="8389" xr:uid="{8F1226E9-6D72-4810-8EC4-D741CD0F3798}"/>
    <cellStyle name="Style 74 3 2 2 3 6 2" xfId="24582" xr:uid="{8CD217D7-885C-471A-AE14-5973FD155C43}"/>
    <cellStyle name="Style 74 3 2 2 3 7" xfId="8390" xr:uid="{9601C171-FC2C-403A-8FB3-4F3CF733F58F}"/>
    <cellStyle name="Style 74 3 2 2 3 7 2" xfId="24583" xr:uid="{337EF626-F7BB-4D16-9705-C8BA451CA485}"/>
    <cellStyle name="Style 74 3 2 2 3 8" xfId="8391" xr:uid="{FD7903D0-03B6-42DC-B0CE-15D626A81A00}"/>
    <cellStyle name="Style 74 3 2 2 3 8 2" xfId="24584" xr:uid="{D11E5582-0DA9-4D2A-89D1-E6036CD58F6B}"/>
    <cellStyle name="Style 74 3 2 2 3 9" xfId="8392" xr:uid="{415A3F93-39B2-416D-B78C-FBEB3A3D5490}"/>
    <cellStyle name="Style 74 3 2 2 3 9 2" xfId="24585" xr:uid="{65184B95-F2AB-4A78-9210-7B715B79EDC5}"/>
    <cellStyle name="Style 74 3 2 2 4" xfId="8393" xr:uid="{83CAD060-A1E2-432F-89DB-C0774F3BF290}"/>
    <cellStyle name="Style 74 3 2 2 4 2" xfId="8394" xr:uid="{1D1DDA4D-02F9-4B37-AAF7-081AE6F23AA9}"/>
    <cellStyle name="Style 74 3 2 2 4 2 2" xfId="24586" xr:uid="{E1920803-0B6B-48CE-B0ED-CD03720C3FF6}"/>
    <cellStyle name="Style 74 3 2 2 5" xfId="8395" xr:uid="{0AF0BC6B-E2DC-437B-B5F3-7AB6D4C5D683}"/>
    <cellStyle name="Style 74 3 2 2 5 2" xfId="24587" xr:uid="{E9A8FF1A-0EA1-4743-906C-5485BC5FE6BE}"/>
    <cellStyle name="Style 74 3 2 2 6" xfId="8396" xr:uid="{071A05BC-8DD0-43B2-8F49-7587B463F171}"/>
    <cellStyle name="Style 74 3 2 2 6 2" xfId="24588" xr:uid="{D3442062-CD03-4809-AA8D-983A1B954E9A}"/>
    <cellStyle name="Style 74 3 2 2 7" xfId="8397" xr:uid="{0895410F-CE8D-4851-93DA-ABB82C489909}"/>
    <cellStyle name="Style 74 3 2 2 7 2" xfId="24589" xr:uid="{0D34C01A-D259-49F7-A96C-7BEF26A25BC1}"/>
    <cellStyle name="Style 74 3 2 2 8" xfId="8398" xr:uid="{D470EE0A-AA2A-4EB6-8B6B-4B72428B2964}"/>
    <cellStyle name="Style 74 3 2 2 8 2" xfId="24590" xr:uid="{5CFCB51C-D16D-4C1A-A5BC-8D54F00EBB59}"/>
    <cellStyle name="Style 74 3 2 2 9" xfId="8399" xr:uid="{5ADFFC87-FAC5-45AB-871D-5B53955F6EE5}"/>
    <cellStyle name="Style 74 3 2 2 9 2" xfId="24591" xr:uid="{DEF3B049-7626-44EB-A296-A3CD5DDE6F1D}"/>
    <cellStyle name="Style 74 3 2 3" xfId="2018" xr:uid="{2FA0FA28-8398-47E3-957C-4ABE3D5F7791}"/>
    <cellStyle name="Style 74 3 2 3 10" xfId="8400" xr:uid="{09BB312B-C543-4FE6-803E-ACC9D12AE0BE}"/>
    <cellStyle name="Style 74 3 2 3 10 2" xfId="24592" xr:uid="{7EDFE0AB-A9EF-461C-B0FF-7FB4E9160611}"/>
    <cellStyle name="Style 74 3 2 3 11" xfId="8401" xr:uid="{E197ECF0-1AD3-4FC2-B815-AFCCA2EB4B2E}"/>
    <cellStyle name="Style 74 3 2 3 11 2" xfId="24593" xr:uid="{F6FED181-9A3C-446A-B0E7-0B601607FD0D}"/>
    <cellStyle name="Style 74 3 2 3 12" xfId="8402" xr:uid="{8487301B-25F8-4A37-9DF3-843B0BE79BA5}"/>
    <cellStyle name="Style 74 3 2 3 12 2" xfId="24594" xr:uid="{D493D0F2-00FF-46D1-84F4-F92DA8D26443}"/>
    <cellStyle name="Style 74 3 2 3 2" xfId="2019" xr:uid="{2E216ADB-4ABD-4ED0-A8A2-336CA33D8774}"/>
    <cellStyle name="Style 74 3 2 3 2 10" xfId="8403" xr:uid="{80F7DB15-EA83-44D1-BDCB-5443A794834F}"/>
    <cellStyle name="Style 74 3 2 3 2 10 2" xfId="24595" xr:uid="{104DBDC2-655D-4CCF-91CF-BD6012DF7E01}"/>
    <cellStyle name="Style 74 3 2 3 2 2" xfId="8404" xr:uid="{E80C35DE-A3E7-4912-9DFE-678E291F4E57}"/>
    <cellStyle name="Style 74 3 2 3 2 2 2" xfId="8405" xr:uid="{09716C45-1492-48DC-B70F-8C5BE4D63E5D}"/>
    <cellStyle name="Style 74 3 2 3 2 2 2 2" xfId="24596" xr:uid="{C3A8C67D-0737-483D-8E5F-1A9CAA99B83A}"/>
    <cellStyle name="Style 74 3 2 3 2 3" xfId="8406" xr:uid="{9271DD7F-4667-4AF2-BB46-05B6351BF6E2}"/>
    <cellStyle name="Style 74 3 2 3 2 3 2" xfId="24597" xr:uid="{81A7D3D5-FB26-4B79-853B-B28F36EEAAEE}"/>
    <cellStyle name="Style 74 3 2 3 2 4" xfId="8407" xr:uid="{753056EC-2457-49EE-9E78-9DAE76DFC84E}"/>
    <cellStyle name="Style 74 3 2 3 2 4 2" xfId="24598" xr:uid="{72B0BB6F-8933-487F-BC00-D2D1B6959CDF}"/>
    <cellStyle name="Style 74 3 2 3 2 5" xfId="8408" xr:uid="{176C507D-9844-450F-8F85-DD94E1DAF072}"/>
    <cellStyle name="Style 74 3 2 3 2 5 2" xfId="24599" xr:uid="{3474DE09-7063-45BA-85F6-ECBD81E18456}"/>
    <cellStyle name="Style 74 3 2 3 2 6" xfId="8409" xr:uid="{2F571238-D918-42E2-8FF7-F6828F9BACAB}"/>
    <cellStyle name="Style 74 3 2 3 2 6 2" xfId="24600" xr:uid="{EDA58E0E-FE0A-4539-9B55-7571A613818D}"/>
    <cellStyle name="Style 74 3 2 3 2 7" xfId="8410" xr:uid="{9DBBCC8F-5EB1-4570-AEFB-A563260D9B40}"/>
    <cellStyle name="Style 74 3 2 3 2 7 2" xfId="24601" xr:uid="{9CFC884F-CE3D-4A16-A468-8F421DC3BB74}"/>
    <cellStyle name="Style 74 3 2 3 2 8" xfId="8411" xr:uid="{A053C146-1843-480C-839F-F5DD1130F9D6}"/>
    <cellStyle name="Style 74 3 2 3 2 8 2" xfId="24602" xr:uid="{AEE063F9-B3EB-4F07-8FCC-F310DFE1357C}"/>
    <cellStyle name="Style 74 3 2 3 2 9" xfId="8412" xr:uid="{1A1E2941-6289-44FE-90AD-989FA6FD52C0}"/>
    <cellStyle name="Style 74 3 2 3 2 9 2" xfId="24603" xr:uid="{0BCE93F4-0991-48F4-8F28-A5ABB3596766}"/>
    <cellStyle name="Style 74 3 2 3 3" xfId="8413" xr:uid="{4E4D116E-A8AE-42D8-AFD9-8CA744195CE1}"/>
    <cellStyle name="Style 74 3 2 3 3 2" xfId="8414" xr:uid="{A7BB9C9E-9113-4822-9AE5-9EAE013C9D32}"/>
    <cellStyle name="Style 74 3 2 3 3 2 2" xfId="24604" xr:uid="{335DFE3D-23D4-4EA2-90C2-C29850DC2A09}"/>
    <cellStyle name="Style 74 3 2 3 4" xfId="8415" xr:uid="{4DB568BD-2F4A-444B-A75F-80C161688B87}"/>
    <cellStyle name="Style 74 3 2 3 4 2" xfId="24605" xr:uid="{266456E2-231D-4FA9-BA14-FB7D5A1D1452}"/>
    <cellStyle name="Style 74 3 2 3 5" xfId="8416" xr:uid="{2D5D2800-407B-4F45-8D48-42D96E6806DA}"/>
    <cellStyle name="Style 74 3 2 3 5 2" xfId="24606" xr:uid="{AFF3C317-4AF4-40DA-8D76-47B3B6705D51}"/>
    <cellStyle name="Style 74 3 2 3 6" xfId="8417" xr:uid="{664E351F-6C92-4B9B-B254-F00742576046}"/>
    <cellStyle name="Style 74 3 2 3 6 2" xfId="24607" xr:uid="{D5F599E6-66C9-4055-B68D-6FA502B4B52D}"/>
    <cellStyle name="Style 74 3 2 3 7" xfId="8418" xr:uid="{FFCCA65A-21AB-468B-A82B-B21E43ADC08D}"/>
    <cellStyle name="Style 74 3 2 3 7 2" xfId="24608" xr:uid="{11EC6CCC-1486-4877-861F-FE08B3F44223}"/>
    <cellStyle name="Style 74 3 2 3 8" xfId="8419" xr:uid="{07E68A29-3A41-435A-84EF-0ABE514CF358}"/>
    <cellStyle name="Style 74 3 2 3 8 2" xfId="24609" xr:uid="{D5859E49-6FC5-4905-AEC5-8587843DFA61}"/>
    <cellStyle name="Style 74 3 2 3 9" xfId="8420" xr:uid="{166C3C93-E792-49A1-A841-FDDC4F89703C}"/>
    <cellStyle name="Style 74 3 2 3 9 2" xfId="24610" xr:uid="{AAA1400D-F81E-4B49-BEE5-0E32374FEAD5}"/>
    <cellStyle name="Style 74 3 2 4" xfId="2020" xr:uid="{A77E9E40-D28F-447B-8143-883B22E274C9}"/>
    <cellStyle name="Style 74 3 2 4 10" xfId="8421" xr:uid="{DD5C91DB-BF04-4DE7-9869-D1401D3AC731}"/>
    <cellStyle name="Style 74 3 2 4 10 2" xfId="24611" xr:uid="{F4E8AE86-F9E6-42D8-9EA1-7F8648D8C205}"/>
    <cellStyle name="Style 74 3 2 4 2" xfId="8422" xr:uid="{6002F40A-CA3E-4BEA-9BC3-41F706612D77}"/>
    <cellStyle name="Style 74 3 2 4 2 2" xfId="8423" xr:uid="{7FCA1623-A1DF-430B-853C-71F7C8F39D0C}"/>
    <cellStyle name="Style 74 3 2 4 2 2 2" xfId="24612" xr:uid="{B91D0051-215E-4270-908D-4B50A424763F}"/>
    <cellStyle name="Style 74 3 2 4 3" xfId="8424" xr:uid="{8E73C32D-3D38-4944-9875-48C9B899DFFF}"/>
    <cellStyle name="Style 74 3 2 4 3 2" xfId="24613" xr:uid="{7AB2B2A0-DFF9-43C7-816E-8F0D71B8ADB4}"/>
    <cellStyle name="Style 74 3 2 4 4" xfId="8425" xr:uid="{C25CAC79-408C-4C17-A7A8-370E3FCEEC2B}"/>
    <cellStyle name="Style 74 3 2 4 4 2" xfId="24614" xr:uid="{D366CB91-587B-4713-9A74-96FAB6CE92E1}"/>
    <cellStyle name="Style 74 3 2 4 5" xfId="8426" xr:uid="{9741E86C-F5A8-4870-B768-465D7E59F949}"/>
    <cellStyle name="Style 74 3 2 4 5 2" xfId="24615" xr:uid="{E8A3CEB9-95F7-4A26-B338-8936A9BB3D03}"/>
    <cellStyle name="Style 74 3 2 4 6" xfId="8427" xr:uid="{9DDF68D2-B315-4E3E-BE97-F7F8EE7D7580}"/>
    <cellStyle name="Style 74 3 2 4 6 2" xfId="24616" xr:uid="{4AC21576-E965-4B9A-9B70-C0EF055CBBFB}"/>
    <cellStyle name="Style 74 3 2 4 7" xfId="8428" xr:uid="{A7AA9FBB-5C2A-4EB5-99B9-AFA0BD56C75D}"/>
    <cellStyle name="Style 74 3 2 4 7 2" xfId="24617" xr:uid="{20674251-587B-4F8E-8464-F11EF6B6CFDC}"/>
    <cellStyle name="Style 74 3 2 4 8" xfId="8429" xr:uid="{04907BC9-BF25-47BB-82A6-51654771ABC4}"/>
    <cellStyle name="Style 74 3 2 4 8 2" xfId="24618" xr:uid="{C1672401-C5AC-4D37-88B4-3FD57798D17A}"/>
    <cellStyle name="Style 74 3 2 4 9" xfId="8430" xr:uid="{4D459E9A-5AF4-426E-B120-022D840DBC06}"/>
    <cellStyle name="Style 74 3 2 4 9 2" xfId="24619" xr:uid="{7102742F-A3A7-4D0F-BBD7-84877ACC38B3}"/>
    <cellStyle name="Style 74 3 2 5" xfId="8431" xr:uid="{6D0D24B7-C4E9-4F64-A5C9-64543A320D73}"/>
    <cellStyle name="Style 74 3 2 5 2" xfId="8432" xr:uid="{63961FDC-9543-4DE0-A1E6-CDB938B371FD}"/>
    <cellStyle name="Style 74 3 2 5 2 2" xfId="24620" xr:uid="{0837ACFE-DE3A-47F3-8AFC-67A8152A5F1A}"/>
    <cellStyle name="Style 74 3 2 6" xfId="8433" xr:uid="{2907B8C3-730E-4E56-AF39-488EAFF5F22D}"/>
    <cellStyle name="Style 74 3 2 6 2" xfId="24621" xr:uid="{B1E95C15-9A03-4336-AE3D-BCE5668CAC0D}"/>
    <cellStyle name="Style 74 3 2 7" xfId="8434" xr:uid="{4952E317-B5A8-4886-AC57-0CB4684DB0D2}"/>
    <cellStyle name="Style 74 3 2 7 2" xfId="24622" xr:uid="{9606F5DB-484B-47BC-874C-F865790BFEF8}"/>
    <cellStyle name="Style 74 3 2 8" xfId="8435" xr:uid="{3CB4B5EF-AF03-4540-8D5B-3EE2EC31C92D}"/>
    <cellStyle name="Style 74 3 2 8 2" xfId="24623" xr:uid="{3EC771C2-BAC4-4722-B6CD-D6F9D8D36982}"/>
    <cellStyle name="Style 74 3 2 9" xfId="8436" xr:uid="{F90A8D35-607C-41CB-BFFA-80319BC2AA09}"/>
    <cellStyle name="Style 74 3 2 9 2" xfId="24624" xr:uid="{FD1E0716-3031-4D0D-88AB-CA8EDD78AB4E}"/>
    <cellStyle name="Style 74 3 3" xfId="2021" xr:uid="{BD49936E-85CE-461F-B75B-E0E0ED3DC57E}"/>
    <cellStyle name="Style 74 3 3 10" xfId="8437" xr:uid="{C5028D96-5FA2-4AEE-A528-AE05A6D04026}"/>
    <cellStyle name="Style 74 3 3 10 2" xfId="24625" xr:uid="{FF458515-ECBF-4581-8934-62A69BECBBA6}"/>
    <cellStyle name="Style 74 3 3 11" xfId="8438" xr:uid="{047FF368-717E-48B6-8A5D-260399B92FAF}"/>
    <cellStyle name="Style 74 3 3 11 2" xfId="24626" xr:uid="{7E95D3D3-B31D-40BD-91D0-9EF4135CC6AA}"/>
    <cellStyle name="Style 74 3 3 12" xfId="8439" xr:uid="{650F1A5F-9AC3-4FB3-ADA1-E8A3D4C3720D}"/>
    <cellStyle name="Style 74 3 3 12 2" xfId="24627" xr:uid="{678CE558-8508-480F-B1B2-3B031FBE2D0F}"/>
    <cellStyle name="Style 74 3 3 13" xfId="8440" xr:uid="{B3D3E213-D9EF-462E-BA65-848075005427}"/>
    <cellStyle name="Style 74 3 3 13 2" xfId="24628" xr:uid="{53CD16FC-CEBC-42B5-9851-664188C3A9EF}"/>
    <cellStyle name="Style 74 3 3 2" xfId="2022" xr:uid="{A856CE91-9A25-489E-B2D4-80542733D4F4}"/>
    <cellStyle name="Style 74 3 3 2 10" xfId="8441" xr:uid="{C8CE0927-C696-4CF1-BB93-10C170CDD79D}"/>
    <cellStyle name="Style 74 3 3 2 10 2" xfId="24629" xr:uid="{0BE0CB26-47A3-4FE6-87B2-70DFF2392EF2}"/>
    <cellStyle name="Style 74 3 3 2 11" xfId="8442" xr:uid="{B6D49A41-3337-4BCC-B505-F73CB9841A18}"/>
    <cellStyle name="Style 74 3 3 2 11 2" xfId="24630" xr:uid="{44F61E39-88CB-4094-BE9D-6FE1F1737517}"/>
    <cellStyle name="Style 74 3 3 2 12" xfId="8443" xr:uid="{786AACCB-729A-4410-AC39-7399DE95D931}"/>
    <cellStyle name="Style 74 3 3 2 12 2" xfId="24631" xr:uid="{975A72A2-923E-4849-AF94-1A6F9FDE84E2}"/>
    <cellStyle name="Style 74 3 3 2 13" xfId="8444" xr:uid="{63311DB7-7B6C-4E52-A6B7-5CAE2320A161}"/>
    <cellStyle name="Style 74 3 3 2 13 2" xfId="24632" xr:uid="{85C490A3-F59C-45BF-9AFC-20EB289FACC1}"/>
    <cellStyle name="Style 74 3 3 2 2" xfId="2023" xr:uid="{64919B6A-12F7-42ED-B648-C0E35E696187}"/>
    <cellStyle name="Style 74 3 3 2 2 10" xfId="8445" xr:uid="{A37B5F9A-BCC8-41F1-B3C5-6325420E9567}"/>
    <cellStyle name="Style 74 3 3 2 2 10 2" xfId="24633" xr:uid="{5BEF759A-2BF5-4EEA-85B4-A6A86ADC8097}"/>
    <cellStyle name="Style 74 3 3 2 2 11" xfId="8446" xr:uid="{74D480AF-645F-40CB-9ED0-41FF4D4BF4FC}"/>
    <cellStyle name="Style 74 3 3 2 2 11 2" xfId="24634" xr:uid="{CF9B4B60-24AE-4A4F-AE87-94E2D0372717}"/>
    <cellStyle name="Style 74 3 3 2 2 12" xfId="8447" xr:uid="{775971D2-817D-4BAA-9563-FD63F19D46E9}"/>
    <cellStyle name="Style 74 3 3 2 2 12 2" xfId="24635" xr:uid="{835FA68E-846A-4834-B5D1-CF5F0FB92D49}"/>
    <cellStyle name="Style 74 3 3 2 2 2" xfId="2024" xr:uid="{137DFE9A-09F9-46E0-9869-0188DEDBEA6B}"/>
    <cellStyle name="Style 74 3 3 2 2 2 10" xfId="8448" xr:uid="{4AAF778A-89A0-4AE0-8B2D-EFDA5A9E9476}"/>
    <cellStyle name="Style 74 3 3 2 2 2 10 2" xfId="24636" xr:uid="{F779B397-41D6-4207-ADED-662B716A862D}"/>
    <cellStyle name="Style 74 3 3 2 2 2 2" xfId="8449" xr:uid="{353322EF-F3D9-4FD7-8CE7-2C74AE14A59D}"/>
    <cellStyle name="Style 74 3 3 2 2 2 2 2" xfId="8450" xr:uid="{581C7318-96D9-4544-83B2-0CEBB8FF9CDA}"/>
    <cellStyle name="Style 74 3 3 2 2 2 2 2 2" xfId="24637" xr:uid="{FCDCA8D9-5780-451D-812C-7028A60948C7}"/>
    <cellStyle name="Style 74 3 3 2 2 2 3" xfId="8451" xr:uid="{6592131D-5B21-4DE4-BDAC-508D41130D6F}"/>
    <cellStyle name="Style 74 3 3 2 2 2 3 2" xfId="24638" xr:uid="{9A85E5E5-242E-4A8E-B1FB-245AF50DE00C}"/>
    <cellStyle name="Style 74 3 3 2 2 2 4" xfId="8452" xr:uid="{FB040B66-FCE3-4564-8254-C33536C025FF}"/>
    <cellStyle name="Style 74 3 3 2 2 2 4 2" xfId="24639" xr:uid="{3787C784-9362-41FD-858D-749E74F8C30A}"/>
    <cellStyle name="Style 74 3 3 2 2 2 5" xfId="8453" xr:uid="{B0BAC222-A27A-4D63-8827-C574DF3C38DA}"/>
    <cellStyle name="Style 74 3 3 2 2 2 5 2" xfId="24640" xr:uid="{52180C0E-4F64-48AD-BF10-6AA56B81C02F}"/>
    <cellStyle name="Style 74 3 3 2 2 2 6" xfId="8454" xr:uid="{E29EDD6B-7AEF-4492-B693-9853E013A7C1}"/>
    <cellStyle name="Style 74 3 3 2 2 2 6 2" xfId="24641" xr:uid="{DD837D8F-E2FD-4855-8C35-F4310DD1BE29}"/>
    <cellStyle name="Style 74 3 3 2 2 2 7" xfId="8455" xr:uid="{8823AFCA-C185-4F24-9154-EC529CA7FD30}"/>
    <cellStyle name="Style 74 3 3 2 2 2 7 2" xfId="24642" xr:uid="{61001950-832E-4521-8BB9-D6D5CBBEB9A2}"/>
    <cellStyle name="Style 74 3 3 2 2 2 8" xfId="8456" xr:uid="{C8CE9890-64E9-4EB5-9611-C984C2613BD8}"/>
    <cellStyle name="Style 74 3 3 2 2 2 8 2" xfId="24643" xr:uid="{595AF912-015F-4CCB-B3A0-9AF44F887683}"/>
    <cellStyle name="Style 74 3 3 2 2 2 9" xfId="8457" xr:uid="{345BB2A3-E0A3-4749-A410-CD35BAC8A6C2}"/>
    <cellStyle name="Style 74 3 3 2 2 2 9 2" xfId="24644" xr:uid="{FF3D6126-4D19-40F0-AB53-264F4B982DF3}"/>
    <cellStyle name="Style 74 3 3 2 2 3" xfId="8458" xr:uid="{07DC638A-AA8D-4D6B-9E2E-A6D5A1CD4C6C}"/>
    <cellStyle name="Style 74 3 3 2 2 3 2" xfId="8459" xr:uid="{4610BADD-2A3A-4384-9AF2-159FB9FCB545}"/>
    <cellStyle name="Style 74 3 3 2 2 3 2 2" xfId="24645" xr:uid="{D1147211-BAFE-42ED-A285-E24B33A03C44}"/>
    <cellStyle name="Style 74 3 3 2 2 4" xfId="8460" xr:uid="{61DEE86C-3E10-4DDF-9529-685BCEF7B33B}"/>
    <cellStyle name="Style 74 3 3 2 2 4 2" xfId="24646" xr:uid="{BE1FF7EA-7502-4554-A675-E20ABCBA0B99}"/>
    <cellStyle name="Style 74 3 3 2 2 5" xfId="8461" xr:uid="{91AE4921-196E-49B0-861E-2B9E8DF15270}"/>
    <cellStyle name="Style 74 3 3 2 2 5 2" xfId="24647" xr:uid="{D4F62ADB-7470-4969-9D20-807BFA7DEFA4}"/>
    <cellStyle name="Style 74 3 3 2 2 6" xfId="8462" xr:uid="{C16DB78A-FC27-4257-8F2C-AE3CAC167FD6}"/>
    <cellStyle name="Style 74 3 3 2 2 6 2" xfId="24648" xr:uid="{57ACDE33-7960-4CB9-B0E8-22C54C7FD82C}"/>
    <cellStyle name="Style 74 3 3 2 2 7" xfId="8463" xr:uid="{50569FE0-44C5-42B7-B64F-264D7F1FF2A7}"/>
    <cellStyle name="Style 74 3 3 2 2 7 2" xfId="24649" xr:uid="{D453ECFA-0604-4A63-8FC3-3DC679F3E558}"/>
    <cellStyle name="Style 74 3 3 2 2 8" xfId="8464" xr:uid="{71DC5DBC-3F9E-4BAD-8CB7-2118E9F39D92}"/>
    <cellStyle name="Style 74 3 3 2 2 8 2" xfId="24650" xr:uid="{C26BD740-7A4B-4FE4-9ABE-33AF5681D6EF}"/>
    <cellStyle name="Style 74 3 3 2 2 9" xfId="8465" xr:uid="{2D879B57-C6A7-424F-90E8-4EE1832CE480}"/>
    <cellStyle name="Style 74 3 3 2 2 9 2" xfId="24651" xr:uid="{8A703E5E-0BE5-4018-AA37-7D2C2D13C13B}"/>
    <cellStyle name="Style 74 3 3 2 3" xfId="2025" xr:uid="{48E7F90B-A37E-4D38-879E-B7D420BAEAC2}"/>
    <cellStyle name="Style 74 3 3 2 3 10" xfId="8466" xr:uid="{50CFD9D2-9D07-48D3-9A72-FCAC3A014A1B}"/>
    <cellStyle name="Style 74 3 3 2 3 10 2" xfId="24652" xr:uid="{4BA25434-2EB0-49D8-A0D6-23C4F1184E63}"/>
    <cellStyle name="Style 74 3 3 2 3 2" xfId="8467" xr:uid="{A1F9E61D-F07E-4218-8144-A18D0595EC96}"/>
    <cellStyle name="Style 74 3 3 2 3 2 2" xfId="8468" xr:uid="{307A31A8-6B1C-4772-97FB-8ECA09BB0E09}"/>
    <cellStyle name="Style 74 3 3 2 3 2 2 2" xfId="24653" xr:uid="{E0ADAEE2-CD28-4B02-9DEF-D2EF53EC6BD8}"/>
    <cellStyle name="Style 74 3 3 2 3 3" xfId="8469" xr:uid="{EF47A03B-974E-49F0-B443-5CC020066226}"/>
    <cellStyle name="Style 74 3 3 2 3 3 2" xfId="24654" xr:uid="{9844A22D-D5A3-4EE9-A2C0-E628BB12914E}"/>
    <cellStyle name="Style 74 3 3 2 3 4" xfId="8470" xr:uid="{3AD03B89-E7FE-490A-9F70-309F07688117}"/>
    <cellStyle name="Style 74 3 3 2 3 4 2" xfId="24655" xr:uid="{5AD7C152-C11B-41F4-822E-9EA30070F968}"/>
    <cellStyle name="Style 74 3 3 2 3 5" xfId="8471" xr:uid="{B3A650DD-EF59-4AFE-B243-4AC678A83021}"/>
    <cellStyle name="Style 74 3 3 2 3 5 2" xfId="24656" xr:uid="{60074CD7-D403-49B4-A6BA-D0200EB15A76}"/>
    <cellStyle name="Style 74 3 3 2 3 6" xfId="8472" xr:uid="{D873B54E-CE28-4E7B-A2D1-2E3674CA470B}"/>
    <cellStyle name="Style 74 3 3 2 3 6 2" xfId="24657" xr:uid="{380687E7-A8A8-44B4-92DD-A1EF1D5EA5AD}"/>
    <cellStyle name="Style 74 3 3 2 3 7" xfId="8473" xr:uid="{C54F9827-1F00-4BAC-AC8F-EE9997921FD7}"/>
    <cellStyle name="Style 74 3 3 2 3 7 2" xfId="24658" xr:uid="{E855E54C-7165-4BA1-A514-0FF49765BDB4}"/>
    <cellStyle name="Style 74 3 3 2 3 8" xfId="8474" xr:uid="{5519C7D0-4E64-45DB-ACD8-46F4635FAC5C}"/>
    <cellStyle name="Style 74 3 3 2 3 8 2" xfId="24659" xr:uid="{A25F4D37-339E-415C-A73B-B40AF094BAC8}"/>
    <cellStyle name="Style 74 3 3 2 3 9" xfId="8475" xr:uid="{966127E7-B812-492C-ACDC-8570FE7EB2B3}"/>
    <cellStyle name="Style 74 3 3 2 3 9 2" xfId="24660" xr:uid="{EE148844-3C0B-4BC4-AD82-E53E093AF21D}"/>
    <cellStyle name="Style 74 3 3 2 4" xfId="8476" xr:uid="{77D928F2-9BA9-44E6-B043-F29F8D69A634}"/>
    <cellStyle name="Style 74 3 3 2 4 2" xfId="8477" xr:uid="{330E7EAC-597F-4F37-845D-8BB91F4D2EF7}"/>
    <cellStyle name="Style 74 3 3 2 4 2 2" xfId="24661" xr:uid="{394FB568-56ED-40F0-91C3-379F894B758F}"/>
    <cellStyle name="Style 74 3 3 2 5" xfId="8478" xr:uid="{359E9FB1-F0BD-4BA1-A778-9CAFA437EB41}"/>
    <cellStyle name="Style 74 3 3 2 5 2" xfId="24662" xr:uid="{894268DD-03B4-4A52-A962-A9EE87A3D439}"/>
    <cellStyle name="Style 74 3 3 2 6" xfId="8479" xr:uid="{51F65235-24F2-40C0-8DA5-BACFDBF19C8A}"/>
    <cellStyle name="Style 74 3 3 2 6 2" xfId="24663" xr:uid="{862364D7-E9E6-4A35-A5BF-8F403623BDD5}"/>
    <cellStyle name="Style 74 3 3 2 7" xfId="8480" xr:uid="{9E99D2A5-403E-476C-A51A-D8012853AC45}"/>
    <cellStyle name="Style 74 3 3 2 7 2" xfId="24664" xr:uid="{F64A1581-140B-40FD-85EF-5F167E57E7A9}"/>
    <cellStyle name="Style 74 3 3 2 8" xfId="8481" xr:uid="{FB086409-BC24-455B-829C-0883FB97F2B6}"/>
    <cellStyle name="Style 74 3 3 2 8 2" xfId="24665" xr:uid="{602C9457-D311-4F8C-8755-F8B1C148FCAB}"/>
    <cellStyle name="Style 74 3 3 2 9" xfId="8482" xr:uid="{D686BA1F-EC7A-42EF-801E-A808D22C4E65}"/>
    <cellStyle name="Style 74 3 3 2 9 2" xfId="24666" xr:uid="{A74F22F5-B6CA-4308-AED5-69888C0DF578}"/>
    <cellStyle name="Style 74 3 3 3" xfId="2026" xr:uid="{A9870E0C-F44E-4BB9-8E26-621271FCDFCA}"/>
    <cellStyle name="Style 74 3 3 3 10" xfId="8483" xr:uid="{E06DD20A-924B-4F10-8B6D-FA8FD2FC9374}"/>
    <cellStyle name="Style 74 3 3 3 10 2" xfId="24667" xr:uid="{780DFFEC-15C7-4995-B8C7-06ECA4ED4662}"/>
    <cellStyle name="Style 74 3 3 3 11" xfId="8484" xr:uid="{DBFA1531-36FC-4077-AAB8-AFF56DCBB016}"/>
    <cellStyle name="Style 74 3 3 3 11 2" xfId="24668" xr:uid="{19A1AB16-8C07-40CB-AEFC-1A6DAC5AFB6B}"/>
    <cellStyle name="Style 74 3 3 3 2" xfId="8485" xr:uid="{5AF50CB3-03AB-418F-8F50-C316F08C93BB}"/>
    <cellStyle name="Style 74 3 3 3 2 2" xfId="8486" xr:uid="{ECCCD9CA-E70D-4643-9715-0F47BF75DB45}"/>
    <cellStyle name="Style 74 3 3 3 2 2 2" xfId="24669" xr:uid="{D4292B5D-AD46-403D-BCE7-7472514B7533}"/>
    <cellStyle name="Style 74 3 3 3 3" xfId="8487" xr:uid="{8534548B-7826-4104-8EAD-03E6EC427A10}"/>
    <cellStyle name="Style 74 3 3 3 3 2" xfId="24670" xr:uid="{1226083A-AECA-4B3E-B8EE-5E1B0F8E0229}"/>
    <cellStyle name="Style 74 3 3 3 4" xfId="8488" xr:uid="{8F2E1666-AC11-4A88-8193-53FE87ED94D3}"/>
    <cellStyle name="Style 74 3 3 3 4 2" xfId="24671" xr:uid="{D51AE4AF-30AA-492A-B50F-1DE2A2E02309}"/>
    <cellStyle name="Style 74 3 3 3 5" xfId="8489" xr:uid="{0A112873-7F66-48FB-AB0E-9BCF453E6EB2}"/>
    <cellStyle name="Style 74 3 3 3 5 2" xfId="24672" xr:uid="{7803E884-02E9-434B-9C98-FEFC34371C11}"/>
    <cellStyle name="Style 74 3 3 3 6" xfId="8490" xr:uid="{97529C4C-AACD-488F-89F6-9D6496D224FC}"/>
    <cellStyle name="Style 74 3 3 3 6 2" xfId="24673" xr:uid="{2A69CCCC-B26D-4D5E-AC14-7EBF15CB50BD}"/>
    <cellStyle name="Style 74 3 3 3 7" xfId="8491" xr:uid="{8A19D804-5767-4155-A3DF-CF23480089C3}"/>
    <cellStyle name="Style 74 3 3 3 7 2" xfId="24674" xr:uid="{4071DE4B-F3A0-4D69-9E22-7C16D315ABB5}"/>
    <cellStyle name="Style 74 3 3 3 8" xfId="8492" xr:uid="{982F23B8-7BD0-4493-AA51-3A1CDDE5EFE6}"/>
    <cellStyle name="Style 74 3 3 3 8 2" xfId="24675" xr:uid="{5C540673-7FDA-4A63-B91A-93B798B5E8C1}"/>
    <cellStyle name="Style 74 3 3 3 9" xfId="8493" xr:uid="{E6116580-7AAA-4307-AB5E-4A17AF4351FB}"/>
    <cellStyle name="Style 74 3 3 3 9 2" xfId="24676" xr:uid="{3F44C8BC-3130-41A9-8841-070EB03449A4}"/>
    <cellStyle name="Style 74 3 3 4" xfId="4447" xr:uid="{76C8E033-9746-4FDB-8BD7-A1738F45F2DE}"/>
    <cellStyle name="Style 74 3 3 4 2" xfId="8494" xr:uid="{9F73AD9C-EB01-4AAC-908D-78B18E61153F}"/>
    <cellStyle name="Style 74 3 3 4 2 2" xfId="24677" xr:uid="{01BFB039-FC56-4CD4-A8B9-C12D561B7C5B}"/>
    <cellStyle name="Style 74 3 3 5" xfId="8495" xr:uid="{9764E877-79BF-4EC8-B411-F1B71FCB5B7B}"/>
    <cellStyle name="Style 74 3 3 5 2" xfId="8496" xr:uid="{01EC19ED-670B-43DB-9013-4E38E48A0C71}"/>
    <cellStyle name="Style 74 3 3 5 2 2" xfId="24678" xr:uid="{3DAC9AE9-76A9-406B-8B5B-2A6E9525BBAE}"/>
    <cellStyle name="Style 74 3 3 6" xfId="8497" xr:uid="{4FE1A572-AE83-494D-B5F5-30014C76C010}"/>
    <cellStyle name="Style 74 3 3 6 2" xfId="24679" xr:uid="{079A902B-F3CE-45BB-951C-F7CBBC2E19EA}"/>
    <cellStyle name="Style 74 3 3 7" xfId="8498" xr:uid="{6A08AD52-96C5-4037-AD80-9914C44E0016}"/>
    <cellStyle name="Style 74 3 3 7 2" xfId="24680" xr:uid="{80EABA92-2C53-48E1-A91B-80C6DCECE52C}"/>
    <cellStyle name="Style 74 3 3 8" xfId="8499" xr:uid="{4C045B0F-9FE2-4E90-9598-51B9D12A0494}"/>
    <cellStyle name="Style 74 3 3 8 2" xfId="24681" xr:uid="{978799EF-F56C-4A9E-806C-26319C22DCB2}"/>
    <cellStyle name="Style 74 3 3 9" xfId="8500" xr:uid="{4A561A10-847F-4F75-A124-B47D07B90B5B}"/>
    <cellStyle name="Style 74 3 3 9 2" xfId="24682" xr:uid="{51DFE3AA-5131-4856-9F20-485FB07945DD}"/>
    <cellStyle name="Style 74 3 4" xfId="2027" xr:uid="{BDEDB35D-B239-4ECE-891C-DC5941537257}"/>
    <cellStyle name="Style 74 3 4 10" xfId="8501" xr:uid="{5053B318-A2BE-44BC-B304-E1A77BFB292F}"/>
    <cellStyle name="Style 74 3 4 10 2" xfId="24683" xr:uid="{6ED9819A-640D-429A-9B51-FB6D11C989AA}"/>
    <cellStyle name="Style 74 3 4 11" xfId="8502" xr:uid="{F8D1FBBC-9AF7-4C79-82CF-0B7F7EB1669B}"/>
    <cellStyle name="Style 74 3 4 11 2" xfId="24684" xr:uid="{458EFCED-9912-4009-A5D3-82EEF6C29519}"/>
    <cellStyle name="Style 74 3 4 12" xfId="8503" xr:uid="{CD1DAA7A-1539-465B-971E-EBA2F434AC67}"/>
    <cellStyle name="Style 74 3 4 12 2" xfId="24685" xr:uid="{876A358E-090A-4CA7-855D-4F6B4FF833FA}"/>
    <cellStyle name="Style 74 3 4 2" xfId="2028" xr:uid="{DA3C6A76-AB3E-4487-817F-0793F5AA5F5A}"/>
    <cellStyle name="Style 74 3 4 2 10" xfId="8504" xr:uid="{38C73D73-F373-4DF7-8A65-D1072FEC26E4}"/>
    <cellStyle name="Style 74 3 4 2 10 2" xfId="24686" xr:uid="{191FDBF2-CC69-455D-99A6-DD4F77C67722}"/>
    <cellStyle name="Style 74 3 4 2 2" xfId="8505" xr:uid="{440BB471-D073-4161-A491-9AF480A89312}"/>
    <cellStyle name="Style 74 3 4 2 2 2" xfId="8506" xr:uid="{22DCF511-1BB1-4FD2-87AC-B06C3A71D0D8}"/>
    <cellStyle name="Style 74 3 4 2 2 2 2" xfId="24687" xr:uid="{96180AF0-A410-4E2D-AF5D-D7690FA800F7}"/>
    <cellStyle name="Style 74 3 4 2 3" xfId="8507" xr:uid="{DFCBF1B1-D43C-46D5-BEDF-8FB8713E3F62}"/>
    <cellStyle name="Style 74 3 4 2 3 2" xfId="24688" xr:uid="{1CFA18CB-3F27-44E2-ABA4-FCAB34D0B66C}"/>
    <cellStyle name="Style 74 3 4 2 4" xfId="8508" xr:uid="{197BE9B9-74E7-4772-9DF7-66DCB903EAC4}"/>
    <cellStyle name="Style 74 3 4 2 4 2" xfId="24689" xr:uid="{34CB7155-6BDC-4F41-82F9-562B6C7EA068}"/>
    <cellStyle name="Style 74 3 4 2 5" xfId="8509" xr:uid="{0E1A5E03-AA86-4232-9FD2-E4FC20CB753F}"/>
    <cellStyle name="Style 74 3 4 2 5 2" xfId="24690" xr:uid="{23385BF5-E118-4DF1-9917-E0CA19AA6456}"/>
    <cellStyle name="Style 74 3 4 2 6" xfId="8510" xr:uid="{1F7CF4DC-FD69-4ECC-B394-AD5221BAABAE}"/>
    <cellStyle name="Style 74 3 4 2 6 2" xfId="24691" xr:uid="{77E30EEB-98A3-495D-BBFC-2E4A94A77150}"/>
    <cellStyle name="Style 74 3 4 2 7" xfId="8511" xr:uid="{D0ADDF17-3318-4CC3-A4FE-82FDBABC4695}"/>
    <cellStyle name="Style 74 3 4 2 7 2" xfId="24692" xr:uid="{7E7AF852-C9E3-4FDA-A361-0CDE3CA30575}"/>
    <cellStyle name="Style 74 3 4 2 8" xfId="8512" xr:uid="{917CFDE8-087C-4440-80FE-785FC0997031}"/>
    <cellStyle name="Style 74 3 4 2 8 2" xfId="24693" xr:uid="{C90BD2E5-01AA-4DE5-A843-19B5D69847B8}"/>
    <cellStyle name="Style 74 3 4 2 9" xfId="8513" xr:uid="{FFF13CA0-64FB-4AA7-AC90-6BE85EA6EAD4}"/>
    <cellStyle name="Style 74 3 4 2 9 2" xfId="24694" xr:uid="{408C4C6F-2225-4EBF-9300-0EE84A3DABE1}"/>
    <cellStyle name="Style 74 3 4 3" xfId="8514" xr:uid="{62F610E6-DA61-469F-81ED-7B3178C83920}"/>
    <cellStyle name="Style 74 3 4 3 2" xfId="8515" xr:uid="{1CE9907A-474D-438C-8329-F9F972BC4BDA}"/>
    <cellStyle name="Style 74 3 4 3 2 2" xfId="24695" xr:uid="{D101E253-06AF-4F11-BE72-76B5EA34EA9E}"/>
    <cellStyle name="Style 74 3 4 4" xfId="8516" xr:uid="{C90F01A8-BDCD-43F7-86A3-03973DF2EB25}"/>
    <cellStyle name="Style 74 3 4 4 2" xfId="24696" xr:uid="{9A1DC46F-866C-4004-8D97-0DFBF06D5300}"/>
    <cellStyle name="Style 74 3 4 5" xfId="8517" xr:uid="{3CD1F3F6-3E4B-4F67-BCCB-AAA506E841C4}"/>
    <cellStyle name="Style 74 3 4 5 2" xfId="24697" xr:uid="{9C8368B4-39E6-43F1-A3D4-7F16548C05D2}"/>
    <cellStyle name="Style 74 3 4 6" xfId="8518" xr:uid="{E9E05366-1C62-4F18-B7AB-5021A6ED3C8B}"/>
    <cellStyle name="Style 74 3 4 6 2" xfId="24698" xr:uid="{68AA15BB-4E56-4991-8712-FD92BCFF0F2F}"/>
    <cellStyle name="Style 74 3 4 7" xfId="8519" xr:uid="{D1413413-825C-4033-9CAB-842BD36E2C75}"/>
    <cellStyle name="Style 74 3 4 7 2" xfId="24699" xr:uid="{A34C23D9-5FEB-40A7-8E53-3EB3AAC12D34}"/>
    <cellStyle name="Style 74 3 4 8" xfId="8520" xr:uid="{187A9ED2-40A7-45B3-A431-501A17C2FD7F}"/>
    <cellStyle name="Style 74 3 4 8 2" xfId="24700" xr:uid="{D81E89D9-D313-4250-BED0-0E5CDAC2690A}"/>
    <cellStyle name="Style 74 3 4 9" xfId="8521" xr:uid="{2578BD03-52EA-4CB9-9CE4-ACD18DD88BAF}"/>
    <cellStyle name="Style 74 3 4 9 2" xfId="24701" xr:uid="{F793CF94-53E0-44AC-A50D-D4D52892CBB6}"/>
    <cellStyle name="Style 74 3 5" xfId="2029" xr:uid="{97AC208B-75CA-46C9-943E-F88B799FF390}"/>
    <cellStyle name="Style 74 3 5 10" xfId="8522" xr:uid="{7DC41E89-F0FE-4610-B310-83BCC339D785}"/>
    <cellStyle name="Style 74 3 5 10 2" xfId="24702" xr:uid="{750DCB20-8B25-4755-B633-08EA6D475B39}"/>
    <cellStyle name="Style 74 3 5 11" xfId="8523" xr:uid="{B560C6A9-2167-4E9E-8C4F-23A29AB0AE38}"/>
    <cellStyle name="Style 74 3 5 11 2" xfId="24703" xr:uid="{5EEB2881-DD02-4734-A648-230D59660DA1}"/>
    <cellStyle name="Style 74 3 5 2" xfId="8524" xr:uid="{CAFB30E4-B877-4478-BD98-A9A7E97CAF6F}"/>
    <cellStyle name="Style 74 3 5 2 2" xfId="8525" xr:uid="{03438FDD-6EB5-4066-886E-4EA7145B7E32}"/>
    <cellStyle name="Style 74 3 5 2 2 2" xfId="24704" xr:uid="{E5AB75EF-D8B4-4592-BBBB-F2F3CE801AF8}"/>
    <cellStyle name="Style 74 3 5 3" xfId="8526" xr:uid="{1DCB3D31-CA30-41C6-8533-3BE4B6A545F4}"/>
    <cellStyle name="Style 74 3 5 3 2" xfId="24705" xr:uid="{FB0A6417-3B60-4566-A7D2-ECFA79D60B83}"/>
    <cellStyle name="Style 74 3 5 4" xfId="8527" xr:uid="{8517D911-8926-48A9-BA36-95603090A440}"/>
    <cellStyle name="Style 74 3 5 4 2" xfId="24706" xr:uid="{819FF0B3-4296-4BB2-AD8D-4FFA43789284}"/>
    <cellStyle name="Style 74 3 5 5" xfId="8528" xr:uid="{9101A5A2-8311-4309-8CC7-FCE77C871313}"/>
    <cellStyle name="Style 74 3 5 5 2" xfId="24707" xr:uid="{AAF3E863-0DF3-45B6-B571-C5B9CB3A36ED}"/>
    <cellStyle name="Style 74 3 5 6" xfId="8529" xr:uid="{2D610A7C-BACF-4B22-A33B-D1E690DC4EDD}"/>
    <cellStyle name="Style 74 3 5 6 2" xfId="24708" xr:uid="{57530D3E-1A0D-4F6B-BD19-8725644B46BB}"/>
    <cellStyle name="Style 74 3 5 7" xfId="8530" xr:uid="{6BE4142D-5B64-4CB7-91D7-73851FE10423}"/>
    <cellStyle name="Style 74 3 5 7 2" xfId="24709" xr:uid="{EBE37202-C004-4252-9A5F-A74179A12252}"/>
    <cellStyle name="Style 74 3 5 8" xfId="8531" xr:uid="{7BB2AE02-E6D6-4623-8E57-11028AD2422A}"/>
    <cellStyle name="Style 74 3 5 8 2" xfId="24710" xr:uid="{57662605-AE5D-4FA2-BCA7-9B06C70050E9}"/>
    <cellStyle name="Style 74 3 5 9" xfId="8532" xr:uid="{FB7178D6-59C1-458E-BA8C-A364B2632218}"/>
    <cellStyle name="Style 74 3 5 9 2" xfId="24711" xr:uid="{7ADA1BC0-3C34-4209-A183-60485ABB8ACF}"/>
    <cellStyle name="Style 74 3 6" xfId="8533" xr:uid="{3CD72179-5D11-4C6C-9ACD-56ED57AF0948}"/>
    <cellStyle name="Style 74 3 6 2" xfId="8534" xr:uid="{959AD6C8-B357-432C-9E21-E3EB752D0505}"/>
    <cellStyle name="Style 74 3 6 2 2" xfId="24712" xr:uid="{C19869A8-F1D3-4517-9535-73D668B2BC07}"/>
    <cellStyle name="Style 74 3 7" xfId="8535" xr:uid="{FE8BB727-8F57-460D-8252-E9E9388C69DC}"/>
    <cellStyle name="Style 74 3 7 2" xfId="24713" xr:uid="{C03AA56C-50A7-4546-9B23-317CC30B9944}"/>
    <cellStyle name="Style 74 3 8" xfId="8536" xr:uid="{5316C259-E157-4862-983A-C6AC3447FF88}"/>
    <cellStyle name="Style 74 3 8 2" xfId="24714" xr:uid="{5734C856-E4AA-4AEF-94EA-4408AD58F4DD}"/>
    <cellStyle name="Style 74 3 9" xfId="8537" xr:uid="{CC81F28C-D284-49B5-833C-CD1696BC5268}"/>
    <cellStyle name="Style 74 3 9 2" xfId="24715" xr:uid="{A77469DE-FE64-4D1A-B14C-67F3BDE92F4C}"/>
    <cellStyle name="Style 74 4" xfId="2030" xr:uid="{7C5D45ED-49EE-4F08-A5A5-53F605995813}"/>
    <cellStyle name="Style 74 4 10" xfId="8538" xr:uid="{42991E82-B087-4E80-8311-6A3EE0858593}"/>
    <cellStyle name="Style 74 4 10 2" xfId="24716" xr:uid="{F6E2EC0B-E145-4E3E-9A1F-59AD64DC50AF}"/>
    <cellStyle name="Style 74 4 11 2" xfId="24717" xr:uid="{081F82DE-3D7D-4EC1-9822-86197F444A86}"/>
    <cellStyle name="Style 74 4 12 2" xfId="24718" xr:uid="{4F48BC7F-FE9E-4862-946D-062E15E3FB5E}"/>
    <cellStyle name="Style 74 4 13" xfId="8539" xr:uid="{8254F6BD-7841-41B9-A122-F5F007BBD5DB}"/>
    <cellStyle name="Style 74 4 13 2" xfId="24719" xr:uid="{394F117E-2033-4A55-8D51-A12E9654219E}"/>
    <cellStyle name="Style 74 4 2 10" xfId="8540" xr:uid="{EC0EE764-0833-4360-A684-CCA75006424F}"/>
    <cellStyle name="Style 74 4 2 11" xfId="8541" xr:uid="{B539C174-7FA1-4B23-8357-9BCC13B065C4}"/>
    <cellStyle name="Style 74 4 2 12" xfId="8542" xr:uid="{AA17882C-BFB0-45EC-A910-EDE8DCE39BA7}"/>
    <cellStyle name="Style 74 4 2 12 2" xfId="24720" xr:uid="{B53DC232-9D81-4B1D-A7DD-D0078EE70ED1}"/>
    <cellStyle name="Style 74 4 2 13" xfId="8543" xr:uid="{89407A4A-E571-4FF8-AF00-9FA29F92DD23}"/>
    <cellStyle name="Style 74 4 2 2" xfId="2031" xr:uid="{7277F999-7AA7-4DD1-B406-1DB50B4349D9}"/>
    <cellStyle name="Style 74 4 2 2 10" xfId="8544" xr:uid="{0BC96281-0EE3-426F-96D2-7AB8223D9333}"/>
    <cellStyle name="Style 74 4 2 2 10 2" xfId="24721" xr:uid="{F3694E2C-2B18-4E1E-BB87-7AEE65D32305}"/>
    <cellStyle name="Style 74 4 2 2 11" xfId="8545" xr:uid="{59A888E7-AA2D-489D-8E0B-94DF241159BF}"/>
    <cellStyle name="Style 74 4 2 2 11 2" xfId="24722" xr:uid="{C24BC9F6-5FD4-4BD6-A583-8A1E1DCA70BF}"/>
    <cellStyle name="Style 74 4 2 2 12" xfId="8546" xr:uid="{3BB86D83-2F31-47EA-96A4-6EFEAFA61BAB}"/>
    <cellStyle name="Style 74 4 2 2 12 2" xfId="24723" xr:uid="{C7E71D66-6DEC-4A58-8EE3-B8199BDC96CA}"/>
    <cellStyle name="Style 74 4 2 2 2" xfId="2032" xr:uid="{1AE26E04-3B9A-4C24-A45F-B457EA2824FA}"/>
    <cellStyle name="Style 74 4 2 2 2 10" xfId="8547" xr:uid="{FCBFB6E6-A84B-41AE-9E64-404CAEFB6C8E}"/>
    <cellStyle name="Style 74 4 2 2 2 10 2" xfId="24724" xr:uid="{3F436B97-C44E-4E56-BB2C-302BC9D7A96E}"/>
    <cellStyle name="Style 74 4 2 2 2 2" xfId="8548" xr:uid="{224B0E06-C8A9-4955-BEC2-B8EF5743D35A}"/>
    <cellStyle name="Style 74 4 2 2 2 2 2" xfId="8549" xr:uid="{55CC40D2-E5D4-46EA-A776-DB8F4FF4C64E}"/>
    <cellStyle name="Style 74 4 2 2 2 2 2 2" xfId="24725" xr:uid="{DA1FF3FE-1A3A-46FC-A829-9CBE2EBB0CFA}"/>
    <cellStyle name="Style 74 4 2 2 2 3 2" xfId="24726" xr:uid="{C946BE10-270F-44D6-A802-7AF9F2733FC7}"/>
    <cellStyle name="Style 74 4 2 2 2 4 2" xfId="24727" xr:uid="{08C5D5B6-43C5-45CF-9B70-78797BC853E5}"/>
    <cellStyle name="Style 74 4 2 2 2 5" xfId="8550" xr:uid="{24DFE2F7-E3DF-4E62-95B6-ACF327943BF0}"/>
    <cellStyle name="Style 74 4 2 2 2 5 2" xfId="24728" xr:uid="{DF481DB0-889F-4167-BDAA-0B74EFE0BD3D}"/>
    <cellStyle name="Style 74 4 2 2 2 6 2" xfId="24729" xr:uid="{8298BE4B-68E9-4877-B55C-EADDEAB90EFC}"/>
    <cellStyle name="Style 74 4 2 2 2 7" xfId="8551" xr:uid="{1DA1574C-86C4-4A66-8AB7-F311AD68BCE2}"/>
    <cellStyle name="Style 74 4 2 2 2 7 2" xfId="24730" xr:uid="{0A945D2F-915B-4083-BA6B-0C6F53BAD1D9}"/>
    <cellStyle name="Style 74 4 2 2 2 8" xfId="8552" xr:uid="{539A09CC-7FDB-4A93-8E19-5864C4F0BF20}"/>
    <cellStyle name="Style 74 4 2 2 2 8 2" xfId="24731" xr:uid="{88C1FBCD-F33F-423F-BD49-00AE1323E9BC}"/>
    <cellStyle name="Style 74 4 2 2 2 9" xfId="8553" xr:uid="{FA9207D5-C8DB-43D9-89D8-D5DA90E0E23E}"/>
    <cellStyle name="Style 74 4 2 2 2 9 2" xfId="24732" xr:uid="{E05471DF-F40D-4ED9-9984-9C558BBDC1F5}"/>
    <cellStyle name="Style 74 4 2 2 3" xfId="4448" xr:uid="{1A32D7AE-C688-463E-9C77-F8807C5C5734}"/>
    <cellStyle name="Style 74 4 2 2 3 2" xfId="8554" xr:uid="{855CA6F0-0161-442F-8048-52DB576D3F09}"/>
    <cellStyle name="Style 74 4 2 2 3 2 2" xfId="24733" xr:uid="{04804CFF-1273-47DA-84B0-748AA61CA04C}"/>
    <cellStyle name="Style 74 4 2 2 4" xfId="8555" xr:uid="{4C95B060-D5F8-4BE7-BACB-20443F304C2B}"/>
    <cellStyle name="Style 74 4 2 2 4 2" xfId="8556" xr:uid="{2F511C89-C30B-4C3A-B84D-703299C11316}"/>
    <cellStyle name="Style 74 4 2 2 4 2 2" xfId="24734" xr:uid="{14287733-F3B1-467F-84C8-7EBE2ECA229C}"/>
    <cellStyle name="Style 74 4 2 2 5 2" xfId="24735" xr:uid="{6984423A-77F0-4348-9820-5E5F631DF6E5}"/>
    <cellStyle name="Style 74 4 2 2 6" xfId="8557" xr:uid="{B0357B7C-D881-471C-847C-A1DBE507A6E1}"/>
    <cellStyle name="Style 74 4 2 2 6 2" xfId="24736" xr:uid="{A5933E7D-DB69-455D-88E6-A0C2A9D4564F}"/>
    <cellStyle name="Style 74 4 2 2 7 2" xfId="24737" xr:uid="{6F72F9C0-A2A8-4622-A0C9-0BA251B32D71}"/>
    <cellStyle name="Style 74 4 2 2 8 2" xfId="24738" xr:uid="{37BFDE5A-EC60-45CA-BB09-0CC7DDA1EB5F}"/>
    <cellStyle name="Style 74 4 2 2 9 2" xfId="24739" xr:uid="{D96F4E79-6B19-47B8-988A-5AF0EE75B4F0}"/>
    <cellStyle name="Style 74 4 2 3" xfId="2033" xr:uid="{0E7A5DB4-E022-4CB3-AFA3-8AD0A2EF694F}"/>
    <cellStyle name="Style 74 4 2 3 10" xfId="8558" xr:uid="{5D739469-3C36-4BA9-867B-3079E1EEE811}"/>
    <cellStyle name="Style 74 4 2 3 2" xfId="8559" xr:uid="{A8E2315B-6591-4ACC-AC6A-328539804D4E}"/>
    <cellStyle name="Style 74 4 2 3 2 2" xfId="8560" xr:uid="{A7B0AA56-13F8-40C1-A4C3-E9F2D2E4BFB5}"/>
    <cellStyle name="Style 74 4 2 3 2 2 2" xfId="24740" xr:uid="{9779CA1A-A920-48EE-A685-897C79598B85}"/>
    <cellStyle name="Style 74 4 2 3 3" xfId="8561" xr:uid="{CF284D45-584F-4438-84A2-BF39EEB7133B}"/>
    <cellStyle name="Style 74 4 2 3 3 2" xfId="24741" xr:uid="{297E17C1-AEE0-45C5-A950-3AAB2F088DC1}"/>
    <cellStyle name="Style 74 4 2 3 4" xfId="8562" xr:uid="{5865AD5A-A00B-4A62-89B7-149CF6BBF32A}"/>
    <cellStyle name="Style 74 4 2 3 4 2" xfId="24742" xr:uid="{00DE1E1D-6277-420A-AD09-7596E96014AF}"/>
    <cellStyle name="Style 74 4 2 3 5" xfId="8563" xr:uid="{10475A24-31BA-4B2A-A2A9-E79F1E6D55E3}"/>
    <cellStyle name="Style 74 4 2 3 5 2" xfId="24743" xr:uid="{3A0E929A-0E8C-4CC3-B3FB-B735F17AA196}"/>
    <cellStyle name="Style 74 4 2 3 6" xfId="8564" xr:uid="{01018D1E-8CD0-4764-9B1B-B3E6AEE3C5BF}"/>
    <cellStyle name="Style 74 4 2 3 6 2" xfId="24744" xr:uid="{706399F6-093A-4AFA-929D-56EE4CA9B1FD}"/>
    <cellStyle name="Style 74 4 2 3 7" xfId="8565" xr:uid="{6F2EAB40-797E-4289-86B4-DFA5D07A9385}"/>
    <cellStyle name="Style 74 4 2 3 7 2" xfId="24745" xr:uid="{5097A1B8-EB0A-4B7F-9985-32B7D9315C76}"/>
    <cellStyle name="Style 74 4 2 3 8 2" xfId="24746" xr:uid="{75EC0725-CD8A-47D9-9645-4B9B4499D9E2}"/>
    <cellStyle name="Style 74 4 2 3 9 2" xfId="24747" xr:uid="{FB706DB6-1E31-498C-8F93-E0335317E753}"/>
    <cellStyle name="Style 74 4 2 4" xfId="8566" xr:uid="{C898BD0A-2AE0-49C4-B4A0-1E42BABA1E54}"/>
    <cellStyle name="Style 74 4 2 4 2" xfId="8567" xr:uid="{199DB3C0-1841-4EEC-8F22-7595284FB5F7}"/>
    <cellStyle name="Style 74 4 2 5" xfId="8568" xr:uid="{EC2B9991-AD01-4266-868B-A1BD5F51BB2D}"/>
    <cellStyle name="Style 74 4 2 5 2" xfId="24748" xr:uid="{8A761C87-807F-4FBB-B6C2-61C91C8747D8}"/>
    <cellStyle name="Style 74 4 2 6" xfId="8569" xr:uid="{F2310BDE-5DA7-4282-8D8B-3FAF191492A4}"/>
    <cellStyle name="Style 74 4 2 6 2" xfId="24749" xr:uid="{540E4EC1-8A0A-4973-96E6-58DD26C370AC}"/>
    <cellStyle name="Style 74 4 2 7" xfId="8570" xr:uid="{DFA0083F-EF0F-421D-A922-D2D8BB30E5D5}"/>
    <cellStyle name="Style 74 4 2 8" xfId="8571" xr:uid="{4B55608E-6F55-49C9-A340-2DCB4CA33743}"/>
    <cellStyle name="Style 74 4 2 8 2" xfId="24750" xr:uid="{34AA7CF7-40E3-4592-8683-462EBB6BFA48}"/>
    <cellStyle name="Style 74 4 2 9" xfId="8572" xr:uid="{8049CD70-E690-4466-A029-438E9E19C439}"/>
    <cellStyle name="Style 74 4 2 9 2" xfId="24751" xr:uid="{A94E3C61-407B-45B0-A27E-A742D350A8A5}"/>
    <cellStyle name="Style 74 4 3" xfId="2034" xr:uid="{7452A87B-8C31-4A06-8CDD-5CDBE03CA547}"/>
    <cellStyle name="Style 74 4 3 10" xfId="8573" xr:uid="{6EEB2BFB-3867-4423-A3EC-A63A0CE3D5D1}"/>
    <cellStyle name="Style 74 4 3 10 2" xfId="24752" xr:uid="{CC005732-9BD9-4057-9FBA-110FEFF18819}"/>
    <cellStyle name="Style 74 4 3 11 2" xfId="24753" xr:uid="{CD3E49FA-62FC-4743-9247-33CF4C8E99BF}"/>
    <cellStyle name="Style 74 4 3 2" xfId="4449" xr:uid="{CCA0384C-A5AD-44F5-8602-E1DEE44C2DF7}"/>
    <cellStyle name="Style 74 4 3 2 2" xfId="8574" xr:uid="{C6AE97A1-A009-44FA-AB69-BEFE8AD057A1}"/>
    <cellStyle name="Style 74 4 3 2 2 2" xfId="24754" xr:uid="{192A4327-8DE3-46CD-B26B-27FF88A2C515}"/>
    <cellStyle name="Style 74 4 3 3" xfId="8575" xr:uid="{8C8CA42F-9D84-45CA-98E9-5E3C2F61C178}"/>
    <cellStyle name="Style 74 4 3 3 2 2" xfId="24755" xr:uid="{F4919CC9-2BEC-46A4-904F-E9728CD699C6}"/>
    <cellStyle name="Style 74 4 3 4 2" xfId="24756" xr:uid="{EA2F7400-830C-49A3-B90D-CB49333A73E9}"/>
    <cellStyle name="Style 74 4 3 5" xfId="8576" xr:uid="{23378FD6-2961-469F-BB16-019EC79AB476}"/>
    <cellStyle name="Style 74 4 3 6" xfId="8577" xr:uid="{37D339B2-112C-462E-894C-4D65791FB96A}"/>
    <cellStyle name="Style 74 4 3 6 2" xfId="24757" xr:uid="{0F1599F7-8477-441A-BE5A-63ECED52E9BC}"/>
    <cellStyle name="Style 74 4 3 7" xfId="8578" xr:uid="{B985A02B-0D9F-4DE4-8556-E27D76970A2D}"/>
    <cellStyle name="Style 74 4 3 7 2" xfId="24758" xr:uid="{FB5A934E-D3BD-4CD2-BB6D-EB8FCFE4F714}"/>
    <cellStyle name="Style 74 4 3 8 2" xfId="24759" xr:uid="{5B9903D9-F1F3-45B3-AB67-C298A8C70072}"/>
    <cellStyle name="Style 74 4 3 9" xfId="8579" xr:uid="{AFF2D8D7-12E7-4DDD-B869-B77678129FC4}"/>
    <cellStyle name="Style 74 4 3 9 2" xfId="24760" xr:uid="{B1C75783-4752-4563-A28C-4BF060B1D3E0}"/>
    <cellStyle name="Style 74 4 4 2" xfId="8580" xr:uid="{D5356CD5-8897-4B56-A997-D9A8298A11A4}"/>
    <cellStyle name="Style 74 4 5" xfId="8581" xr:uid="{5F12C8F7-FEDD-4F5F-A1F5-84A32B6D2492}"/>
    <cellStyle name="Style 74 4 5 2 2" xfId="24761" xr:uid="{C8693359-9C15-4EED-8B62-290055A48D1A}"/>
    <cellStyle name="Style 74 4 6 2" xfId="24762" xr:uid="{6A96CC40-98FA-462C-91A0-4451281062D0}"/>
    <cellStyle name="Style 74 4 7" xfId="8582" xr:uid="{C3F6457C-54FD-465C-A00B-4CEAC989172B}"/>
    <cellStyle name="Style 74 4 7 2" xfId="24763" xr:uid="{FAE7EB50-2DBA-4DCB-98C9-B302F2E6302C}"/>
    <cellStyle name="Style 74 4 8" xfId="8583" xr:uid="{AAABEB06-976D-4AEA-91F4-A2A5039A329F}"/>
    <cellStyle name="Style 74 4 8 2" xfId="24764" xr:uid="{E9AFA7B8-F1A0-405E-9E1C-5EF58A5D132E}"/>
    <cellStyle name="Style 74 4 9" xfId="8584" xr:uid="{FAC092EE-A7E5-4D8A-ACD3-BE22B564D36F}"/>
    <cellStyle name="Style 74 4 9 2" xfId="24765" xr:uid="{BF1E29A7-5931-46DB-A407-5AE0090BC5B3}"/>
    <cellStyle name="Style 74 5" xfId="2035" xr:uid="{3328633F-B171-4BE5-8907-CB44C4ECD95C}"/>
    <cellStyle name="Style 74 5 10" xfId="8585" xr:uid="{14AE39AB-8752-4A66-9021-DB9C1C10AB60}"/>
    <cellStyle name="Style 74 5 10 2" xfId="24766" xr:uid="{E9CFA9A2-5FA8-4331-9D62-AF869BC0A8D3}"/>
    <cellStyle name="Style 74 5 11" xfId="8586" xr:uid="{0FDF900D-7303-4287-BF48-C6A5B2F84D50}"/>
    <cellStyle name="Style 74 5 11 2" xfId="24767" xr:uid="{83F84C1D-8C3D-4F02-9A4B-1E4FEFC4D09F}"/>
    <cellStyle name="Style 74 5 12" xfId="8587" xr:uid="{FA5FE42F-982D-4308-B6CC-62B0F0391413}"/>
    <cellStyle name="Style 74 5 12 2" xfId="24768" xr:uid="{8CCC487B-1F6A-4DB7-8A17-57A88AA952BA}"/>
    <cellStyle name="Style 74 5 2" xfId="2036" xr:uid="{CCD30F1A-85D5-41AD-9B5F-9144404B8E65}"/>
    <cellStyle name="Style 74 5 2 10" xfId="8588" xr:uid="{FB2C2005-EA5F-47B3-B0A2-FA2933091B0E}"/>
    <cellStyle name="Style 74 5 2 10 2" xfId="24769" xr:uid="{EB9F6882-938E-4F6B-8E3A-37E74B9C452C}"/>
    <cellStyle name="Style 74 5 2 2" xfId="8589" xr:uid="{AE5822B1-9B3A-45FC-86D2-F6928E6E3B29}"/>
    <cellStyle name="Style 74 5 2 2 2 2" xfId="24770" xr:uid="{0F517F72-3848-4A91-A599-0EA4AB8978A9}"/>
    <cellStyle name="Style 74 5 2 3" xfId="8590" xr:uid="{F178B62C-FDBE-484C-A5A4-6591C0111C98}"/>
    <cellStyle name="Style 74 5 2 3 2" xfId="24771" xr:uid="{E1F07A4F-B03D-43B5-8075-EBE77C96FFCC}"/>
    <cellStyle name="Style 74 5 2 4" xfId="8591" xr:uid="{543E648F-03EE-45C4-AD75-15AEA51A17EA}"/>
    <cellStyle name="Style 74 5 2 4 2" xfId="24772" xr:uid="{978DE7C0-F467-4618-8991-0E2F6520C922}"/>
    <cellStyle name="Style 74 5 2 5" xfId="8592" xr:uid="{277D2B6B-AB43-4E35-A141-42C635AD71BF}"/>
    <cellStyle name="Style 74 5 2 5 2" xfId="24773" xr:uid="{CAE62979-06CD-4FB2-ACA2-3D1D90CB7D12}"/>
    <cellStyle name="Style 74 5 2 6" xfId="8593" xr:uid="{2218EBE5-F2A1-4CD0-9B43-1CEC45E374EF}"/>
    <cellStyle name="Style 74 5 2 6 2" xfId="24774" xr:uid="{0211BB75-3227-4DAB-A9FE-893B1611CB10}"/>
    <cellStyle name="Style 74 5 2 7 2" xfId="24775" xr:uid="{B45386E9-EF09-49DD-89BA-E55662FAD642}"/>
    <cellStyle name="Style 74 5 2 8" xfId="8594" xr:uid="{682A79CA-B4FF-4025-9025-032BBBF2B208}"/>
    <cellStyle name="Style 74 5 2 9" xfId="8595" xr:uid="{C791B6CB-FBCE-40E1-996F-D620E15341E4}"/>
    <cellStyle name="Style 74 5 2 9 2" xfId="24776" xr:uid="{FF0A5542-7550-40E4-9AC1-17FF1A51D849}"/>
    <cellStyle name="Style 74 5 3" xfId="4450" xr:uid="{73B6C822-C6E7-4323-A708-C15696216035}"/>
    <cellStyle name="Style 74 5 3 2" xfId="8596" xr:uid="{49B12951-4204-4BDD-8932-59F283B21C94}"/>
    <cellStyle name="Style 74 5 3 2 2" xfId="24777" xr:uid="{89458E57-D08D-4300-A054-DD803B787932}"/>
    <cellStyle name="Style 74 5 4" xfId="8597" xr:uid="{E98CBFE3-FE21-427F-BB3C-DD291454506D}"/>
    <cellStyle name="Style 74 5 4 2" xfId="8598" xr:uid="{7E5D8568-B0C9-485D-9DE9-9C029E3199B0}"/>
    <cellStyle name="Style 74 5 4 2 2" xfId="24778" xr:uid="{8BDB601F-A812-4340-B900-11C5318CD0D7}"/>
    <cellStyle name="Style 74 5 5 2" xfId="24779" xr:uid="{0B69A9B9-55D6-4167-8F42-28D16949D4A3}"/>
    <cellStyle name="Style 74 5 6" xfId="8599" xr:uid="{F1775EBC-0B8E-4771-8724-9C031AC5D951}"/>
    <cellStyle name="Style 74 5 6 2" xfId="24780" xr:uid="{0F2E3D9F-05C6-4453-A668-281C44479A39}"/>
    <cellStyle name="Style 74 5 7" xfId="8600" xr:uid="{E1C87F4B-9ED8-437A-B1BC-FF1891A83F83}"/>
    <cellStyle name="Style 74 5 7 2" xfId="24781" xr:uid="{080B016A-FB55-42EE-8A54-50F458388C3D}"/>
    <cellStyle name="Style 74 5 8" xfId="8601" xr:uid="{D042B1FB-D4B7-43DA-BCA7-EE506FA1B8EC}"/>
    <cellStyle name="Style 74 5 9" xfId="8602" xr:uid="{15DCCEB9-90A4-4F39-A552-BF03F272B4CA}"/>
    <cellStyle name="Style 74 5 9 2" xfId="24782" xr:uid="{0A672E4F-0B61-405C-B1F0-A7D3AC282CAB}"/>
    <cellStyle name="Style 74 6" xfId="2037" xr:uid="{485A354C-A4F9-468D-BFF7-347BA617B7FE}"/>
    <cellStyle name="Style 74 6 10" xfId="8603" xr:uid="{6E1D0804-4E7B-44E8-94D9-0BC38410605D}"/>
    <cellStyle name="Style 74 6 11" xfId="8604" xr:uid="{8AB66D64-540B-4788-B525-C204A9C9FBD9}"/>
    <cellStyle name="Style 74 6 11 2" xfId="24783" xr:uid="{DAC5510C-F79A-44E0-82F5-F8F800917D59}"/>
    <cellStyle name="Style 74 6 2" xfId="2776" xr:uid="{724364B9-129B-4AF6-949E-BCC471662FA6}"/>
    <cellStyle name="Style 74 6 2 2" xfId="4452" xr:uid="{3E2D4999-E289-4BE5-A66F-AE903A28BC20}"/>
    <cellStyle name="Style 74 6 2 2 2" xfId="22523" xr:uid="{3DA1A3F3-97B2-4656-A5FB-C565891334A9}"/>
    <cellStyle name="Style 74 6 2 3" xfId="8605" xr:uid="{CBD17C21-7D3B-4A8A-A522-B6CDF922249B}"/>
    <cellStyle name="Style 74 6 2 3 2" xfId="24784" xr:uid="{93F61FEA-E3D4-4418-B583-15C6CE51A3C5}"/>
    <cellStyle name="Style 74 6 3" xfId="4451" xr:uid="{1E98A74D-25D7-4202-8096-C911E894D29D}"/>
    <cellStyle name="Style 74 6 3 2" xfId="8606" xr:uid="{ACDBAC73-76D1-4C6C-AE55-9EB28B0DD6CA}"/>
    <cellStyle name="Style 74 6 4" xfId="8607" xr:uid="{942421C6-055C-404C-9D8D-64041CC43F16}"/>
    <cellStyle name="Style 74 6 4 2" xfId="8608" xr:uid="{7D8D7B6E-0003-4C24-8BBD-08FBF6429354}"/>
    <cellStyle name="Style 74 6 4 2 2" xfId="24785" xr:uid="{2F7B12AF-C6E5-4BA4-AC2E-69F1D9DED7DC}"/>
    <cellStyle name="Style 74 6 5" xfId="8609" xr:uid="{98DEFF43-0B73-457C-9F47-1BCA8952151E}"/>
    <cellStyle name="Style 74 6 5 2" xfId="24786" xr:uid="{DD642C60-F938-41E0-AA76-BAF397AD8419}"/>
    <cellStyle name="Style 74 6 6" xfId="8610" xr:uid="{C5972DDC-5EA6-4282-943E-905C9D1BC98F}"/>
    <cellStyle name="Style 74 6 6 2" xfId="24787" xr:uid="{ADA29130-03A3-4743-9E1C-9F86627785D9}"/>
    <cellStyle name="Style 74 6 7" xfId="8611" xr:uid="{30C6E967-7B98-4ED2-BD29-15ECF0930C92}"/>
    <cellStyle name="Style 74 6 7 2" xfId="24788" xr:uid="{1AAE1141-BB87-44C8-9472-41547525D94A}"/>
    <cellStyle name="Style 74 6 8" xfId="8612" xr:uid="{6173B207-7259-481C-8EEF-ADCBD9D7D4C5}"/>
    <cellStyle name="Style 74 6 8 2" xfId="24789" xr:uid="{D2E9048E-53E8-4E45-8EB2-6DF736897CF8}"/>
    <cellStyle name="Style 74 6 9" xfId="8613" xr:uid="{F231C372-BF07-4664-89CD-DA36024F3220}"/>
    <cellStyle name="Style 74 6 9 2" xfId="24790" xr:uid="{6FAC0163-83E7-439E-B5F2-95361E3152CA}"/>
    <cellStyle name="Style 74 7" xfId="2775" xr:uid="{9B0DB62C-D953-42D2-A943-AB8A359C95D5}"/>
    <cellStyle name="Style 74 7 2" xfId="4454" xr:uid="{B34FCD42-0266-4D87-BA5B-7E5619303E63}"/>
    <cellStyle name="Style 74 7 4" xfId="4453" xr:uid="{EABE0582-C0FE-45A1-BFE6-484836F6F8AD}"/>
    <cellStyle name="Style 74 7 4 2" xfId="22522" xr:uid="{723298AB-B5DE-4CC4-B5A0-F142744771E8}"/>
    <cellStyle name="Style 74 7 5" xfId="8614" xr:uid="{5F586F5C-FE2E-45E0-BD61-6A9687A04D19}"/>
    <cellStyle name="Style 74 7 5 2" xfId="24791" xr:uid="{3FA65D15-3270-4971-9694-63BF1235DD05}"/>
    <cellStyle name="Style 74 8" xfId="4455" xr:uid="{7100E8AA-C989-4745-89F2-F4DDF75509AB}"/>
    <cellStyle name="Style 74 8 2 2" xfId="24792" xr:uid="{C6A0F619-61DD-45BF-BCEF-F2E1D943EDF1}"/>
    <cellStyle name="Style 74 9 2 2" xfId="24793" xr:uid="{C5A445E9-4FBF-4C56-B761-31F0833B9CEF}"/>
    <cellStyle name="Style 74 9 3" xfId="21300" xr:uid="{8DFE05A7-25FC-45EC-B8C9-8EFB2C620C59}"/>
    <cellStyle name="Style 75" xfId="2038" xr:uid="{2A774672-B554-4F05-89BA-B8D822BF6B50}"/>
    <cellStyle name="Style 75 10" xfId="4456" xr:uid="{D59E66C5-4D97-4A26-81EF-FDAABBFC3C37}"/>
    <cellStyle name="Style 75 10 2" xfId="8615" xr:uid="{04797776-42CD-49D0-8345-8A800B2626BE}"/>
    <cellStyle name="Style 75 10 2 2" xfId="24794" xr:uid="{9C9EB8F0-9B2C-4BF5-9BAB-96058755E894}"/>
    <cellStyle name="Style 75 11" xfId="8616" xr:uid="{6615B2E1-E1A8-48DD-99D1-455E310E9CFE}"/>
    <cellStyle name="Style 75 11 2" xfId="8617" xr:uid="{607091CB-7873-4D6A-B8F0-EE7E6D9F67C7}"/>
    <cellStyle name="Style 75 11 2 2" xfId="24795" xr:uid="{B8EDD2CC-3AD0-4E66-96A0-07DD84025EE8}"/>
    <cellStyle name="Style 75 11 3" xfId="21301" xr:uid="{7DFB5FC1-8732-4D55-9E24-60CC04FBC006}"/>
    <cellStyle name="Style 75 12 2" xfId="24796" xr:uid="{B9D667B5-4AEE-48A5-BB4C-F43F08B88ECD}"/>
    <cellStyle name="Style 75 13" xfId="8618" xr:uid="{66BBF1B1-7A16-480F-8682-F095376D6F16}"/>
    <cellStyle name="Style 75 13 2" xfId="24797" xr:uid="{45B31A6F-8237-41F5-BD79-9F4780B8FBF5}"/>
    <cellStyle name="Style 75 14" xfId="8619" xr:uid="{E659AF89-94AF-4E87-B5A4-B7977190AA0B}"/>
    <cellStyle name="Style 75 14 2" xfId="24798" xr:uid="{3E6B5723-895F-4C47-9283-29854D4C34FB}"/>
    <cellStyle name="Style 75 15" xfId="8620" xr:uid="{22F0217A-09AA-49E6-A82C-B8E6FB991B70}"/>
    <cellStyle name="Style 75 15 2" xfId="24799" xr:uid="{9DFA1A22-4CC2-4D9E-947D-68D520C1E916}"/>
    <cellStyle name="Style 75 16" xfId="8621" xr:uid="{809F306E-704F-4671-A0A1-00A79C4C22ED}"/>
    <cellStyle name="Style 75 16 2" xfId="24800" xr:uid="{B5730649-B232-4E64-814D-4394BCA21656}"/>
    <cellStyle name="Style 75 17" xfId="8622" xr:uid="{0FBDEDA6-A53D-4456-9845-60371396B9FB}"/>
    <cellStyle name="Style 75 2" xfId="2039" xr:uid="{6FA25D73-B01E-4014-B046-A69134D12E72}"/>
    <cellStyle name="Style 75 2 10 2" xfId="24801" xr:uid="{98B43763-002C-4EA1-B3E0-C00B0A0BAEF0}"/>
    <cellStyle name="Style 75 2 11 2" xfId="24802" xr:uid="{D7B543A8-E9E1-4EAC-847A-FCA3B99D78BE}"/>
    <cellStyle name="Style 75 2 12" xfId="8623" xr:uid="{6EDD57E5-42B4-41FC-9B12-331B1DC3935F}"/>
    <cellStyle name="Style 75 2 12 2" xfId="24803" xr:uid="{6AD87CAA-A37F-4DE1-9497-6B620007EF2A}"/>
    <cellStyle name="Style 75 2 13" xfId="8624" xr:uid="{9E929C7A-159E-4856-9025-F51D44862761}"/>
    <cellStyle name="Style 75 2 13 2" xfId="24804" xr:uid="{31555D64-85FB-441D-A6A9-AA29FE58C137}"/>
    <cellStyle name="Style 75 2 14" xfId="8625" xr:uid="{E07B99C1-0475-4098-8AA7-3C1D373C1EA1}"/>
    <cellStyle name="Style 75 2 14 2" xfId="24805" xr:uid="{6404CA70-CBF1-4DA0-A32A-E6A26740A80A}"/>
    <cellStyle name="Style 75 2 15" xfId="8626" xr:uid="{547CF6F8-8E78-444A-AF7A-E1DAD8E4A774}"/>
    <cellStyle name="Style 75 2 2 10" xfId="8627" xr:uid="{D1C64555-0841-48F8-B1BD-B8EF6F059924}"/>
    <cellStyle name="Style 75 2 2 11" xfId="8628" xr:uid="{3DFA1410-A6AA-40C4-A3F4-47B4220077F1}"/>
    <cellStyle name="Style 75 2 2 11 2" xfId="24806" xr:uid="{1959C513-A4BB-485E-BCF3-F62B6D462E46}"/>
    <cellStyle name="Style 75 2 2 12" xfId="8629" xr:uid="{82830BD2-8222-47EA-AF76-B372FE620CF6}"/>
    <cellStyle name="Style 75 2 2 13" xfId="8630" xr:uid="{B3618C90-F92A-45B7-B333-1FDA670EA018}"/>
    <cellStyle name="Style 75 2 2 14" xfId="8631" xr:uid="{BCB8D697-A6E8-445B-849F-2F9E163656F2}"/>
    <cellStyle name="Style 75 2 2 2" xfId="2040" xr:uid="{65A649A8-4F5C-4CD0-B851-83554FB3317D}"/>
    <cellStyle name="Style 75 2 2 2 10 2" xfId="24807" xr:uid="{AA69BF58-1C28-4EDB-BEA6-5D32FBCF3646}"/>
    <cellStyle name="Style 75 2 2 2 11" xfId="8632" xr:uid="{DB3CAAC9-A195-4AA2-BAAD-F173C217327A}"/>
    <cellStyle name="Style 75 2 2 2 12 2" xfId="24808" xr:uid="{1CAF6D87-2040-46EA-8202-BA2F360484C2}"/>
    <cellStyle name="Style 75 2 2 2 13" xfId="8633" xr:uid="{9E10C36F-652F-4B64-9616-0F78F25A2547}"/>
    <cellStyle name="Style 75 2 2 2 2" xfId="2041" xr:uid="{C552E9D7-8DDD-4E6A-828A-97CEF025F2E8}"/>
    <cellStyle name="Style 75 2 2 2 2 10 2" xfId="24809" xr:uid="{EF9787EC-A87C-419E-AFDA-6D8BB0ABF1B6}"/>
    <cellStyle name="Style 75 2 2 2 2 11" xfId="8634" xr:uid="{AD609BFD-DF40-47B6-88C3-E0A454017805}"/>
    <cellStyle name="Style 75 2 2 2 2 11 2" xfId="24810" xr:uid="{C74EF9DC-D6B4-43AD-82D7-0862E52DBF25}"/>
    <cellStyle name="Style 75 2 2 2 2 12" xfId="8635" xr:uid="{6187B7C4-4E82-4B04-A4F8-15F732BF4767}"/>
    <cellStyle name="Style 75 2 2 2 2 12 2" xfId="24811" xr:uid="{78517698-1C85-44AE-8779-6806438E56C8}"/>
    <cellStyle name="Style 75 2 2 2 2 2" xfId="2042" xr:uid="{3FB5E5A9-671D-40EA-B1F6-90A263F2FF1D}"/>
    <cellStyle name="Style 75 2 2 2 2 2 10" xfId="8636" xr:uid="{2FDDF41E-0728-4644-A82D-751E7F5DBEF9}"/>
    <cellStyle name="Style 75 2 2 2 2 2 10 2" xfId="24812" xr:uid="{FA31A70D-4681-4967-B15F-33DB772E7A32}"/>
    <cellStyle name="Style 75 2 2 2 2 2 2" xfId="4460" xr:uid="{620F00E8-6C9B-44AF-824E-556D9048C627}"/>
    <cellStyle name="Style 75 2 2 2 2 2 2 2" xfId="8637" xr:uid="{F1067C0A-D38E-469E-AF4A-A056D87F4FFC}"/>
    <cellStyle name="Style 75 2 2 2 2 2 3" xfId="8638" xr:uid="{7ECA3FA7-0739-4099-A9DB-F31FD0BA7A20}"/>
    <cellStyle name="Style 75 2 2 2 2 2 3 2" xfId="8639" xr:uid="{F14D5161-AA5B-4516-9970-007E38C26A49}"/>
    <cellStyle name="Style 75 2 2 2 2 2 3 2 2" xfId="24813" xr:uid="{AB21826C-6872-45BF-83A2-1DA92EDFD5CD}"/>
    <cellStyle name="Style 75 2 2 2 2 2 4 2" xfId="24814" xr:uid="{253A27F8-1970-4601-986B-39ABF9E8AC10}"/>
    <cellStyle name="Style 75 2 2 2 2 2 5" xfId="8640" xr:uid="{377D238E-1C6B-44CB-9CC0-B429F3E928F6}"/>
    <cellStyle name="Style 75 2 2 2 2 2 5 2" xfId="24815" xr:uid="{3812FFB7-44D7-4194-B8B2-7A614115E600}"/>
    <cellStyle name="Style 75 2 2 2 2 2 6" xfId="8641" xr:uid="{6B28A318-69C7-46C1-9835-BBDA40CE5E69}"/>
    <cellStyle name="Style 75 2 2 2 2 2 6 2" xfId="24816" xr:uid="{AC9DE474-BD44-4B01-AD0C-51C1188DE247}"/>
    <cellStyle name="Style 75 2 2 2 2 2 7" xfId="8642" xr:uid="{EFB47890-3AA1-4EB2-9C5F-F4FB6716D039}"/>
    <cellStyle name="Style 75 2 2 2 2 2 8" xfId="8643" xr:uid="{9E5F0FF0-00AC-4C94-969C-816CD37F4F4D}"/>
    <cellStyle name="Style 75 2 2 2 2 2 9" xfId="8644" xr:uid="{49AE19E8-A51A-459F-9C47-5B68A74A8C1D}"/>
    <cellStyle name="Style 75 2 2 2 2 2 9 2" xfId="24817" xr:uid="{7052A78E-F387-4069-8FC1-66122FF3D8BC}"/>
    <cellStyle name="Style 75 2 2 2 2 3" xfId="4459" xr:uid="{A45E3363-3A29-47AF-A535-6A67F9E14326}"/>
    <cellStyle name="Style 75 2 2 2 2 3 2" xfId="8645" xr:uid="{361F76FB-FBF9-4AD6-98D2-177D911812BA}"/>
    <cellStyle name="Style 75 2 2 2 2 4" xfId="8646" xr:uid="{76ED2C3B-1F96-4CD4-BD92-157621469B93}"/>
    <cellStyle name="Style 75 2 2 2 2 4 2" xfId="8647" xr:uid="{2E350ADA-1029-4D98-9432-D676C67C582D}"/>
    <cellStyle name="Style 75 2 2 2 2 4 2 2" xfId="24818" xr:uid="{8C906963-5C62-4DD1-BE71-86A6B4E67E57}"/>
    <cellStyle name="Style 75 2 2 2 2 5" xfId="8648" xr:uid="{C0F140F6-4F3B-4636-89C4-30EE7FF0972C}"/>
    <cellStyle name="Style 75 2 2 2 2 5 2" xfId="24819" xr:uid="{D3D119E7-8181-420A-8945-9FEE879D82DC}"/>
    <cellStyle name="Style 75 2 2 2 2 6" xfId="8649" xr:uid="{181B5E79-093C-428D-BFDD-40C1479DA80A}"/>
    <cellStyle name="Style 75 2 2 2 2 7" xfId="8650" xr:uid="{71C1FF04-91FC-4D25-877C-B06313059999}"/>
    <cellStyle name="Style 75 2 2 2 2 7 2" xfId="24820" xr:uid="{D6D7513A-B376-435A-947E-88175113FFF5}"/>
    <cellStyle name="Style 75 2 2 2 2 8" xfId="8651" xr:uid="{C5E5A591-AF50-4BAC-918E-BD34B059A23D}"/>
    <cellStyle name="Style 75 2 2 2 2 8 2" xfId="24821" xr:uid="{09B8CAC2-E940-4693-AF5E-6D22FEE8C08E}"/>
    <cellStyle name="Style 75 2 2 2 2 9 2" xfId="24822" xr:uid="{484B6C29-01E0-40FE-9866-F5CDF52B82F0}"/>
    <cellStyle name="Style 75 2 2 2 3 10" xfId="8652" xr:uid="{C709FF04-4F4E-47FF-89B4-98BAA74DD379}"/>
    <cellStyle name="Style 75 2 2 2 3 10 2" xfId="24823" xr:uid="{FBAD71DF-5830-43D6-B317-D199904CB0F2}"/>
    <cellStyle name="Style 75 2 2 2 3 2" xfId="4461" xr:uid="{E07DB368-5D41-4DD6-8FD9-E91CFB845B37}"/>
    <cellStyle name="Style 75 2 2 2 3 2 2 2" xfId="24824" xr:uid="{41BBB3A6-060B-4188-ABED-E67EB9E93F00}"/>
    <cellStyle name="Style 75 2 2 2 3 3 2" xfId="8653" xr:uid="{C33EF564-63DE-432E-B688-2D89EBE0E9F9}"/>
    <cellStyle name="Style 75 2 2 2 3 3 2 2" xfId="24825" xr:uid="{CF2CE477-A2F2-4E96-814C-4C2AE3A36EDA}"/>
    <cellStyle name="Style 75 2 2 2 3 5" xfId="8654" xr:uid="{B2270D90-0774-4AC9-8E9A-8862094CFD4E}"/>
    <cellStyle name="Style 75 2 2 2 3 5 2" xfId="24826" xr:uid="{9A672C50-CDA1-44C8-A4AD-9AB9E5EACBE6}"/>
    <cellStyle name="Style 75 2 2 2 3 6" xfId="8655" xr:uid="{7E20F49A-0B9D-4C41-9A26-72DA3A769135}"/>
    <cellStyle name="Style 75 2 2 2 3 6 2" xfId="24827" xr:uid="{9ECFC22A-281E-42EF-9826-F44779990082}"/>
    <cellStyle name="Style 75 2 2 2 3 7 2" xfId="24828" xr:uid="{51E75B4A-0E33-482C-84CF-90D59C6EF112}"/>
    <cellStyle name="Style 75 2 2 2 3 8" xfId="8656" xr:uid="{B76151D9-A2E7-47AC-98AC-0E7A4A19647A}"/>
    <cellStyle name="Style 75 2 2 2 3 8 2" xfId="24829" xr:uid="{D809B33D-7149-449B-9677-3041E0B7DDFE}"/>
    <cellStyle name="Style 75 2 2 2 3 9" xfId="8657" xr:uid="{2F4D6E28-1B3A-4438-860F-0708A561D4E3}"/>
    <cellStyle name="Style 75 2 2 2 4" xfId="4458" xr:uid="{AADDE4C2-0C89-4434-BA45-070D7641870C}"/>
    <cellStyle name="Style 75 2 2 2 4 2" xfId="8658" xr:uid="{8760DEDF-EA4F-4AA2-9C89-FDE9C70ED84D}"/>
    <cellStyle name="Style 75 2 2 2 5" xfId="8659" xr:uid="{96C24094-B8E9-447C-96F0-C911132A6F3D}"/>
    <cellStyle name="Style 75 2 2 2 5 2" xfId="8660" xr:uid="{AE34B7E6-5DDE-45E8-9EB9-33F714B3EA9C}"/>
    <cellStyle name="Style 75 2 2 2 6" xfId="8661" xr:uid="{6128ACCA-F05B-463F-AAA4-45720715DBEF}"/>
    <cellStyle name="Style 75 2 2 2 6 2" xfId="24830" xr:uid="{71275FA4-270C-428F-A26F-A6958D87827B}"/>
    <cellStyle name="Style 75 2 2 2 7" xfId="8662" xr:uid="{CC4F7493-9336-4E4D-8E71-34D90435AF13}"/>
    <cellStyle name="Style 75 2 2 2 7 2" xfId="24831" xr:uid="{7AEA11F5-100E-4A4A-BA0B-7675E10C4A0E}"/>
    <cellStyle name="Style 75 2 2 2 8" xfId="8663" xr:uid="{2CDEC9C9-D2AA-4038-9454-17DEFEB9E964}"/>
    <cellStyle name="Style 75 2 2 2 8 2" xfId="24832" xr:uid="{4AA5A26B-C193-4352-8C7C-85C05AD9483E}"/>
    <cellStyle name="Style 75 2 2 2 9" xfId="8664" xr:uid="{57C3A602-E179-4F37-AD2B-FB51EBD02A84}"/>
    <cellStyle name="Style 75 2 2 3" xfId="2043" xr:uid="{82CE032E-FBFC-4CC9-B342-A1362C4894F6}"/>
    <cellStyle name="Style 75 2 2 3 11" xfId="8665" xr:uid="{448AB41C-61B0-4D63-98FA-24D6E87D4481}"/>
    <cellStyle name="Style 75 2 2 3 11 2" xfId="24833" xr:uid="{58AD8C63-04D2-4075-B11D-FFB68E512430}"/>
    <cellStyle name="Style 75 2 2 3 12 2" xfId="24834" xr:uid="{31BBB407-BDAD-40D5-A3A6-D8FDAD396E54}"/>
    <cellStyle name="Style 75 2 2 3 2 10" xfId="8666" xr:uid="{F2A820EF-1504-4D4C-9F27-156A28F3E2D5}"/>
    <cellStyle name="Style 75 2 2 3 2 10 2" xfId="24835" xr:uid="{F4CB2BCE-6DE1-460C-88F3-9DF5FCB6B69E}"/>
    <cellStyle name="Style 75 2 2 3 2 2" xfId="4463" xr:uid="{E15F9F26-F4E0-42AE-9603-00B8BD1F6A0B}"/>
    <cellStyle name="Style 75 2 2 3 2 2 2 2" xfId="24836" xr:uid="{774279F4-C434-4629-9E9C-1F29B4AF8C9E}"/>
    <cellStyle name="Style 75 2 2 3 2 3" xfId="8667" xr:uid="{178F09EF-DAFE-4332-9677-BB2BA57AA105}"/>
    <cellStyle name="Style 75 2 2 3 2 3 2" xfId="8668" xr:uid="{E8D149ED-1ACF-4206-929D-11AAA98D1928}"/>
    <cellStyle name="Style 75 2 2 3 2 3 2 2" xfId="24837" xr:uid="{B13612F5-4334-4548-A9EB-9279C89C5842}"/>
    <cellStyle name="Style 75 2 2 3 2 4 2" xfId="24838" xr:uid="{7D4DEB7F-5856-4142-80B2-1DBC9BEE6B06}"/>
    <cellStyle name="Style 75 2 2 3 2 5" xfId="8669" xr:uid="{7E1721A6-57DB-46EE-8DDE-8E967DBE6450}"/>
    <cellStyle name="Style 75 2 2 3 2 5 2" xfId="24839" xr:uid="{28D9B840-0F85-4A2E-8616-8AE955913878}"/>
    <cellStyle name="Style 75 2 2 3 2 6" xfId="8670" xr:uid="{EA2388DD-9C34-4CF7-AFE3-AE40C3A2B2DF}"/>
    <cellStyle name="Style 75 2 2 3 2 6 2" xfId="24840" xr:uid="{B6D71436-E6C0-4890-BF68-B400B3DC185B}"/>
    <cellStyle name="Style 75 2 2 3 2 7" xfId="8671" xr:uid="{27D5DCD3-4C05-452D-B23C-6AC1A150097D}"/>
    <cellStyle name="Style 75 2 2 3 2 7 2" xfId="24841" xr:uid="{B72306B3-68CE-45FF-BA94-32552612DE3D}"/>
    <cellStyle name="Style 75 2 2 3 2 8" xfId="8672" xr:uid="{F0F75709-14A0-4CA5-807B-3F6115ABA5FB}"/>
    <cellStyle name="Style 75 2 2 3 2 8 2" xfId="24842" xr:uid="{FC90CDA6-21D6-48D8-B2F9-6D0A44B0D85F}"/>
    <cellStyle name="Style 75 2 2 3 2 9" xfId="8673" xr:uid="{A6E4FF14-8260-403D-BC30-F6A33FF17F13}"/>
    <cellStyle name="Style 75 2 2 3 3" xfId="4462" xr:uid="{A95A3493-EBE7-4D32-A1E8-EA1B6BC93E5A}"/>
    <cellStyle name="Style 75 2 2 3 3 2 2" xfId="24843" xr:uid="{06923DD6-34FC-4EBD-926E-83E9800833BC}"/>
    <cellStyle name="Style 75 2 2 3 4" xfId="8674" xr:uid="{620F27C1-D0C8-4AA9-938A-A4F2AECD0136}"/>
    <cellStyle name="Style 75 2 2 3 4 2" xfId="8675" xr:uid="{9DD430D7-CA97-42AF-B6F2-A3C16EE23A6B}"/>
    <cellStyle name="Style 75 2 2 3 4 2 2" xfId="24844" xr:uid="{AFB98095-91F6-4589-8A5D-6E3BC45967B7}"/>
    <cellStyle name="Style 75 2 2 3 5" xfId="8676" xr:uid="{8051037F-C859-4E68-B8FC-D9F3266C72E2}"/>
    <cellStyle name="Style 75 2 2 3 6" xfId="8677" xr:uid="{238F7A5C-9BCA-4671-8E9C-57464CF0C429}"/>
    <cellStyle name="Style 75 2 2 3 7" xfId="8678" xr:uid="{E4DFF03E-2F95-4C64-B600-B9F91936B58E}"/>
    <cellStyle name="Style 75 2 2 3 7 2" xfId="24845" xr:uid="{9E1492E9-B12D-4CFA-9254-BE60F2629DE0}"/>
    <cellStyle name="Style 75 2 2 3 8" xfId="8679" xr:uid="{EBC2FB51-34F8-4A74-BAE7-63846B882567}"/>
    <cellStyle name="Style 75 2 2 3 9" xfId="8680" xr:uid="{81F54112-4F66-47A4-9D41-F03B3C1835B4}"/>
    <cellStyle name="Style 75 2 2 4 10" xfId="8681" xr:uid="{E20C630D-E330-4884-9559-A102C078157C}"/>
    <cellStyle name="Style 75 2 2 4 10 2" xfId="24846" xr:uid="{C851D62F-4923-4D81-B105-F72963012088}"/>
    <cellStyle name="Style 75 2 2 4 2 2" xfId="8682" xr:uid="{5972A118-3BC6-4E2A-90BE-3167095643CE}"/>
    <cellStyle name="Style 75 2 2 4 2 2 2" xfId="24847" xr:uid="{34AA93D7-9203-4A0B-AD6F-3A0F7DE3CDDF}"/>
    <cellStyle name="Style 75 2 2 4 3" xfId="8683" xr:uid="{CCB96EAA-DD90-4B97-B821-17450FFDDFB2}"/>
    <cellStyle name="Style 75 2 2 4 3 2" xfId="8684" xr:uid="{8F8D7DBD-9417-4D34-9C6C-E8ED6D71BEF3}"/>
    <cellStyle name="Style 75 2 2 4 3 2 2" xfId="24848" xr:uid="{C5AD4E12-A24A-456D-BFD5-1776DAE76075}"/>
    <cellStyle name="Style 75 2 2 4 4" xfId="8685" xr:uid="{89EF7143-D713-43E0-B333-6F2952054D9C}"/>
    <cellStyle name="Style 75 2 2 4 4 2" xfId="24849" xr:uid="{EA4CD9BB-114D-48FC-9DDC-E9D3B7E3BBCA}"/>
    <cellStyle name="Style 75 2 2 4 5" xfId="8686" xr:uid="{67E508C7-78D1-4B6A-A7E4-DCEE4DCC5EE6}"/>
    <cellStyle name="Style 75 2 2 4 6 2" xfId="24850" xr:uid="{DBF135AC-7DC0-4DC1-9132-BE4D33F59F3B}"/>
    <cellStyle name="Style 75 2 2 4 7" xfId="8687" xr:uid="{1F2E93F0-95B1-4EA1-83D6-16938BADFECA}"/>
    <cellStyle name="Style 75 2 2 4 7 2" xfId="24851" xr:uid="{F21EC4C4-2264-40B4-933B-954654520977}"/>
    <cellStyle name="Style 75 2 2 4 8" xfId="8688" xr:uid="{B35C48E4-EAC5-4CFA-AF7F-EC9A3E632B60}"/>
    <cellStyle name="Style 75 2 2 4 8 2" xfId="24852" xr:uid="{99266886-A950-4688-95BE-DD5504E7B3A9}"/>
    <cellStyle name="Style 75 2 2 4 9 2" xfId="24853" xr:uid="{D72BFBE4-1746-4241-9C3C-FBD46DCAD04C}"/>
    <cellStyle name="Style 75 2 2 5 2" xfId="8689" xr:uid="{845C2CF0-97C5-4D4B-8431-C05C3ADD69F5}"/>
    <cellStyle name="Style 75 2 2 5 2 2" xfId="24854" xr:uid="{D5C3395C-ABAD-4D9C-9014-D910357A8853}"/>
    <cellStyle name="Style 75 2 2 6" xfId="8690" xr:uid="{A8BF2A83-A4F9-4655-87A2-39FB40A9BB66}"/>
    <cellStyle name="Style 75 2 2 6 2 2" xfId="24855" xr:uid="{DC61E74B-1C64-4035-8F42-828DCA388FD7}"/>
    <cellStyle name="Style 75 2 2 8" xfId="8691" xr:uid="{8D18FF1A-AE92-421C-9842-82857EBFD62A}"/>
    <cellStyle name="Style 75 2 2 8 2" xfId="24856" xr:uid="{06CFB57D-C793-4B8D-B2E2-9E8BF8D363E4}"/>
    <cellStyle name="Style 75 2 2 9 2" xfId="24857" xr:uid="{D693E3AB-B4A1-4717-93B6-A2F94B7EB804}"/>
    <cellStyle name="Style 75 2 3" xfId="2044" xr:uid="{BBF9BB2B-1B2D-4398-8566-AE32DB8A2511}"/>
    <cellStyle name="Style 75 2 3 10" xfId="8692" xr:uid="{5A523F5C-36B4-497E-9D81-FFB646C3490B}"/>
    <cellStyle name="Style 75 2 3 10 2" xfId="24858" xr:uid="{030B24B3-0EAB-4795-87C6-56B1F28308DE}"/>
    <cellStyle name="Style 75 2 3 11" xfId="8693" xr:uid="{69720BDA-BB1E-4A66-9F34-F7233845115D}"/>
    <cellStyle name="Style 75 2 3 11 2" xfId="24859" xr:uid="{7CFAC6F2-C2CE-49E5-9B9F-0E76D0CD38F7}"/>
    <cellStyle name="Style 75 2 3 12" xfId="8694" xr:uid="{8E8AE0F9-3516-4312-9042-326E2C6C3F20}"/>
    <cellStyle name="Style 75 2 3 12 2" xfId="24860" xr:uid="{4C7F223E-AE3B-46F8-A4AC-E794A7B659D7}"/>
    <cellStyle name="Style 75 2 3 13" xfId="8695" xr:uid="{C3A34A39-1CE9-4C23-993E-D008F2365366}"/>
    <cellStyle name="Style 75 2 3 13 2" xfId="24861" xr:uid="{1876DA7D-CAAE-47A3-A910-0C66C16F66D4}"/>
    <cellStyle name="Style 75 2 3 2" xfId="2045" xr:uid="{FE5E40AC-4C64-48EA-AFD7-24A10C47A00E}"/>
    <cellStyle name="Style 75 2 3 2 10" xfId="8696" xr:uid="{107B662D-EE25-48CB-BF54-BDC33FEABE3A}"/>
    <cellStyle name="Style 75 2 3 2 10 2" xfId="24862" xr:uid="{F7D8DCCA-B425-4BC7-8EB1-650E0F1C0084}"/>
    <cellStyle name="Style 75 2 3 2 11" xfId="8697" xr:uid="{A8DF7220-8F4B-4F57-9CB8-6D25F7671DF7}"/>
    <cellStyle name="Style 75 2 3 2 11 2" xfId="24863" xr:uid="{C6D752E4-9F11-4813-8EDD-002009156CFE}"/>
    <cellStyle name="Style 75 2 3 2 2" xfId="2046" xr:uid="{AE4D5B0C-32F5-4FB3-BF5A-F1F588DDDFFC}"/>
    <cellStyle name="Style 75 2 3 2 2 10" xfId="8698" xr:uid="{4F337863-2C50-4D7D-943E-605F6E8E63AA}"/>
    <cellStyle name="Style 75 2 3 2 2 2" xfId="4466" xr:uid="{B1EB520C-1914-4929-AD72-D92067130381}"/>
    <cellStyle name="Style 75 2 3 2 2 2 2" xfId="8699" xr:uid="{2A659CA3-4721-4497-A613-560256BF385E}"/>
    <cellStyle name="Style 75 2 3 2 2 2 2 2" xfId="24864" xr:uid="{8D115A42-BDFD-4B82-B16B-2C6F849A872A}"/>
    <cellStyle name="Style 75 2 3 2 2 3" xfId="8700" xr:uid="{63FF2EDD-5ED9-4FAD-BB7B-6CF657388790}"/>
    <cellStyle name="Style 75 2 3 2 2 3 2" xfId="8701" xr:uid="{AE513C0F-AF23-48CD-8F71-753B8D098444}"/>
    <cellStyle name="Style 75 2 3 2 2 4" xfId="8702" xr:uid="{23D78641-E779-4C97-9C57-E2D08B55F111}"/>
    <cellStyle name="Style 75 2 3 2 2 4 2" xfId="24865" xr:uid="{B685EB26-956A-4AA1-AFE5-73921F669512}"/>
    <cellStyle name="Style 75 2 3 2 2 5 2" xfId="24866" xr:uid="{A9B2EE98-8B63-4A74-BCD4-45A3191613A2}"/>
    <cellStyle name="Style 75 2 3 2 2 6" xfId="8703" xr:uid="{BB2049AA-265C-4675-8261-D66A60D46BDE}"/>
    <cellStyle name="Style 75 2 3 2 2 6 2" xfId="24867" xr:uid="{6265B3CA-228B-43FB-A3D9-870806B127ED}"/>
    <cellStyle name="Style 75 2 3 2 2 7" xfId="8704" xr:uid="{0231F446-1280-489F-AD82-45696F56792A}"/>
    <cellStyle name="Style 75 2 3 2 2 8" xfId="8705" xr:uid="{ABADCCDF-21D0-4E83-A926-03ADE188BB17}"/>
    <cellStyle name="Style 75 2 3 2 2 8 2" xfId="24868" xr:uid="{5E8A29F4-FFE6-4C88-AA16-22CE144C29FC}"/>
    <cellStyle name="Style 75 2 3 2 2 9" xfId="8706" xr:uid="{408B7138-033C-4A86-9BBB-FB9B33414281}"/>
    <cellStyle name="Style 75 2 3 2 2 9 2" xfId="24869" xr:uid="{B2491F52-0163-4FB0-BD8B-4D540528E5C2}"/>
    <cellStyle name="Style 75 2 3 2 3" xfId="4465" xr:uid="{0187B8FA-CAA8-4A30-86C4-E5E393E3733D}"/>
    <cellStyle name="Style 75 2 3 2 3 2" xfId="8707" xr:uid="{83CF7F65-0386-40A9-B1B5-07C8ABFA255A}"/>
    <cellStyle name="Style 75 2 3 2 3 2 2" xfId="24870" xr:uid="{83CA4659-3D00-47B3-8A5C-F1F46DE7C289}"/>
    <cellStyle name="Style 75 2 3 2 4 2" xfId="8708" xr:uid="{DFF4052A-4D6F-4089-ADCA-77613FF18EAB}"/>
    <cellStyle name="Style 75 2 3 2 5" xfId="8709" xr:uid="{9A3E3A31-09E3-4A85-8AAA-E7486E1EB096}"/>
    <cellStyle name="Style 75 2 3 2 5 2" xfId="24871" xr:uid="{861231CC-0DE6-4CF4-8366-3098CE1B17E7}"/>
    <cellStyle name="Style 75 2 3 2 6" xfId="8710" xr:uid="{6378FB01-CE7B-4B20-B9E6-5B8039B8B934}"/>
    <cellStyle name="Style 75 2 3 2 7" xfId="8711" xr:uid="{8AF3F675-10D9-4B11-ADC8-A884B6142DAF}"/>
    <cellStyle name="Style 75 2 3 2 7 2" xfId="24872" xr:uid="{432F726A-D789-48EC-8E6A-7AE8DC43F2F4}"/>
    <cellStyle name="Style 75 2 3 2 8" xfId="8712" xr:uid="{678DB293-CDCB-49BB-96DF-09370BF9C449}"/>
    <cellStyle name="Style 75 2 3 2 8 2" xfId="24873" xr:uid="{CA11D60A-C3C0-4DF8-81B6-DCC48E254D6D}"/>
    <cellStyle name="Style 75 2 3 2 9" xfId="8713" xr:uid="{BE68A06C-CA72-49C3-B5F1-CC56C239FE30}"/>
    <cellStyle name="Style 75 2 3 3" xfId="2047" xr:uid="{6A3C1474-C3B3-4798-89C0-312E764CD1CF}"/>
    <cellStyle name="Style 75 2 3 3 10 2" xfId="24874" xr:uid="{AA98D17C-0AE8-49CC-8FA1-F82A41BF62BF}"/>
    <cellStyle name="Style 75 2 3 3 2" xfId="4467" xr:uid="{729E6209-4059-450B-948E-7E0C8E3F30D4}"/>
    <cellStyle name="Style 75 2 3 3 2 2" xfId="8714" xr:uid="{9E1941FD-0CFB-49ED-B5BD-B19EFCFE8954}"/>
    <cellStyle name="Style 75 2 3 3 3" xfId="8715" xr:uid="{2C7783A8-4531-4476-993A-87BDAB8AE93D}"/>
    <cellStyle name="Style 75 2 3 3 3 2 2" xfId="24875" xr:uid="{67D49697-03DC-434A-BCC3-DE0FCB9093D9}"/>
    <cellStyle name="Style 75 2 3 3 4" xfId="8716" xr:uid="{B790B910-3F82-4D2A-893A-B6BFFBBE3760}"/>
    <cellStyle name="Style 75 2 3 3 4 2" xfId="24876" xr:uid="{ED2CC720-8871-4AD4-A719-63FB9AF591C7}"/>
    <cellStyle name="Style 75 2 3 3 5 2" xfId="24877" xr:uid="{91C249A0-5564-45FD-B07F-78D96E1A48BA}"/>
    <cellStyle name="Style 75 2 3 3 6 2" xfId="24878" xr:uid="{BE2686E4-2C01-4A18-A6DC-547540AA5E55}"/>
    <cellStyle name="Style 75 2 3 3 7" xfId="8717" xr:uid="{39705E48-20B1-465E-A633-7D74524C1BD7}"/>
    <cellStyle name="Style 75 2 3 3 8 2" xfId="24879" xr:uid="{53FED4F2-9B9D-4322-A7F4-A1DDE17DB8D3}"/>
    <cellStyle name="Style 75 2 3 3 9 2" xfId="24880" xr:uid="{92083CC8-FC5C-48E0-9766-D0893F45AFBF}"/>
    <cellStyle name="Style 75 2 3 4" xfId="4464" xr:uid="{C825E90C-E7C7-478F-A083-4681F0302CAE}"/>
    <cellStyle name="Style 75 2 3 4 2" xfId="8718" xr:uid="{79734665-D8C9-4057-9547-E4B237D5DBC7}"/>
    <cellStyle name="Style 75 2 3 5" xfId="8719" xr:uid="{6557BD36-D449-48CA-8ADE-0AEEF3B1C63D}"/>
    <cellStyle name="Style 75 2 3 5 2" xfId="8720" xr:uid="{7ADC6327-99DD-4DFF-854B-318EB349043F}"/>
    <cellStyle name="Style 75 2 3 5 2 2" xfId="24881" xr:uid="{1DDA621E-D525-4458-AFDA-B07ECB7A187E}"/>
    <cellStyle name="Style 75 2 3 6" xfId="8721" xr:uid="{38B1216B-0A63-42A3-842B-21A3DD1DA29B}"/>
    <cellStyle name="Style 75 2 3 6 2" xfId="24882" xr:uid="{600A95E4-CE78-4608-BB34-56F2DDDE86A2}"/>
    <cellStyle name="Style 75 2 3 7 2" xfId="24883" xr:uid="{3581FD50-E7F3-49C3-BE24-5AA6939C26B9}"/>
    <cellStyle name="Style 75 2 3 8 2" xfId="24884" xr:uid="{1FFA3458-AFAE-437F-BB15-9D608339F5A3}"/>
    <cellStyle name="Style 75 2 3 9" xfId="8722" xr:uid="{236A3275-8BE4-45BF-8617-F185704044C4}"/>
    <cellStyle name="Style 75 2 3 9 2" xfId="24885" xr:uid="{2A99C0C9-95F0-4438-83C6-E251C106E111}"/>
    <cellStyle name="Style 75 2 4 10" xfId="8723" xr:uid="{79923E11-A0C0-44C2-BD9E-C23F2279A9DA}"/>
    <cellStyle name="Style 75 2 4 11" xfId="8724" xr:uid="{33CE235E-1362-42D7-A454-3F2CD23762ED}"/>
    <cellStyle name="Style 75 2 4 12" xfId="8725" xr:uid="{CE1EB24D-0AE4-45FC-8371-9DB752B7C75F}"/>
    <cellStyle name="Style 75 2 4 12 2" xfId="24886" xr:uid="{92302A17-CB45-4D1F-AC07-65D6C43E02D4}"/>
    <cellStyle name="Style 75 2 4 2" xfId="2048" xr:uid="{2D2A2AC5-BB75-447D-96A0-D7D50870A728}"/>
    <cellStyle name="Style 75 2 4 2 10 2" xfId="24887" xr:uid="{F4EFD80E-F925-4E07-9154-3F1973C887C2}"/>
    <cellStyle name="Style 75 2 4 2 2 2" xfId="8726" xr:uid="{C6046BEC-8C60-4F9A-8489-63918ADDD49A}"/>
    <cellStyle name="Style 75 2 4 2 2 2 2" xfId="24888" xr:uid="{379EDE18-CCDA-4E79-88F4-C71E37FFF312}"/>
    <cellStyle name="Style 75 2 4 2 3 2 2" xfId="24889" xr:uid="{1284D2BA-3078-4C00-8112-E21D27BD757B}"/>
    <cellStyle name="Style 75 2 4 2 4" xfId="8727" xr:uid="{713F72AE-4140-4768-9A92-235E25BDACEC}"/>
    <cellStyle name="Style 75 2 4 2 5" xfId="8728" xr:uid="{2B81465F-D5B0-45EC-B0FD-BCBE62FA5A93}"/>
    <cellStyle name="Style 75 2 4 2 5 2" xfId="24890" xr:uid="{DEB8D012-1079-4A49-B9E1-0F769CFA5387}"/>
    <cellStyle name="Style 75 2 4 2 6" xfId="8729" xr:uid="{F0B61345-CC3A-4D1F-84E3-69AEFC67BE77}"/>
    <cellStyle name="Style 75 2 4 2 6 2" xfId="24891" xr:uid="{03EFC9DB-FE59-449D-A25E-825ECF769D70}"/>
    <cellStyle name="Style 75 2 4 2 7 2" xfId="24892" xr:uid="{E3851D92-0D34-474D-9BA8-D1012610B896}"/>
    <cellStyle name="Style 75 2 4 2 8" xfId="8730" xr:uid="{C771F680-7EB3-497B-A029-A38AF9B0E431}"/>
    <cellStyle name="Style 75 2 4 2 8 2" xfId="24893" xr:uid="{3A915358-60E4-4F11-8246-B351532E488D}"/>
    <cellStyle name="Style 75 2 4 2 9 2" xfId="24894" xr:uid="{D1382CA9-9711-4274-BBD2-6E0C93A233A1}"/>
    <cellStyle name="Style 75 2 4 3" xfId="4468" xr:uid="{252EE528-1297-47E6-B274-5CE3DF11F49B}"/>
    <cellStyle name="Style 75 2 4 3 2 2" xfId="24895" xr:uid="{907C7970-11A3-4D34-BBEF-34BE0D59309C}"/>
    <cellStyle name="Style 75 2 4 4 2 2" xfId="24896" xr:uid="{145A7EF6-9A04-4680-99F6-1129FB00109E}"/>
    <cellStyle name="Style 75 2 4 5 2" xfId="24897" xr:uid="{88E6D487-3B4C-4696-BA81-463956BCCC5C}"/>
    <cellStyle name="Style 75 2 4 6" xfId="8731" xr:uid="{A236DFEF-3A95-4762-9E97-8983D6169CA7}"/>
    <cellStyle name="Style 75 2 4 6 2" xfId="24898" xr:uid="{51536D37-47DC-473D-A05C-FD55CB403499}"/>
    <cellStyle name="Style 75 2 4 7" xfId="8732" xr:uid="{BFCD840D-B430-4B37-95EE-495DE2F2EE95}"/>
    <cellStyle name="Style 75 2 4 7 2" xfId="24899" xr:uid="{7A066D18-487E-47F5-97F7-06E622D89163}"/>
    <cellStyle name="Style 75 2 4 8" xfId="8733" xr:uid="{A4B824BF-999A-47FC-B815-4A2FBED6A16D}"/>
    <cellStyle name="Style 75 2 4 8 2" xfId="24900" xr:uid="{F60FB0FD-578E-4AB8-83FB-79DF9752B784}"/>
    <cellStyle name="Style 75 2 4 9" xfId="8734" xr:uid="{16521417-3CA4-4336-98EE-707C0C56ED16}"/>
    <cellStyle name="Style 75 2 4 9 2" xfId="24901" xr:uid="{ACD2B2DA-7564-4D39-B1A8-86461A95E286}"/>
    <cellStyle name="Style 75 2 5" xfId="2049" xr:uid="{910E5A9E-0708-43EB-AC99-BF4266EEBC78}"/>
    <cellStyle name="Style 75 2 5 2" xfId="4469" xr:uid="{22D8CB41-AA41-4592-A730-18556FC61B86}"/>
    <cellStyle name="Style 75 2 5 2 2 2" xfId="24902" xr:uid="{21094047-452F-4FD4-BF30-A81E8B586132}"/>
    <cellStyle name="Style 75 2 5 3" xfId="8735" xr:uid="{199057C6-80CC-4536-9ACE-D8ED6C6DDC27}"/>
    <cellStyle name="Style 75 2 5 3 2" xfId="8736" xr:uid="{1EDCC352-D03B-4F78-B5A9-411E9ECCE62F}"/>
    <cellStyle name="Style 75 2 5 4" xfId="8737" xr:uid="{D98125FF-68CB-4B4C-87E3-C7FFD4C089CA}"/>
    <cellStyle name="Style 75 2 5 5" xfId="8738" xr:uid="{A5297E2F-6B3D-4185-BE20-C751C586D3F2}"/>
    <cellStyle name="Style 75 2 5 5 2" xfId="24903" xr:uid="{678DC221-69DE-4CE3-9769-AF46C9D52882}"/>
    <cellStyle name="Style 75 2 5 6" xfId="8739" xr:uid="{EF7A621B-C46E-4D1D-83CF-88D6C9D6D57D}"/>
    <cellStyle name="Style 75 2 5 7" xfId="8740" xr:uid="{B662B589-4E26-49E0-AAB5-80D55BB2E044}"/>
    <cellStyle name="Style 75 2 5 8" xfId="8741" xr:uid="{C8A109A2-9F9D-44DA-8AA3-0D105A6BEE22}"/>
    <cellStyle name="Style 75 2 5 8 2" xfId="24904" xr:uid="{E71080A0-A393-4713-BB5D-A75B5B1DDF2D}"/>
    <cellStyle name="Style 75 2 5 9" xfId="8742" xr:uid="{301243BB-69E2-43E0-9FA1-22C9CE0F06F1}"/>
    <cellStyle name="Style 75 2 5 9 2" xfId="24905" xr:uid="{AB6B8704-1F66-4ED1-93C8-3F57DBB0BA21}"/>
    <cellStyle name="Style 75 2 6" xfId="4457" xr:uid="{AE797EA3-D3E5-46E2-8097-87FABCA3D5D4}"/>
    <cellStyle name="Style 75 2 6 2" xfId="8743" xr:uid="{75C5119B-7418-4F11-8122-FA87A2702A62}"/>
    <cellStyle name="Style 75 2 6 2 2" xfId="24906" xr:uid="{0756A80E-A20D-42DE-B965-FDA50B21F8B4}"/>
    <cellStyle name="Style 75 2 7" xfId="8744" xr:uid="{5D62324D-9485-4325-AA1D-E6A3927FD1F8}"/>
    <cellStyle name="Style 75 2 7 2" xfId="8745" xr:uid="{22F664FB-1592-449D-918E-754320332315}"/>
    <cellStyle name="Style 75 2 7 2 2" xfId="24907" xr:uid="{E23A806A-2B94-4758-B7EB-D58448FD89E9}"/>
    <cellStyle name="Style 75 2 8" xfId="8746" xr:uid="{80CAE66E-182D-4BEA-B859-877620CF8104}"/>
    <cellStyle name="Style 75 2 8 2" xfId="24908" xr:uid="{5FF8AD37-33B4-4E25-AA18-EFA8ADDC6E24}"/>
    <cellStyle name="Style 75 2 9" xfId="8747" xr:uid="{0D40E92D-B3B8-4B67-B08A-626B8B69F9CE}"/>
    <cellStyle name="Style 75 3 10" xfId="8748" xr:uid="{E3F5976B-7EEA-48B1-B068-5B73B5C03CE4}"/>
    <cellStyle name="Style 75 3 10 2" xfId="24909" xr:uid="{29E49F70-168F-4261-B813-C8ACF4F5AA38}"/>
    <cellStyle name="Style 75 3 11" xfId="8749" xr:uid="{41E5B3C0-82B8-40B5-A02B-8146A69042B1}"/>
    <cellStyle name="Style 75 3 11 2" xfId="24910" xr:uid="{C762DAE9-FC9F-42EE-AC0B-6FC1291C7D98}"/>
    <cellStyle name="Style 75 3 12" xfId="8750" xr:uid="{5EA097CC-8AA6-41A8-BF40-01BFB65A4699}"/>
    <cellStyle name="Style 75 3 12 2" xfId="24911" xr:uid="{C574DDE5-1255-405D-B299-B5972CD5512F}"/>
    <cellStyle name="Style 75 3 13 2" xfId="24912" xr:uid="{CC79709F-E1FE-4A2C-9F61-8ADD466A1A4C}"/>
    <cellStyle name="Style 75 3 14 2" xfId="24913" xr:uid="{4F6533FA-9F04-44CB-A8B1-B3E0AA76143B}"/>
    <cellStyle name="Style 75 3 15 2" xfId="24914" xr:uid="{5B7F8BA1-64C8-4B47-BEB2-7AB900FBB15E}"/>
    <cellStyle name="Style 75 3 2 10" xfId="8751" xr:uid="{BB326903-0E16-494E-94F2-B1DA85AC8C6B}"/>
    <cellStyle name="Style 75 3 2 11" xfId="8752" xr:uid="{24FF87B1-7F3C-4405-BA6F-FBBE9FCE9B52}"/>
    <cellStyle name="Style 75 3 2 11 2" xfId="24915" xr:uid="{91CC53C1-9F4C-42BD-87A7-8D9E0C979EF1}"/>
    <cellStyle name="Style 75 3 2 12" xfId="8753" xr:uid="{38719C9F-6143-4CC4-B286-043FFBCF6D85}"/>
    <cellStyle name="Style 75 3 2 13 2" xfId="24916" xr:uid="{AF43E2E4-18F6-4BF4-9F51-A1F5B97515CC}"/>
    <cellStyle name="Style 75 3 2 14" xfId="8754" xr:uid="{B46F673C-CA1C-458A-BB62-694EC1D9F0E3}"/>
    <cellStyle name="Style 75 3 2 14 2" xfId="24917" xr:uid="{45E43D13-7001-4D49-88A3-C005D875C336}"/>
    <cellStyle name="Style 75 3 2 2" xfId="2050" xr:uid="{C5B780FE-0265-48EA-AC2C-12DA9BDFA21F}"/>
    <cellStyle name="Style 75 3 2 2 10" xfId="8755" xr:uid="{DF0723DD-6795-4F6B-9ECF-B728E08F4FF2}"/>
    <cellStyle name="Style 75 3 2 2 11" xfId="8756" xr:uid="{C2AE5E54-FF40-4327-876B-00DC999A6B72}"/>
    <cellStyle name="Style 75 3 2 2 11 2" xfId="24918" xr:uid="{62B409E2-D6DD-483D-8378-8721AD411923}"/>
    <cellStyle name="Style 75 3 2 2 12" xfId="8757" xr:uid="{CB088130-9E96-4A1A-9D56-80DD23BD3490}"/>
    <cellStyle name="Style 75 3 2 2 13" xfId="8758" xr:uid="{A00C6CCE-46D7-46A5-8973-339BB9088472}"/>
    <cellStyle name="Style 75 3 2 2 2" xfId="2051" xr:uid="{AD6B9677-3E96-4F8C-9C2A-1AA516FFB8EB}"/>
    <cellStyle name="Style 75 3 2 2 2 10" xfId="8759" xr:uid="{691069A5-74A9-462F-A7B1-3A7E8DAF425B}"/>
    <cellStyle name="Style 75 3 2 2 2 11" xfId="8760" xr:uid="{526CE6DA-F3F8-479F-BD48-2E29B2EAC488}"/>
    <cellStyle name="Style 75 3 2 2 2 11 2" xfId="24919" xr:uid="{EF7A1C7D-7817-4A15-9AFC-FB7C01814E04}"/>
    <cellStyle name="Style 75 3 2 2 2 12" xfId="8761" xr:uid="{B086A220-7DB0-465F-BEB1-736A77634748}"/>
    <cellStyle name="Style 75 3 2 2 2 12 2" xfId="24920" xr:uid="{BF1F2E08-0940-416B-A6EB-436F30A4986C}"/>
    <cellStyle name="Style 75 3 2 2 2 2" xfId="2052" xr:uid="{E44397DC-A1CD-438F-BCDE-19DE2BC69F40}"/>
    <cellStyle name="Style 75 3 2 2 2 2 10 2" xfId="24921" xr:uid="{8CAF4B75-8548-4257-8F80-B2CD36FCF5E1}"/>
    <cellStyle name="Style 75 3 2 2 2 2 2 2" xfId="8762" xr:uid="{6240799E-DACE-4B3D-8CC7-3AE66D371D8D}"/>
    <cellStyle name="Style 75 3 2 2 2 2 3" xfId="8763" xr:uid="{BC9E9E52-0769-4BFB-8B76-B8CABEEADE1C}"/>
    <cellStyle name="Style 75 3 2 2 2 2 4 2" xfId="24922" xr:uid="{59639A2E-D5C9-4DB5-90C1-FAA5F8C8928E}"/>
    <cellStyle name="Style 75 3 2 2 2 2 5 2" xfId="24923" xr:uid="{CAC945D5-1E48-49DD-9831-B1AC47128A20}"/>
    <cellStyle name="Style 75 3 2 2 2 2 6" xfId="8764" xr:uid="{18BA371C-CCCC-4966-9C10-CC7950120A88}"/>
    <cellStyle name="Style 75 3 2 2 2 2 7 2" xfId="24924" xr:uid="{5CC7768B-A8E7-4E5C-8070-BCEAB00A0E5F}"/>
    <cellStyle name="Style 75 3 2 2 2 2 8 2" xfId="24925" xr:uid="{6BFEEB52-E36D-45C6-B8AC-7AA48E250266}"/>
    <cellStyle name="Style 75 3 2 2 2 2 9 2" xfId="24926" xr:uid="{7B4D2E7D-8AA5-4B05-908C-B52ED40B1D29}"/>
    <cellStyle name="Style 75 3 2 2 2 3 2" xfId="8765" xr:uid="{D6D3ACEC-5161-48DA-ABA5-1B8A106DFC8D}"/>
    <cellStyle name="Style 75 3 2 2 2 3 2 2" xfId="24927" xr:uid="{B4F208D1-158A-42D7-91C8-B87E6102D8DD}"/>
    <cellStyle name="Style 75 3 2 2 2 4" xfId="8766" xr:uid="{F06E1A47-3F7B-44D8-A802-23C1702D381E}"/>
    <cellStyle name="Style 75 3 2 2 2 4 2" xfId="8767" xr:uid="{C48D0517-76C7-4B8C-A399-F478C7382B4B}"/>
    <cellStyle name="Style 75 3 2 2 2 4 2 2" xfId="24928" xr:uid="{BC960B86-FE46-4FCB-86C4-81F3D27DA1C6}"/>
    <cellStyle name="Style 75 3 2 2 2 5" xfId="8768" xr:uid="{2A893995-051F-489A-8567-5B8615F13549}"/>
    <cellStyle name="Style 75 3 2 2 2 5 2" xfId="24929" xr:uid="{E3A90E5A-360E-40A9-9CDD-F69263B9DB7F}"/>
    <cellStyle name="Style 75 3 2 2 2 6 2" xfId="24930" xr:uid="{53164771-F2E6-4AEA-BE27-475991CCAA93}"/>
    <cellStyle name="Style 75 3 2 2 2 7 2" xfId="24931" xr:uid="{C97BB583-6395-4859-95B5-68E9FA8A27C5}"/>
    <cellStyle name="Style 75 3 2 2 2 8 2" xfId="24932" xr:uid="{FA5E4D8D-E706-46D7-8D7B-3D5875C0B4F2}"/>
    <cellStyle name="Style 75 3 2 2 2 9 2" xfId="24933" xr:uid="{0FE3F5D1-590E-4A6B-8D45-75F5E6869580}"/>
    <cellStyle name="Style 75 3 2 2 3" xfId="2053" xr:uid="{17D66302-D7D1-4664-960C-663515746E79}"/>
    <cellStyle name="Style 75 3 2 2 3 10" xfId="8769" xr:uid="{92485DED-1812-4D53-B7E1-4F69200A4DC2}"/>
    <cellStyle name="Style 75 3 2 2 3 10 2" xfId="24934" xr:uid="{F0E81505-EEB6-44D5-AC61-EE48DCB17F7D}"/>
    <cellStyle name="Style 75 3 2 2 3 3" xfId="8770" xr:uid="{7CE297D1-ACA7-43FC-B2FB-ED0F13441A0D}"/>
    <cellStyle name="Style 75 3 2 2 3 3 2 2" xfId="24935" xr:uid="{5A2A0EA6-3BD0-4380-961F-C9369900ADCF}"/>
    <cellStyle name="Style 75 3 2 2 3 4 2" xfId="24936" xr:uid="{85A70C89-08A0-4B99-B358-AA1C7B2845CE}"/>
    <cellStyle name="Style 75 3 2 2 3 6" xfId="8771" xr:uid="{1E4B9FBF-19A8-4D57-9012-C6132A80BB12}"/>
    <cellStyle name="Style 75 3 2 2 3 6 2" xfId="24937" xr:uid="{08AB0938-8D36-4BDE-B26F-BA039393E8AE}"/>
    <cellStyle name="Style 75 3 2 2 3 7" xfId="8772" xr:uid="{A0FB044F-CBFB-4703-881E-59F31B8F245C}"/>
    <cellStyle name="Style 75 3 2 2 3 9" xfId="8773" xr:uid="{370A0C30-6C8F-4191-B013-768F629B6AD7}"/>
    <cellStyle name="Style 75 3 2 2 4" xfId="4471" xr:uid="{547D6C91-8B58-4F29-A382-BD6490EF70B9}"/>
    <cellStyle name="Style 75 3 2 2 4 2" xfId="8774" xr:uid="{798243E7-0863-4671-A9D4-FC9AC4B0FB40}"/>
    <cellStyle name="Style 75 3 2 2 4 2 2" xfId="24938" xr:uid="{C2089DFC-1962-4E11-8A85-20398067443D}"/>
    <cellStyle name="Style 75 3 2 2 5 2" xfId="8775" xr:uid="{5EC2DA01-8604-4BE0-BC15-5620375BB25C}"/>
    <cellStyle name="Style 75 3 2 2 5 2 2" xfId="24939" xr:uid="{B2FCC15B-4506-4EFA-BC56-315F923A92B6}"/>
    <cellStyle name="Style 75 3 2 2 6" xfId="8776" xr:uid="{28453ED8-70B3-4F6F-AA34-6F0B2FFAFCD7}"/>
    <cellStyle name="Style 75 3 2 2 6 2" xfId="24940" xr:uid="{50D24F4F-9348-45AF-9F88-DA407581176E}"/>
    <cellStyle name="Style 75 3 2 2 7" xfId="8777" xr:uid="{8752BB9F-73D6-405B-99DD-7B7B87533FF7}"/>
    <cellStyle name="Style 75 3 2 2 7 2" xfId="24941" xr:uid="{D38AECEB-21B1-49F3-BB2B-1DCA5B0FE0C7}"/>
    <cellStyle name="Style 75 3 2 2 8 2" xfId="24942" xr:uid="{192A741F-A64B-43A5-8742-87118593E71E}"/>
    <cellStyle name="Style 75 3 2 2 9" xfId="8778" xr:uid="{AF5063DB-32E8-41F6-9C3A-501F70E65FBF}"/>
    <cellStyle name="Style 75 3 2 2 9 2" xfId="24943" xr:uid="{A2913CD3-0838-4B7C-A629-FD0693F0AA91}"/>
    <cellStyle name="Style 75 3 2 3" xfId="2054" xr:uid="{F2008419-1CD1-4E75-94EC-B6BBE47CE40F}"/>
    <cellStyle name="Style 75 3 2 3 10 2" xfId="24944" xr:uid="{67DC3DC6-BB1C-4A96-BEDC-BE6AE088A7A9}"/>
    <cellStyle name="Style 75 3 2 3 11 2" xfId="24945" xr:uid="{977EC604-1B62-4757-864D-9FA1E9254BB2}"/>
    <cellStyle name="Style 75 3 2 3 12 2" xfId="24946" xr:uid="{9DF5B4D1-991F-43CC-B70D-309C472DC8C5}"/>
    <cellStyle name="Style 75 3 2 3 2 10" xfId="8779" xr:uid="{E97EAED2-F6DA-4C46-BC61-985F88FF36D8}"/>
    <cellStyle name="Style 75 3 2 3 2 2" xfId="4473" xr:uid="{D9A973B9-6C5F-4CBB-A46D-3937BFF2A10B}"/>
    <cellStyle name="Style 75 3 2 3 2 2 2" xfId="8780" xr:uid="{EDC18960-6FE8-4431-A37A-D6C0A6A2F9A4}"/>
    <cellStyle name="Style 75 3 2 3 2 2 2 2" xfId="24947" xr:uid="{2BCBD485-31F7-4A16-B3C5-4A95B346270A}"/>
    <cellStyle name="Style 75 3 2 3 2 3" xfId="8781" xr:uid="{73EBAD46-22B1-40E0-8975-13D097CD0FA7}"/>
    <cellStyle name="Style 75 3 2 3 2 3 2" xfId="8782" xr:uid="{E937C24A-ECB9-43A0-85F6-26BF41793BF5}"/>
    <cellStyle name="Style 75 3 2 3 2 4" xfId="8783" xr:uid="{98C2A7EA-CEB2-451B-B776-DA770EB6EA08}"/>
    <cellStyle name="Style 75 3 2 3 2 5" xfId="8784" xr:uid="{85601E6F-A08A-4303-B92C-C616F58E0BCC}"/>
    <cellStyle name="Style 75 3 2 3 2 5 2" xfId="24948" xr:uid="{83774E41-2245-4C81-AA06-BD21A73604EA}"/>
    <cellStyle name="Style 75 3 2 3 2 6" xfId="8785" xr:uid="{2E203FF8-7711-4057-91DA-F056E8D3C0B4}"/>
    <cellStyle name="Style 75 3 2 3 2 6 2" xfId="24949" xr:uid="{2E10C78C-B267-482C-A5A8-94051A82EA48}"/>
    <cellStyle name="Style 75 3 2 3 2 8" xfId="8786" xr:uid="{579DD937-B2B3-4831-AE2D-DD2081A03B91}"/>
    <cellStyle name="Style 75 3 2 3 2 8 2" xfId="24950" xr:uid="{3AA39758-9F47-4FDA-9E86-724DF599D661}"/>
    <cellStyle name="Style 75 3 2 3 2 9" xfId="8787" xr:uid="{B188F428-9EA0-42D6-B921-D260E8AC7256}"/>
    <cellStyle name="Style 75 3 2 3 2 9 2" xfId="24951" xr:uid="{7BB1DEAC-8381-4F87-9BE2-807E8E625C32}"/>
    <cellStyle name="Style 75 3 2 3 3" xfId="4472" xr:uid="{7B23EEE6-750C-4695-9287-CE3AA5C897C0}"/>
    <cellStyle name="Style 75 3 2 3 3 2 2" xfId="24952" xr:uid="{3DECC318-50D5-4B49-AF4A-265FF0A50878}"/>
    <cellStyle name="Style 75 3 2 3 4 2" xfId="8788" xr:uid="{B2830C24-C8D3-4CF1-B048-DF3699DF94B4}"/>
    <cellStyle name="Style 75 3 2 3 5" xfId="8789" xr:uid="{924E4980-06D0-47CE-AF60-2ABC8565D671}"/>
    <cellStyle name="Style 75 3 2 3 6" xfId="8790" xr:uid="{558A5354-7FB0-474D-8FF1-6E45228FF62B}"/>
    <cellStyle name="Style 75 3 2 3 6 2" xfId="24953" xr:uid="{E90C9985-6496-49C5-9E94-9FD46C9587B6}"/>
    <cellStyle name="Style 75 3 2 3 7" xfId="8791" xr:uid="{2CFD352A-7E2E-417E-8E38-59DD32B29A62}"/>
    <cellStyle name="Style 75 3 2 3 8" xfId="8792" xr:uid="{4ACCA36B-0D5C-4428-A516-D6A6FE05AB72}"/>
    <cellStyle name="Style 75 3 2 3 8 2" xfId="24954" xr:uid="{D2D969AE-4499-4FF5-B13E-B1140562F0B8}"/>
    <cellStyle name="Style 75 3 2 3 9 2" xfId="24955" xr:uid="{9200DC57-8B69-4B78-BC0F-CBC4F10775A9}"/>
    <cellStyle name="Style 75 3 2 4" xfId="2055" xr:uid="{CA81D3B7-D935-4583-AE92-1AFEC19765AF}"/>
    <cellStyle name="Style 75 3 2 4 10 2" xfId="24956" xr:uid="{9622DC39-F9CF-4359-8C9D-12B72CCBB3EA}"/>
    <cellStyle name="Style 75 3 2 4 2 2 2" xfId="24957" xr:uid="{DD315612-A82B-4D30-9C69-B694E814AF87}"/>
    <cellStyle name="Style 75 3 2 4 3" xfId="8793" xr:uid="{9C09A34E-6C5A-4E5C-9B77-730A0C6FC5FD}"/>
    <cellStyle name="Style 75 3 2 4 3 2" xfId="8794" xr:uid="{274A9168-C282-4C63-A1BB-408D20F38D69}"/>
    <cellStyle name="Style 75 3 2 4 4" xfId="8795" xr:uid="{42E95C8B-4A2B-49F8-830B-7CD0A2DAE909}"/>
    <cellStyle name="Style 75 3 2 4 5" xfId="8796" xr:uid="{2EC5A2B1-9E20-40EE-9677-9ACA8E084842}"/>
    <cellStyle name="Style 75 3 2 4 5 2" xfId="24958" xr:uid="{724180F5-3576-4BC1-8783-00F2CD3D8C35}"/>
    <cellStyle name="Style 75 3 2 4 6" xfId="8797" xr:uid="{1F03D0DC-9B95-4054-AF12-05D198D47754}"/>
    <cellStyle name="Style 75 3 2 4 7" xfId="8798" xr:uid="{A182A382-14DF-4B39-A5DC-9EC6448E0E47}"/>
    <cellStyle name="Style 75 3 2 4 7 2" xfId="24959" xr:uid="{0CE9AB20-CB0C-4396-976E-36DDAB21CF0C}"/>
    <cellStyle name="Style 75 3 2 4 8" xfId="8799" xr:uid="{00887CF5-08FE-4574-9400-21ED15F16BCB}"/>
    <cellStyle name="Style 75 3 2 4 8 2" xfId="24960" xr:uid="{F5EC24B3-AB27-4991-ABC6-CA9773C487C9}"/>
    <cellStyle name="Style 75 3 2 4 9 2" xfId="24961" xr:uid="{B2DC6412-F90B-4422-AFB7-07466BAFEB5D}"/>
    <cellStyle name="Style 75 3 2 5" xfId="4470" xr:uid="{0AD027E5-666F-4529-8943-F294F3662468}"/>
    <cellStyle name="Style 75 3 2 5 2" xfId="8800" xr:uid="{50874C3F-E255-44D2-92C6-E037F12DCE11}"/>
    <cellStyle name="Style 75 3 2 6" xfId="8801" xr:uid="{20C46075-F8FC-4039-913D-A1999476AF97}"/>
    <cellStyle name="Style 75 3 2 6 2 2" xfId="24962" xr:uid="{FB37916B-5DDC-4041-A6C4-F8F5EE4A259D}"/>
    <cellStyle name="Style 75 3 2 7" xfId="8802" xr:uid="{12D6D98F-734B-4D8A-A123-FED5B67721C2}"/>
    <cellStyle name="Style 75 3 2 7 2" xfId="24963" xr:uid="{5CE86B80-92E4-4068-AFDA-94D09D6A1B56}"/>
    <cellStyle name="Style 75 3 2 8" xfId="8803" xr:uid="{155481E6-D959-4679-9EE5-3B206E20225D}"/>
    <cellStyle name="Style 75 3 2 9" xfId="8804" xr:uid="{72B748C3-74A8-4FA4-815F-8A070A11E13A}"/>
    <cellStyle name="Style 75 3 3" xfId="2056" xr:uid="{DD7F81B2-6A96-4C3D-A898-450D5753E97E}"/>
    <cellStyle name="Style 75 3 3 10" xfId="8805" xr:uid="{7F09DD74-53E0-47F6-8FC5-C1A1F3572805}"/>
    <cellStyle name="Style 75 3 3 10 2" xfId="24964" xr:uid="{B55BCBC8-9BFE-41CA-A916-A0729428DC4F}"/>
    <cellStyle name="Style 75 3 3 12" xfId="8806" xr:uid="{E4CB782C-AFF2-4AC9-AB04-A976AEE2D32A}"/>
    <cellStyle name="Style 75 3 3 12 2" xfId="24965" xr:uid="{67D0C588-A655-46F9-A186-3572AB6A93A3}"/>
    <cellStyle name="Style 75 3 3 13" xfId="8807" xr:uid="{07E075F4-87F2-4F81-97B8-A700DFAAAE3C}"/>
    <cellStyle name="Style 75 3 3 13 2" xfId="24966" xr:uid="{2BB84B62-ED2D-436D-BEA6-52C6BA924091}"/>
    <cellStyle name="Style 75 3 3 2" xfId="2057" xr:uid="{E2CF9614-FA96-4BDE-A228-22C9238B6FA4}"/>
    <cellStyle name="Style 75 3 3 2 10 2" xfId="24967" xr:uid="{65B9B641-C45E-424F-99A1-C285AABBF6A5}"/>
    <cellStyle name="Style 75 3 3 2 11 2" xfId="24968" xr:uid="{BBF6786F-87F0-4590-8007-1AF2ADCCCBBD}"/>
    <cellStyle name="Style 75 3 3 2 12 2" xfId="24969" xr:uid="{D91C7C8D-87FC-4EBD-AF1A-408929A75671}"/>
    <cellStyle name="Style 75 3 3 2 13 2" xfId="24970" xr:uid="{81003057-7D65-4638-8389-BD8653E09BF0}"/>
    <cellStyle name="Style 75 3 3 2 2 10" xfId="8808" xr:uid="{84112A0B-44E7-4B16-A149-3A53171BAE90}"/>
    <cellStyle name="Style 75 3 3 2 2 11" xfId="8809" xr:uid="{DEFD6504-DE27-4460-B452-146B2652A2CA}"/>
    <cellStyle name="Style 75 3 3 2 2 11 2" xfId="24971" xr:uid="{E90923CD-3E70-4E2F-A410-A02C14E03FEC}"/>
    <cellStyle name="Style 75 3 3 2 2 12 2" xfId="24972" xr:uid="{EF5E4954-8918-4325-9D1B-45F56387B620}"/>
    <cellStyle name="Style 75 3 3 2 2 2" xfId="2058" xr:uid="{A9ABFDAB-6FEE-429E-99BD-AC740D70A581}"/>
    <cellStyle name="Style 75 3 3 2 2 2 10" xfId="8810" xr:uid="{C2D9C4AC-6806-4001-87C2-DB573E17C772}"/>
    <cellStyle name="Style 75 3 3 2 2 2 10 2" xfId="24973" xr:uid="{91D5C9B0-695E-4C61-AE78-6DEF3744D4CD}"/>
    <cellStyle name="Style 75 3 3 2 2 2 2" xfId="4477" xr:uid="{FE83735A-55DD-4259-9183-AE44751979FF}"/>
    <cellStyle name="Style 75 3 3 2 2 2 2 2" xfId="8811" xr:uid="{A922A738-6AFE-46B6-9433-CDB9D4DEECE1}"/>
    <cellStyle name="Style 75 3 3 2 2 2 2 2 2" xfId="24974" xr:uid="{C2513A1A-B645-4DF3-89FE-6D4A6CC02590}"/>
    <cellStyle name="Style 75 3 3 2 2 2 3 2" xfId="8812" xr:uid="{2783D7B4-BC31-472F-9D89-E780289D6B82}"/>
    <cellStyle name="Style 75 3 3 2 2 2 3 2 2" xfId="24975" xr:uid="{3CAA529D-F80B-42E6-95B4-CAC2BC874123}"/>
    <cellStyle name="Style 75 3 3 2 2 2 4" xfId="8813" xr:uid="{5E71139D-0552-42FD-9E09-2F10920B5ADB}"/>
    <cellStyle name="Style 75 3 3 2 2 2 5" xfId="8814" xr:uid="{62934686-C7C5-4F43-BE52-D265C3A45B9C}"/>
    <cellStyle name="Style 75 3 3 2 2 2 6" xfId="8815" xr:uid="{09622311-005C-4126-A33B-7498A4C9DB74}"/>
    <cellStyle name="Style 75 3 3 2 2 2 7" xfId="8816" xr:uid="{E6477569-2D66-4271-92E9-252702FB1D82}"/>
    <cellStyle name="Style 75 3 3 2 2 2 8" xfId="8817" xr:uid="{83BE5741-47B5-40AB-AA88-B8A6C8FDCE95}"/>
    <cellStyle name="Style 75 3 3 2 2 2 9 2" xfId="24976" xr:uid="{465AF7DA-4B1C-4AC5-B79F-958E83912F44}"/>
    <cellStyle name="Style 75 3 3 2 2 3" xfId="4476" xr:uid="{BA979FCF-288A-4045-B0BA-3C0EAF7407CD}"/>
    <cellStyle name="Style 75 3 3 2 2 3 2" xfId="8818" xr:uid="{0D7132A4-C930-4752-9864-A5EB0097A6D7}"/>
    <cellStyle name="Style 75 3 3 2 2 3 2 2" xfId="24977" xr:uid="{48000AAB-4529-45BF-8FC5-320C795A40CE}"/>
    <cellStyle name="Style 75 3 3 2 2 4" xfId="8819" xr:uid="{DF6926C1-209E-428C-B6C5-E275DE2B79B7}"/>
    <cellStyle name="Style 75 3 3 2 2 4 2" xfId="8820" xr:uid="{EE9F57DA-3635-4AB7-A600-BCB019FD33A4}"/>
    <cellStyle name="Style 75 3 3 2 2 4 2 2" xfId="24978" xr:uid="{97C27CA6-0B5D-4948-A3F2-0A95A61B99DF}"/>
    <cellStyle name="Style 75 3 3 2 2 5" xfId="8821" xr:uid="{2B6EE8EE-BDC2-40CF-8B5D-7735F0517F15}"/>
    <cellStyle name="Style 75 3 3 2 2 6" xfId="8822" xr:uid="{CF51E341-9248-45C2-81A7-731E3247BD43}"/>
    <cellStyle name="Style 75 3 3 2 2 7 2" xfId="24979" xr:uid="{D3D83F9C-1EBF-41C5-9B7C-A04C45F55D0E}"/>
    <cellStyle name="Style 75 3 3 2 2 8 2" xfId="24980" xr:uid="{DFC892C5-AA7C-4737-AC19-3342B85372E4}"/>
    <cellStyle name="Style 75 3 3 2 2 9 2" xfId="24981" xr:uid="{343D7CFB-3DCB-4E01-BF06-20BF1CFF0372}"/>
    <cellStyle name="Style 75 3 3 2 3 10" xfId="8823" xr:uid="{9215A18A-29B5-4364-A04F-A7821A755E84}"/>
    <cellStyle name="Style 75 3 3 2 3 2 2" xfId="8824" xr:uid="{BB0A01ED-C845-40A2-BBEA-A38D8327774C}"/>
    <cellStyle name="Style 75 3 3 2 3 2 2 2" xfId="24982" xr:uid="{7372CEBE-1C3D-4AB6-A9F4-110C06ADD8B3}"/>
    <cellStyle name="Style 75 3 3 2 3 3 2 2" xfId="24983" xr:uid="{B89352B6-A60D-4168-8ACC-7FD4470EF5F2}"/>
    <cellStyle name="Style 75 3 3 2 3 4 2" xfId="24984" xr:uid="{BAD338CA-6612-45AB-B454-7D429A0E9B01}"/>
    <cellStyle name="Style 75 3 3 2 3 5 2" xfId="24985" xr:uid="{3C4C5881-3993-4200-8222-37F420525D59}"/>
    <cellStyle name="Style 75 3 3 2 3 6" xfId="8825" xr:uid="{A63B7E52-FBCC-435D-AA5F-18DD491B6544}"/>
    <cellStyle name="Style 75 3 3 2 3 7" xfId="8826" xr:uid="{9229F1A7-90F0-4BE6-9B88-C4152E1A1210}"/>
    <cellStyle name="Style 75 3 3 2 3 7 2" xfId="24986" xr:uid="{523F3E9E-4C16-47B5-8310-21554E3B9D1E}"/>
    <cellStyle name="Style 75 3 3 2 3 8" xfId="8827" xr:uid="{E21ACC92-D276-4EA1-B7DD-3DCDAD504B27}"/>
    <cellStyle name="Style 75 3 3 2 3 9" xfId="8828" xr:uid="{E5738E95-BB74-4571-916C-A864AB010179}"/>
    <cellStyle name="Style 75 3 3 2 3 9 2" xfId="24987" xr:uid="{66FD34A4-14D2-4CFD-8D76-AF65E8303CD6}"/>
    <cellStyle name="Style 75 3 3 2 4" xfId="4475" xr:uid="{0A0B9EB2-C7FA-4AF7-B367-9C0D8263808B}"/>
    <cellStyle name="Style 75 3 3 2 5 2" xfId="8829" xr:uid="{293A1619-4D64-46A7-857B-950CE94175BD}"/>
    <cellStyle name="Style 75 3 3 2 6" xfId="8830" xr:uid="{FC7F42D5-AD6E-420B-B3C4-35CE10DB010D}"/>
    <cellStyle name="Style 75 3 3 2 6 2" xfId="24988" xr:uid="{75CA8F68-BAD0-47B0-B470-0426B352F5A6}"/>
    <cellStyle name="Style 75 3 3 2 7" xfId="8831" xr:uid="{89179F3D-A6EA-4903-967B-A7148FB56AA3}"/>
    <cellStyle name="Style 75 3 3 2 7 2" xfId="24989" xr:uid="{0C4A71EB-06D0-43CB-BB0F-31696108BF1D}"/>
    <cellStyle name="Style 75 3 3 2 8" xfId="8832" xr:uid="{56F43B10-8DFF-4E31-8B3E-3511AC361ACC}"/>
    <cellStyle name="Style 75 3 3 2 8 2" xfId="24990" xr:uid="{EADB63D3-67C8-4F17-8497-C37FF7F3D57F}"/>
    <cellStyle name="Style 75 3 3 2 9 2" xfId="24991" xr:uid="{9F7CE06C-550A-49B8-AB3A-97C100575378}"/>
    <cellStyle name="Style 75 3 3 3 10 2" xfId="24992" xr:uid="{C081A19C-D44B-4978-B840-3A10E972B59C}"/>
    <cellStyle name="Style 75 3 3 3 11 2" xfId="24993" xr:uid="{290741B4-4EE4-425D-9DD6-B6F670FF7D1A}"/>
    <cellStyle name="Style 75 3 3 3 2" xfId="4479" xr:uid="{93F91446-BAE2-4192-9F70-099EA47AB973}"/>
    <cellStyle name="Style 75 3 3 3 3" xfId="4478" xr:uid="{AC147114-EED2-4115-A52E-B822419F0E71}"/>
    <cellStyle name="Style 75 3 3 3 4 2" xfId="8833" xr:uid="{2739726A-6DFF-48D2-8470-73B4AA6EF294}"/>
    <cellStyle name="Style 75 3 3 3 5" xfId="8834" xr:uid="{933C7F5D-5999-402B-9685-2A160B845D18}"/>
    <cellStyle name="Style 75 3 3 3 5 2" xfId="24994" xr:uid="{2B31CDD1-9D19-486F-A821-D093F5FC7D66}"/>
    <cellStyle name="Style 75 3 3 3 7" xfId="8835" xr:uid="{F5337D37-6D22-4AF0-8C0D-74788638DA8C}"/>
    <cellStyle name="Style 75 3 3 3 7 2" xfId="24995" xr:uid="{1DDCA186-3855-4708-B618-2EE04C4D0186}"/>
    <cellStyle name="Style 75 3 3 3 8" xfId="8836" xr:uid="{054972EC-9812-482C-83AC-5DC7C2A34CB8}"/>
    <cellStyle name="Style 75 3 3 3 8 2" xfId="24996" xr:uid="{444C99DD-FE37-4ADE-950F-1ECC670AD6F2}"/>
    <cellStyle name="Style 75 3 3 3 9" xfId="8837" xr:uid="{24873E49-49D7-4DC7-AB2E-E9C8B40E42D5}"/>
    <cellStyle name="Style 75 3 3 3 9 2" xfId="24997" xr:uid="{C3A4F042-B54E-4904-8187-C769C2783E19}"/>
    <cellStyle name="Style 75 3 3 4" xfId="4480" xr:uid="{52C57C26-7B3E-4CA6-A919-A3C62ADB49F5}"/>
    <cellStyle name="Style 75 3 3 4 2" xfId="8838" xr:uid="{07FA7BCF-FC25-4376-A1A5-6539DB2DD2D3}"/>
    <cellStyle name="Style 75 3 3 4 2 2" xfId="24998" xr:uid="{6A4E958A-8B01-4E11-B76C-1E07CD0C5ADA}"/>
    <cellStyle name="Style 75 3 3 5" xfId="4481" xr:uid="{D6B9A20C-A699-4101-8E98-16B489AC851B}"/>
    <cellStyle name="Style 75 3 3 5 2" xfId="8839" xr:uid="{A47D83B7-77BC-4A03-A1D1-0EF63311BE99}"/>
    <cellStyle name="Style 75 3 3 5 2 2" xfId="24999" xr:uid="{F65599B0-E3C0-4D61-8330-EAA1044D5C1D}"/>
    <cellStyle name="Style 75 3 3 6" xfId="4474" xr:uid="{C60188D6-683D-4A84-AB08-6A82097078D5}"/>
    <cellStyle name="Style 75 3 3 6 2" xfId="8840" xr:uid="{7BA351CF-50CE-43D0-830B-16BC2880BE0F}"/>
    <cellStyle name="Style 75 3 3 6 2 2" xfId="25000" xr:uid="{BC8DE4D5-F76C-4C0D-940C-7FEB27F51F65}"/>
    <cellStyle name="Style 75 3 3 7 2 2" xfId="25001" xr:uid="{6DE612B1-9107-4B9A-901E-17D630AF414A}"/>
    <cellStyle name="Style 75 3 3 8" xfId="8841" xr:uid="{FCB77E50-2B3B-4EF2-AAFC-144E1D9F2ADA}"/>
    <cellStyle name="Style 75 3 3 9" xfId="8842" xr:uid="{FF662136-8E75-4F67-920F-29ECE8225982}"/>
    <cellStyle name="Style 75 3 3 9 2" xfId="25002" xr:uid="{AB52ED26-9F01-4C56-B02C-597725ECE688}"/>
    <cellStyle name="Style 75 3 4" xfId="2059" xr:uid="{39C2BE40-6CB7-4C2A-BED7-C055C8724F4F}"/>
    <cellStyle name="Style 75 3 4 10" xfId="8843" xr:uid="{297423A9-2D7C-4995-AF15-B4F88DF6949A}"/>
    <cellStyle name="Style 75 3 4 10 2" xfId="25003" xr:uid="{D20647E2-F7F4-4FB8-9D9F-10FA7EADA9C3}"/>
    <cellStyle name="Style 75 3 4 11 2" xfId="25004" xr:uid="{6648970E-B48B-460E-B27C-E1CFB2901D0B}"/>
    <cellStyle name="Style 75 3 4 12 2" xfId="25005" xr:uid="{F5115AFF-F349-416C-8FBC-B7626F89F2A4}"/>
    <cellStyle name="Style 75 3 4 2" xfId="2060" xr:uid="{EEEB3060-C92F-427B-9753-410FCDB5C2DB}"/>
    <cellStyle name="Style 75 3 4 2 10" xfId="8844" xr:uid="{00421BA9-C803-4B56-AD0C-84BD3ED366ED}"/>
    <cellStyle name="Style 75 3 4 2 2" xfId="4482" xr:uid="{4B6E813F-9D49-4E15-8982-3BD5704744EF}"/>
    <cellStyle name="Style 75 3 4 2 3" xfId="8845" xr:uid="{0CC9F40E-FD30-4D12-AD64-C44F7E27AE25}"/>
    <cellStyle name="Style 75 3 4 2 3 2" xfId="8846" xr:uid="{E27D0BF0-BA06-433A-97C9-CB9F1172159A}"/>
    <cellStyle name="Style 75 3 4 2 3 2 2" xfId="25006" xr:uid="{C351884B-8EC5-492D-989A-18C366E3D692}"/>
    <cellStyle name="Style 75 3 4 2 4 2" xfId="25007" xr:uid="{ED307DAE-48B3-4312-867E-9D673CD4E9F4}"/>
    <cellStyle name="Style 75 3 4 2 5" xfId="8847" xr:uid="{9A56F44A-CFA0-4A9B-A4D3-C3364F406833}"/>
    <cellStyle name="Style 75 3 4 2 5 2" xfId="25008" xr:uid="{94A5C654-E9FB-4E9E-8840-DA3C271B2739}"/>
    <cellStyle name="Style 75 3 4 2 6" xfId="8848" xr:uid="{1196DD67-99DD-4506-BCA4-790165C0AA17}"/>
    <cellStyle name="Style 75 3 4 2 6 2" xfId="25009" xr:uid="{3868D50C-9DB3-404A-95D2-D528DFC32ECD}"/>
    <cellStyle name="Style 75 3 4 2 7" xfId="8849" xr:uid="{0672B9CE-8823-4A0F-9793-BFBAC7ED234D}"/>
    <cellStyle name="Style 75 3 4 2 8" xfId="8850" xr:uid="{69D8CFDD-DC94-4A1F-A286-95FD346D839A}"/>
    <cellStyle name="Style 75 3 4 2 9" xfId="8851" xr:uid="{E8440F25-72C3-42E0-8124-210121086E36}"/>
    <cellStyle name="Style 75 3 4 2 9 2" xfId="25010" xr:uid="{B6579B9E-0DCC-4A8E-A157-F70EACA250D9}"/>
    <cellStyle name="Style 75 3 4 3 2 2" xfId="25011" xr:uid="{E220D6C9-C15A-4ABC-838B-AD15A5ADA198}"/>
    <cellStyle name="Style 75 3 4 4 2" xfId="8852" xr:uid="{AB615BD8-0CE8-4924-810D-2D9B1AA872EF}"/>
    <cellStyle name="Style 75 3 4 4 2 2" xfId="25012" xr:uid="{5F0C134E-D905-4D2B-AEB0-AF62CD632C57}"/>
    <cellStyle name="Style 75 3 4 5" xfId="8853" xr:uid="{0288E1D8-D302-434E-93B9-EC1C66721F1F}"/>
    <cellStyle name="Style 75 3 4 6" xfId="8854" xr:uid="{0408CB59-05D7-49CC-8DA3-CAC53E6C3290}"/>
    <cellStyle name="Style 75 3 4 7" xfId="8855" xr:uid="{323CD4E7-8765-442C-A4AE-9447B79678C8}"/>
    <cellStyle name="Style 75 3 4 8" xfId="8856" xr:uid="{31C8163B-3983-498E-804A-FACA75B5577E}"/>
    <cellStyle name="Style 75 3 4 8 2" xfId="25013" xr:uid="{500A47D5-707F-40A4-AC0F-1519D057B643}"/>
    <cellStyle name="Style 75 3 4 9" xfId="8857" xr:uid="{0EEEB977-884E-410E-8D03-CE615765164A}"/>
    <cellStyle name="Style 75 3 5" xfId="2061" xr:uid="{FF88ACF1-7B3D-4D9C-8243-DB6A01F394DB}"/>
    <cellStyle name="Style 75 3 5 10 2" xfId="25014" xr:uid="{6094ADB9-0057-49A8-93E7-622A4A314CD4}"/>
    <cellStyle name="Style 75 3 5 11" xfId="8858" xr:uid="{D1C75F71-3CF0-4608-A88A-4FB7525C8142}"/>
    <cellStyle name="Style 75 3 5 11 2" xfId="25015" xr:uid="{DD012249-5788-47B2-A3EB-7419FC071DCD}"/>
    <cellStyle name="Style 75 3 5 2 2" xfId="8859" xr:uid="{0CC0CBEF-39F7-4718-B768-BA946F8F7AD5}"/>
    <cellStyle name="Style 75 3 5 3" xfId="8860" xr:uid="{23D72D69-3A12-4773-A0FF-B940D83B57F6}"/>
    <cellStyle name="Style 75 3 5 3 2" xfId="8861" xr:uid="{DBB02781-1941-451D-B552-62CA926F9006}"/>
    <cellStyle name="Style 75 3 5 3 2 2" xfId="25016" xr:uid="{C9D8B3DE-9EC8-4B8F-80B2-3DA3FE0AD2F1}"/>
    <cellStyle name="Style 75 3 5 4" xfId="8862" xr:uid="{55B4D8A7-7E90-44E3-936E-144B13F4B75E}"/>
    <cellStyle name="Style 75 3 5 4 2" xfId="25017" xr:uid="{FAD846DE-F75B-46E5-8836-9A4BC1A9255C}"/>
    <cellStyle name="Style 75 3 5 5" xfId="8863" xr:uid="{C57AEFBA-FB57-459F-B202-F31AD4A37EDE}"/>
    <cellStyle name="Style 75 3 5 5 2" xfId="25018" xr:uid="{EA30F246-A960-427C-968D-E77574ACDB43}"/>
    <cellStyle name="Style 75 3 5 6 2" xfId="25019" xr:uid="{667588CB-05DB-499E-8999-45C5CB265822}"/>
    <cellStyle name="Style 75 3 5 7 2" xfId="25020" xr:uid="{63AEA841-226A-4A77-91D5-BE736EA7052C}"/>
    <cellStyle name="Style 75 3 5 8" xfId="8864" xr:uid="{66F0A8F2-FFE6-4F86-B0E6-5EA5D9AD19BE}"/>
    <cellStyle name="Style 75 3 5 8 2" xfId="25021" xr:uid="{50E146CD-4C1E-4A89-A5A1-EADB470D5B75}"/>
    <cellStyle name="Style 75 3 5 9 2" xfId="25022" xr:uid="{CB80E513-D924-4559-B6CF-6474E899A9BD}"/>
    <cellStyle name="Style 75 3 6 2" xfId="8865" xr:uid="{9E8475EC-F256-42E5-88A8-D899D8D69033}"/>
    <cellStyle name="Style 75 3 6 2 2" xfId="25023" xr:uid="{AADFC604-A42F-4303-ADDC-AAF00D3172BC}"/>
    <cellStyle name="Style 75 3 7 2 2" xfId="25024" xr:uid="{D403A023-20BC-4C6D-94B7-E17D6E84D01C}"/>
    <cellStyle name="Style 75 3 8" xfId="8866" xr:uid="{5FDB64CA-F23A-4864-BA1B-EF74E81D6AD6}"/>
    <cellStyle name="Style 75 3 8 2" xfId="8867" xr:uid="{34D94785-2DD9-4C86-ADFF-A0FF4DE05381}"/>
    <cellStyle name="Style 75 3 9" xfId="8868" xr:uid="{64602E1F-5E9C-496B-B1A3-C9932859DF52}"/>
    <cellStyle name="Style 75 3 9 2" xfId="25025" xr:uid="{D8A28EDC-460E-403E-8F1E-1CB514BC5847}"/>
    <cellStyle name="Style 75 4" xfId="2062" xr:uid="{4F52DC57-53BA-4484-A8CF-0646E297A5D8}"/>
    <cellStyle name="Style 75 4 10" xfId="8869" xr:uid="{76D5F607-0462-47DE-8FD0-41D4F060FF59}"/>
    <cellStyle name="Style 75 4 10 2" xfId="25026" xr:uid="{7385CA4A-76E5-46EA-B054-C68283636FE6}"/>
    <cellStyle name="Style 75 4 11" xfId="8870" xr:uid="{A397A784-F2D4-48CE-95BB-15ECAB4D5009}"/>
    <cellStyle name="Style 75 4 11 2" xfId="25027" xr:uid="{DFEA9833-8772-4621-AB14-099DBEA80D23}"/>
    <cellStyle name="Style 75 4 12" xfId="8871" xr:uid="{C8E5817F-4C34-4B7A-9953-DC18C0C60C6F}"/>
    <cellStyle name="Style 75 4 12 2" xfId="25028" xr:uid="{15737435-6C08-4F2B-B097-E78F84FD2826}"/>
    <cellStyle name="Style 75 4 13" xfId="8872" xr:uid="{ABFB3F31-7F87-45B6-86A0-654455DC285A}"/>
    <cellStyle name="Style 75 4 13 2" xfId="25029" xr:uid="{98E17E37-A0CA-4ECC-9B14-5F4394985B56}"/>
    <cellStyle name="Style 75 4 2 10" xfId="8873" xr:uid="{8F2978A8-139C-4EB9-8E20-0A66EF4600E2}"/>
    <cellStyle name="Style 75 4 2 10 2" xfId="25030" xr:uid="{BF4DB50B-80A7-46ED-98E5-6FBE2103F877}"/>
    <cellStyle name="Style 75 4 2 11 2" xfId="25031" xr:uid="{D4828999-8916-4BAB-A0DE-22B40D099973}"/>
    <cellStyle name="Style 75 4 2 12" xfId="8874" xr:uid="{11C734D2-D166-4EE4-9FB4-63D7DD0927B7}"/>
    <cellStyle name="Style 75 4 2 12 2" xfId="25032" xr:uid="{5DA7C602-C493-4782-8797-DF85EF978DD1}"/>
    <cellStyle name="Style 75 4 2 2" xfId="2063" xr:uid="{097D6C45-86BB-45E3-81FC-4B62302FA28D}"/>
    <cellStyle name="Style 75 4 2 2 11" xfId="8875" xr:uid="{72A1968B-2FA3-4444-8D7C-2DD753DB8CD4}"/>
    <cellStyle name="Style 75 4 2 2 11 2" xfId="25033" xr:uid="{239B87B7-DC9E-4D60-8710-C3C0F5793519}"/>
    <cellStyle name="Style 75 4 2 2 12 2" xfId="25034" xr:uid="{D9867B85-F1C8-4010-B72E-05074FAA953C}"/>
    <cellStyle name="Style 75 4 2 2 2 10 2" xfId="25035" xr:uid="{83D41978-5B4C-47CA-84A6-65D29D86167E}"/>
    <cellStyle name="Style 75 4 2 2 2 2" xfId="4485" xr:uid="{D470E338-0002-46CA-9BBF-2D161FF3C311}"/>
    <cellStyle name="Style 75 4 2 2 2 2 2 2" xfId="25036" xr:uid="{0D2E7DD9-03A6-4BBD-B995-BF1E46717FD8}"/>
    <cellStyle name="Style 75 4 2 2 2 3" xfId="8876" xr:uid="{05856C4A-1FC7-49C0-950F-393BB271A77B}"/>
    <cellStyle name="Style 75 4 2 2 2 3 2" xfId="8877" xr:uid="{98F5A4A3-1DA2-44F9-9D58-C80C31F3AECC}"/>
    <cellStyle name="Style 75 4 2 2 2 3 2 2" xfId="25037" xr:uid="{062921D2-7BFB-4626-976D-AB50922D8E46}"/>
    <cellStyle name="Style 75 4 2 2 2 4" xfId="8878" xr:uid="{7D459F37-368F-460E-8EB1-7E68A8CAAB61}"/>
    <cellStyle name="Style 75 4 2 2 2 5" xfId="8879" xr:uid="{42744FEA-700D-4035-A194-5757C6F9D8E0}"/>
    <cellStyle name="Style 75 4 2 2 2 5 2" xfId="25038" xr:uid="{924C1449-4015-4FD0-80D7-AF36D9991582}"/>
    <cellStyle name="Style 75 4 2 2 2 6" xfId="8880" xr:uid="{E172C318-F229-4727-8918-191ACA9C241C}"/>
    <cellStyle name="Style 75 4 2 2 2 7 2" xfId="25039" xr:uid="{EADC2119-1130-4206-8799-D9ACD7043720}"/>
    <cellStyle name="Style 75 4 2 2 2 8 2" xfId="25040" xr:uid="{E6C50BB4-EEAB-4A63-9A7F-B11FFD57C251}"/>
    <cellStyle name="Style 75 4 2 2 2 9" xfId="8881" xr:uid="{FC8DAC42-7141-4E9A-B37C-A1976A7F397C}"/>
    <cellStyle name="Style 75 4 2 2 3" xfId="4484" xr:uid="{2BAFE734-8A08-4A6D-A53F-657719BBFA5A}"/>
    <cellStyle name="Style 75 4 2 2 4" xfId="8882" xr:uid="{4BBAC0E7-7146-4785-A796-454A9BB86571}"/>
    <cellStyle name="Style 75 4 2 2 4 2" xfId="8883" xr:uid="{F660A31C-5F92-4F58-84CF-56080CD3FA6A}"/>
    <cellStyle name="Style 75 4 2 2 5" xfId="8884" xr:uid="{972E3E83-981E-4BE5-90EE-1421E17413EE}"/>
    <cellStyle name="Style 75 4 2 2 6" xfId="8885" xr:uid="{DAFD7243-8DA9-4CB3-BE2D-12899C578F20}"/>
    <cellStyle name="Style 75 4 2 2 6 2" xfId="25041" xr:uid="{83C415E7-B082-4545-8A04-44404FEE83D6}"/>
    <cellStyle name="Style 75 4 2 2 7" xfId="8886" xr:uid="{6B4D343C-55B2-4FF2-B6B2-9AF3DE409BBF}"/>
    <cellStyle name="Style 75 4 2 2 8" xfId="8887" xr:uid="{1ABE636C-172D-4BAD-A9D7-867140C30BA1}"/>
    <cellStyle name="Style 75 4 2 2 8 2" xfId="25042" xr:uid="{A7718AAA-DB2E-4CBC-BA05-2ED8546A7618}"/>
    <cellStyle name="Style 75 4 2 2 9" xfId="8888" xr:uid="{344AB93E-66D7-420A-8541-9534C978B135}"/>
    <cellStyle name="Style 75 4 2 2 9 2" xfId="25043" xr:uid="{641081C1-DD62-4EF1-9305-EA4B7C7E0639}"/>
    <cellStyle name="Style 75 4 2 3" xfId="2064" xr:uid="{285EE245-4D05-449B-8E5F-9B5EE76BA07D}"/>
    <cellStyle name="Style 75 4 2 3 10" xfId="8889" xr:uid="{26BA5BDE-8292-4900-814F-6D58EAFBC0D2}"/>
    <cellStyle name="Style 75 4 2 3 10 2" xfId="25044" xr:uid="{7B27107C-BB00-475E-BE87-32F19A3926C7}"/>
    <cellStyle name="Style 75 4 2 3 2" xfId="4486" xr:uid="{39573828-573D-4930-84B0-71917F0B95A9}"/>
    <cellStyle name="Style 75 4 2 3 2 2" xfId="8890" xr:uid="{67F68C1E-30B6-4C6F-970B-213C20DD6211}"/>
    <cellStyle name="Style 75 4 2 3 3" xfId="8891" xr:uid="{9C4F6D0E-9EBA-434B-A946-C287F6D0843C}"/>
    <cellStyle name="Style 75 4 2 3 3 2 2" xfId="25045" xr:uid="{15397EA8-C7E5-46B3-9368-08AFF472C67A}"/>
    <cellStyle name="Style 75 4 2 3 4" xfId="8892" xr:uid="{C05ED172-7D29-44CE-ACE4-B578E55D0BEB}"/>
    <cellStyle name="Style 75 4 2 3 4 2" xfId="25046" xr:uid="{2A3C6635-4838-481F-9E89-0818FA442DF1}"/>
    <cellStyle name="Style 75 4 2 3 6" xfId="8893" xr:uid="{D6F8A4B0-F354-4844-861C-68C6BA90A4E2}"/>
    <cellStyle name="Style 75 4 2 3 6 2" xfId="25047" xr:uid="{961E1D67-FDC3-49D2-A71F-A2BBE6F3DC7A}"/>
    <cellStyle name="Style 75 4 2 3 7 2" xfId="25048" xr:uid="{C7103AC0-678B-4052-91EE-935993E9EF6A}"/>
    <cellStyle name="Style 75 4 2 3 8" xfId="8894" xr:uid="{DA8DE17B-464D-498A-9B3D-1B5A555816CD}"/>
    <cellStyle name="Style 75 4 2 3 8 2" xfId="25049" xr:uid="{C37AC9C7-0FA9-4AD8-AEC7-C51D9CBA1C2C}"/>
    <cellStyle name="Style 75 4 2 3 9 2" xfId="25050" xr:uid="{B11CD416-8683-4A46-85C5-0132FABE7640}"/>
    <cellStyle name="Style 75 4 2 4 2" xfId="8895" xr:uid="{65387DA7-61A0-43D5-A970-314887C484F8}"/>
    <cellStyle name="Style 75 4 2 4 2 2" xfId="25051" xr:uid="{72933D10-9C65-450D-88F3-2A7E46B0EA77}"/>
    <cellStyle name="Style 75 4 2 5" xfId="8896" xr:uid="{2255639A-413C-4E7F-9D43-179AD9F4152B}"/>
    <cellStyle name="Style 75 4 2 5 2 2" xfId="25052" xr:uid="{BF8C54D5-5060-4C5D-9A33-D51F633D645D}"/>
    <cellStyle name="Style 75 4 2 6 2" xfId="25053" xr:uid="{439D738A-F5C7-4D3B-932A-1C5C1D21DC4E}"/>
    <cellStyle name="Style 75 4 2 7 2" xfId="25054" xr:uid="{96B37FA5-15B0-4CD9-9A7E-5A6CD1B02409}"/>
    <cellStyle name="Style 75 4 2 8" xfId="8897" xr:uid="{5613D028-5E08-449D-9DC7-91987F6DA133}"/>
    <cellStyle name="Style 75 4 2 9" xfId="8898" xr:uid="{9F853C6C-D379-4C83-8C2A-D80031DD4218}"/>
    <cellStyle name="Style 75 4 2 9 2" xfId="25055" xr:uid="{150E61A8-ED80-4583-B5EE-375B296AA8E6}"/>
    <cellStyle name="Style 75 4 3" xfId="2065" xr:uid="{90B246F4-4E8C-426B-B85F-F83445EF8C5A}"/>
    <cellStyle name="Style 75 4 3 10" xfId="8899" xr:uid="{FCDEB176-E06D-468A-9DA9-1A727950CC93}"/>
    <cellStyle name="Style 75 4 3 11" xfId="8900" xr:uid="{428728A1-7B4B-415E-B760-928949008BD1}"/>
    <cellStyle name="Style 75 4 3 2" xfId="4487" xr:uid="{9527C005-9E50-48E3-8666-BA7C3580CA46}"/>
    <cellStyle name="Style 75 4 3 2 2" xfId="8901" xr:uid="{5746040D-3996-4C8A-AAEA-44918497EE3E}"/>
    <cellStyle name="Style 75 4 3 3 2" xfId="8902" xr:uid="{25FC41FB-37BC-49D9-94A1-8F64341B85FB}"/>
    <cellStyle name="Style 75 4 3 3 2 2" xfId="25056" xr:uid="{90B68B55-116B-4EAC-A8CD-AB0622F7B9C3}"/>
    <cellStyle name="Style 75 4 3 4" xfId="8903" xr:uid="{CAAE506E-C578-4F44-9B5C-7A16A4095127}"/>
    <cellStyle name="Style 75 4 3 4 2" xfId="8904" xr:uid="{C61CF561-FC8D-4A5C-9F75-77A834B65CFF}"/>
    <cellStyle name="Style 75 4 3 4 2 2" xfId="25057" xr:uid="{4E5ED789-0F6B-477F-BABA-3EBDBF1EAA4D}"/>
    <cellStyle name="Style 75 4 3 5" xfId="8905" xr:uid="{04F32384-F2DE-44C8-A794-1B28ADE10893}"/>
    <cellStyle name="Style 75 4 3 5 2" xfId="25058" xr:uid="{F94EF39A-3B3A-46C4-8809-BDD3FE6B77F0}"/>
    <cellStyle name="Style 75 4 3 6 2" xfId="25059" xr:uid="{3E49FFC4-E659-47DF-B865-99CEC4E7A416}"/>
    <cellStyle name="Style 75 4 3 7" xfId="8906" xr:uid="{AF4F6B1A-C410-47CF-BAC9-ADB180300061}"/>
    <cellStyle name="Style 75 4 3 7 2" xfId="25060" xr:uid="{BC9B458A-AEFA-469C-8F7F-F8964179401B}"/>
    <cellStyle name="Style 75 4 3 8 2" xfId="25061" xr:uid="{28038FEA-96D0-4B25-A0DA-6D4EACFAE903}"/>
    <cellStyle name="Style 75 4 4" xfId="4488" xr:uid="{8D0CCE4B-5ACC-4E7B-8BB3-9FFFBC9AF4CA}"/>
    <cellStyle name="Style 75 4 5" xfId="4489" xr:uid="{6D971993-2654-4DFE-84C6-FFF61963EE7E}"/>
    <cellStyle name="Style 75 4 5 2 2" xfId="25062" xr:uid="{A965D601-0755-4AD7-B6B5-066D01D3E7C9}"/>
    <cellStyle name="Style 75 4 6" xfId="4483" xr:uid="{E31C8C3D-9770-4146-AB79-00639321D599}"/>
    <cellStyle name="Style 75 4 7" xfId="8907" xr:uid="{D33B9C38-41C1-4563-9F45-C04388BF8AFF}"/>
    <cellStyle name="Style 75 4 8" xfId="8908" xr:uid="{B0571542-D728-482E-934A-C74F3A1961DD}"/>
    <cellStyle name="Style 75 4 8 2" xfId="25063" xr:uid="{682617DF-BF4B-4362-A11B-5436A2A4BC62}"/>
    <cellStyle name="Style 75 4 9 2" xfId="25064" xr:uid="{B75C5441-47C5-427E-8734-756E59D296E4}"/>
    <cellStyle name="Style 75 5 10" xfId="8909" xr:uid="{1744B26B-735C-4BC0-A9C7-F32F328514E2}"/>
    <cellStyle name="Style 75 5 10 2" xfId="25065" xr:uid="{DFAFFC8E-4FD2-492E-8EB6-F1548C87A85B}"/>
    <cellStyle name="Style 75 5 11" xfId="8910" xr:uid="{61A74983-8D71-45BD-B6F8-C17EB6E86C2E}"/>
    <cellStyle name="Style 75 5 11 2" xfId="25066" xr:uid="{E0F04628-1716-4C19-937C-46DA6BD71C8A}"/>
    <cellStyle name="Style 75 5 12" xfId="8911" xr:uid="{FC5AEF31-5C2F-4ECB-A495-9EB26F89D69C}"/>
    <cellStyle name="Style 75 5 12 2" xfId="25067" xr:uid="{10524D31-AEA0-423E-91A6-5E281C5F5602}"/>
    <cellStyle name="Style 75 5 2" xfId="2066" xr:uid="{6C7AF0ED-2976-4009-9F47-86A28AD80849}"/>
    <cellStyle name="Style 75 5 2 10" xfId="8912" xr:uid="{6CEB20C6-C63F-47B8-8113-6E0E3FD2A79E}"/>
    <cellStyle name="Style 75 5 2 10 2" xfId="25068" xr:uid="{469B1536-3D47-43AD-84EB-650D57086762}"/>
    <cellStyle name="Style 75 5 2 2 2" xfId="8913" xr:uid="{EBF64B9B-0395-4AE9-A39B-8796BF57ECC0}"/>
    <cellStyle name="Style 75 5 2 3" xfId="8914" xr:uid="{ACE82654-30F5-4CBD-ABF5-FDE4204EF7D2}"/>
    <cellStyle name="Style 75 5 2 3 2 2" xfId="25069" xr:uid="{A4E34869-0E6D-43C9-BD72-380AD5A1542C}"/>
    <cellStyle name="Style 75 5 2 4" xfId="8915" xr:uid="{BBAC4FA2-33E2-491D-96B6-79986F6FB7F7}"/>
    <cellStyle name="Style 75 5 2 4 2" xfId="25070" xr:uid="{002DF85A-644E-4D44-8AEB-37102861BD77}"/>
    <cellStyle name="Style 75 5 2 5 2" xfId="25071" xr:uid="{4ED75FCE-6B55-448F-983D-5BD921EE0372}"/>
    <cellStyle name="Style 75 5 2 7" xfId="8916" xr:uid="{47C6D251-8DE3-4F0B-B666-9363188223F4}"/>
    <cellStyle name="Style 75 5 2 7 2" xfId="25072" xr:uid="{E5F21497-390E-4553-AAAE-C687073820A8}"/>
    <cellStyle name="Style 75 5 2 8 2" xfId="25073" xr:uid="{4E90431B-2611-43E1-9896-15782FCCF3BE}"/>
    <cellStyle name="Style 75 5 2 9" xfId="8917" xr:uid="{DEF2EE53-901B-4D9A-8A2D-BBB3AEFF66F3}"/>
    <cellStyle name="Style 75 5 2 9 2" xfId="25074" xr:uid="{8DAF37DC-4BC9-421F-B0B6-043A87ADEDDD}"/>
    <cellStyle name="Style 75 5 3" xfId="4490" xr:uid="{FC96DF61-B2B3-4CC1-B46E-7959AD76C58C}"/>
    <cellStyle name="Style 75 5 3 2" xfId="8918" xr:uid="{CD9CF40C-001A-419D-9250-6223FD3EADDF}"/>
    <cellStyle name="Style 75 5 4" xfId="8919" xr:uid="{D9A3810C-1714-4052-AD63-23540200CD09}"/>
    <cellStyle name="Style 75 5 5" xfId="8920" xr:uid="{5CBB79C5-7F5C-4D89-995F-60493ED196A9}"/>
    <cellStyle name="Style 75 5 5 2" xfId="25075" xr:uid="{82AF9D0D-9ABE-4A17-91B0-D209820C7D3A}"/>
    <cellStyle name="Style 75 5 6" xfId="8921" xr:uid="{ACCC0FAA-6EE5-4CAD-B9EF-3CBD31979377}"/>
    <cellStyle name="Style 75 5 7" xfId="8922" xr:uid="{22BC88E0-78C4-4A44-96D4-5502E055CF96}"/>
    <cellStyle name="Style 75 5 8" xfId="8923" xr:uid="{09DE3DC9-22EC-40D7-AE44-6B13A8647B61}"/>
    <cellStyle name="Style 75 5 8 2" xfId="25076" xr:uid="{E1BCB7E6-976B-4F9D-8E37-373FED3A94E2}"/>
    <cellStyle name="Style 75 5 9 2" xfId="25077" xr:uid="{2EDEC7B6-91EC-4594-9C3A-5C1E3F26078B}"/>
    <cellStyle name="Style 75 6 10 2" xfId="25078" xr:uid="{C02ECFC7-FC77-4ECE-942D-8BA031AB0D48}"/>
    <cellStyle name="Style 75 6 11" xfId="8924" xr:uid="{D81A622B-EB50-4C88-A795-15A25ED18F1E}"/>
    <cellStyle name="Style 75 6 11 2" xfId="25079" xr:uid="{3F48FB98-765A-43A6-9EA4-0C8B34530830}"/>
    <cellStyle name="Style 75 6 2" xfId="2778" xr:uid="{31489DEB-555A-4CD2-BB76-CF6AE5DC8E76}"/>
    <cellStyle name="Style 75 6 2 2" xfId="4492" xr:uid="{9CF6D433-FAC9-466D-BADE-AC3B94B76546}"/>
    <cellStyle name="Style 75 6 2 2 2" xfId="22525" xr:uid="{F4CBE4D2-B0B4-4C3C-9D5B-F1A158EFC90C}"/>
    <cellStyle name="Style 75 6 2 3" xfId="8925" xr:uid="{DE10F216-8D60-4319-A17A-4C3CCA3E6BA1}"/>
    <cellStyle name="Style 75 6 2 3 2" xfId="25080" xr:uid="{0D6792D2-0006-4726-BA3D-A2DB9416E410}"/>
    <cellStyle name="Style 75 6 3" xfId="4493" xr:uid="{E4C4988E-2C67-4A73-B9E9-E2FF06F16C00}"/>
    <cellStyle name="Style 75 6 3 2" xfId="8926" xr:uid="{CC775847-DE12-45DA-B847-363E9B257021}"/>
    <cellStyle name="Style 75 6 4" xfId="4491" xr:uid="{7710D2C2-5870-418C-851C-C647EC34BE5B}"/>
    <cellStyle name="Style 75 6 4 2 2" xfId="25081" xr:uid="{B270E834-B90B-40E8-A691-66B21CB5639A}"/>
    <cellStyle name="Style 75 6 5" xfId="8927" xr:uid="{A454FC42-20FA-4EAF-A025-11810E9E69D5}"/>
    <cellStyle name="Style 75 6 5 2" xfId="8928" xr:uid="{9559CDAB-4EFC-40B4-917C-4E1492C512CF}"/>
    <cellStyle name="Style 75 6 6" xfId="8929" xr:uid="{F873A6CA-7184-4BA9-BBDD-FA84869D5E4B}"/>
    <cellStyle name="Style 75 6 7 2" xfId="25082" xr:uid="{3C204BED-4443-48B4-A53C-176FB882C526}"/>
    <cellStyle name="Style 75 6 8" xfId="8930" xr:uid="{01EB5869-C9C4-4F3D-9A6E-269AF5F8910B}"/>
    <cellStyle name="Style 75 6 9" xfId="8931" xr:uid="{E1F53615-5236-4693-9F56-FDFDC9D0C54E}"/>
    <cellStyle name="Style 75 6 9 2" xfId="25083" xr:uid="{53F5D0FA-A854-47B6-B948-0826AFA34212}"/>
    <cellStyle name="Style 75 7" xfId="2777" xr:uid="{7008D80F-62CA-4494-AB45-7CA4C58E96C9}"/>
    <cellStyle name="Style 75 7 2" xfId="4494" xr:uid="{42279D73-3BC6-4104-8A9A-1A3B0F048440}"/>
    <cellStyle name="Style 75 7 3" xfId="4495" xr:uid="{12D51F07-2A08-45B1-A133-1F6D98E66245}"/>
    <cellStyle name="Style 75 7 4 2" xfId="22524" xr:uid="{BDB30E36-AE18-4473-AC7C-32BA41ECCD04}"/>
    <cellStyle name="Style 75 7 5 2" xfId="25084" xr:uid="{9B3BB0B0-D953-44F9-848F-B48DCE448B48}"/>
    <cellStyle name="Style 75 7 6" xfId="19003" xr:uid="{8AE46A74-2E7F-4F53-BAA9-6E8D433B0B73}"/>
    <cellStyle name="Style 75 8" xfId="4496" xr:uid="{6D5526E0-F4D6-4E08-BBA5-8BCD2D505681}"/>
    <cellStyle name="Style 75 8 2 2" xfId="25085" xr:uid="{A9F07170-3105-4B36-9FFE-C54626F7017A}"/>
    <cellStyle name="Style 75 9 2" xfId="8932" xr:uid="{74008C3D-CB6B-42EA-AC16-C7645688CCA0}"/>
    <cellStyle name="Style 75_ADDON" xfId="20531" xr:uid="{A353D376-1739-4B35-B3C8-4B9CF0630ED2}"/>
    <cellStyle name="Style 80" xfId="2067" xr:uid="{1B01D569-B617-410F-9CED-CF5575E8C582}"/>
    <cellStyle name="Style 80 10 10" xfId="8933" xr:uid="{859BE6C1-C4F2-4D6B-8F02-CCE9FFA638FF}"/>
    <cellStyle name="Style 80 10 10 2" xfId="25086" xr:uid="{52B04387-34C6-4A5E-81D7-719DB36B8FB8}"/>
    <cellStyle name="Style 80 10 11" xfId="8934" xr:uid="{7D5DADC8-6C38-4E25-A598-E991BC25857D}"/>
    <cellStyle name="Style 80 10 11 2" xfId="25087" xr:uid="{7050FEAA-25E1-49E3-8706-C78B16CC9A88}"/>
    <cellStyle name="Style 80 10 12 2" xfId="25088" xr:uid="{8CF7E764-8681-4047-AB80-8FDC116BA999}"/>
    <cellStyle name="Style 80 10 2" xfId="2068" xr:uid="{5C26811D-88F1-4749-A6A1-B432A503C43A}"/>
    <cellStyle name="Style 80 10 2 10" xfId="8935" xr:uid="{E6BEC9E6-1FF1-4FF2-8393-AD1651646039}"/>
    <cellStyle name="Style 80 10 2 10 2" xfId="25089" xr:uid="{F33A51BF-4C67-47F1-98ED-30F78E808BDB}"/>
    <cellStyle name="Style 80 10 2 2 2" xfId="8936" xr:uid="{B53C8808-05AB-4C26-8293-7AC4BE1FBCE1}"/>
    <cellStyle name="Style 80 10 2 3 2" xfId="8937" xr:uid="{C04C91D0-ED34-43F2-8159-8086B779B3E0}"/>
    <cellStyle name="Style 80 10 2 3 2 2" xfId="25090" xr:uid="{45EBD47E-A350-4FB0-8C8F-B0E6328CED75}"/>
    <cellStyle name="Style 80 10 2 4" xfId="8938" xr:uid="{29F5C640-B945-4098-9AD9-909002EC4CE2}"/>
    <cellStyle name="Style 80 10 2 4 2" xfId="25091" xr:uid="{57DC70DF-659A-4234-B6AB-39D4F89CB662}"/>
    <cellStyle name="Style 80 10 2 5" xfId="8939" xr:uid="{C376A841-C9CB-42F5-99E6-9CA057BCD7EE}"/>
    <cellStyle name="Style 80 10 2 5 2" xfId="25092" xr:uid="{4CB5068D-74FF-4F44-A135-E817355BB46E}"/>
    <cellStyle name="Style 80 10 2 6" xfId="8940" xr:uid="{0E7E562C-4829-4BAC-B9A0-645AF6A04918}"/>
    <cellStyle name="Style 80 10 2 7" xfId="8941" xr:uid="{22E4EBC3-B5F3-4F17-9C17-0A95E68B97C8}"/>
    <cellStyle name="Style 80 10 2 8" xfId="8942" xr:uid="{CAA296A4-BF09-40DB-9CB4-D4D5943D2EFE}"/>
    <cellStyle name="Style 80 10 2 8 2" xfId="25093" xr:uid="{9F9DF3EC-93C9-4B2A-ABF7-451DA2AD85F8}"/>
    <cellStyle name="Style 80 10 2 9" xfId="8943" xr:uid="{B24DC40E-2037-49D9-B6E7-5258DEBD54EB}"/>
    <cellStyle name="Style 80 10 2 9 2" xfId="25094" xr:uid="{F898DAAB-D7AF-4980-8FA1-B871C8F05C48}"/>
    <cellStyle name="Style 80 10 3" xfId="2779" xr:uid="{75229DAA-36A8-4B9E-9021-90F2FCE4A34E}"/>
    <cellStyle name="Style 80 10 3 2 2" xfId="22526" xr:uid="{6ED11FD5-E28A-4F28-9D3C-D33DD2AB9AD1}"/>
    <cellStyle name="Style 80 10 4" xfId="4497" xr:uid="{4FDC5219-7660-4484-9A6E-F6365E9DD59E}"/>
    <cellStyle name="Style 80 10 4 2" xfId="8944" xr:uid="{E72B2EA2-423C-4F62-8AED-790C9D51781E}"/>
    <cellStyle name="Style 80 10 4 2 2" xfId="25095" xr:uid="{6B5E35C6-7E32-4EAA-8ED0-29D74EA38129}"/>
    <cellStyle name="Style 80 10 5 2" xfId="8945" xr:uid="{5759AB25-EEFB-4E18-9FBC-6121FFA6E42F}"/>
    <cellStyle name="Style 80 10 5 2 2" xfId="25096" xr:uid="{566F6199-C979-47F3-BD3A-9E7F49C90C9A}"/>
    <cellStyle name="Style 80 10 6" xfId="8946" xr:uid="{77AFDCF8-242A-4FF5-B5E9-9320BEA83455}"/>
    <cellStyle name="Style 80 10 7" xfId="8947" xr:uid="{F997E79B-8AA2-41C4-AFD7-7DD77B0109E5}"/>
    <cellStyle name="Style 80 10 7 2" xfId="25097" xr:uid="{E97989D5-EFBB-4370-B1B6-B9A463C2BE05}"/>
    <cellStyle name="Style 80 10 8" xfId="8948" xr:uid="{34153F43-84C8-4AB7-9128-16EFA857C7E3}"/>
    <cellStyle name="Style 80 10 9" xfId="8949" xr:uid="{B7C0A4D6-33C3-4631-AF0A-5A88043AD199}"/>
    <cellStyle name="Style 80 11" xfId="2069" xr:uid="{4711B1C4-2C37-4374-AFC6-E6725825D70D}"/>
    <cellStyle name="Style 80 11 10" xfId="8950" xr:uid="{8DA2EFCA-4DCF-419E-8B43-28F7FBB9E2A4}"/>
    <cellStyle name="Style 80 11 10 2" xfId="25098" xr:uid="{30562129-450A-4F79-9A55-8D7D48A02CA4}"/>
    <cellStyle name="Style 80 11 11 2" xfId="25099" xr:uid="{2D9F93DF-DEEB-4980-8E28-02B5038B7077}"/>
    <cellStyle name="Style 80 11 12" xfId="8951" xr:uid="{396F6E0E-9276-4FA7-97C4-689F58404E1F}"/>
    <cellStyle name="Style 80 11 12 2" xfId="25100" xr:uid="{FF76F498-9708-4A74-AF81-9D2BB7785398}"/>
    <cellStyle name="Style 80 11 13" xfId="19005" xr:uid="{7002A37D-362F-4D52-BA56-158D1DC1B894}"/>
    <cellStyle name="Style 80 11 2" xfId="2070" xr:uid="{F7BF5DA9-D2CA-43F9-8D4D-C34AB7C22751}"/>
    <cellStyle name="Style 80 11 2 10 2" xfId="25101" xr:uid="{C3970A89-5D50-4F78-90B2-8136A261DA1D}"/>
    <cellStyle name="Style 80 11 2 2" xfId="4498" xr:uid="{951189EE-D0AE-46E8-8DC8-BD4F872CC423}"/>
    <cellStyle name="Style 80 11 2 2 2" xfId="8952" xr:uid="{39CA143A-EEB5-4719-A11E-1FB6C0C6E33E}"/>
    <cellStyle name="Style 80 11 2 3 2" xfId="8953" xr:uid="{95B91A5E-9F92-461D-84BC-FC16523427B6}"/>
    <cellStyle name="Style 80 11 2 3 2 2" xfId="25102" xr:uid="{E2E1A112-156D-49F0-905E-B37B374C65B4}"/>
    <cellStyle name="Style 80 11 2 3 3" xfId="22231" xr:uid="{DD9B18F7-0810-4D89-9891-A246B6894377}"/>
    <cellStyle name="Style 80 11 2 4" xfId="8954" xr:uid="{CA8A8036-3C4E-47CC-A30C-5D885F38001B}"/>
    <cellStyle name="Style 80 11 2 5" xfId="8955" xr:uid="{04A848BA-290D-4C12-8426-3F0E4AC5EC33}"/>
    <cellStyle name="Style 80 11 2 6" xfId="8956" xr:uid="{33EBDA2B-5ABF-4553-9F5F-200972981F2B}"/>
    <cellStyle name="Style 80 11 2 6 2" xfId="25103" xr:uid="{6B5B8C64-5B28-4434-BDDF-331259A01997}"/>
    <cellStyle name="Style 80 11 2 7" xfId="8957" xr:uid="{2C15034C-2DF7-4623-AB69-59128185D2B0}"/>
    <cellStyle name="Style 80 11 2 8" xfId="8958" xr:uid="{CAFA17F5-2401-4956-8F8A-437575EFC364}"/>
    <cellStyle name="Style 80 11 2 9" xfId="8959" xr:uid="{A650AAEB-3BE1-4AF0-8E61-5D04982F6719}"/>
    <cellStyle name="Style 80 11 2 9 2" xfId="25104" xr:uid="{8F4B2481-ABFD-4F46-8965-8029207530A2}"/>
    <cellStyle name="Style 80 11 3" xfId="4499" xr:uid="{F591F4E5-1B64-4337-AB70-3A0C8ABD3A3F}"/>
    <cellStyle name="Style 80 11 3 2 2" xfId="25105" xr:uid="{A765A736-F41E-47C6-81D5-1B27AE3FA258}"/>
    <cellStyle name="Style 80 11 4 2" xfId="8960" xr:uid="{5B41B3E8-88CE-488D-9F88-1A521CE57B8F}"/>
    <cellStyle name="Style 80 11 4 2 2" xfId="25106" xr:uid="{67CD9FA6-8049-472E-8585-E35F3EB568C6}"/>
    <cellStyle name="Style 80 11 5" xfId="8961" xr:uid="{8152343B-43E4-4EC0-90C2-2C01BC0CA3E0}"/>
    <cellStyle name="Style 80 11 5 2" xfId="8962" xr:uid="{4F88D18E-9F87-4555-9275-D081D953FDB4}"/>
    <cellStyle name="Style 80 11 5 2 2" xfId="25107" xr:uid="{CB511F71-A4FA-4433-B942-BE48514F8EFB}"/>
    <cellStyle name="Style 80 11 5 3" xfId="22230" xr:uid="{9C715CB3-3769-41E5-8B63-177FA5F5D7C0}"/>
    <cellStyle name="Style 80 11 6" xfId="8963" xr:uid="{1401366F-F152-469F-9C85-76F6B39DE9BD}"/>
    <cellStyle name="Style 80 11 7" xfId="8964" xr:uid="{FB30EB91-3889-4338-B6F3-111989297185}"/>
    <cellStyle name="Style 80 11 8" xfId="8965" xr:uid="{3F546E49-A1FD-44F4-8801-6BC9B33199E9}"/>
    <cellStyle name="Style 80 11 8 2" xfId="25108" xr:uid="{E8AFE63B-0816-4690-97F5-24CE3ECFD48F}"/>
    <cellStyle name="Style 80 11 9" xfId="8966" xr:uid="{D2683BA1-148C-4ED4-BE69-0BCF054D6D38}"/>
    <cellStyle name="Style 80 12 10" xfId="8967" xr:uid="{6499464E-8C55-4B61-A4E8-60C050402B55}"/>
    <cellStyle name="Style 80 12 10 2" xfId="25109" xr:uid="{2BF92841-B8AC-47B0-AA3B-EC4F39A11B16}"/>
    <cellStyle name="Style 80 12 11 2" xfId="25110" xr:uid="{09CCB33C-33AA-467F-A014-39FA5FA1E5F1}"/>
    <cellStyle name="Style 80 12 12" xfId="8968" xr:uid="{A99EA129-7234-4BBC-BA5D-FE813640D50F}"/>
    <cellStyle name="Style 80 12 12 2" xfId="25111" xr:uid="{96E12CD2-7323-4939-B357-27CB61972068}"/>
    <cellStyle name="Style 80 12 13" xfId="8969" xr:uid="{358D7086-B0FC-4BDA-9148-CEAEB58224B6}"/>
    <cellStyle name="Style 80 12 13 2" xfId="25112" xr:uid="{AD412134-2B0A-4435-8C21-41AD4CF46E84}"/>
    <cellStyle name="Style 80 12 2 2" xfId="8970" xr:uid="{E270B663-1399-47F3-8C85-03894392C439}"/>
    <cellStyle name="Style 80 12 2 2 2" xfId="25113" xr:uid="{8389AAF7-3848-4181-83E5-038CEFDE2621}"/>
    <cellStyle name="Style 80 12 2 3" xfId="8971" xr:uid="{96331617-6E75-4689-8064-9D40A02FAB6F}"/>
    <cellStyle name="Style 80 12 2 3 2" xfId="25114" xr:uid="{8D7CAD89-59F0-4AD5-A831-91C07026107E}"/>
    <cellStyle name="Style 80 12 2 4" xfId="8972" xr:uid="{1FE64CAC-3E84-4A2F-A759-AB6E8757FB39}"/>
    <cellStyle name="Style 80 12 2 4 2" xfId="25115" xr:uid="{9C81678B-6F92-4958-9782-CC8914B0B187}"/>
    <cellStyle name="Style 80 12 2 5" xfId="8973" xr:uid="{EF5DE9E2-BD66-4D10-A85C-931F782A814A}"/>
    <cellStyle name="Style 80 12 2 6" xfId="8974" xr:uid="{2BB8E185-D612-4597-A8FD-53ECC07F0CE4}"/>
    <cellStyle name="Style 80 12 2 6 2" xfId="25116" xr:uid="{DE371C37-5D30-4DE6-BD5C-B7D8CD8788D7}"/>
    <cellStyle name="Style 80 12 2 7 2" xfId="25117" xr:uid="{71FEE555-4133-40F2-85CC-2E7397BDF626}"/>
    <cellStyle name="Style 80 12 2 8 2" xfId="25118" xr:uid="{C138A6F7-9F90-4B2E-A2E3-2E6778B983FE}"/>
    <cellStyle name="Style 80 12 2 9" xfId="8975" xr:uid="{AFA51CC9-90F5-4CCC-B2BA-676BEE62D013}"/>
    <cellStyle name="Style 80 12 3" xfId="8976" xr:uid="{AF56A340-E590-4C78-BA20-7AB100CD9CE1}"/>
    <cellStyle name="Style 80 12 3 2" xfId="8977" xr:uid="{487B9744-FA15-4C3E-8DB2-BFE538B0C2DD}"/>
    <cellStyle name="Style 80 12 3 2 2" xfId="25119" xr:uid="{448F068D-7C6D-4F47-92C6-BD1073916FC0}"/>
    <cellStyle name="Style 80 12 3 4" xfId="8978" xr:uid="{CD890455-43FB-4AE9-A483-DC7B709746ED}"/>
    <cellStyle name="Style 80 12 3 5" xfId="8979" xr:uid="{B41774B8-797C-41B7-8488-E80E0D9BA718}"/>
    <cellStyle name="Style 80 12 3 5 2" xfId="25120" xr:uid="{B607022B-26D8-4A01-B549-707D0AC7E2EC}"/>
    <cellStyle name="Style 80 12 3 6" xfId="8980" xr:uid="{010171C5-2553-4DBB-A8B9-06FE1910F5AC}"/>
    <cellStyle name="Style 80 12 3 7" xfId="8981" xr:uid="{AC16CA27-4A04-4ED4-8276-D1D39D2E6803}"/>
    <cellStyle name="Style 80 12 3 8" xfId="8982" xr:uid="{D27ACD18-1298-4649-B84A-D9A80E24E714}"/>
    <cellStyle name="Style 80 12 3 8 2" xfId="25121" xr:uid="{612DAA52-86F2-41BD-B0DD-3984F4FC3650}"/>
    <cellStyle name="Style 80 12 3 9" xfId="8983" xr:uid="{61B47E0E-FA7B-4AB4-8CE3-D4585AE7D642}"/>
    <cellStyle name="Style 80 12 4" xfId="8984" xr:uid="{3AA202A5-A371-4077-A87F-4D4EAEC207E5}"/>
    <cellStyle name="Style 80 12 4 2 2" xfId="25123" xr:uid="{B396967A-6EC8-4861-B8F9-8ABDBF3069DC}"/>
    <cellStyle name="Style 80 12 4 3" xfId="8985" xr:uid="{874495E4-9407-4BC2-8679-995CD4C05325}"/>
    <cellStyle name="Style 80 12 4 3 2" xfId="25124" xr:uid="{79870017-1540-4785-AF3A-392F39EEE60B}"/>
    <cellStyle name="Style 80 12 4 4 2" xfId="25125" xr:uid="{905CD6D9-3657-4AB3-8272-8CDA47D44286}"/>
    <cellStyle name="Style 80 12 4 5" xfId="8986" xr:uid="{235EF89E-F87C-4FD3-BF01-EDA6C0C8D6F1}"/>
    <cellStyle name="Style 80 12 4 5 2" xfId="25126" xr:uid="{E9A99A7D-DFA8-4360-B6B5-0026B61FBF23}"/>
    <cellStyle name="Style 80 12 4 6" xfId="8987" xr:uid="{09175516-9866-4B40-A066-1034C6F76EC2}"/>
    <cellStyle name="Style 80 12 4 6 2" xfId="25127" xr:uid="{EC539A99-0159-4DEF-8228-104A635CBA1F}"/>
    <cellStyle name="Style 80 12 4 7" xfId="25122" xr:uid="{4230587D-957C-4DC1-8C53-CF5FB37E41D5}"/>
    <cellStyle name="Style 80 12 5" xfId="8988" xr:uid="{EDE80F53-B953-477A-AC15-D0F838833E1C}"/>
    <cellStyle name="Style 80 12 6" xfId="8989" xr:uid="{78CEE376-5FDE-4668-B300-7AE9A97A59B6}"/>
    <cellStyle name="Style 80 12 6 2" xfId="25128" xr:uid="{BD02F1C2-DEFE-49E0-9780-8857B508454A}"/>
    <cellStyle name="Style 80 12 7" xfId="8990" xr:uid="{2AD67482-21AF-4458-89A1-D633D07F1530}"/>
    <cellStyle name="Style 80 12 7 2" xfId="25129" xr:uid="{88D0F63A-DD22-49DA-A75C-B95D78F0BD1E}"/>
    <cellStyle name="Style 80 12 8" xfId="8991" xr:uid="{8A08A78A-D14F-4554-AB51-AC2EE8607348}"/>
    <cellStyle name="Style 80 12 8 2" xfId="25130" xr:uid="{3945A61C-F2B9-4541-9ECD-1B9F4BCF17F6}"/>
    <cellStyle name="Style 80 12 9" xfId="8992" xr:uid="{E22AEE06-F6C5-4329-8E64-E31F1C431024}"/>
    <cellStyle name="Style 80 13 2 2" xfId="25131" xr:uid="{7E53CABB-5D6A-440D-963B-D250BFC75C42}"/>
    <cellStyle name="Style 80 13 3 2" xfId="25132" xr:uid="{D1580401-7070-4289-9782-7DE3CCDD4006}"/>
    <cellStyle name="Style 80 13 4 2" xfId="25133" xr:uid="{EF77839B-4F9B-486D-85FE-8F3AA74DF6D3}"/>
    <cellStyle name="Style 80 13 5" xfId="8993" xr:uid="{84FBA211-92F8-4B94-B37D-D6E986BB81D7}"/>
    <cellStyle name="Style 80 13 6" xfId="8994" xr:uid="{F8CE9C4F-F705-4F60-BB4A-16B508EC031C}"/>
    <cellStyle name="Style 80 13 7 2" xfId="25134" xr:uid="{2137C169-F0A0-4535-8F09-475B037306D6}"/>
    <cellStyle name="Style 80 13 8 2" xfId="25135" xr:uid="{C2FDDDDE-736B-4F6B-9B39-915850E7D95F}"/>
    <cellStyle name="Style 80 13 9" xfId="8995" xr:uid="{8D102F31-9DCA-429C-ACBE-C83A410ED823}"/>
    <cellStyle name="Style 80 14 2" xfId="8996" xr:uid="{C364F707-4123-4699-A878-CFED690EE109}"/>
    <cellStyle name="Style 80 14 3" xfId="8997" xr:uid="{1D75B60D-5292-482E-9041-3DCA7B7E9D8B}"/>
    <cellStyle name="Style 80 14 3 2" xfId="25136" xr:uid="{E9DAA7FA-21C9-4FC4-82B9-4149EC7C9E26}"/>
    <cellStyle name="Style 80 14 4" xfId="8998" xr:uid="{2740FC71-8C07-4DB7-B979-E6807B1C0B66}"/>
    <cellStyle name="Style 80 14 5" xfId="8999" xr:uid="{61C5C67C-C3B1-482B-8584-36E6AF9414A6}"/>
    <cellStyle name="Style 80 14 5 2" xfId="25137" xr:uid="{C609A27B-8C63-4C0A-B89B-6129BA013044}"/>
    <cellStyle name="Style 80 14 6" xfId="9000" xr:uid="{DFF0BB50-ECE6-4F74-983A-A5E1EB57A8D4}"/>
    <cellStyle name="Style 80 14 6 2" xfId="25138" xr:uid="{C9771B97-A1C1-47AF-BBAA-C7D83CD8A090}"/>
    <cellStyle name="Style 80 14 7" xfId="9001" xr:uid="{71E4D242-9FAE-42FF-A188-A87677C7C843}"/>
    <cellStyle name="Style 80 14 8" xfId="9002" xr:uid="{62790702-764B-49C5-BC9E-763023172C6E}"/>
    <cellStyle name="Style 80 14 9" xfId="9003" xr:uid="{4250FD30-738C-4038-BFA0-25D2DC54A376}"/>
    <cellStyle name="Style 80 14 9 2" xfId="25139" xr:uid="{8F44C03D-989F-4038-AEEB-724DF70A2C84}"/>
    <cellStyle name="Style 80 15" xfId="9004" xr:uid="{AE810B95-FC5E-454F-BE96-539D4AF0D7C6}"/>
    <cellStyle name="Style 80 15 2" xfId="9005" xr:uid="{45A7D1C9-E3B7-4BF8-97BC-75A172BF3E8E}"/>
    <cellStyle name="Style 80 15 2 2" xfId="25140" xr:uid="{10A0205E-FF88-49CF-8E51-CB225B11C094}"/>
    <cellStyle name="Style 80 15 3" xfId="9006" xr:uid="{B4F9DA68-DC8A-4B2B-AAB3-BCE566DA0A4B}"/>
    <cellStyle name="Style 80 15 4" xfId="9007" xr:uid="{FB18E779-678D-4182-8588-22DD8DEFC371}"/>
    <cellStyle name="Style 80 15 5 2" xfId="25141" xr:uid="{EEA229A3-23F2-46D4-BC2A-BC6B20894BBB}"/>
    <cellStyle name="Style 80 15 6 2" xfId="25142" xr:uid="{03A5E709-FB15-4A33-B2A7-3305A177D2A6}"/>
    <cellStyle name="Style 80 15 7" xfId="9008" xr:uid="{5F094016-FA58-4C49-91E7-E85A12D4ADE1}"/>
    <cellStyle name="Style 80 15 7 2" xfId="25143" xr:uid="{015107E8-460F-40C7-AFF2-9DF7A33D7BFC}"/>
    <cellStyle name="Style 80 15 8" xfId="21302" xr:uid="{9DD74EDD-7593-4E72-AF0A-2547DA3F40D6}"/>
    <cellStyle name="Style 80 16 2" xfId="25144" xr:uid="{C0D32C30-1CC1-4749-AD32-A6C1F11AB7EF}"/>
    <cellStyle name="Style 80 17 2" xfId="25145" xr:uid="{B422A19A-C9A7-4392-9B9C-5470A772E741}"/>
    <cellStyle name="Style 80 18" xfId="9009" xr:uid="{08534FEF-B164-4C2F-8067-7B8A3BDAFEC8}"/>
    <cellStyle name="Style 80 19" xfId="9010" xr:uid="{6DE11981-9F18-469D-BB34-2E2E91B4F328}"/>
    <cellStyle name="Style 80 2 10" xfId="9011" xr:uid="{853C2AFB-DBBB-4C97-BE42-2BBD1848DFAA}"/>
    <cellStyle name="Style 80 2 10 2" xfId="25146" xr:uid="{57987527-21C1-4B87-9595-AE451F0EBFAB}"/>
    <cellStyle name="Style 80 2 11 2" xfId="25147" xr:uid="{CB713645-2E82-4207-AF46-3525F1D8EF44}"/>
    <cellStyle name="Style 80 2 2" xfId="4500" xr:uid="{6E71C7B4-9BB0-4F5A-91AC-00ADC26D633D}"/>
    <cellStyle name="Style 80 2 2 2" xfId="9012" xr:uid="{2BF5D77F-AE3F-42D8-BAC2-DBB6A703EE19}"/>
    <cellStyle name="Style 80 2 2 2 2" xfId="25148" xr:uid="{AB393EEF-0DB7-44B5-AA6A-63903C3104BA}"/>
    <cellStyle name="Style 80 2 3 2" xfId="9013" xr:uid="{F57A5D86-E504-4CC3-9F05-EB7D51E3D545}"/>
    <cellStyle name="Style 80 2 3 2 2" xfId="25149" xr:uid="{E1F4599D-247A-409E-A594-A599E492FE36}"/>
    <cellStyle name="Style 80 2 4" xfId="2957" xr:uid="{F00FC90C-5334-496C-8356-3EFFEBAF3E09}"/>
    <cellStyle name="Style 80 2 4 2" xfId="9014" xr:uid="{E3251D2C-C999-48A6-8ECF-9F8D600AFB10}"/>
    <cellStyle name="Style 80 2 4 2 2" xfId="25150" xr:uid="{080262C7-10EE-4BF0-B639-DF1D523E611D}"/>
    <cellStyle name="Style 80 2 4 3" xfId="21303" xr:uid="{66EF0F86-4F22-4001-A300-EF2D08746274}"/>
    <cellStyle name="Style 80 2 5" xfId="9015" xr:uid="{16F658F2-9949-40AF-AE52-C3C33039AEA9}"/>
    <cellStyle name="Style 80 2 5 2" xfId="25151" xr:uid="{F057B876-B0C9-4C38-BEE8-333D141304BE}"/>
    <cellStyle name="Style 80 2 6" xfId="9016" xr:uid="{F0957736-B934-4CCE-A635-A4175A1EC7DC}"/>
    <cellStyle name="Style 80 2 7" xfId="9017" xr:uid="{67F00BBE-8E98-48AB-B2E4-CC43313935C6}"/>
    <cellStyle name="Style 80 2 7 2" xfId="25152" xr:uid="{71DCDE4C-B7CF-4CB1-A680-8DB68E52822C}"/>
    <cellStyle name="Style 80 2 8" xfId="9018" xr:uid="{C80670A9-92F6-4B6A-BCD9-243107E31E5E}"/>
    <cellStyle name="Style 80 2 9" xfId="9019" xr:uid="{CA2FC98F-B2D8-4C0C-94C7-B0E30D534922}"/>
    <cellStyle name="Style 80 20 2" xfId="25153" xr:uid="{33DFADB8-05EC-4D25-98AE-272363507F90}"/>
    <cellStyle name="Style 80 21" xfId="9020" xr:uid="{7A22DB95-AA9E-4E55-B8B0-1CDF2AC80BFB}"/>
    <cellStyle name="Style 80 21 2" xfId="25154" xr:uid="{582328BC-070C-4205-8F3A-1E564A0E5290}"/>
    <cellStyle name="Style 80 22 2" xfId="25155" xr:uid="{2032C68F-D88B-4E7A-8B36-0B63FA8AD7C6}"/>
    <cellStyle name="Style 80 24" xfId="9021" xr:uid="{BB56D208-7CF0-4658-B1B8-5B0100AE7094}"/>
    <cellStyle name="Style 80 25" xfId="19004" xr:uid="{10C6459F-891D-4C53-89F3-F366F42123C6}"/>
    <cellStyle name="Style 80 3" xfId="2071" xr:uid="{4BF3C26E-2CB1-42CF-8A18-58803A36FBBC}"/>
    <cellStyle name="Style 80 3 11" xfId="9022" xr:uid="{981563BE-FFF6-4327-92C2-2CE1B04834DD}"/>
    <cellStyle name="Style 80 3 12" xfId="9023" xr:uid="{A9777ADD-B257-4D86-B46D-150EDFF5F3E6}"/>
    <cellStyle name="Style 80 3 12 2" xfId="25156" xr:uid="{06FB0C3B-814F-4531-AF98-FCFE1E2089A9}"/>
    <cellStyle name="Style 80 3 13" xfId="9024" xr:uid="{6F6861E4-E726-4ABC-A8E4-1BDC77AA67E3}"/>
    <cellStyle name="Style 80 3 14" xfId="9025" xr:uid="{B6977C37-A81D-461F-8DF3-1F3B3ED94753}"/>
    <cellStyle name="Style 80 3 14 2" xfId="25157" xr:uid="{D75E1CF8-A3F7-4761-8548-0CC38B05E000}"/>
    <cellStyle name="Style 80 3 15" xfId="9026" xr:uid="{71FF32A6-542C-468D-BAFC-DDB74472228C}"/>
    <cellStyle name="Style 80 3 15 2" xfId="25158" xr:uid="{69661FCD-5F65-419D-A66E-5A03E8A70A32}"/>
    <cellStyle name="Style 80 3 16" xfId="19006" xr:uid="{2E752154-162E-4CF6-8F30-FE20F1000494}"/>
    <cellStyle name="Style 80 3 2 10" xfId="9027" xr:uid="{DF939BE8-F52C-47CF-B211-3321FECE0643}"/>
    <cellStyle name="Style 80 3 2 10 2" xfId="25159" xr:uid="{07CFD4E8-1476-4A5B-8F85-BCEAEB183CEC}"/>
    <cellStyle name="Style 80 3 2 11" xfId="9028" xr:uid="{93D44AC0-6019-4CF5-9A67-6D45EF9F14E8}"/>
    <cellStyle name="Style 80 3 2 11 2" xfId="25160" xr:uid="{D8034C68-7160-4392-B5C3-7CB248B2D7A4}"/>
    <cellStyle name="Style 80 3 2 12" xfId="9029" xr:uid="{9FF6BD2E-1747-47AA-9275-5D9A91BB6E12}"/>
    <cellStyle name="Style 80 3 2 12 2" xfId="25161" xr:uid="{4213C219-6410-4E70-9B1C-6DE947C0AB8F}"/>
    <cellStyle name="Style 80 3 2 13" xfId="19007" xr:uid="{82BD7A5A-BF5D-4F29-9C64-352616270770}"/>
    <cellStyle name="Style 80 3 2 2 10" xfId="9030" xr:uid="{29669AC7-8EEE-47B6-9BCA-C21C546A68EC}"/>
    <cellStyle name="Style 80 3 2 2 11 2" xfId="25162" xr:uid="{F8ADFB26-9901-4068-82BD-FAE44C164D0A}"/>
    <cellStyle name="Style 80 3 2 2 12" xfId="19008" xr:uid="{02E590C8-4DE5-46EF-9E12-13682F8E1C15}"/>
    <cellStyle name="Style 80 3 2 2 2" xfId="4502" xr:uid="{EB2B1ED7-D164-41F1-B417-A51F0CE35A56}"/>
    <cellStyle name="Style 80 3 2 2 2 2 2" xfId="25163" xr:uid="{6CFCD74E-918C-458F-BE0C-2FCE3DAD8666}"/>
    <cellStyle name="Style 80 3 2 2 3 2 2" xfId="25164" xr:uid="{067B3B15-3387-48A2-85CD-DE2227A8356C}"/>
    <cellStyle name="Style 80 3 2 2 4 2" xfId="9031" xr:uid="{59D3FC07-B7B1-4CB4-94A8-3F0CE0580987}"/>
    <cellStyle name="Style 80 3 2 2 4 2 2" xfId="25165" xr:uid="{78E2BB36-C1EE-4935-9566-6CE1F51533D7}"/>
    <cellStyle name="Style 80 3 2 2 5 2" xfId="25166" xr:uid="{60723F4B-8DF6-45AA-BE37-7CE285796216}"/>
    <cellStyle name="Style 80 3 2 2 6 2" xfId="25167" xr:uid="{774E92BB-17FF-4D49-88AE-D1B50B1E242D}"/>
    <cellStyle name="Style 80 3 2 2 7" xfId="9032" xr:uid="{0DF27C61-EFC0-4E9E-A0FE-5E2D9FE2B557}"/>
    <cellStyle name="Style 80 3 2 2 7 2" xfId="25168" xr:uid="{224B2D8E-A4AE-4F76-BB7B-C68C1C90AFD1}"/>
    <cellStyle name="Style 80 3 2 2 8 2" xfId="25169" xr:uid="{DC5FC100-50BB-46EE-A0DE-1A2DC8A1BFD0}"/>
    <cellStyle name="Style 80 3 2 2 9" xfId="9033" xr:uid="{4B60D94D-B10A-4EBC-A75D-46C482E1AD82}"/>
    <cellStyle name="Style 80 3 2 2 9 2" xfId="25170" xr:uid="{69714149-B691-4AF8-89BF-7FC48322EF8D}"/>
    <cellStyle name="Style 80 3 2 3" xfId="4503" xr:uid="{CBCECA5F-7E3F-4CE1-B056-4758DE4E85A6}"/>
    <cellStyle name="Style 80 3 2 3 2" xfId="9034" xr:uid="{ACC1EA7C-3BFE-4C8D-BC04-33D148D1729A}"/>
    <cellStyle name="Style 80 3 2 3 2 2" xfId="25171" xr:uid="{D4EC2B57-D213-4B2A-9982-A5BAA4E727A3}"/>
    <cellStyle name="Style 80 3 2 4" xfId="4501" xr:uid="{31756724-C1E0-4E56-97A0-53F47518EAF7}"/>
    <cellStyle name="Style 80 3 2 4 2" xfId="9035" xr:uid="{F788EB53-B0F5-4ACF-9511-1F37348FD02D}"/>
    <cellStyle name="Style 80 3 2 4 2 2" xfId="25172" xr:uid="{15427782-8F68-4656-B36B-99A936D6E83D}"/>
    <cellStyle name="Style 80 3 2 5 2" xfId="9036" xr:uid="{A487FA1D-71CA-4D31-8C3A-958E7949003D}"/>
    <cellStyle name="Style 80 3 2 5 2 2" xfId="25173" xr:uid="{0F13CFD5-4CE4-4763-9BDA-2A9A299B03F7}"/>
    <cellStyle name="Style 80 3 2 6" xfId="9037" xr:uid="{91D7C72E-C59D-4A4E-8B05-AAA690054D8B}"/>
    <cellStyle name="Style 80 3 2 6 2" xfId="25174" xr:uid="{12132EF1-ECA6-4DB0-B31D-8C4110C695F4}"/>
    <cellStyle name="Style 80 3 2 7 2" xfId="25175" xr:uid="{990741A3-B23E-4471-88CA-188EA69963B3}"/>
    <cellStyle name="Style 80 3 2 9" xfId="9038" xr:uid="{E3F6D762-4ABD-4854-AF04-0200762E9440}"/>
    <cellStyle name="Style 80 3 2 9 2" xfId="25176" xr:uid="{5F068A2F-61BA-42A9-8816-E8CE8B123D78}"/>
    <cellStyle name="Style 80 3 3 10" xfId="9039" xr:uid="{09A9F2F3-3A46-4871-848E-8AF9A7822A45}"/>
    <cellStyle name="Style 80 3 3 11" xfId="9040" xr:uid="{2707F7B4-62CF-4298-8A55-AD9921D64A2F}"/>
    <cellStyle name="Style 80 3 3 11 2" xfId="25177" xr:uid="{90580A2D-3C59-433C-8AF5-37DEAD6FCFB0}"/>
    <cellStyle name="Style 80 3 3 12" xfId="9041" xr:uid="{250AD31B-F58D-4FF9-9338-B6711CD06B22}"/>
    <cellStyle name="Style 80 3 3 13" xfId="9042" xr:uid="{5C69DF97-1312-430C-B06C-93B8DFE45D2D}"/>
    <cellStyle name="Style 80 3 3 13 2" xfId="25178" xr:uid="{FA63C005-3C15-4DAA-88D6-A2D7E8C5634B}"/>
    <cellStyle name="Style 80 3 3 14" xfId="9043" xr:uid="{35F6617E-FC19-40D5-84D5-B3186A5EB97C}"/>
    <cellStyle name="Style 80 3 3 14 2" xfId="25179" xr:uid="{46A31A7C-1303-40E2-8655-DF4A7495EF03}"/>
    <cellStyle name="Style 80 3 3 15" xfId="9044" xr:uid="{DAEE3F52-14A2-454A-84F8-3276124111FB}"/>
    <cellStyle name="Style 80 3 3 15 2" xfId="25180" xr:uid="{8083254B-5E1C-4B53-AB21-FA1BFA394AD0}"/>
    <cellStyle name="Style 80 3 3 16" xfId="19009" xr:uid="{A078B227-0024-42FE-96F6-EB3C48302567}"/>
    <cellStyle name="Style 80 3 3 2" xfId="2072" xr:uid="{FF980EDE-03F8-4B4E-9D51-616A33AE0CD5}"/>
    <cellStyle name="Style 80 3 3 2 10" xfId="9045" xr:uid="{2464F91D-B1A3-47B6-A008-AFA8378CC5AF}"/>
    <cellStyle name="Style 80 3 3 2 10 2" xfId="25181" xr:uid="{A89E56F3-A326-4F0F-A893-813636C4CD93}"/>
    <cellStyle name="Style 80 3 3 2 11" xfId="9046" xr:uid="{7A80190B-9CA7-49F2-A9C5-4B3B4FFE14A8}"/>
    <cellStyle name="Style 80 3 3 2 11 2" xfId="25182" xr:uid="{D0F57B3B-527F-4803-8432-A6F18CC891B1}"/>
    <cellStyle name="Style 80 3 3 2 12" xfId="19010" xr:uid="{CCF091ED-AA17-4EF7-95F5-4CBE9A1AB826}"/>
    <cellStyle name="Style 80 3 3 2 2" xfId="4505" xr:uid="{3717C1EC-F961-4DD0-905A-430AA355D75C}"/>
    <cellStyle name="Style 80 3 3 2 2 2" xfId="9047" xr:uid="{BDBBBD84-B848-47EF-8DED-287A7CD3604F}"/>
    <cellStyle name="Style 80 3 3 2 3" xfId="4504" xr:uid="{92B6074E-FD0A-4682-9871-B77D5E8560B3}"/>
    <cellStyle name="Style 80 3 3 2 3 2" xfId="9048" xr:uid="{1193DC17-AA12-4DE3-B8A2-D95F1E2528EA}"/>
    <cellStyle name="Style 80 3 3 2 3 2 2" xfId="25183" xr:uid="{8B46297A-8391-4FC3-9720-2BC6C15BDCE0}"/>
    <cellStyle name="Style 80 3 3 2 4 2" xfId="9049" xr:uid="{9DFA6E28-B11E-4684-9EA7-676032450980}"/>
    <cellStyle name="Style 80 3 3 2 4 2 2" xfId="25184" xr:uid="{52C10CB7-C00D-4033-938C-8F3A3569D1C3}"/>
    <cellStyle name="Style 80 3 3 2 4 3" xfId="22232" xr:uid="{3AC0E62D-7BD9-4CE8-B7D6-E873A085835C}"/>
    <cellStyle name="Style 80 3 3 2 5" xfId="9050" xr:uid="{1A210ADD-C972-4590-BB28-80499A5A0F45}"/>
    <cellStyle name="Style 80 3 3 2 5 2" xfId="25185" xr:uid="{C7193743-E196-4694-961B-A2DD83ED5980}"/>
    <cellStyle name="Style 80 3 3 2 6" xfId="9051" xr:uid="{1E0ACF0D-20DE-4848-B66E-72403DE80436}"/>
    <cellStyle name="Style 80 3 3 2 6 2" xfId="25186" xr:uid="{95B2B8A1-89EA-4D34-BE33-95C637862D31}"/>
    <cellStyle name="Style 80 3 3 2 7" xfId="9052" xr:uid="{AF6FBEFA-5CA6-4D25-A82F-F1F0C3F71268}"/>
    <cellStyle name="Style 80 3 3 2 7 2" xfId="25187" xr:uid="{2FF66E93-A90D-45D3-AC0A-9B446E7BF601}"/>
    <cellStyle name="Style 80 3 3 2 8" xfId="9053" xr:uid="{23ECECA6-C5D6-47D2-84E7-AE672198EA2A}"/>
    <cellStyle name="Style 80 3 3 2 8 2" xfId="25188" xr:uid="{2E05249C-A6C8-44F8-B055-43ED7CE41E68}"/>
    <cellStyle name="Style 80 3 3 2 9" xfId="9054" xr:uid="{999AA991-8740-42BA-BC8B-8A011599AFF1}"/>
    <cellStyle name="Style 80 3 3 2 9 2" xfId="25189" xr:uid="{D10E1E01-8D86-4701-AAC3-795D9CAE6F68}"/>
    <cellStyle name="Style 80 3 3 3 10" xfId="9055" xr:uid="{B6B7C57B-EDD6-4795-BF51-60F09D92C429}"/>
    <cellStyle name="Style 80 3 3 3 10 2" xfId="25190" xr:uid="{1557DD7A-F20B-4753-AE0A-D31C0B641129}"/>
    <cellStyle name="Style 80 3 3 3 11" xfId="9056" xr:uid="{6A52D955-C186-41B9-83EA-DDCD44412296}"/>
    <cellStyle name="Style 80 3 3 3 12" xfId="9057" xr:uid="{3E81E791-ECB5-4E79-8626-3B35C2B62A89}"/>
    <cellStyle name="Style 80 3 3 3 13" xfId="9058" xr:uid="{FC2ECC9B-8CFA-4AAB-870F-F581F16BDF2D}"/>
    <cellStyle name="Style 80 3 3 3 13 2" xfId="25191" xr:uid="{93422BB4-09CC-424A-A03A-D47FE464137F}"/>
    <cellStyle name="Style 80 3 3 3 14" xfId="19011" xr:uid="{9147E2EC-4B81-4DDC-8664-25667C368524}"/>
    <cellStyle name="Style 80 3 3 3 2 10" xfId="9059" xr:uid="{91BAC81D-CA8D-4AF4-8522-B2D666664F0D}"/>
    <cellStyle name="Style 80 3 3 3 2 10 2" xfId="25192" xr:uid="{385AE629-B185-43E0-AE7D-89DEA0E6A664}"/>
    <cellStyle name="Style 80 3 3 3 2 11" xfId="9060" xr:uid="{4A032F39-02E0-4E27-AFCD-9C136BB46952}"/>
    <cellStyle name="Style 80 3 3 3 2 11 2" xfId="25193" xr:uid="{25F156B4-7631-4566-A82C-6B4BAA7E4286}"/>
    <cellStyle name="Style 80 3 3 3 2 12" xfId="19012" xr:uid="{11E525BD-E739-44C7-A251-1977A74558EC}"/>
    <cellStyle name="Style 80 3 3 3 2 2" xfId="4508" xr:uid="{6BFF430A-C911-4463-8548-778473EC06D4}"/>
    <cellStyle name="Style 80 3 3 3 2 2 2" xfId="9061" xr:uid="{E2BD9D21-B400-48C3-A1C3-628C6EF15A80}"/>
    <cellStyle name="Style 80 3 3 3 2 3" xfId="4507" xr:uid="{ADDCEDBA-D144-4AA1-9D64-1FE1CEAEDA1C}"/>
    <cellStyle name="Style 80 3 3 3 2 3 2" xfId="9062" xr:uid="{46B09CD6-FDCD-41D1-AC5C-433ADC18CA9D}"/>
    <cellStyle name="Style 80 3 3 3 2 3 2 2" xfId="25194" xr:uid="{3788E0CB-5EF3-4BBE-AE66-C0EFB1EAF3E6}"/>
    <cellStyle name="Style 80 3 3 3 2 4 2" xfId="9063" xr:uid="{AEC5903F-9AD3-4EF3-8E80-611DCCF64A77}"/>
    <cellStyle name="Style 80 3 3 3 2 4 3" xfId="22234" xr:uid="{01D3B3B7-9C20-44AC-969D-855DFF90FD52}"/>
    <cellStyle name="Style 80 3 3 3 2 5" xfId="9064" xr:uid="{C3B6C186-A82F-4CF1-A648-8D7CD2D4EE01}"/>
    <cellStyle name="Style 80 3 3 3 2 5 2" xfId="25195" xr:uid="{B53D1FBF-521B-44CD-A86E-1C2A1CCA875C}"/>
    <cellStyle name="Style 80 3 3 3 2 6 2" xfId="25196" xr:uid="{D343C4F8-B572-4504-97A5-2925B5763F97}"/>
    <cellStyle name="Style 80 3 3 3 2 7" xfId="9065" xr:uid="{286A3C3A-C445-4ACE-A291-95FE36B98371}"/>
    <cellStyle name="Style 80 3 3 3 2 7 2" xfId="25197" xr:uid="{AD7674EB-57BF-42B6-A87C-99734068B02A}"/>
    <cellStyle name="Style 80 3 3 3 2 8" xfId="9066" xr:uid="{791401E0-26CC-472E-B93F-339D34918762}"/>
    <cellStyle name="Style 80 3 3 3 2 8 2" xfId="25198" xr:uid="{5DA8874D-9285-43BD-A584-8E3821D2807C}"/>
    <cellStyle name="Style 80 3 3 3 2 9" xfId="9067" xr:uid="{7634D43D-64F0-44B9-9BF9-19E6EA9ABA1F}"/>
    <cellStyle name="Style 80 3 3 3 2 9 2" xfId="25199" xr:uid="{A309E582-92BB-4ECD-AFEA-533A73C1E0CF}"/>
    <cellStyle name="Style 80 3 3 3 3" xfId="4509" xr:uid="{5D1DD285-C7F6-4866-AB1C-0415523A37B1}"/>
    <cellStyle name="Style 80 3 3 3 3 2" xfId="4510" xr:uid="{3D7F634E-87B0-415B-92B6-405100BD8AC9}"/>
    <cellStyle name="Style 80 3 3 3 3 2 2" xfId="9068" xr:uid="{CB757DEB-A8F8-422C-A1BA-3B55120FF6B1}"/>
    <cellStyle name="Style 80 3 3 3 3 2 2 2" xfId="25200" xr:uid="{B702EC1F-6F2C-404B-90A0-1C0F1672BA85}"/>
    <cellStyle name="Style 80 3 3 3 3 3" xfId="9069" xr:uid="{9070C2A4-3E87-4DF8-982F-32A8ECECE6C3}"/>
    <cellStyle name="Style 80 3 3 3 3 3 2" xfId="25201" xr:uid="{81017A63-25E8-4EB8-8B8E-94EEEA9C7547}"/>
    <cellStyle name="Style 80 3 3 3 3 4" xfId="9070" xr:uid="{A777E744-FC46-4978-BCF7-0867D777B3F9}"/>
    <cellStyle name="Style 80 3 3 3 3 4 2" xfId="25202" xr:uid="{07B6255C-0D52-478D-97AE-8FDB31412876}"/>
    <cellStyle name="Style 80 3 3 3 4" xfId="4511" xr:uid="{A398636D-29E5-468C-97F4-FA88D602B88F}"/>
    <cellStyle name="Style 80 3 3 3 4 2 2" xfId="25203" xr:uid="{836F6A38-1953-4D79-9A94-38534BE71F19}"/>
    <cellStyle name="Style 80 3 3 3 5" xfId="4512" xr:uid="{1264FEF1-D196-41C8-947A-3289C12A181B}"/>
    <cellStyle name="Style 80 3 3 3 5 2" xfId="9071" xr:uid="{D335F41F-15FE-4595-9895-F4C973880938}"/>
    <cellStyle name="Style 80 3 3 3 6" xfId="4506" xr:uid="{F4EA54FD-D6DB-47CD-A2C7-BF3B0A54C35C}"/>
    <cellStyle name="Style 80 3 3 3 6 2" xfId="9072" xr:uid="{4198327F-53AA-418B-A76E-A0D1CE5DB7A4}"/>
    <cellStyle name="Style 80 3 3 3 6 2 2" xfId="25204" xr:uid="{AC550F13-1737-4D60-AE89-0F4134248B06}"/>
    <cellStyle name="Style 80 3 3 3 7" xfId="9073" xr:uid="{A7946739-A963-41E9-AF16-963A5C110C66}"/>
    <cellStyle name="Style 80 3 3 3 7 2" xfId="9074" xr:uid="{2B76D55D-BC25-4B65-B1E3-102FD9DA37EC}"/>
    <cellStyle name="Style 80 3 3 3 7 3" xfId="22233" xr:uid="{ED6462F8-20C5-489D-9830-AA8207690897}"/>
    <cellStyle name="Style 80 3 3 3 8 2" xfId="25205" xr:uid="{870F58F0-79C0-40D0-8D02-4A77A2508A6F}"/>
    <cellStyle name="Style 80 3 3 3 9" xfId="9075" xr:uid="{425AEFA8-A499-460A-8829-B9C17F8B76C9}"/>
    <cellStyle name="Style 80 3 3 3 9 2" xfId="25206" xr:uid="{4DCEC0A8-BE1A-41BE-A20E-1473FFE40F64}"/>
    <cellStyle name="Style 80 3 3 4 10" xfId="9076" xr:uid="{F1024630-85A1-4B47-9794-CB7226E2E121}"/>
    <cellStyle name="Style 80 3 3 4 11" xfId="9077" xr:uid="{2CEAF672-98A0-43F4-9F88-4DB35179127B}"/>
    <cellStyle name="Style 80 3 3 4 11 2" xfId="25207" xr:uid="{B38FA68E-B581-436E-A5CF-4AF18B148148}"/>
    <cellStyle name="Style 80 3 3 4 12" xfId="9078" xr:uid="{98BFDD70-B0B5-4075-9843-B41A51198E23}"/>
    <cellStyle name="Style 80 3 3 4 13" xfId="19013" xr:uid="{209C2BC1-78CD-4FE0-84BA-1D9A7C1841A0}"/>
    <cellStyle name="Style 80 3 3 4 2" xfId="2073" xr:uid="{A35D4293-9249-442B-97AF-5833BF6D5717}"/>
    <cellStyle name="Style 80 3 3 4 2 10" xfId="9079" xr:uid="{584DFFE4-C3D6-4238-90D5-5A12731D41A6}"/>
    <cellStyle name="Style 80 3 3 4 2 10 2" xfId="25208" xr:uid="{AFD657FF-A57E-4033-AAE7-CC2FAE613138}"/>
    <cellStyle name="Style 80 3 3 4 2 11" xfId="9080" xr:uid="{45F6E2F8-2CD9-4F2A-888E-F2B1711499AD}"/>
    <cellStyle name="Style 80 3 3 4 2 11 2" xfId="25209" xr:uid="{2E155958-0FB5-404F-B2BF-043671F0AE65}"/>
    <cellStyle name="Style 80 3 3 4 2 12" xfId="19014" xr:uid="{233AFFD2-F9CB-475D-8E95-2CFA68211822}"/>
    <cellStyle name="Style 80 3 3 4 2 2 2" xfId="9081" xr:uid="{7608AAF3-50B2-4033-A8A1-F19DE19E9DDF}"/>
    <cellStyle name="Style 80 3 3 4 2 2 2 2" xfId="25210" xr:uid="{0ACE213C-5333-43B3-8A8B-7FBBF46C180C}"/>
    <cellStyle name="Style 80 3 3 4 2 3" xfId="4514" xr:uid="{9DDCE708-D1F2-4C22-9AE9-237D606BFC8F}"/>
    <cellStyle name="Style 80 3 3 4 2 3 2" xfId="9082" xr:uid="{3A5DFB38-A888-4337-8E1D-0E82825B5164}"/>
    <cellStyle name="Style 80 3 3 4 2 3 2 2" xfId="25211" xr:uid="{F4ABE3A9-9B1F-4395-856C-3B22037F9C2D}"/>
    <cellStyle name="Style 80 3 3 4 2 4" xfId="9083" xr:uid="{DC8055BD-7BE7-4E89-A850-7B3D562DA018}"/>
    <cellStyle name="Style 80 3 3 4 2 4 2" xfId="9084" xr:uid="{C0AC50AD-F85A-4E08-9F10-FCB4D2BCB757}"/>
    <cellStyle name="Style 80 3 3 4 2 4 2 2" xfId="25212" xr:uid="{6F309646-023A-47E8-92E1-ACC6F8422CFB}"/>
    <cellStyle name="Style 80 3 3 4 2 4 3" xfId="22236" xr:uid="{98E5BFC9-0628-4C37-A755-D728F658A1C6}"/>
    <cellStyle name="Style 80 3 3 4 2 5" xfId="9085" xr:uid="{1A9635BC-11E0-4CA6-8F4C-F0D0D71EB8B1}"/>
    <cellStyle name="Style 80 3 3 4 2 5 2" xfId="25213" xr:uid="{027D3360-9142-46C9-AB1C-7FDC6A9DAF72}"/>
    <cellStyle name="Style 80 3 3 4 2 6 2" xfId="25214" xr:uid="{F981A877-E499-428B-9843-DE5D6326B791}"/>
    <cellStyle name="Style 80 3 3 4 2 7 2" xfId="25215" xr:uid="{ABA2D622-1DD6-42CB-8720-947FC590D94F}"/>
    <cellStyle name="Style 80 3 3 4 2 8" xfId="9086" xr:uid="{32EFD23F-B995-4EE4-B1B5-EE9CDCEE4FD2}"/>
    <cellStyle name="Style 80 3 3 4 2 8 2" xfId="25216" xr:uid="{4772927D-158A-49C6-8932-952E245D19A4}"/>
    <cellStyle name="Style 80 3 3 4 2 9 2" xfId="25217" xr:uid="{804C20B2-233E-492B-9DFB-0F6ABF01AE65}"/>
    <cellStyle name="Style 80 3 3 4 3 2" xfId="9087" xr:uid="{C1542338-7912-4611-8479-5B95E436F673}"/>
    <cellStyle name="Style 80 3 3 4 3 2 2" xfId="25218" xr:uid="{6FBC6B3D-CE59-43F1-9F17-E55D374AC3F1}"/>
    <cellStyle name="Style 80 3 3 4 4" xfId="4513" xr:uid="{4F1F9BBE-BB9B-4BF9-ABC7-3E1F0CB6AA41}"/>
    <cellStyle name="Style 80 3 3 4 4 2 2" xfId="25219" xr:uid="{787C996A-5D1C-4D38-BA71-1EED83E83C54}"/>
    <cellStyle name="Style 80 3 3 4 5" xfId="9088" xr:uid="{4CF4C74E-1948-4AB1-8396-D52CEEEA7DC1}"/>
    <cellStyle name="Style 80 3 3 4 5 2" xfId="9089" xr:uid="{4F70463F-9283-4F0B-BB9E-A82067FD4EE7}"/>
    <cellStyle name="Style 80 3 3 4 5 2 2" xfId="25220" xr:uid="{CEF11A02-701D-4021-9FCB-6FF3202F711F}"/>
    <cellStyle name="Style 80 3 3 4 5 3" xfId="22235" xr:uid="{FDD44508-CC16-4BD3-94FE-172AF68D67A2}"/>
    <cellStyle name="Style 80 3 3 4 6" xfId="9090" xr:uid="{62EDD511-8205-4873-A215-011FE6C903A1}"/>
    <cellStyle name="Style 80 3 3 4 6 2" xfId="25221" xr:uid="{3F2FF25F-FAB4-46E2-A637-54C950B4A5EF}"/>
    <cellStyle name="Style 80 3 3 4 7" xfId="9091" xr:uid="{FEEBC09D-3A4B-49A0-9957-24F1527EF78C}"/>
    <cellStyle name="Style 80 3 3 4 7 2" xfId="25222" xr:uid="{36FA0609-9923-4133-A7EE-CB5EB999D147}"/>
    <cellStyle name="Style 80 3 3 4 8" xfId="9092" xr:uid="{2E6D6578-2688-4EED-837B-BE7176E03E49}"/>
    <cellStyle name="Style 80 3 3 4 8 2" xfId="25223" xr:uid="{C4D9C1F6-5A62-4EB5-B494-2CE0065F5017}"/>
    <cellStyle name="Style 80 3 3 4 9" xfId="9093" xr:uid="{3368580C-51F8-42D8-B451-04C323975793}"/>
    <cellStyle name="Style 80 3 3 4 9 2" xfId="25224" xr:uid="{C42F8D9C-B4D3-475B-8C1B-C22567B51A92}"/>
    <cellStyle name="Style 80 3 3 5" xfId="4515" xr:uid="{31350D84-E37F-4C68-A1A0-77CA278B3EFE}"/>
    <cellStyle name="Style 80 3 3 5 2" xfId="9094" xr:uid="{D635B781-4D77-49D1-811D-C2FC4F208D8F}"/>
    <cellStyle name="Style 80 3 3 5 3" xfId="9095" xr:uid="{4DFA9CE1-6EB1-4AD4-A6CE-6F51D8E2D7BC}"/>
    <cellStyle name="Style 80 3 3 5 3 2" xfId="25225" xr:uid="{6679BE6A-15A5-4C72-8685-30068F66E757}"/>
    <cellStyle name="Style 80 3 3 5 4" xfId="9096" xr:uid="{6E9436B1-EC3C-4886-82F7-E3C71572180D}"/>
    <cellStyle name="Style 80 3 3 5 4 2" xfId="25226" xr:uid="{0DA09DDD-F1F3-4867-A216-946D8C479877}"/>
    <cellStyle name="Style 80 3 3 6" xfId="4516" xr:uid="{9886F4E2-B01A-492B-B6B9-6848576B67BE}"/>
    <cellStyle name="Style 80 3 3 6 2" xfId="9097" xr:uid="{C80143BE-F1A9-4CA5-8C91-C4F84239761D}"/>
    <cellStyle name="Style 80 3 3 6 2 2" xfId="25227" xr:uid="{8435499C-9D59-44FE-9538-99DC8E42955A}"/>
    <cellStyle name="Style 80 3 3 7 2" xfId="9098" xr:uid="{CFB0EA55-2486-4566-8EED-C1B426D58FEB}"/>
    <cellStyle name="Style 80 3 3 8" xfId="9099" xr:uid="{CCA476D3-95CE-4ECB-BF9A-310C8287A8F3}"/>
    <cellStyle name="Style 80 3 3 8 2" xfId="9100" xr:uid="{32942839-5B0A-414A-8089-159BB76AC7E6}"/>
    <cellStyle name="Style 80 3 3 8 2 2" xfId="25228" xr:uid="{8CC9ECAF-B1B9-4A45-9BE0-0E9E701292EB}"/>
    <cellStyle name="Style 80 3 3 9" xfId="9101" xr:uid="{5E78295E-000E-4C78-B948-EF9F81FBE01A}"/>
    <cellStyle name="Style 80 3 4" xfId="2074" xr:uid="{A67A8A25-B2F2-421C-BCFC-05E907438108}"/>
    <cellStyle name="Style 80 3 4 10" xfId="9102" xr:uid="{D98BFA51-3D62-4AB0-8576-C3E6DEB98B21}"/>
    <cellStyle name="Style 80 3 4 10 2" xfId="25229" xr:uid="{63922FDA-7512-41F1-A5E0-99DFD1A84EE1}"/>
    <cellStyle name="Style 80 3 4 11 2" xfId="25230" xr:uid="{5E47A036-F6C8-4E56-BA32-2CAF6F28A25C}"/>
    <cellStyle name="Style 80 3 4 12" xfId="19015" xr:uid="{5C23D285-EAB9-4BBF-B163-C385F7D5A687}"/>
    <cellStyle name="Style 80 3 4 2" xfId="4518" xr:uid="{1809C635-0C67-436A-9407-A85DDFC629D2}"/>
    <cellStyle name="Style 80 3 4 2 2" xfId="4519" xr:uid="{2630EDDE-0199-4B59-929F-D794B34A412F}"/>
    <cellStyle name="Style 80 3 4 2 3" xfId="9103" xr:uid="{6521E1B9-1592-4035-92E1-B8D70504B413}"/>
    <cellStyle name="Style 80 3 4 2 3 2" xfId="25231" xr:uid="{52DFF54C-833D-4E4E-ADBF-09CC35C2874B}"/>
    <cellStyle name="Style 80 3 4 2 4" xfId="19016" xr:uid="{0CF5415F-8FB1-4DAB-9059-1A5AE1280F21}"/>
    <cellStyle name="Style 80 3 4 3" xfId="4520" xr:uid="{DB73FEED-6A75-40F3-865F-CED9EAF38748}"/>
    <cellStyle name="Style 80 3 4 3 2" xfId="9104" xr:uid="{BB58C083-017A-4B93-9837-B776EAD4B6D3}"/>
    <cellStyle name="Style 80 3 4 3 2 2" xfId="25232" xr:uid="{A398E96A-2373-4DCC-AA08-DAB33EF25C37}"/>
    <cellStyle name="Style 80 3 4 4" xfId="4521" xr:uid="{8826565A-F4E4-4AEB-A954-FD35A64AEF49}"/>
    <cellStyle name="Style 80 3 4 4 2" xfId="9105" xr:uid="{5C685069-1FD1-44B4-8D37-CBCDCF7E3F81}"/>
    <cellStyle name="Style 80 3 4 4 2 2" xfId="25233" xr:uid="{C16126D6-1F9E-4B8C-A2B1-9C7EA53CB75A}"/>
    <cellStyle name="Style 80 3 4 5" xfId="4517" xr:uid="{AEDB83F8-3041-4BE4-819D-6303789445EE}"/>
    <cellStyle name="Style 80 3 4 5 2" xfId="9106" xr:uid="{9A014306-0DE4-4A73-B1C7-00C112BC6F84}"/>
    <cellStyle name="Style 80 3 4 6" xfId="9107" xr:uid="{266E0285-9B02-4167-9E91-E734A74C751E}"/>
    <cellStyle name="Style 80 3 4 6 2" xfId="9108" xr:uid="{AC2F6A64-D68C-4072-A299-62CA06E3D060}"/>
    <cellStyle name="Style 80 3 4 6 2 2" xfId="25234" xr:uid="{CB0453E9-4FD4-4AF6-BFCE-702B08A9A602}"/>
    <cellStyle name="Style 80 3 4 6 3" xfId="22237" xr:uid="{B02D55AA-A7B5-4A30-B43E-9C2EB56D0909}"/>
    <cellStyle name="Style 80 3 4 7" xfId="9109" xr:uid="{5CC807B1-9563-4FA4-A742-8AC45EF8EB9F}"/>
    <cellStyle name="Style 80 3 4 7 2" xfId="25235" xr:uid="{2A91C47E-43A2-4C48-9CFF-BCDD55F898B6}"/>
    <cellStyle name="Style 80 3 4 8" xfId="9110" xr:uid="{7139DE6B-39DB-4F3E-BF0B-AFBCA2C1CDE1}"/>
    <cellStyle name="Style 80 3 4 9" xfId="9111" xr:uid="{826D1DAA-69C0-4FEC-95B4-004F0172C5B4}"/>
    <cellStyle name="Style 80 3 5" xfId="4522" xr:uid="{F1CFAC29-236D-41BD-ABE0-709862C4EF6A}"/>
    <cellStyle name="Style 80 3 5 2" xfId="4523" xr:uid="{E745E40D-F173-418E-8D2B-9EDFEC7B3159}"/>
    <cellStyle name="Style 80 3 5 3" xfId="9112" xr:uid="{0AABA818-0F77-4ABC-9E0F-90D14F61ADE3}"/>
    <cellStyle name="Style 80 3 5 4 2" xfId="25236" xr:uid="{874FE982-1034-4A3B-8946-6004AFEAAFE5}"/>
    <cellStyle name="Style 80 3 6" xfId="4524" xr:uid="{E3369ACB-D526-47D9-9FAE-F266DBF28703}"/>
    <cellStyle name="Style 80 3 6 2" xfId="9113" xr:uid="{32656760-F44C-4012-A60E-56078C2E9BB5}"/>
    <cellStyle name="Style 80 3 6 2 2" xfId="25237" xr:uid="{3CED141C-CF6B-44FD-B21F-96550211929C}"/>
    <cellStyle name="Style 80 3 7 2" xfId="9114" xr:uid="{025859A2-73BA-431F-9735-E61D58497B7B}"/>
    <cellStyle name="Style 80 3 7 2 2" xfId="25238" xr:uid="{7A0C79B6-2A82-4E92-81FF-4ACDDD907BD3}"/>
    <cellStyle name="Style 80 3 8" xfId="2958" xr:uid="{ABD78E84-8C3E-4313-8288-8CBDDEE5F3AE}"/>
    <cellStyle name="Style 80 3 8 2" xfId="9115" xr:uid="{370ADF4A-FF34-4E5C-AAA3-9E4118689415}"/>
    <cellStyle name="Style 80 3 8 2 2" xfId="25239" xr:uid="{997B0C1B-E7D8-4C89-BB48-5E2EE4542610}"/>
    <cellStyle name="Style 80 3 8 3" xfId="21304" xr:uid="{BBC0CD1F-0AF2-447A-903E-256D0FCCE03A}"/>
    <cellStyle name="Style 80 3 9" xfId="9116" xr:uid="{12B02253-84FC-4CC7-801C-1A6D682B541D}"/>
    <cellStyle name="Style 80 3 9 2" xfId="25240" xr:uid="{1C431871-CC6D-4899-AACF-53A5766BF3DD}"/>
    <cellStyle name="Style 80 4" xfId="2075" xr:uid="{70119C53-B1E5-4CDB-B1E1-A2B9EF4E5074}"/>
    <cellStyle name="Style 80 4 10 2" xfId="25241" xr:uid="{A455A6CC-D2C0-4D56-966A-7442B3DAD701}"/>
    <cellStyle name="Style 80 4 11" xfId="9117" xr:uid="{7E5B3803-3160-4E94-960D-D62D7A5F3355}"/>
    <cellStyle name="Style 80 4 11 2" xfId="25242" xr:uid="{6B83269A-2895-4B67-AC2E-82BAF9991C24}"/>
    <cellStyle name="Style 80 4 12" xfId="9118" xr:uid="{E8F443DC-B525-4685-999F-F47EDE7B0F1E}"/>
    <cellStyle name="Style 80 4 12 2" xfId="25243" xr:uid="{2A79F4C7-78C9-46B3-A737-373D23A1057B}"/>
    <cellStyle name="Style 80 4 13" xfId="9119" xr:uid="{23E5B35F-C4E9-4A17-95FA-00BD191EDB33}"/>
    <cellStyle name="Style 80 4 13 2" xfId="25244" xr:uid="{CA74B5DF-15B0-443D-AF5A-4A603F2097D9}"/>
    <cellStyle name="Style 80 4 14 2" xfId="25245" xr:uid="{7190A618-4564-43C5-B141-A78079A79F97}"/>
    <cellStyle name="Style 80 4 2" xfId="2076" xr:uid="{7E8BA15A-9FF2-4972-BADE-05D506E78477}"/>
    <cellStyle name="Style 80 4 2 10" xfId="9120" xr:uid="{D1E9498A-33F6-4EDE-BEAA-9EC76C3CBE08}"/>
    <cellStyle name="Style 80 4 2 10 2" xfId="25246" xr:uid="{B2E96F24-5A9E-422C-98D2-66F80EE43B74}"/>
    <cellStyle name="Style 80 4 2 11" xfId="9121" xr:uid="{90F12C36-DF0B-49BB-AD39-31B5426227B2}"/>
    <cellStyle name="Style 80 4 2 11 2" xfId="25247" xr:uid="{B15B05C8-D7B8-40C5-8B1B-F85B603C3F03}"/>
    <cellStyle name="Style 80 4 2 12 2" xfId="25248" xr:uid="{E6CBCA87-30E7-4E81-8FA6-C7DC5A84C791}"/>
    <cellStyle name="Style 80 4 2 13 2" xfId="25249" xr:uid="{7401CBD4-581B-44D9-96C1-44AEAD3AF198}"/>
    <cellStyle name="Style 80 4 2 14" xfId="9122" xr:uid="{2F7C03A9-CC0D-4784-8EAF-41D066FA53B7}"/>
    <cellStyle name="Style 80 4 2 14 2" xfId="25250" xr:uid="{D5BC5F68-79D6-4AA4-BFB1-6EB4488D88D6}"/>
    <cellStyle name="Style 80 4 2 15 2" xfId="25251" xr:uid="{B41C6253-1D4A-42A4-A5CF-30C9AA888A8D}"/>
    <cellStyle name="Style 80 4 2 16" xfId="19017" xr:uid="{C07803CD-F8FF-48E7-A158-555F564D1DE7}"/>
    <cellStyle name="Style 80 4 2 2" xfId="2077" xr:uid="{C9E5160B-0417-426E-B6E3-7D32CB247C3C}"/>
    <cellStyle name="Style 80 4 2 2 10" xfId="9123" xr:uid="{EF38BC59-BACD-4B5B-B9E5-81C609213A06}"/>
    <cellStyle name="Style 80 4 2 2 10 2" xfId="25252" xr:uid="{58B08273-7498-4CC6-BE2A-F1C2FBA25DF1}"/>
    <cellStyle name="Style 80 4 2 2 11" xfId="9124" xr:uid="{F676079A-B2F7-4E4A-8550-BB68C5CCE1AA}"/>
    <cellStyle name="Style 80 4 2 2 11 2" xfId="25253" xr:uid="{1C11FABA-A649-46B4-897E-1F8B5E9002CC}"/>
    <cellStyle name="Style 80 4 2 2 12" xfId="19018" xr:uid="{8E6E5742-34F0-45F3-8C21-251D4612DD6B}"/>
    <cellStyle name="Style 80 4 2 2 2" xfId="4528" xr:uid="{FDCD4561-C6BD-4B6D-B064-D66937A84ECD}"/>
    <cellStyle name="Style 80 4 2 2 2 2" xfId="9125" xr:uid="{726CB1EA-70A0-47E6-AF9C-45231D1C6F9E}"/>
    <cellStyle name="Style 80 4 2 2 2 2 2" xfId="25254" xr:uid="{B67636FE-37F1-4505-9705-B47D7981CBA8}"/>
    <cellStyle name="Style 80 4 2 2 3" xfId="4527" xr:uid="{984E7E29-E761-4966-B714-F74944547607}"/>
    <cellStyle name="Style 80 4 2 2 3 2" xfId="9126" xr:uid="{F6A4C5AC-28B9-4978-9591-2CB53AFF4155}"/>
    <cellStyle name="Style 80 4 2 2 3 2 2" xfId="25255" xr:uid="{759DEB28-78A0-42BD-BB04-B1CCED659095}"/>
    <cellStyle name="Style 80 4 2 2 4" xfId="9127" xr:uid="{DAD67C5E-A0C7-44F3-9119-A8EA0F471AF1}"/>
    <cellStyle name="Style 80 4 2 2 4 2 2" xfId="25256" xr:uid="{5E77367B-D64D-4835-8E5C-9E8D5EFF37BD}"/>
    <cellStyle name="Style 80 4 2 2 4 3" xfId="22240" xr:uid="{D0CE66E7-C24C-4721-AA08-82C985F6B096}"/>
    <cellStyle name="Style 80 4 2 2 5" xfId="9128" xr:uid="{2DCF1906-3F42-4F93-A950-15436C810A62}"/>
    <cellStyle name="Style 80 4 2 2 6" xfId="9129" xr:uid="{7F714970-5694-4308-8CC0-7EEED290EC55}"/>
    <cellStyle name="Style 80 4 2 2 6 2" xfId="25257" xr:uid="{F742360C-DBEF-4F88-91FF-36BD1CD2B75B}"/>
    <cellStyle name="Style 80 4 2 2 7" xfId="9130" xr:uid="{B765E28F-9988-4F02-8CBF-2F5FDFA57BEB}"/>
    <cellStyle name="Style 80 4 2 2 7 2" xfId="25258" xr:uid="{E5AF9B2A-D419-4B03-B1EE-E63753F434DA}"/>
    <cellStyle name="Style 80 4 2 2 8" xfId="9131" xr:uid="{76011058-EE7E-4D5A-8C74-ED466F484134}"/>
    <cellStyle name="Style 80 4 2 2 8 2" xfId="25259" xr:uid="{1B9BB863-8E1C-4608-8182-263868C36A5C}"/>
    <cellStyle name="Style 80 4 2 2 9" xfId="9132" xr:uid="{0DF66754-BCFA-4EF0-8DE5-62D48ECFF1FF}"/>
    <cellStyle name="Style 80 4 2 2 9 2" xfId="25260" xr:uid="{CDD7DE2D-313E-4B45-B685-F0BCDC488A1F}"/>
    <cellStyle name="Style 80 4 2 3" xfId="2078" xr:uid="{39F6E146-2EF8-4A2C-9520-C15241346050}"/>
    <cellStyle name="Style 80 4 2 3 10" xfId="9133" xr:uid="{66C37516-4B53-4855-B056-F284B5E0696E}"/>
    <cellStyle name="Style 80 4 2 3 10 2" xfId="25261" xr:uid="{FDE5A65B-8E5F-4740-B3E9-8736D9E5B5A9}"/>
    <cellStyle name="Style 80 4 2 3 11" xfId="9134" xr:uid="{33961B11-0754-4D53-9B8E-F1D1555BFCCE}"/>
    <cellStyle name="Style 80 4 2 3 11 2" xfId="25262" xr:uid="{6580C5B6-683F-496B-9505-FE26B62DE3A7}"/>
    <cellStyle name="Style 80 4 2 3 12 2" xfId="25263" xr:uid="{8E777B46-E582-4A58-970F-1D3DB5D53B2E}"/>
    <cellStyle name="Style 80 4 2 3 13" xfId="9135" xr:uid="{08A75E4B-07A2-4949-80F7-5C60DF0F7667}"/>
    <cellStyle name="Style 80 4 2 3 13 2" xfId="25264" xr:uid="{52BF1446-DB42-4AB3-9C35-C8C592B67140}"/>
    <cellStyle name="Style 80 4 2 3 14" xfId="19019" xr:uid="{8D9B8579-33C3-431D-84EB-197365854A7C}"/>
    <cellStyle name="Style 80 4 2 3 2" xfId="2079" xr:uid="{12FD951D-32CB-4DD0-A9CE-9B8C956E3D62}"/>
    <cellStyle name="Style 80 4 2 3 2 10" xfId="9136" xr:uid="{D810B916-9141-4A4C-864B-BA43C2E45C09}"/>
    <cellStyle name="Style 80 4 2 3 2 10 2" xfId="25265" xr:uid="{13FCA22C-D82B-435F-8D11-5E8C7D72A365}"/>
    <cellStyle name="Style 80 4 2 3 2 11 2" xfId="25266" xr:uid="{3A8F06F7-36D0-4958-81BA-FABF8ED90BFE}"/>
    <cellStyle name="Style 80 4 2 3 2 2" xfId="4529" xr:uid="{60F880AC-00CC-498D-BB82-EF603871BBBB}"/>
    <cellStyle name="Style 80 4 2 3 2 2 2" xfId="9137" xr:uid="{175F2A18-A4AC-4EE4-B853-3776FEB50FE1}"/>
    <cellStyle name="Style 80 4 2 3 2 2 2 2" xfId="25267" xr:uid="{AEAEB63E-E7C4-43B6-9CCA-BCDDBBA9D3E8}"/>
    <cellStyle name="Style 80 4 2 3 2 3 2" xfId="9138" xr:uid="{E38C10E2-DC35-448D-AB9D-7C4BD5A02EFE}"/>
    <cellStyle name="Style 80 4 2 3 2 3 2 2" xfId="25268" xr:uid="{708FFF2D-2C51-466A-BA80-05ADA488C8EC}"/>
    <cellStyle name="Style 80 4 2 3 2 4" xfId="9139" xr:uid="{F7EC66B9-32ED-41DE-BBAA-B93A88E272D7}"/>
    <cellStyle name="Style 80 4 2 3 2 4 2" xfId="9140" xr:uid="{A19CA99D-FF7D-4E36-A321-4EEBD642CDD6}"/>
    <cellStyle name="Style 80 4 2 3 2 4 2 2" xfId="25269" xr:uid="{27DB2E40-5C34-447E-A36A-1510E0431273}"/>
    <cellStyle name="Style 80 4 2 3 2 4 3" xfId="22242" xr:uid="{306409D0-FB0D-4765-81E7-9343F2361E6F}"/>
    <cellStyle name="Style 80 4 2 3 2 5" xfId="9141" xr:uid="{FFCABB6F-A790-4E77-BD08-4FA37B1C7D8A}"/>
    <cellStyle name="Style 80 4 2 3 2 6" xfId="9142" xr:uid="{D220660D-7A4E-48DC-9DE4-3EEC34795146}"/>
    <cellStyle name="Style 80 4 2 3 2 6 2" xfId="25270" xr:uid="{81E98FDD-CC5A-4973-960A-95E0440F8138}"/>
    <cellStyle name="Style 80 4 2 3 2 7" xfId="9143" xr:uid="{066F0A71-CA7F-4C45-82A9-D96B985D202D}"/>
    <cellStyle name="Style 80 4 2 3 2 7 2" xfId="25271" xr:uid="{A76F798A-1DC8-43D2-A116-0505A0F3F4E6}"/>
    <cellStyle name="Style 80 4 2 3 2 8" xfId="9144" xr:uid="{E7AF3EC2-A4F6-4FA8-B98A-10FD8D623A30}"/>
    <cellStyle name="Style 80 4 2 3 2 8 2" xfId="25272" xr:uid="{25526D86-2556-41D8-85E0-D56F7BD75417}"/>
    <cellStyle name="Style 80 4 2 3 2 9" xfId="9145" xr:uid="{F6379796-5101-49CC-BC24-4250F258B413}"/>
    <cellStyle name="Style 80 4 2 3 2 9 2" xfId="25273" xr:uid="{9A31A83A-874A-458E-8200-46F71AE17C3A}"/>
    <cellStyle name="Style 80 4 2 3 3" xfId="4530" xr:uid="{F0046601-6233-4983-8923-108C2ACAE7D2}"/>
    <cellStyle name="Style 80 4 2 3 3 2 2" xfId="9146" xr:uid="{6B8F1EA6-CC57-40C8-B7FC-E36E480577A3}"/>
    <cellStyle name="Style 80 4 2 3 3 3" xfId="9147" xr:uid="{9D46AC5A-49DE-4C03-9BFD-846F8AF6146F}"/>
    <cellStyle name="Style 80 4 2 3 3 3 2" xfId="25274" xr:uid="{0F3018DB-3846-491C-860C-3F064803C37E}"/>
    <cellStyle name="Style 80 4 2 3 3 4" xfId="9148" xr:uid="{F5F94EA4-417E-41EE-B21D-CCB9ADA12CB5}"/>
    <cellStyle name="Style 80 4 2 3 3 4 2" xfId="25275" xr:uid="{26465FF0-401C-4523-B09F-0F536D330967}"/>
    <cellStyle name="Style 80 4 2 3 3 5" xfId="19020" xr:uid="{4025AD0B-C07E-436E-917D-2275CA63C737}"/>
    <cellStyle name="Style 80 4 2 3 4 2" xfId="9149" xr:uid="{6057356B-CDCC-4FDA-BDBA-A86770727EE7}"/>
    <cellStyle name="Style 80 4 2 3 5" xfId="4531" xr:uid="{2BB789C3-5100-4143-B006-8D54F0094D53}"/>
    <cellStyle name="Style 80 4 2 3 5 2" xfId="9150" xr:uid="{103634FF-FDA5-46B2-B30D-70767D136B89}"/>
    <cellStyle name="Style 80 4 2 3 5 2 2" xfId="25276" xr:uid="{63E58D55-8C1F-4C78-8729-A7583DF7D41C}"/>
    <cellStyle name="Style 80 4 2 3 6 2" xfId="9151" xr:uid="{8959DFD5-3091-4581-9A1E-156FBE1CD570}"/>
    <cellStyle name="Style 80 4 2 3 6 2 2" xfId="25277" xr:uid="{D9558250-DAB6-4789-939C-6477AD31CCDD}"/>
    <cellStyle name="Style 80 4 2 3 7" xfId="9152" xr:uid="{5A50CAE1-3F22-40C9-8BA7-EA373A30B10A}"/>
    <cellStyle name="Style 80 4 2 3 7 2" xfId="9153" xr:uid="{8BA22CDE-7630-4516-B801-B0FEB4B068B4}"/>
    <cellStyle name="Style 80 4 2 3 7 2 2" xfId="25278" xr:uid="{279F643D-EAD9-4026-BDCC-1C1470E66BA6}"/>
    <cellStyle name="Style 80 4 2 3 7 3" xfId="22241" xr:uid="{AD6B3E9D-F0B7-47AC-99AD-6280C44C5604}"/>
    <cellStyle name="Style 80 4 2 3 8" xfId="9154" xr:uid="{5AC92D5E-3E72-4A55-88E0-37E521BBDFF0}"/>
    <cellStyle name="Style 80 4 2 3 8 2" xfId="25279" xr:uid="{2506D5F6-8CD9-4EC5-8AB1-2CB10A6F7043}"/>
    <cellStyle name="Style 80 4 2 3 9" xfId="9155" xr:uid="{D7322CF7-4EE6-40E8-B46F-47649AEEA466}"/>
    <cellStyle name="Style 80 4 2 3 9 2" xfId="25280" xr:uid="{C4D60493-6F0E-4895-842F-97BDF90E653E}"/>
    <cellStyle name="Style 80 4 2 4" xfId="2080" xr:uid="{E28C54A2-CBE0-48DA-8A15-B248AF255099}"/>
    <cellStyle name="Style 80 4 2 4 10" xfId="9156" xr:uid="{9FB49E77-158B-48DF-9E68-94DA6583D479}"/>
    <cellStyle name="Style 80 4 2 4 10 2" xfId="25281" xr:uid="{6C5F15A3-7C0E-4A76-85C2-F6B7BDD7A13C}"/>
    <cellStyle name="Style 80 4 2 4 11" xfId="9157" xr:uid="{F217660A-4AAB-4801-B380-D30C459C3CB1}"/>
    <cellStyle name="Style 80 4 2 4 11 2" xfId="25282" xr:uid="{CD4C9AF6-AA48-4C64-84D5-CDC7EC1950FB}"/>
    <cellStyle name="Style 80 4 2 4 12 2" xfId="25283" xr:uid="{D2402D43-64F8-4D6A-A9D3-942050A2EAA5}"/>
    <cellStyle name="Style 80 4 2 4 13" xfId="19021" xr:uid="{4D529D46-3EAF-47EA-8F45-9DC12F02D4FF}"/>
    <cellStyle name="Style 80 4 2 4 2" xfId="2081" xr:uid="{A923CED0-34B9-4A0F-AF2E-57D0B7A019F9}"/>
    <cellStyle name="Style 80 4 2 4 2 10" xfId="9158" xr:uid="{A2B60798-E329-48D0-BE65-CA53449D5EBB}"/>
    <cellStyle name="Style 80 4 2 4 2 10 2" xfId="25284" xr:uid="{6DB004EC-A6F4-489C-84E4-E4B229860799}"/>
    <cellStyle name="Style 80 4 2 4 2 11" xfId="9159" xr:uid="{D062B32D-A07C-4FAC-A94F-D10D8369A87A}"/>
    <cellStyle name="Style 80 4 2 4 2 11 2" xfId="25285" xr:uid="{7AA87C0D-7014-4DFB-8350-571028E2FB7E}"/>
    <cellStyle name="Style 80 4 2 4 2 2" xfId="4534" xr:uid="{93B7E7A5-917B-44EF-A78A-5E246F71B703}"/>
    <cellStyle name="Style 80 4 2 4 2 2 2 2" xfId="25286" xr:uid="{68F1460C-A85C-4DDF-8F5D-283DDCC31DDE}"/>
    <cellStyle name="Style 80 4 2 4 2 3" xfId="4533" xr:uid="{9AAA8121-1DF3-4031-8888-E9FDD76F1232}"/>
    <cellStyle name="Style 80 4 2 4 2 3 2" xfId="9160" xr:uid="{1FA09F5D-C22C-4F71-ADC6-BF82FE830DAB}"/>
    <cellStyle name="Style 80 4 2 4 2 4" xfId="9161" xr:uid="{13DBCFD4-935E-4588-948E-9E1CDEF57702}"/>
    <cellStyle name="Style 80 4 2 4 2 4 2 2" xfId="25287" xr:uid="{FBB0CE04-3330-4A2C-8208-3B5EC6F80CBC}"/>
    <cellStyle name="Style 80 4 2 4 2 4 3" xfId="22243" xr:uid="{EA524892-3EEF-4FC8-A4A2-CA2E937736EB}"/>
    <cellStyle name="Style 80 4 2 4 2 5" xfId="9162" xr:uid="{6B8394AB-D367-4352-B09C-0D6A251E8F8D}"/>
    <cellStyle name="Style 80 4 2 4 2 6" xfId="9163" xr:uid="{5C14CE19-899F-4B22-99D6-47FCAAC469B4}"/>
    <cellStyle name="Style 80 4 2 4 2 6 2" xfId="25288" xr:uid="{839C1574-6382-4F2A-8A05-4CDEBF447E71}"/>
    <cellStyle name="Style 80 4 2 4 2 7" xfId="9164" xr:uid="{E25A624F-D8F0-4A77-9D38-3E0158B3CD26}"/>
    <cellStyle name="Style 80 4 2 4 2 7 2" xfId="25289" xr:uid="{FEA65174-202F-4458-9183-40630224E875}"/>
    <cellStyle name="Style 80 4 2 4 2 8" xfId="9165" xr:uid="{F4DA127F-91C9-4A09-A787-B2E00C1D17D9}"/>
    <cellStyle name="Style 80 4 2 4 2 8 2" xfId="25290" xr:uid="{D507BB63-609C-481F-A767-F32298BF96FC}"/>
    <cellStyle name="Style 80 4 2 4 2 9" xfId="9166" xr:uid="{5F18EFB8-2D22-4471-9B8E-1E63A112EDA7}"/>
    <cellStyle name="Style 80 4 2 4 2 9 2" xfId="25291" xr:uid="{DAF7E66F-783C-4E58-937E-45C61D549DAE}"/>
    <cellStyle name="Style 80 4 2 4 3" xfId="4535" xr:uid="{6E5AD18E-A7DF-4304-893E-292627A18A08}"/>
    <cellStyle name="Style 80 4 2 4 3 2 2" xfId="25292" xr:uid="{72BE00F0-92FC-4F6F-94F8-F7EC86CC1726}"/>
    <cellStyle name="Style 80 4 2 4 4" xfId="4532" xr:uid="{85D024C7-7055-418D-816C-45680ACE7244}"/>
    <cellStyle name="Style 80 4 2 4 4 2" xfId="9167" xr:uid="{029C1244-2104-48E5-A90D-B1501DBD4A0D}"/>
    <cellStyle name="Style 80 4 2 4 4 2 2" xfId="25293" xr:uid="{ADFA3FAD-A6EA-41AB-AC4D-CF91A1E2B1C1}"/>
    <cellStyle name="Style 80 4 2 4 5" xfId="9168" xr:uid="{2530D2D1-A32C-46F4-BE0E-366DEBFBE5FA}"/>
    <cellStyle name="Style 80 4 2 4 5 2" xfId="9169" xr:uid="{AEA93ABD-6CE9-4159-A01E-31DF070F86D2}"/>
    <cellStyle name="Style 80 4 2 4 5 2 2" xfId="25294" xr:uid="{FC61A38E-DCF3-48D3-8B17-F573725000BB}"/>
    <cellStyle name="Style 80 4 2 4 6" xfId="9170" xr:uid="{3E90D31B-1781-4939-B57F-7A147DBA81C1}"/>
    <cellStyle name="Style 80 4 2 4 7" xfId="9171" xr:uid="{6B8ACEF8-9B1C-4905-B2AD-3910C2F3B89E}"/>
    <cellStyle name="Style 80 4 2 4 7 2" xfId="25295" xr:uid="{2B95D12F-7530-4315-B366-524734BE4767}"/>
    <cellStyle name="Style 80 4 2 4 8" xfId="9172" xr:uid="{FAA0135A-D9CB-4EED-A79C-9D205ACBBB82}"/>
    <cellStyle name="Style 80 4 2 4 8 2" xfId="25296" xr:uid="{763F365B-3068-49B9-8AA4-9A5442596AF2}"/>
    <cellStyle name="Style 80 4 2 4 9" xfId="9173" xr:uid="{25F7B63F-E26D-4AAF-B356-367E267078AD}"/>
    <cellStyle name="Style 80 4 2 5" xfId="4536" xr:uid="{10E5AAF3-2EFE-463B-910F-80C4FC171498}"/>
    <cellStyle name="Style 80 4 2 5 2 2" xfId="25297" xr:uid="{A4C4FDE3-DBF5-4626-B2E1-DFC406F7234C}"/>
    <cellStyle name="Style 80 4 2 5 3" xfId="9174" xr:uid="{2ABA870A-F816-4590-8438-1B2C98CD6201}"/>
    <cellStyle name="Style 80 4 2 5 3 2" xfId="25298" xr:uid="{1BC13897-937B-4A5A-B5C4-F76D8B3984C4}"/>
    <cellStyle name="Style 80 4 2 5 4 2" xfId="25299" xr:uid="{C466DDEB-00AE-45AA-BD84-466689CB8981}"/>
    <cellStyle name="Style 80 4 2 6" xfId="4537" xr:uid="{AF4C8F64-C277-4E73-8695-FCCED03C6466}"/>
    <cellStyle name="Style 80 4 2 6 2" xfId="9175" xr:uid="{EE2948E9-BACB-4D03-887C-51414512CF56}"/>
    <cellStyle name="Style 80 4 2 6 2 2" xfId="25300" xr:uid="{479D261E-01D8-4013-981A-C384A1A31DBB}"/>
    <cellStyle name="Style 80 4 2 7" xfId="4526" xr:uid="{6CAF7DFB-B431-461B-85DD-58096588B764}"/>
    <cellStyle name="Style 80 4 2 7 2" xfId="9176" xr:uid="{135F6B5C-03A3-43EC-A2FB-523F8FED7992}"/>
    <cellStyle name="Style 80 4 2 7 2 2" xfId="25301" xr:uid="{F6440F16-F56D-4D16-BBFC-D88F506BF9E8}"/>
    <cellStyle name="Style 80 4 2 8" xfId="9177" xr:uid="{927C0455-56A8-46FE-92BE-EE8C21448B3A}"/>
    <cellStyle name="Style 80 4 2 8 2" xfId="9178" xr:uid="{3C17ED08-C10B-4A56-B708-DB930455E62B}"/>
    <cellStyle name="Style 80 4 2 8 2 2" xfId="25302" xr:uid="{CDD95AA8-DCE5-487C-B417-967B223668FE}"/>
    <cellStyle name="Style 80 4 2 8 3" xfId="22239" xr:uid="{4698D4ED-7274-46BE-A975-67CFAC641D16}"/>
    <cellStyle name="Style 80 4 2 9" xfId="9179" xr:uid="{0192DC64-B392-40AB-A511-1A9FD49DDEEC}"/>
    <cellStyle name="Style 80 4 2 9 2" xfId="25303" xr:uid="{BA773251-E8BD-429F-96EB-023A8CD2CA7C}"/>
    <cellStyle name="Style 80 4 3" xfId="2082" xr:uid="{3EE36EAB-275F-4004-BAF5-88B5792F6740}"/>
    <cellStyle name="Style 80 4 3 10" xfId="9180" xr:uid="{8A8EE6DC-8707-44DE-8397-35702042D2F5}"/>
    <cellStyle name="Style 80 4 3 11" xfId="9181" xr:uid="{0C54B184-F6CB-4141-8DC9-3314A9C83F2E}"/>
    <cellStyle name="Style 80 4 3 11 2" xfId="25304" xr:uid="{A5C86293-63AE-448A-BEC4-557B42149035}"/>
    <cellStyle name="Style 80 4 3 12" xfId="19022" xr:uid="{F3E057C4-A19D-40E3-A012-4924A1A31C2E}"/>
    <cellStyle name="Style 80 4 3 2 2" xfId="9182" xr:uid="{21B3C770-971F-4FD3-B5E0-FD9D87635745}"/>
    <cellStyle name="Style 80 4 3 3" xfId="4538" xr:uid="{617C9766-A3A7-4B11-9B63-5945F5328057}"/>
    <cellStyle name="Style 80 4 3 3 2" xfId="9183" xr:uid="{FFFAF20A-B361-4473-86D2-F51D82F9F167}"/>
    <cellStyle name="Style 80 4 3 3 2 2" xfId="25305" xr:uid="{0401A11D-2A90-4B8E-BA5F-168E799ABFF0}"/>
    <cellStyle name="Style 80 4 3 4 2" xfId="9184" xr:uid="{EA0366C5-4CC4-49D9-9E1C-3045C5989C66}"/>
    <cellStyle name="Style 80 4 3 4 3" xfId="22244" xr:uid="{232324E2-1669-4E43-947A-F4568BBFE55F}"/>
    <cellStyle name="Style 80 4 3 5" xfId="9185" xr:uid="{FD9ACA39-F68B-43CB-B832-FF7BF0FD2519}"/>
    <cellStyle name="Style 80 4 3 5 2" xfId="25306" xr:uid="{04701FEF-4C3A-4047-8164-95949FB15E8A}"/>
    <cellStyle name="Style 80 4 3 6 2" xfId="25307" xr:uid="{64D4B651-E26A-4D4C-BFB4-E2C60394D0D0}"/>
    <cellStyle name="Style 80 4 3 7" xfId="9186" xr:uid="{FFBEFB97-919F-4C25-B5B9-798418CB0287}"/>
    <cellStyle name="Style 80 4 3 7 2" xfId="25308" xr:uid="{D7A2172D-9C94-42FF-8546-F0FE35C1FC1A}"/>
    <cellStyle name="Style 80 4 3 8" xfId="9187" xr:uid="{3E265C82-056A-456B-BD46-32569F9870BB}"/>
    <cellStyle name="Style 80 4 3 8 2" xfId="25309" xr:uid="{05BF0DEE-199B-46FB-A9D7-1B0E3A88BBC8}"/>
    <cellStyle name="Style 80 4 3 9" xfId="9188" xr:uid="{2A2E2A4F-B9ED-4315-BF1B-0546DD2211B6}"/>
    <cellStyle name="Style 80 4 3 9 2" xfId="25310" xr:uid="{AC2697A6-5148-4453-A717-838D8D0E1B4E}"/>
    <cellStyle name="Style 80 4 4" xfId="4539" xr:uid="{06F87929-2653-47D9-8BDF-CBB2B75800D0}"/>
    <cellStyle name="Style 80 4 4 2" xfId="4540" xr:uid="{1325E87F-1EF7-49A7-A3EA-785597000205}"/>
    <cellStyle name="Style 80 4 4 2 2 2" xfId="25311" xr:uid="{8D5C4E30-B8C6-49EE-BB47-2D76AD1A2AFA}"/>
    <cellStyle name="Style 80 4 4 3" xfId="4541" xr:uid="{E3F7A49C-3398-4DDB-A05B-005E85A9DE83}"/>
    <cellStyle name="Style 80 4 4 3 2" xfId="9189" xr:uid="{F565FF71-6384-4D90-86A6-B0E8C0781636}"/>
    <cellStyle name="Style 80 4 4 3 2 2" xfId="25312" xr:uid="{C1BC40A3-EEB8-45D8-9399-04FB760B600F}"/>
    <cellStyle name="Style 80 4 4 4" xfId="9190" xr:uid="{F92E67C4-0836-492A-91DF-06331F1F0FC1}"/>
    <cellStyle name="Style 80 4 4 4 2" xfId="25313" xr:uid="{E76CF61A-7FCF-49FD-A86B-5F886F5C5C04}"/>
    <cellStyle name="Style 80 4 4 5" xfId="19023" xr:uid="{EE4897AA-3E13-430D-90BE-001BF9163DFE}"/>
    <cellStyle name="Style 80 4 5 2" xfId="9191" xr:uid="{C71C747B-8D89-4704-8F68-3EA93F4A8196}"/>
    <cellStyle name="Style 80 4 6" xfId="4525" xr:uid="{B348A902-D942-44DB-911B-9E39293E2400}"/>
    <cellStyle name="Style 80 4 6 2" xfId="9192" xr:uid="{DDBFAE0D-8E35-47E5-A53A-E6A6B3E36802}"/>
    <cellStyle name="Style 80 4 6 2 2" xfId="25314" xr:uid="{AA53D906-5AED-4318-8B96-1AC62B355C76}"/>
    <cellStyle name="Style 80 4 7 2" xfId="9193" xr:uid="{D05249D3-072A-42C2-B681-AAFD28931F2D}"/>
    <cellStyle name="Style 80 4 7 3" xfId="21305" xr:uid="{3DB0FC21-2659-43C7-9669-8FAEF5CC7EA8}"/>
    <cellStyle name="Style 80 4 8" xfId="9194" xr:uid="{F3F476BD-5002-4327-B39B-DF08EFEA19B0}"/>
    <cellStyle name="Style 80 4 8 2" xfId="9195" xr:uid="{5EC723DC-3C5C-4E3D-8AAD-E214B2FE4C23}"/>
    <cellStyle name="Style 80 4 8 3" xfId="22238" xr:uid="{5CB32E0F-4FF1-4AA2-A931-9FE32C866200}"/>
    <cellStyle name="Style 80 4 9" xfId="9196" xr:uid="{FF6A3C87-F54B-4E8D-8F33-33A6A166B40B}"/>
    <cellStyle name="Style 80 4 9 2" xfId="25315" xr:uid="{69A91F57-AFA4-411A-A052-BCF8F1EF41F6}"/>
    <cellStyle name="Style 80 5" xfId="2083" xr:uid="{C54955EE-C847-4131-A287-800D5DF5CF54}"/>
    <cellStyle name="Style 80 5 10" xfId="9197" xr:uid="{156BFC84-249C-4B5B-82D4-6ADAE53776FD}"/>
    <cellStyle name="Style 80 5 10 2" xfId="25316" xr:uid="{3F6E45E7-2962-4626-A9BB-FAFC6E868DD2}"/>
    <cellStyle name="Style 80 5 11" xfId="9198" xr:uid="{84C43C85-AFCF-48B9-AC6C-F85F3ED5A331}"/>
    <cellStyle name="Style 80 5 11 2" xfId="25317" xr:uid="{119DDBC3-349B-4A2A-A884-BE891C7E556B}"/>
    <cellStyle name="Style 80 5 12" xfId="9199" xr:uid="{DC90C2DB-07B4-4F5B-9E68-329113266EF9}"/>
    <cellStyle name="Style 80 5 12 2" xfId="25318" xr:uid="{C22BAFF2-952A-410D-B6ED-C986A8355BD9}"/>
    <cellStyle name="Style 80 5 13" xfId="9200" xr:uid="{7AE205B2-7325-44B3-921C-AFE9EB4E5C32}"/>
    <cellStyle name="Style 80 5 13 2" xfId="25319" xr:uid="{ED6662CA-5C04-4BC7-ADFC-7E3C5092EDF9}"/>
    <cellStyle name="Style 80 5 14" xfId="9201" xr:uid="{8EE279C8-BFF2-4032-8A79-297EE923797E}"/>
    <cellStyle name="Style 80 5 14 2" xfId="25320" xr:uid="{8F493A29-CF79-402E-B79D-4D7A5B1985A9}"/>
    <cellStyle name="Style 80 5 15" xfId="19024" xr:uid="{5C62AA40-51EA-46CB-98E7-2C67605AAE7B}"/>
    <cellStyle name="Style 80 5 2 10" xfId="9202" xr:uid="{4A853C7C-44A9-4FDE-B08E-507DFF074614}"/>
    <cellStyle name="Style 80 5 2 10 2" xfId="25321" xr:uid="{97B7D160-672F-4EE3-A17B-85D58C6EC459}"/>
    <cellStyle name="Style 80 5 2 11" xfId="9203" xr:uid="{CA46FA7E-E0BB-4B8D-8AD8-7D96A1B7239C}"/>
    <cellStyle name="Style 80 5 2 12" xfId="9204" xr:uid="{1FD46214-3E67-4DA3-AA7D-50BE14049403}"/>
    <cellStyle name="Style 80 5 2 12 2" xfId="25322" xr:uid="{D886D731-5552-4882-B758-17E1CD763A77}"/>
    <cellStyle name="Style 80 5 2 13" xfId="9205" xr:uid="{AD6B5E07-ED2E-4D38-AD59-B667F59FC0D0}"/>
    <cellStyle name="Style 80 5 2 13 2" xfId="25323" xr:uid="{DC5306E6-FC36-47DC-A07A-B1161C4D0057}"/>
    <cellStyle name="Style 80 5 2 14" xfId="9206" xr:uid="{D0A80D7C-2464-41E3-B61D-AD590F2AECD8}"/>
    <cellStyle name="Style 80 5 2 14 2" xfId="25324" xr:uid="{DE70C8EE-93FC-4394-96D8-169F7F31619C}"/>
    <cellStyle name="Style 80 5 2 15" xfId="19025" xr:uid="{C602C419-89F6-4DCA-8377-3A6010F7BBAB}"/>
    <cellStyle name="Style 80 5 2 2" xfId="2084" xr:uid="{4DB4D421-A622-46B2-8713-374704C697FB}"/>
    <cellStyle name="Style 80 5 2 2 10" xfId="9207" xr:uid="{A0919AA0-2D10-488B-8C33-9CEB8E01BF2F}"/>
    <cellStyle name="Style 80 5 2 2 10 2" xfId="25325" xr:uid="{60040796-5C86-41E8-993E-122BA9541976}"/>
    <cellStyle name="Style 80 5 2 2 11" xfId="9208" xr:uid="{7D88C598-12D2-42DB-A7F7-E8F282A7405F}"/>
    <cellStyle name="Style 80 5 2 2 11 2" xfId="25326" xr:uid="{5DEC9004-4CB0-4B9D-AF7C-A894FB67BDAF}"/>
    <cellStyle name="Style 80 5 2 2 12" xfId="19026" xr:uid="{C119AD3B-59DD-4666-BCAF-F52F73856A8B}"/>
    <cellStyle name="Style 80 5 2 2 2" xfId="4545" xr:uid="{E8C1ADC1-50E2-4680-8804-6A47153F374B}"/>
    <cellStyle name="Style 80 5 2 2 2 2" xfId="9209" xr:uid="{D91CEBE0-163C-4E1A-91B9-4133C61847F1}"/>
    <cellStyle name="Style 80 5 2 2 2 2 2" xfId="25327" xr:uid="{F97DBFF8-DF24-4532-A6F9-03655FDCB7D2}"/>
    <cellStyle name="Style 80 5 2 2 3" xfId="4544" xr:uid="{625FD777-5798-4308-8661-3BC9F0D178CB}"/>
    <cellStyle name="Style 80 5 2 2 3 2" xfId="9210" xr:uid="{345B8F0D-D8E5-4793-9001-F5F02DB781A9}"/>
    <cellStyle name="Style 80 5 2 2 3 2 2" xfId="25328" xr:uid="{C96CE521-E389-4EC4-BA38-E04832418ADA}"/>
    <cellStyle name="Style 80 5 2 2 4" xfId="9211" xr:uid="{1D40F135-BB45-446E-A203-5B4350B458E9}"/>
    <cellStyle name="Style 80 5 2 2 4 2" xfId="9212" xr:uid="{11DA886D-D461-4D3C-82F3-B82BAE0FBD03}"/>
    <cellStyle name="Style 80 5 2 2 4 2 2" xfId="25329" xr:uid="{CDD98FFD-4DD5-46F7-B2BF-3250D2D1FF40}"/>
    <cellStyle name="Style 80 5 2 2 4 3" xfId="22247" xr:uid="{3112CB38-57E9-4519-AA55-9971105896B2}"/>
    <cellStyle name="Style 80 5 2 2 5" xfId="9213" xr:uid="{09BDC989-0376-4254-8DA8-031EEDD55383}"/>
    <cellStyle name="Style 80 5 2 2 5 2" xfId="25330" xr:uid="{A2817446-80DD-4C7D-817B-0B1199FA4F6E}"/>
    <cellStyle name="Style 80 5 2 2 6" xfId="9214" xr:uid="{75875635-F488-4437-B160-E2CB5F079633}"/>
    <cellStyle name="Style 80 5 2 2 6 2" xfId="25331" xr:uid="{5DC0F784-C890-4DB3-877E-C286DA30079B}"/>
    <cellStyle name="Style 80 5 2 2 7" xfId="9215" xr:uid="{AA1A784B-3FD9-484D-94B1-52B75205C7EF}"/>
    <cellStyle name="Style 80 5 2 2 7 2" xfId="25332" xr:uid="{07D14577-6819-46AE-96C7-AA36E3FF2AA0}"/>
    <cellStyle name="Style 80 5 2 2 8" xfId="9216" xr:uid="{9E9D8D67-79F8-4297-B54B-DA93FEF582A6}"/>
    <cellStyle name="Style 80 5 2 2 8 2" xfId="25333" xr:uid="{A1E366A5-BFD5-436E-BA0E-32F2041BFCC3}"/>
    <cellStyle name="Style 80 5 2 2 9" xfId="9217" xr:uid="{9AE16035-BEB3-488E-AF45-63FFE4497000}"/>
    <cellStyle name="Style 80 5 2 2 9 2" xfId="25334" xr:uid="{BE393EBD-5667-4B2F-A52F-4FC3201921BF}"/>
    <cellStyle name="Style 80 5 2 3" xfId="2085" xr:uid="{2E482A20-635B-4DE9-8FD9-535280970DE6}"/>
    <cellStyle name="Style 80 5 2 3 10" xfId="9218" xr:uid="{457B6A30-876D-4D44-82B3-10CB91CFFEF3}"/>
    <cellStyle name="Style 80 5 2 3 10 2" xfId="25335" xr:uid="{F14AFE46-1C6E-4C54-A6D7-16001DBF2F58}"/>
    <cellStyle name="Style 80 5 2 3 11" xfId="9219" xr:uid="{20B551BF-4887-4092-B922-D1E12189E90E}"/>
    <cellStyle name="Style 80 5 2 3 11 2" xfId="25336" xr:uid="{33D50251-7D1C-4736-9597-C2C94E20E1DD}"/>
    <cellStyle name="Style 80 5 2 3 12" xfId="9220" xr:uid="{669A62E1-13B9-4A51-90D6-B27EA4990854}"/>
    <cellStyle name="Style 80 5 2 3 12 2" xfId="25337" xr:uid="{10149C56-24FE-4804-AC24-BFDDA697A743}"/>
    <cellStyle name="Style 80 5 2 3 13" xfId="9221" xr:uid="{02C9D12B-8E19-44F4-9E50-F4B9F062133C}"/>
    <cellStyle name="Style 80 5 2 3 13 2" xfId="25338" xr:uid="{41E4E761-58F2-4B96-B6C8-A1A9DFB4BA7A}"/>
    <cellStyle name="Style 80 5 2 3 14" xfId="19027" xr:uid="{F62EAF9C-08B3-4C7B-BD05-3B74D1B80C20}"/>
    <cellStyle name="Style 80 5 2 3 2" xfId="2086" xr:uid="{DB36C511-862A-473E-A0A4-3AFD9C1405C0}"/>
    <cellStyle name="Style 80 5 2 3 2 10" xfId="9222" xr:uid="{7C9C4921-A766-42D7-AAAC-1B1ACC0BDD07}"/>
    <cellStyle name="Style 80 5 2 3 2 10 2" xfId="25339" xr:uid="{3C1324A5-F930-4E1A-B0B6-F32EF716E987}"/>
    <cellStyle name="Style 80 5 2 3 2 11" xfId="9223" xr:uid="{177BB490-3FAC-4E78-85F5-B7062E949F3A}"/>
    <cellStyle name="Style 80 5 2 3 2 11 2" xfId="25340" xr:uid="{8B6F0AFB-2653-45E2-A610-35610D08231B}"/>
    <cellStyle name="Style 80 5 2 3 2 12" xfId="19028" xr:uid="{EB12CB6F-2A76-4FC2-BA9A-5F2C9642ED7E}"/>
    <cellStyle name="Style 80 5 2 3 2 2" xfId="4548" xr:uid="{EAC4F2B5-FF01-4052-AC28-CBE6217FB0A1}"/>
    <cellStyle name="Style 80 5 2 3 2 2 2" xfId="9224" xr:uid="{F0DC40D8-7EBB-46BF-9204-8F4247D3804E}"/>
    <cellStyle name="Style 80 5 2 3 2 2 2 2" xfId="25341" xr:uid="{F400C292-8785-4217-96FB-748E182291DE}"/>
    <cellStyle name="Style 80 5 2 3 2 3" xfId="4547" xr:uid="{600C35D5-DE35-4E69-8142-EA1C8BD6FE60}"/>
    <cellStyle name="Style 80 5 2 3 2 3 2" xfId="9225" xr:uid="{EE5A69CF-5E9D-43D8-B079-CC00649E280F}"/>
    <cellStyle name="Style 80 5 2 3 2 3 2 2" xfId="25342" xr:uid="{7D4B54B4-495C-41D8-99B1-4F199774817E}"/>
    <cellStyle name="Style 80 5 2 3 2 4" xfId="9226" xr:uid="{369C5F11-27F1-4366-9E33-3A65BCE38E22}"/>
    <cellStyle name="Style 80 5 2 3 2 4 2" xfId="9227" xr:uid="{1B811182-903E-4D2B-A598-6D50398E3896}"/>
    <cellStyle name="Style 80 5 2 3 2 4 2 2" xfId="25343" xr:uid="{C7A24FE5-C656-4CC5-9118-E5C8451AEDDB}"/>
    <cellStyle name="Style 80 5 2 3 2 4 3" xfId="22249" xr:uid="{E7AF0BDC-2AFA-477D-99A7-142BA396399B}"/>
    <cellStyle name="Style 80 5 2 3 2 5" xfId="9228" xr:uid="{343159C6-3768-48BA-8462-7749651B41C6}"/>
    <cellStyle name="Style 80 5 2 3 2 5 2" xfId="25344" xr:uid="{D5195C1E-7274-4B95-9452-83A213274574}"/>
    <cellStyle name="Style 80 5 2 3 2 6" xfId="9229" xr:uid="{CC707236-566D-4AB5-B458-F47CB19480D1}"/>
    <cellStyle name="Style 80 5 2 3 2 6 2" xfId="25345" xr:uid="{E862EE01-CB71-495B-AF1D-CAAA023E5385}"/>
    <cellStyle name="Style 80 5 2 3 2 7" xfId="9230" xr:uid="{105A3ED5-3D9D-420C-9B5D-11DEB44E7C99}"/>
    <cellStyle name="Style 80 5 2 3 2 7 2" xfId="25346" xr:uid="{0D653730-5035-4FA4-B737-C7D130C6077C}"/>
    <cellStyle name="Style 80 5 2 3 2 8" xfId="9231" xr:uid="{BF34ED10-F601-4F05-91FB-AA1378E0737D}"/>
    <cellStyle name="Style 80 5 2 3 2 8 2" xfId="25347" xr:uid="{0401E605-9A33-4338-9F72-F0B4A53F360C}"/>
    <cellStyle name="Style 80 5 2 3 2 9" xfId="9232" xr:uid="{12A40878-8A37-4732-B284-E46B572FD56A}"/>
    <cellStyle name="Style 80 5 2 3 2 9 2" xfId="25348" xr:uid="{9D939D16-CCB0-4457-BC84-EA2B3CBAB76F}"/>
    <cellStyle name="Style 80 5 2 3 3" xfId="4549" xr:uid="{5038EA20-39B1-4181-9C7B-A4BEA63077A6}"/>
    <cellStyle name="Style 80 5 2 3 3 2" xfId="4550" xr:uid="{ECCB698C-91B8-439B-81F5-7DD77BE92BB3}"/>
    <cellStyle name="Style 80 5 2 3 3 2 2" xfId="9233" xr:uid="{D7DA4B3D-3D25-4AA2-8387-785D3C8C4B41}"/>
    <cellStyle name="Style 80 5 2 3 3 2 2 2" xfId="25349" xr:uid="{7E2A0ABF-79A3-4D07-A4FF-07EB6FF8823A}"/>
    <cellStyle name="Style 80 5 2 3 3 3" xfId="9234" xr:uid="{34243D6A-3BA8-40C6-BA56-2943A636171F}"/>
    <cellStyle name="Style 80 5 2 3 3 3 2" xfId="25350" xr:uid="{206106C5-A254-4088-AED7-B5E008080F0A}"/>
    <cellStyle name="Style 80 5 2 3 3 4" xfId="9235" xr:uid="{55CFEEC4-5DF2-4904-8E7E-F79F835597F5}"/>
    <cellStyle name="Style 80 5 2 3 3 4 2" xfId="25351" xr:uid="{D157BEB5-FD21-4F86-BA28-B0887198322D}"/>
    <cellStyle name="Style 80 5 2 3 3 5" xfId="19029" xr:uid="{171DEFA5-C993-4FAE-9CE8-8DAC1B618068}"/>
    <cellStyle name="Style 80 5 2 3 4" xfId="4551" xr:uid="{71E0CDF3-C657-4B72-ABAD-899F7C99D34D}"/>
    <cellStyle name="Style 80 5 2 3 4 2" xfId="9236" xr:uid="{DC5734FF-1E77-4DE3-A0DC-45874F4FE299}"/>
    <cellStyle name="Style 80 5 2 3 4 2 2" xfId="25352" xr:uid="{A12FF650-63D3-4EF9-B1C1-739F5C5DB314}"/>
    <cellStyle name="Style 80 5 2 3 5" xfId="4552" xr:uid="{0077B34C-AEB7-4F0D-BB38-6F7190EF7F33}"/>
    <cellStyle name="Style 80 5 2 3 5 2" xfId="9237" xr:uid="{99CF7874-AAF8-4413-B9B8-57C2EE767FC1}"/>
    <cellStyle name="Style 80 5 2 3 5 2 2" xfId="25353" xr:uid="{0E1DA2D7-C711-4ADA-B655-EEAF83C1BE96}"/>
    <cellStyle name="Style 80 5 2 3 6" xfId="4546" xr:uid="{CD146D23-46FB-4BC6-98F9-C1B58997F4BC}"/>
    <cellStyle name="Style 80 5 2 3 6 2" xfId="9238" xr:uid="{6A537646-645B-4126-8437-43E320343576}"/>
    <cellStyle name="Style 80 5 2 3 6 2 2" xfId="25354" xr:uid="{7F29F386-D028-4259-8C1A-F8D41766D49C}"/>
    <cellStyle name="Style 80 5 2 3 7" xfId="9239" xr:uid="{AC5295A7-A191-47BD-9D5B-306BA166128C}"/>
    <cellStyle name="Style 80 5 2 3 7 2" xfId="9240" xr:uid="{02D10BA7-2C94-424C-9FB6-26675380759F}"/>
    <cellStyle name="Style 80 5 2 3 7 2 2" xfId="25355" xr:uid="{765AD232-150D-4231-9CB1-4E7E28F0E3B1}"/>
    <cellStyle name="Style 80 5 2 3 7 3" xfId="22248" xr:uid="{DDDD0431-37FA-4598-85A6-BAD9D9279AB6}"/>
    <cellStyle name="Style 80 5 2 3 8" xfId="9241" xr:uid="{43DABA21-926E-4DB8-9388-F25CEAF98BA2}"/>
    <cellStyle name="Style 80 5 2 3 8 2" xfId="25356" xr:uid="{2C98EF9C-F7AE-4D28-B848-C809B23E4A04}"/>
    <cellStyle name="Style 80 5 2 3 9" xfId="9242" xr:uid="{3E253D88-4061-43A1-B616-30DDCFFD74CF}"/>
    <cellStyle name="Style 80 5 2 3 9 2" xfId="25357" xr:uid="{5FEF4718-CABC-4276-90B8-2BE3666C9BE3}"/>
    <cellStyle name="Style 80 5 2 4" xfId="2087" xr:uid="{BE8FEECE-4353-46AE-8CA2-2092652EA2E9}"/>
    <cellStyle name="Style 80 5 2 4 10" xfId="9243" xr:uid="{8E7FEB77-B451-4BF9-88AD-C7E6ED9CD103}"/>
    <cellStyle name="Style 80 5 2 4 10 2" xfId="25358" xr:uid="{45375272-CB88-4291-8732-034472A97114}"/>
    <cellStyle name="Style 80 5 2 4 11" xfId="9244" xr:uid="{4A69C2E9-DCDF-4B17-9108-7C6F00A98C28}"/>
    <cellStyle name="Style 80 5 2 4 11 2" xfId="25359" xr:uid="{4938AE8C-E4D4-4AAE-9CE3-7DBEE4E42186}"/>
    <cellStyle name="Style 80 5 2 4 12" xfId="9245" xr:uid="{D22340D1-C80C-48CF-BC75-39E203ABE331}"/>
    <cellStyle name="Style 80 5 2 4 12 2" xfId="25360" xr:uid="{70016130-7878-4090-8990-E4DD54B8EDD8}"/>
    <cellStyle name="Style 80 5 2 4 13" xfId="19030" xr:uid="{187435CC-2AF6-4A6F-840A-FA0275558D9A}"/>
    <cellStyle name="Style 80 5 2 4 2" xfId="2088" xr:uid="{47357F4D-BB1F-40CA-987F-0DBD4BE6167C}"/>
    <cellStyle name="Style 80 5 2 4 2 10" xfId="9246" xr:uid="{2143360B-3C9D-460E-AD02-BAC31E6A5E7F}"/>
    <cellStyle name="Style 80 5 2 4 2 10 2" xfId="25361" xr:uid="{8477FA46-A117-4E33-BA98-22082B80DEEA}"/>
    <cellStyle name="Style 80 5 2 4 2 11" xfId="9247" xr:uid="{2F6C3D21-CE58-4A9C-AA96-447DF22C528B}"/>
    <cellStyle name="Style 80 5 2 4 2 11 2" xfId="25362" xr:uid="{8BD78B76-3EAD-4E2F-B5F2-4BC4A4101BA0}"/>
    <cellStyle name="Style 80 5 2 4 2 12" xfId="19031" xr:uid="{4C9F896B-C8E7-4731-8908-84224DDE2445}"/>
    <cellStyle name="Style 80 5 2 4 2 2" xfId="4555" xr:uid="{924F7F8C-76A4-428E-9E74-9BB8F0ADC990}"/>
    <cellStyle name="Style 80 5 2 4 2 2 2" xfId="9248" xr:uid="{C347F5B4-656C-4513-8DCE-C317DAF45F87}"/>
    <cellStyle name="Style 80 5 2 4 2 2 2 2" xfId="25363" xr:uid="{1F90194C-AD32-405C-A280-A27D1F8F4420}"/>
    <cellStyle name="Style 80 5 2 4 2 3" xfId="4554" xr:uid="{8CAD14E0-D7F9-4C72-8494-4DC48E854EA8}"/>
    <cellStyle name="Style 80 5 2 4 2 3 2" xfId="9249" xr:uid="{4828AE34-449E-4AE1-ABB3-A9835C17C698}"/>
    <cellStyle name="Style 80 5 2 4 2 3 2 2" xfId="25364" xr:uid="{2B278D0D-9D33-4991-8456-7683D7742F99}"/>
    <cellStyle name="Style 80 5 2 4 2 4" xfId="9250" xr:uid="{0FE84292-ABE5-40B9-B8A9-D6C907805422}"/>
    <cellStyle name="Style 80 5 2 4 2 4 2" xfId="9251" xr:uid="{329211A0-8650-48D6-8B18-4DA9D946301B}"/>
    <cellStyle name="Style 80 5 2 4 2 4 2 2" xfId="25365" xr:uid="{B1FA4B21-9C50-4039-B6CB-0F73347AA10D}"/>
    <cellStyle name="Style 80 5 2 4 2 4 3" xfId="22251" xr:uid="{B0309297-720C-4442-9882-661B94B03578}"/>
    <cellStyle name="Style 80 5 2 4 2 5" xfId="9252" xr:uid="{0A68F38F-47E1-491F-A401-7EC2CA0FE875}"/>
    <cellStyle name="Style 80 5 2 4 2 5 2" xfId="25366" xr:uid="{E9DC93B3-9645-466E-BAAA-1927EA3BE8C1}"/>
    <cellStyle name="Style 80 5 2 4 2 6" xfId="9253" xr:uid="{0B78BE9F-45CE-4FFC-B3F7-D1ADAF67ECA0}"/>
    <cellStyle name="Style 80 5 2 4 2 6 2" xfId="25367" xr:uid="{09BC8DB1-F65C-4880-8879-49F111FFDD24}"/>
    <cellStyle name="Style 80 5 2 4 2 7" xfId="9254" xr:uid="{49C5813A-3ED4-4719-9F80-BBAA89243150}"/>
    <cellStyle name="Style 80 5 2 4 2 7 2" xfId="25368" xr:uid="{9262D355-2DCA-435D-94D1-074E2C31971A}"/>
    <cellStyle name="Style 80 5 2 4 2 8" xfId="9255" xr:uid="{3F4530D8-F43E-4DBF-8A33-519AD092B63F}"/>
    <cellStyle name="Style 80 5 2 4 2 8 2" xfId="25369" xr:uid="{8E1DDB37-4EF9-4C7F-BB61-183F00B25C77}"/>
    <cellStyle name="Style 80 5 2 4 2 9" xfId="9256" xr:uid="{693C6718-BE40-48C2-B7D6-91E8DF0B4EC3}"/>
    <cellStyle name="Style 80 5 2 4 2 9 2" xfId="25370" xr:uid="{43F3D06B-6BC1-4FBB-A61D-09D58F77B821}"/>
    <cellStyle name="Style 80 5 2 4 3" xfId="4556" xr:uid="{42569529-712D-4591-9467-FED86A506671}"/>
    <cellStyle name="Style 80 5 2 4 3 2" xfId="9257" xr:uid="{5514364E-2805-4E46-945B-76A3A36CB5D8}"/>
    <cellStyle name="Style 80 5 2 4 3 2 2" xfId="25371" xr:uid="{05C5CBFB-3808-43E5-81CE-407DE474C65A}"/>
    <cellStyle name="Style 80 5 2 4 4" xfId="4553" xr:uid="{0FA98879-2143-4AC1-9B8E-EC5F3A841125}"/>
    <cellStyle name="Style 80 5 2 4 4 2" xfId="9258" xr:uid="{B7115495-828D-49A7-B75C-06582ADDCD4F}"/>
    <cellStyle name="Style 80 5 2 4 4 2 2" xfId="25372" xr:uid="{D2B810BD-8346-4817-89E3-10496361B00F}"/>
    <cellStyle name="Style 80 5 2 4 5" xfId="9259" xr:uid="{5A4C02A2-44DF-44C7-AF92-4A2A0700A161}"/>
    <cellStyle name="Style 80 5 2 4 5 2" xfId="9260" xr:uid="{3E77C9D0-DB96-47DC-B4A9-832CFC083390}"/>
    <cellStyle name="Style 80 5 2 4 5 2 2" xfId="25373" xr:uid="{651E89FE-F309-4043-9C19-B3B362EC966C}"/>
    <cellStyle name="Style 80 5 2 4 5 3" xfId="22250" xr:uid="{9FAC3F7D-3CA6-43EC-85B5-529BEF3A7174}"/>
    <cellStyle name="Style 80 5 2 4 6" xfId="9261" xr:uid="{25A719C1-4BA0-47AF-9479-F463AF8D2AFE}"/>
    <cellStyle name="Style 80 5 2 4 6 2" xfId="25374" xr:uid="{E33F09B0-5C00-491B-BE59-DF0904B11D7C}"/>
    <cellStyle name="Style 80 5 2 4 7" xfId="9262" xr:uid="{9D0E42FA-7608-4D82-9C8E-D5E70B934483}"/>
    <cellStyle name="Style 80 5 2 4 7 2" xfId="25375" xr:uid="{22B06F4A-1B68-44B4-B2BE-D29BBECA75D2}"/>
    <cellStyle name="Style 80 5 2 4 8" xfId="9263" xr:uid="{8EC57881-C729-4FB4-81F4-AD26CC2A958D}"/>
    <cellStyle name="Style 80 5 2 4 8 2" xfId="25376" xr:uid="{9AE99F0C-D916-41F5-87EA-90AB124F5E28}"/>
    <cellStyle name="Style 80 5 2 4 9" xfId="9264" xr:uid="{9C140A20-FFE9-4BB3-9287-966DDB5D3B6D}"/>
    <cellStyle name="Style 80 5 2 4 9 2" xfId="25377" xr:uid="{A1B8FE10-5607-42B4-BE47-C6C40ADBE686}"/>
    <cellStyle name="Style 80 5 2 5" xfId="4557" xr:uid="{E74ED45E-5575-4E35-8562-2D3F2C6C99A1}"/>
    <cellStyle name="Style 80 5 2 5 2" xfId="9265" xr:uid="{ECC91ACE-FE52-493E-8678-31D2F3DBA0D2}"/>
    <cellStyle name="Style 80 5 2 5 2 2" xfId="25378" xr:uid="{EF40BB79-C13A-49F8-9636-C23ABF98564D}"/>
    <cellStyle name="Style 80 5 2 6" xfId="4558" xr:uid="{A91B56AD-493E-4290-A00C-A12722BB9300}"/>
    <cellStyle name="Style 80 5 2 6 2" xfId="9266" xr:uid="{4CA1402C-5C59-4189-862B-28B061225713}"/>
    <cellStyle name="Style 80 5 2 6 2 2" xfId="25379" xr:uid="{7D14E24A-5AA5-477C-A3B3-768E8920D322}"/>
    <cellStyle name="Style 80 5 2 7" xfId="4543" xr:uid="{7E520E6E-3E99-4BC6-8940-F72B85E892FD}"/>
    <cellStyle name="Style 80 5 2 7 2" xfId="9267" xr:uid="{914DDB7E-3508-4A40-BA05-3FD7584ED826}"/>
    <cellStyle name="Style 80 5 2 7 2 2" xfId="25380" xr:uid="{78140B83-CCB3-419B-97CE-86B8CBDCCBCE}"/>
    <cellStyle name="Style 80 5 2 8" xfId="9268" xr:uid="{465B8786-B150-4F33-95DF-249087E0D38E}"/>
    <cellStyle name="Style 80 5 2 8 2" xfId="9269" xr:uid="{6FB78657-C06D-440B-B30D-9B2694B04DB3}"/>
    <cellStyle name="Style 80 5 2 8 2 2" xfId="25381" xr:uid="{56F13F9F-9D2C-4EDD-9C64-126EA44AD1A3}"/>
    <cellStyle name="Style 80 5 2 8 3" xfId="22246" xr:uid="{8DF9381F-01D5-4B02-B229-81001683D918}"/>
    <cellStyle name="Style 80 5 2 9" xfId="9270" xr:uid="{91C2837E-3650-45F6-BD36-9E835E403747}"/>
    <cellStyle name="Style 80 5 2 9 2" xfId="25382" xr:uid="{A0D5FB69-D1E5-4CAD-BECC-39F058556338}"/>
    <cellStyle name="Style 80 5 3" xfId="2089" xr:uid="{C618E7A1-560A-4797-B9F0-7A4A5A2A9852}"/>
    <cellStyle name="Style 80 5 3 10" xfId="9271" xr:uid="{A54455FC-EDE1-435E-A1AA-07DDAC1D64EB}"/>
    <cellStyle name="Style 80 5 3 10 2" xfId="25383" xr:uid="{BB56493A-BDF8-4DFE-8210-7B299EA66747}"/>
    <cellStyle name="Style 80 5 3 11" xfId="9272" xr:uid="{CFB7178E-7387-4422-9413-6E698304B246}"/>
    <cellStyle name="Style 80 5 3 11 2" xfId="25384" xr:uid="{4F259F68-ECC8-4E1B-89E9-CA61E79D7A23}"/>
    <cellStyle name="Style 80 5 3 12" xfId="19032" xr:uid="{B4BBD00E-2EFB-4E8B-A0DF-ED65D58FC1F3}"/>
    <cellStyle name="Style 80 5 3 2" xfId="4560" xr:uid="{DCA9CB5B-283D-415A-A836-CA65F7F92CF0}"/>
    <cellStyle name="Style 80 5 3 2 2" xfId="9273" xr:uid="{E369AA63-1146-4D47-90EC-B78943844C44}"/>
    <cellStyle name="Style 80 5 3 2 2 2" xfId="25385" xr:uid="{801E16F4-9E84-41A3-81F2-85D95F483D54}"/>
    <cellStyle name="Style 80 5 3 3" xfId="4559" xr:uid="{ED43EF45-5AB1-4498-968A-F56FF42D3928}"/>
    <cellStyle name="Style 80 5 3 3 2" xfId="9274" xr:uid="{8ED7FFD8-1859-4EA4-810F-9109C3AB3693}"/>
    <cellStyle name="Style 80 5 3 3 2 2" xfId="25386" xr:uid="{757D46D0-6D0A-4E4B-938B-B6D87FCF7301}"/>
    <cellStyle name="Style 80 5 3 4" xfId="9275" xr:uid="{8CDB26E7-3256-4C81-8051-95FA85EC7B8D}"/>
    <cellStyle name="Style 80 5 3 4 2" xfId="9276" xr:uid="{0657908B-F426-43C0-8FDC-0775F598D000}"/>
    <cellStyle name="Style 80 5 3 4 2 2" xfId="25387" xr:uid="{595AA884-ADDF-485D-BFE8-B1515D2171C3}"/>
    <cellStyle name="Style 80 5 3 4 3" xfId="22252" xr:uid="{73416C48-70A5-43B4-9C96-E81AC0CDC970}"/>
    <cellStyle name="Style 80 5 3 5" xfId="9277" xr:uid="{50FAD1D8-43F1-4A79-AF1E-B4AFC6AB7DCE}"/>
    <cellStyle name="Style 80 5 3 5 2" xfId="25388" xr:uid="{518AA8CE-6914-41EF-9A1C-690D2AF36363}"/>
    <cellStyle name="Style 80 5 3 6" xfId="9278" xr:uid="{72991866-A76D-4A9B-B26E-9C28B9D50C7E}"/>
    <cellStyle name="Style 80 5 3 6 2" xfId="25389" xr:uid="{A3855A54-D30D-4531-9E7F-059F785DB2C3}"/>
    <cellStyle name="Style 80 5 3 7" xfId="9279" xr:uid="{213CF1D1-FE37-4149-B950-AE1711E21678}"/>
    <cellStyle name="Style 80 5 3 7 2" xfId="25390" xr:uid="{F305C685-35D5-4C32-BD8E-CA308F650849}"/>
    <cellStyle name="Style 80 5 3 8" xfId="9280" xr:uid="{3C37BB21-612F-45C9-B815-5A40859C1807}"/>
    <cellStyle name="Style 80 5 3 8 2" xfId="25391" xr:uid="{37F22231-F096-4816-ACBD-4D8E7B8CC7FE}"/>
    <cellStyle name="Style 80 5 3 9" xfId="9281" xr:uid="{79026D44-A771-4839-BBF9-9D9C20B94C54}"/>
    <cellStyle name="Style 80 5 3 9 2" xfId="25392" xr:uid="{0088125F-CAE1-4BC4-9731-67113B91267E}"/>
    <cellStyle name="Style 80 5 4" xfId="4561" xr:uid="{7757B6E8-4527-415B-AE55-E8AE6414463E}"/>
    <cellStyle name="Style 80 5 4 2" xfId="4562" xr:uid="{349FF1D2-1410-42BE-905D-A72FC96562C0}"/>
    <cellStyle name="Style 80 5 4 2 2" xfId="9282" xr:uid="{30056104-EDF0-4782-9E9E-69A64802286F}"/>
    <cellStyle name="Style 80 5 4 2 2 2" xfId="25393" xr:uid="{04F64DB6-4B09-4C14-B154-91D39654E00C}"/>
    <cellStyle name="Style 80 5 4 3" xfId="4563" xr:uid="{73C9E941-70E9-4383-AF25-F0A3B6CFAD00}"/>
    <cellStyle name="Style 80 5 4 3 2" xfId="9283" xr:uid="{660C29BD-DA54-4A5F-ABB8-9ED4E4D8B7F1}"/>
    <cellStyle name="Style 80 5 4 3 2 2" xfId="25394" xr:uid="{FE1FC015-B817-4167-B972-9FE67EDE0FD6}"/>
    <cellStyle name="Style 80 5 4 4" xfId="9284" xr:uid="{58EBB5F3-5876-4A6C-954F-4A0BC5B6A427}"/>
    <cellStyle name="Style 80 5 4 4 2" xfId="25395" xr:uid="{31CE597B-73EF-4207-808B-4EA32C3B4AA6}"/>
    <cellStyle name="Style 80 5 4 5" xfId="19033" xr:uid="{E48C3060-106E-4BD7-94A0-45047F857D9D}"/>
    <cellStyle name="Style 80 5 5" xfId="4564" xr:uid="{FFF75917-8A4C-48D4-9C56-93CC1E3C7258}"/>
    <cellStyle name="Style 80 5 5 2" xfId="9285" xr:uid="{FC21E0C0-6968-41BB-B68E-3F57979E3ECB}"/>
    <cellStyle name="Style 80 5 5 2 2" xfId="25396" xr:uid="{0256E518-8115-4702-B54A-2442CE6CE988}"/>
    <cellStyle name="Style 80 5 6" xfId="4542" xr:uid="{352EADA0-94ED-47B7-A0FD-E4EF38C34F0C}"/>
    <cellStyle name="Style 80 5 6 2" xfId="9286" xr:uid="{A583D509-4006-4C4B-B541-3E38AC01F54F}"/>
    <cellStyle name="Style 80 5 6 2 2" xfId="25397" xr:uid="{D4287956-C0AF-4A06-B1EF-3B92CE4D8166}"/>
    <cellStyle name="Style 80 5 7" xfId="2959" xr:uid="{87BD69E2-D964-4992-96C5-39ECD0FB69D5}"/>
    <cellStyle name="Style 80 5 7 2" xfId="9287" xr:uid="{D9B4B17D-42D8-4034-825A-E9BDBC171557}"/>
    <cellStyle name="Style 80 5 7 2 2" xfId="25398" xr:uid="{72691411-89EE-4A9E-AD0C-78CAEB45C1E1}"/>
    <cellStyle name="Style 80 5 7 3" xfId="21306" xr:uid="{C8471E05-B2B8-4DAE-A817-5EB8E0A98E5C}"/>
    <cellStyle name="Style 80 5 8" xfId="9288" xr:uid="{CA53900A-FD03-4EE2-B028-51D4D954767A}"/>
    <cellStyle name="Style 80 5 8 2" xfId="9289" xr:uid="{3401ADB5-09F7-4F91-B7C6-AE6FE39AFE8E}"/>
    <cellStyle name="Style 80 5 8 2 2" xfId="25399" xr:uid="{7A954488-A867-4666-9906-98045B236EF0}"/>
    <cellStyle name="Style 80 5 8 3" xfId="22245" xr:uid="{99BF5E28-CA44-48BE-AFEA-1A4F7D9C611B}"/>
    <cellStyle name="Style 80 5 9" xfId="9290" xr:uid="{31D86E06-BC56-4827-8385-6D8E16C7F540}"/>
    <cellStyle name="Style 80 5 9 2" xfId="25400" xr:uid="{8AACEC1F-941F-4B51-91F7-02D77E3B606F}"/>
    <cellStyle name="Style 80 6" xfId="2090" xr:uid="{6D21B010-8151-472E-8184-08ACF80120B9}"/>
    <cellStyle name="Style 80 6 10" xfId="9291" xr:uid="{009D064D-1585-4FE7-B54F-F8A030CF1F01}"/>
    <cellStyle name="Style 80 6 10 2" xfId="25401" xr:uid="{9741C98E-AD03-4FC7-B506-A9D4E27BB79D}"/>
    <cellStyle name="Style 80 6 11" xfId="9292" xr:uid="{246AA20F-38BB-4FC3-B05E-3F1EC1C9EB71}"/>
    <cellStyle name="Style 80 6 11 2" xfId="25402" xr:uid="{7BD00749-EF8B-431E-8D03-ADE5C25E52E8}"/>
    <cellStyle name="Style 80 6 12" xfId="9293" xr:uid="{79F0B612-B5FF-4417-A223-7C897BD27106}"/>
    <cellStyle name="Style 80 6 12 2" xfId="25403" xr:uid="{4A12E8B8-6937-4948-AE13-6324BF13146F}"/>
    <cellStyle name="Style 80 6 13" xfId="9294" xr:uid="{AE360EB9-6A2C-4B51-B7BB-BACC4761414E}"/>
    <cellStyle name="Style 80 6 13 2" xfId="25404" xr:uid="{77BBB821-13CA-45EF-91FF-63EBE345135B}"/>
    <cellStyle name="Style 80 6 14" xfId="9295" xr:uid="{97E027F8-C81A-461B-B572-F62DCA88552E}"/>
    <cellStyle name="Style 80 6 14 2" xfId="25405" xr:uid="{342730F2-8FD0-447B-A7AD-E31DD70AE106}"/>
    <cellStyle name="Style 80 6 15" xfId="9296" xr:uid="{C26FB42E-BD48-4F30-A921-1BBD7366D8F2}"/>
    <cellStyle name="Style 80 6 15 2" xfId="25406" xr:uid="{3E7C5047-1939-4B86-9F12-D72EDBC1E226}"/>
    <cellStyle name="Style 80 6 16" xfId="19034" xr:uid="{6440809F-09A6-40F9-86C8-C8D85D13CE95}"/>
    <cellStyle name="Style 80 6 2" xfId="2091" xr:uid="{D6B57E9B-CD0D-4E14-9287-867BBEC54D30}"/>
    <cellStyle name="Style 80 6 2 10" xfId="9297" xr:uid="{E7F60381-516C-4EC0-984C-A1B99EFEF327}"/>
    <cellStyle name="Style 80 6 2 10 2" xfId="25407" xr:uid="{AA00184B-04C3-4BCB-A528-8064EB325305}"/>
    <cellStyle name="Style 80 6 2 11" xfId="9298" xr:uid="{3C1DF1DD-9DC0-4D4D-940D-18CC172BC3A8}"/>
    <cellStyle name="Style 80 6 2 11 2" xfId="25408" xr:uid="{9D1C7972-BB4D-4341-83D8-C63ADB2EE51A}"/>
    <cellStyle name="Style 80 6 2 12" xfId="19035" xr:uid="{2DE44379-FAD4-4DFB-B126-4057A9CC22E9}"/>
    <cellStyle name="Style 80 6 2 2" xfId="4567" xr:uid="{1354A13C-5BBF-4A43-8FB4-3E90386758AF}"/>
    <cellStyle name="Style 80 6 2 2 2" xfId="9299" xr:uid="{A4938B6A-AC2A-4146-9FF3-5E9CD54AAB5C}"/>
    <cellStyle name="Style 80 6 2 2 2 2" xfId="25409" xr:uid="{6FD04725-8259-4B1F-89FF-DA2343E6C787}"/>
    <cellStyle name="Style 80 6 2 3" xfId="4566" xr:uid="{9F1F6838-1854-4971-9CCA-ED27A67E85ED}"/>
    <cellStyle name="Style 80 6 2 3 2" xfId="9300" xr:uid="{97FE31D5-D9BD-4FF0-B97E-6460B2E92FE3}"/>
    <cellStyle name="Style 80 6 2 3 2 2" xfId="25410" xr:uid="{C7097AC9-25AF-4083-AE46-1C25917C3D9B}"/>
    <cellStyle name="Style 80 6 2 4" xfId="9301" xr:uid="{CC1D8550-E5D7-4C68-B4DF-425C20D82364}"/>
    <cellStyle name="Style 80 6 2 4 2" xfId="9302" xr:uid="{9DF768E1-8731-408B-B595-4238BFD53DEA}"/>
    <cellStyle name="Style 80 6 2 4 2 2" xfId="25411" xr:uid="{82437DF3-50EC-43D0-B4B0-C20630D680FE}"/>
    <cellStyle name="Style 80 6 2 4 3" xfId="22254" xr:uid="{E5DE7355-2908-4394-97CF-EBF12D98EA45}"/>
    <cellStyle name="Style 80 6 2 5" xfId="9303" xr:uid="{6F6BD7FE-1D7F-4FFA-A9B9-A78841FDE013}"/>
    <cellStyle name="Style 80 6 2 5 2" xfId="25412" xr:uid="{602646D7-15C4-4AEA-BD2B-48E4B4D2A72C}"/>
    <cellStyle name="Style 80 6 2 6" xfId="9304" xr:uid="{3CED02DE-0C7D-401D-AB8D-A25F06DA0437}"/>
    <cellStyle name="Style 80 6 2 6 2" xfId="25413" xr:uid="{280A5878-3874-4223-9B67-18727A750C47}"/>
    <cellStyle name="Style 80 6 2 7" xfId="9305" xr:uid="{89D1A077-BC0E-4604-99B2-0E34169E16A5}"/>
    <cellStyle name="Style 80 6 2 7 2" xfId="25414" xr:uid="{1018F3C2-7126-449B-B0CA-EFD9749FDC2C}"/>
    <cellStyle name="Style 80 6 2 8" xfId="9306" xr:uid="{62F56897-B53A-46FF-A8FA-FFB25AFDAD70}"/>
    <cellStyle name="Style 80 6 2 8 2" xfId="25415" xr:uid="{4A626F80-9331-49F5-B821-AF7226BC9F53}"/>
    <cellStyle name="Style 80 6 2 9" xfId="9307" xr:uid="{60A58F67-E270-4AF6-AC00-22058480906D}"/>
    <cellStyle name="Style 80 6 2 9 2" xfId="25416" xr:uid="{41B98F65-F5ED-4AB5-9BBB-FB17277BDF50}"/>
    <cellStyle name="Style 80 6 3" xfId="2092" xr:uid="{2D7EA4B4-A103-4671-AB91-F976A04E1519}"/>
    <cellStyle name="Style 80 6 3 10" xfId="9308" xr:uid="{7BFCA7D4-AA40-497B-AE2F-F085EDFA2CC6}"/>
    <cellStyle name="Style 80 6 3 10 2" xfId="25417" xr:uid="{1DA21B47-0432-476F-A831-14E616FE9D83}"/>
    <cellStyle name="Style 80 6 3 11" xfId="9309" xr:uid="{2702973E-20BA-4FF4-AD8C-41AE34ADA9B0}"/>
    <cellStyle name="Style 80 6 3 11 2" xfId="25418" xr:uid="{C02AEDEC-0A97-4E66-9513-498ED6E877ED}"/>
    <cellStyle name="Style 80 6 3 12" xfId="9310" xr:uid="{037F8E73-B992-48BE-9775-BAD6798F1505}"/>
    <cellStyle name="Style 80 6 3 12 2" xfId="25419" xr:uid="{BB1D2EEA-365A-4C85-9D3B-1A6865E96DF6}"/>
    <cellStyle name="Style 80 6 3 13" xfId="9311" xr:uid="{1A92DCE4-4C21-429D-ADD3-F9686658785F}"/>
    <cellStyle name="Style 80 6 3 13 2" xfId="25420" xr:uid="{6DC346B9-6EAB-4C5D-B5A7-10071B60AC2B}"/>
    <cellStyle name="Style 80 6 3 14" xfId="19036" xr:uid="{7A476D07-711D-4B7C-9056-2DA3AE65B74A}"/>
    <cellStyle name="Style 80 6 3 2" xfId="2093" xr:uid="{0CE20CF0-FA9A-4232-A822-9F3CB7A93193}"/>
    <cellStyle name="Style 80 6 3 2 10" xfId="9312" xr:uid="{FBB9052A-19E2-4C86-BAB3-98D1D8913ED9}"/>
    <cellStyle name="Style 80 6 3 2 10 2" xfId="25421" xr:uid="{79BA07E0-F468-4610-B4DB-BA60C4AFF3CD}"/>
    <cellStyle name="Style 80 6 3 2 11" xfId="9313" xr:uid="{CD2FD073-C9A7-465A-95AB-DF7C699D596C}"/>
    <cellStyle name="Style 80 6 3 2 11 2" xfId="25422" xr:uid="{2B305D08-BC15-4881-AE17-23634101B08E}"/>
    <cellStyle name="Style 80 6 3 2 12" xfId="19037" xr:uid="{006405F4-CD7C-4AC7-9E20-DFFADAFCED99}"/>
    <cellStyle name="Style 80 6 3 2 2" xfId="4570" xr:uid="{FD216779-7825-41A2-97D3-5D0FC73BE140}"/>
    <cellStyle name="Style 80 6 3 2 2 2" xfId="9314" xr:uid="{32518A00-764A-4297-891A-E6CA2377A62B}"/>
    <cellStyle name="Style 80 6 3 2 2 2 2" xfId="25423" xr:uid="{C7209B71-B54E-4006-9209-C0D1795E37F5}"/>
    <cellStyle name="Style 80 6 3 2 3" xfId="4569" xr:uid="{B3D68B53-E7D0-4734-9815-BB209097C498}"/>
    <cellStyle name="Style 80 6 3 2 3 2" xfId="9315" xr:uid="{CDC971A0-D509-491C-ABFD-52A507E7F9EB}"/>
    <cellStyle name="Style 80 6 3 2 3 2 2" xfId="25424" xr:uid="{23D879A4-9E1B-44C2-A318-880C649A994B}"/>
    <cellStyle name="Style 80 6 3 2 4" xfId="9316" xr:uid="{306CE41A-8837-4774-AE57-800EC22CE6E3}"/>
    <cellStyle name="Style 80 6 3 2 4 2" xfId="9317" xr:uid="{C25BACEB-B242-4FB8-A867-2E99BC1126B7}"/>
    <cellStyle name="Style 80 6 3 2 4 2 2" xfId="25425" xr:uid="{ECF91CBB-0BA1-472F-8826-47A022A10ECE}"/>
    <cellStyle name="Style 80 6 3 2 4 3" xfId="22256" xr:uid="{AF144CE7-0B06-4A80-B848-D467D28BA210}"/>
    <cellStyle name="Style 80 6 3 2 5" xfId="9318" xr:uid="{AAC5807F-9249-4EA5-8D15-BAE4B2D17B3F}"/>
    <cellStyle name="Style 80 6 3 2 5 2" xfId="25426" xr:uid="{7EA1512D-4C66-471C-BC7E-6A70E1C1CD1C}"/>
    <cellStyle name="Style 80 6 3 2 6" xfId="9319" xr:uid="{05C17F6C-EDE2-4CDB-9E82-525E59A52A2F}"/>
    <cellStyle name="Style 80 6 3 2 6 2" xfId="25427" xr:uid="{455B920B-89B8-4BC9-812B-93DDF8556CC4}"/>
    <cellStyle name="Style 80 6 3 2 7" xfId="9320" xr:uid="{3AD00D3C-0990-4240-A07E-28EE01730EAE}"/>
    <cellStyle name="Style 80 6 3 2 7 2" xfId="25428" xr:uid="{D8B7A345-EF99-48A8-B6D4-87CEBADCE9F0}"/>
    <cellStyle name="Style 80 6 3 2 8" xfId="9321" xr:uid="{1C421338-066F-4F06-95E6-A2F3830E45D7}"/>
    <cellStyle name="Style 80 6 3 2 8 2" xfId="25429" xr:uid="{E815E6FD-B1B9-4551-8F5C-822DAF780A1B}"/>
    <cellStyle name="Style 80 6 3 2 9" xfId="9322" xr:uid="{17954E46-6A30-4777-A2E2-03680136A430}"/>
    <cellStyle name="Style 80 6 3 2 9 2" xfId="25430" xr:uid="{CB3BAF32-F95D-4520-8350-EE26F50D1F18}"/>
    <cellStyle name="Style 80 6 3 3" xfId="4571" xr:uid="{30F3700A-03FE-46F6-A7A4-9B63C91710C0}"/>
    <cellStyle name="Style 80 6 3 3 2" xfId="4572" xr:uid="{A4AB8BF2-19D6-4A97-9E9E-39CA7CBD1173}"/>
    <cellStyle name="Style 80 6 3 3 2 2" xfId="9323" xr:uid="{BEAC7E73-D7AF-4B61-8899-BC9527FC2089}"/>
    <cellStyle name="Style 80 6 3 3 2 2 2" xfId="25431" xr:uid="{0840AFD6-300E-4FE3-A145-4CE60BFAB90A}"/>
    <cellStyle name="Style 80 6 3 3 3" xfId="9324" xr:uid="{BF032B90-4BCC-4356-B52B-BCAC7B150729}"/>
    <cellStyle name="Style 80 6 3 3 3 2" xfId="25432" xr:uid="{BD0C4710-9D80-43D6-9B2C-9AE986FD5F94}"/>
    <cellStyle name="Style 80 6 3 3 4" xfId="9325" xr:uid="{BD4EE4CF-4EA6-4998-A75D-F26E52846D3E}"/>
    <cellStyle name="Style 80 6 3 3 4 2" xfId="25433" xr:uid="{534FEBBD-92C6-4A3B-997C-98A53740B178}"/>
    <cellStyle name="Style 80 6 3 3 5" xfId="19038" xr:uid="{B56D5269-628F-4D9C-8D3F-14A65F100CEE}"/>
    <cellStyle name="Style 80 6 3 4" xfId="4573" xr:uid="{8CCCE39F-B11B-4904-ADD8-B7BC70EB5D84}"/>
    <cellStyle name="Style 80 6 3 4 2" xfId="9326" xr:uid="{6DB71FE2-CDDB-4D69-B975-F09FC7D90307}"/>
    <cellStyle name="Style 80 6 3 4 2 2" xfId="25434" xr:uid="{2E5BC1BB-878A-4192-9EFB-AEE63ED4C757}"/>
    <cellStyle name="Style 80 6 3 5" xfId="4574" xr:uid="{779856A8-9074-4EDC-9449-CD2E45726A29}"/>
    <cellStyle name="Style 80 6 3 5 2" xfId="9327" xr:uid="{A6FA92D6-5550-4AC4-A66B-D057657CCB08}"/>
    <cellStyle name="Style 80 6 3 5 2 2" xfId="25435" xr:uid="{C2043BC2-BFD7-431C-8DAA-71BF42585C40}"/>
    <cellStyle name="Style 80 6 3 6" xfId="4568" xr:uid="{8A7CD136-9DCF-4963-9D11-1FD058E6600F}"/>
    <cellStyle name="Style 80 6 3 6 2" xfId="9328" xr:uid="{D9945258-0887-4D1A-8013-06FAAAA1E868}"/>
    <cellStyle name="Style 80 6 3 6 2 2" xfId="25436" xr:uid="{7CAB89D1-1D12-4BD2-8B57-3BFE49302D5C}"/>
    <cellStyle name="Style 80 6 3 7" xfId="9329" xr:uid="{0E22A820-6BCE-40F9-8178-CFE6A7A8C214}"/>
    <cellStyle name="Style 80 6 3 7 2" xfId="9330" xr:uid="{716D9635-CC98-4304-8C84-35ACBC166403}"/>
    <cellStyle name="Style 80 6 3 7 2 2" xfId="25437" xr:uid="{0D620E9F-714D-474B-9BFD-648C1F3A6DF5}"/>
    <cellStyle name="Style 80 6 3 7 3" xfId="22255" xr:uid="{24F89603-E2AF-4598-AD43-544F6314CE0C}"/>
    <cellStyle name="Style 80 6 3 8" xfId="9331" xr:uid="{30EF381F-9A7D-4446-A4EA-93D084E558BA}"/>
    <cellStyle name="Style 80 6 3 8 2" xfId="25438" xr:uid="{294F77BC-77F5-4D1F-852A-4CDB462B895E}"/>
    <cellStyle name="Style 80 6 3 9" xfId="9332" xr:uid="{C7BDFA5A-D6AF-47C1-A4E5-DED4D927C456}"/>
    <cellStyle name="Style 80 6 3 9 2" xfId="25439" xr:uid="{ACEBE182-8F54-4F97-9D57-2934A23387FE}"/>
    <cellStyle name="Style 80 6 4" xfId="2094" xr:uid="{29967C65-106D-4DA4-B146-4BEA94CBAC0C}"/>
    <cellStyle name="Style 80 6 4 10" xfId="9333" xr:uid="{EFA9CE52-5448-4624-A11C-FDDF84BB0043}"/>
    <cellStyle name="Style 80 6 4 10 2" xfId="25440" xr:uid="{CDA6E6F3-A4FE-42D4-83E4-5EC6C4645B69}"/>
    <cellStyle name="Style 80 6 4 11" xfId="9334" xr:uid="{F7FF9306-FFF0-42BC-8B3A-BC70A5020602}"/>
    <cellStyle name="Style 80 6 4 11 2" xfId="25441" xr:uid="{A9C76079-17C6-4324-A2EB-AD911BA9DD88}"/>
    <cellStyle name="Style 80 6 4 12" xfId="9335" xr:uid="{BB7A4494-FF28-438A-AA30-856ED969187D}"/>
    <cellStyle name="Style 80 6 4 12 2" xfId="25442" xr:uid="{BA1D2213-5DE9-4B53-A37C-EF5D72580CB2}"/>
    <cellStyle name="Style 80 6 4 13" xfId="19039" xr:uid="{F3DA542F-4AE3-4837-BA0F-4F09131281D4}"/>
    <cellStyle name="Style 80 6 4 2" xfId="2095" xr:uid="{B70A03DE-DC9B-4945-909B-BA780CA0E0FB}"/>
    <cellStyle name="Style 80 6 4 2 10" xfId="9336" xr:uid="{25536DF1-93FD-434F-8D2C-D1F0F7F822D5}"/>
    <cellStyle name="Style 80 6 4 2 10 2" xfId="25443" xr:uid="{296BFFA4-FDBA-4987-BA9D-860F925E98A1}"/>
    <cellStyle name="Style 80 6 4 2 11" xfId="9337" xr:uid="{9EE41406-D0C5-4262-94AA-7A46894498B9}"/>
    <cellStyle name="Style 80 6 4 2 11 2" xfId="25444" xr:uid="{ABB6EAA2-312A-48A4-9FA1-74543D69E798}"/>
    <cellStyle name="Style 80 6 4 2 12" xfId="19040" xr:uid="{0709A7BC-648F-4EB2-985B-AC77A5ED384E}"/>
    <cellStyle name="Style 80 6 4 2 2" xfId="4577" xr:uid="{56EAD5AF-439D-4D89-9287-2B05F8E927C7}"/>
    <cellStyle name="Style 80 6 4 2 2 2" xfId="9338" xr:uid="{2B859478-7C95-43C1-AF06-B01D876987B4}"/>
    <cellStyle name="Style 80 6 4 2 2 2 2" xfId="25445" xr:uid="{47B1A559-E7F8-4327-BBCD-5C9F51DFA697}"/>
    <cellStyle name="Style 80 6 4 2 3" xfId="4576" xr:uid="{86600DB7-EF05-4E32-A06C-7730B2EB59F7}"/>
    <cellStyle name="Style 80 6 4 2 3 2" xfId="9339" xr:uid="{C744085F-3EB7-4B04-9AC6-CBC7AD1FC4E8}"/>
    <cellStyle name="Style 80 6 4 2 3 2 2" xfId="25446" xr:uid="{2EB743EC-5F77-48F8-9A23-E77A1D01D6AC}"/>
    <cellStyle name="Style 80 6 4 2 4" xfId="9340" xr:uid="{4D526289-F3A1-473C-9B7E-759DAF6E72E4}"/>
    <cellStyle name="Style 80 6 4 2 4 2" xfId="9341" xr:uid="{57E8DE26-E356-471E-B1C1-7A290D267CDB}"/>
    <cellStyle name="Style 80 6 4 2 4 2 2" xfId="25447" xr:uid="{FD91717D-4261-4A85-B5DE-897EA5037040}"/>
    <cellStyle name="Style 80 6 4 2 4 3" xfId="22258" xr:uid="{1EAD8F25-D10E-4E36-9FA3-14E077D718B5}"/>
    <cellStyle name="Style 80 6 4 2 5" xfId="9342" xr:uid="{C91001A1-F6C1-4801-88FD-CE3FBB105650}"/>
    <cellStyle name="Style 80 6 4 2 5 2" xfId="25448" xr:uid="{2F04DB29-63C0-4867-B539-1DB6A7FFE5B4}"/>
    <cellStyle name="Style 80 6 4 2 6" xfId="9343" xr:uid="{92DBC5FB-8E46-449B-828B-03F0B1F3329F}"/>
    <cellStyle name="Style 80 6 4 2 6 2" xfId="25449" xr:uid="{7C6362E7-EC3A-4ED8-BDBA-A93996F0146E}"/>
    <cellStyle name="Style 80 6 4 2 7" xfId="9344" xr:uid="{796FB24A-42CF-481E-A4D5-EF9D710F0E15}"/>
    <cellStyle name="Style 80 6 4 2 7 2" xfId="25450" xr:uid="{5213A640-0CD4-42D6-A1FA-F341F2388170}"/>
    <cellStyle name="Style 80 6 4 2 8" xfId="9345" xr:uid="{11CDEB1B-9C25-4790-ADB1-B74AA8281F60}"/>
    <cellStyle name="Style 80 6 4 2 8 2" xfId="25451" xr:uid="{7BA4553B-659B-411C-9FDC-1569FC5C2948}"/>
    <cellStyle name="Style 80 6 4 2 9" xfId="9346" xr:uid="{6EDD13FF-79A6-4960-8EBD-6C8423BEE8AC}"/>
    <cellStyle name="Style 80 6 4 2 9 2" xfId="25452" xr:uid="{134E90C0-B95F-47EB-B680-416690929438}"/>
    <cellStyle name="Style 80 6 4 3" xfId="4578" xr:uid="{144B1E94-FCA2-4671-A03B-49C3255358F5}"/>
    <cellStyle name="Style 80 6 4 3 2" xfId="9347" xr:uid="{2793BF51-6DDF-4E6D-8CEE-780912BE55FB}"/>
    <cellStyle name="Style 80 6 4 3 2 2" xfId="25453" xr:uid="{802C1BFE-E0DB-4D69-A812-A5FE156A22C9}"/>
    <cellStyle name="Style 80 6 4 4" xfId="4575" xr:uid="{9EBB6598-5B9A-4EE9-A7D9-2E393D7184DE}"/>
    <cellStyle name="Style 80 6 4 4 2" xfId="9348" xr:uid="{4BF69C33-1515-42BB-8B5E-61C4F56540E2}"/>
    <cellStyle name="Style 80 6 4 4 2 2" xfId="25454" xr:uid="{CE04F45D-65A4-4580-AA72-B97FCD29A74B}"/>
    <cellStyle name="Style 80 6 4 5" xfId="9349" xr:uid="{BF65FA5B-735E-4BEC-A711-18C1315809DB}"/>
    <cellStyle name="Style 80 6 4 5 2" xfId="9350" xr:uid="{4C747522-6319-4897-8946-F4F7A1DAB768}"/>
    <cellStyle name="Style 80 6 4 5 2 2" xfId="25455" xr:uid="{6107DEBA-F256-4D43-99DB-96D76F198780}"/>
    <cellStyle name="Style 80 6 4 5 3" xfId="22257" xr:uid="{6E1599B2-CA2F-4991-B025-C5990FBF92C6}"/>
    <cellStyle name="Style 80 6 4 6" xfId="9351" xr:uid="{608744AF-B48A-4FA7-9140-664174FEBA47}"/>
    <cellStyle name="Style 80 6 4 6 2" xfId="25456" xr:uid="{4048C6A9-5EE8-469D-A02D-9BF173940AF2}"/>
    <cellStyle name="Style 80 6 4 7" xfId="9352" xr:uid="{10CF8EF6-BFCF-4192-967A-A83C16320797}"/>
    <cellStyle name="Style 80 6 4 7 2" xfId="25457" xr:uid="{03B45E7A-5CBD-45E2-9726-A306F4E3334A}"/>
    <cellStyle name="Style 80 6 4 8" xfId="9353" xr:uid="{F2EACFD8-0C08-408C-9375-BE40FE06FE55}"/>
    <cellStyle name="Style 80 6 4 8 2" xfId="25458" xr:uid="{C7424E09-9C65-4172-BC2A-A04C1CE75B9B}"/>
    <cellStyle name="Style 80 6 4 9" xfId="9354" xr:uid="{20D8F4F3-AF72-43E3-8BBE-4A3538EB351A}"/>
    <cellStyle name="Style 80 6 4 9 2" xfId="25459" xr:uid="{2865938C-9CAB-4037-828D-BE2E54AEC91F}"/>
    <cellStyle name="Style 80 6 5" xfId="4579" xr:uid="{42B8488A-FF33-4A89-876F-07CEF91848BD}"/>
    <cellStyle name="Style 80 6 5 2" xfId="9355" xr:uid="{11395B3A-506B-434E-99AB-D2789569C822}"/>
    <cellStyle name="Style 80 6 5 2 2" xfId="25460" xr:uid="{0111ADAD-7C62-43E2-8B2D-3A715BB723F5}"/>
    <cellStyle name="Style 80 6 5 3" xfId="9356" xr:uid="{7DF3AAB9-B578-4E25-9FBF-872CDF5769DF}"/>
    <cellStyle name="Style 80 6 5 3 2" xfId="25461" xr:uid="{634CB364-7F6A-479E-981B-3161E3C4815C}"/>
    <cellStyle name="Style 80 6 5 4" xfId="9357" xr:uid="{0A87DFA5-AE2B-4597-8738-8B2B306B7E0C}"/>
    <cellStyle name="Style 80 6 5 4 2" xfId="25462" xr:uid="{E1DAF4FA-0D85-4B94-9D30-E733656DAE9F}"/>
    <cellStyle name="Style 80 6 6" xfId="4580" xr:uid="{A692347D-1528-40F1-90B0-96C495B90E9B}"/>
    <cellStyle name="Style 80 6 6 2" xfId="9358" xr:uid="{3DED3495-1437-498C-8D29-3CBE74BA82E3}"/>
    <cellStyle name="Style 80 6 6 2 2" xfId="25463" xr:uid="{7134F0BE-CD76-48EE-B076-C5447535F981}"/>
    <cellStyle name="Style 80 6 7" xfId="4565" xr:uid="{717D630F-AF9F-47E8-ABE3-B73D7F571713}"/>
    <cellStyle name="Style 80 6 7 2" xfId="9359" xr:uid="{F445F755-F90A-4134-8109-78E09B286C52}"/>
    <cellStyle name="Style 80 6 7 2 2" xfId="25464" xr:uid="{140DAAF9-E1CE-439A-85FA-0387B0E3B1D4}"/>
    <cellStyle name="Style 80 6 8" xfId="9360" xr:uid="{AB279C80-1735-4138-AAAF-DD19F2D503D5}"/>
    <cellStyle name="Style 80 6 8 2" xfId="9361" xr:uid="{877A3978-C27A-47BD-8070-C6BAB0ED8BC9}"/>
    <cellStyle name="Style 80 6 8 2 2" xfId="25465" xr:uid="{519A0848-E6EA-4F1C-A3C6-DFA78AD006AA}"/>
    <cellStyle name="Style 80 6 8 3" xfId="22253" xr:uid="{0C052663-3E68-4B74-B988-65B39871C566}"/>
    <cellStyle name="Style 80 6 9" xfId="9362" xr:uid="{C28F2052-9980-44AA-B2B8-CFD1CAE5D05C}"/>
    <cellStyle name="Style 80 6 9 2" xfId="25466" xr:uid="{0625061A-4E79-4AAC-9780-70660A65F98A}"/>
    <cellStyle name="Style 80 7" xfId="2096" xr:uid="{154402CF-62D5-4904-A5C0-26294D61D64D}"/>
    <cellStyle name="Style 80 7 10" xfId="9363" xr:uid="{338B1525-41EA-4DDC-A130-FC1F466FCC8F}"/>
    <cellStyle name="Style 80 7 10 2" xfId="25467" xr:uid="{382B9537-EE12-48FB-B842-A6D737FC5C3A}"/>
    <cellStyle name="Style 80 7 11" xfId="9364" xr:uid="{F815B2D5-BF81-453A-86B8-6DE9EE9E6713}"/>
    <cellStyle name="Style 80 7 11 2" xfId="25468" xr:uid="{9AC2E6F4-1AD8-43E8-8D76-35F289363548}"/>
    <cellStyle name="Style 80 7 12" xfId="9365" xr:uid="{13F5B9CD-036D-47AC-A69B-2ACDDB94532A}"/>
    <cellStyle name="Style 80 7 12 2" xfId="25469" xr:uid="{7DEC8112-25BF-4C9F-AB0E-82040B0D9030}"/>
    <cellStyle name="Style 80 7 13" xfId="9366" xr:uid="{0B8B9873-5BF1-4A30-9610-F8ECDA928D1E}"/>
    <cellStyle name="Style 80 7 13 2" xfId="25470" xr:uid="{5780180A-6A24-44C3-BDB1-D25CE0D8F1ED}"/>
    <cellStyle name="Style 80 7 14" xfId="19041" xr:uid="{1F88BB0A-CEEF-43F3-9CCE-B1404C7620FF}"/>
    <cellStyle name="Style 80 7 2" xfId="2097" xr:uid="{02193301-341B-41C8-B987-8B751F52A966}"/>
    <cellStyle name="Style 80 7 2 10" xfId="9367" xr:uid="{D76EB81F-1CAB-4399-BB42-2890759ED39B}"/>
    <cellStyle name="Style 80 7 2 10 2" xfId="25471" xr:uid="{A8073945-B2B9-4EC4-8746-BD7379CDF3EB}"/>
    <cellStyle name="Style 80 7 2 11" xfId="9368" xr:uid="{9BCF7091-3017-46CA-8335-2B1140699FFD}"/>
    <cellStyle name="Style 80 7 2 11 2" xfId="25472" xr:uid="{6972797F-A17E-45AD-A156-580404886372}"/>
    <cellStyle name="Style 80 7 2 12" xfId="19042" xr:uid="{DA514C19-BD22-436A-BB9F-EB264D9DD6AA}"/>
    <cellStyle name="Style 80 7 2 2" xfId="4583" xr:uid="{DD4A211A-70D3-4459-9D04-669863531708}"/>
    <cellStyle name="Style 80 7 2 2 2" xfId="9369" xr:uid="{1B1EE06E-F955-454A-9ABD-6FABAB085933}"/>
    <cellStyle name="Style 80 7 2 2 2 2" xfId="25473" xr:uid="{5F293188-D38E-4CF4-94D0-EB2C5AB505ED}"/>
    <cellStyle name="Style 80 7 2 3" xfId="4582" xr:uid="{1EA1BEBF-76D2-430B-968D-869EB2C6A734}"/>
    <cellStyle name="Style 80 7 2 3 2" xfId="9370" xr:uid="{EC1C80B5-BC84-4D35-8BBB-361F012E3FE3}"/>
    <cellStyle name="Style 80 7 2 3 2 2" xfId="25474" xr:uid="{FB6501D9-B15E-411B-B90F-D931019AA88A}"/>
    <cellStyle name="Style 80 7 2 4" xfId="9371" xr:uid="{2D8541B1-9E96-4049-B6EA-3E70C96FCF1E}"/>
    <cellStyle name="Style 80 7 2 4 2" xfId="9372" xr:uid="{0D54BE30-0024-4F25-9234-D8E4F6C26E6C}"/>
    <cellStyle name="Style 80 7 2 4 2 2" xfId="25475" xr:uid="{D8894C31-E428-43E6-B09E-7D66366B0C60}"/>
    <cellStyle name="Style 80 7 2 4 3" xfId="22260" xr:uid="{4FA3CA67-E9B1-46DA-A20A-10BC4847A0E7}"/>
    <cellStyle name="Style 80 7 2 5" xfId="9373" xr:uid="{93F579B9-17AC-4148-A653-22E4EE4AB09F}"/>
    <cellStyle name="Style 80 7 2 5 2" xfId="25476" xr:uid="{33A1D343-713E-4601-836C-7C7BAB80CF94}"/>
    <cellStyle name="Style 80 7 2 6" xfId="9374" xr:uid="{AC562FD1-5D5F-4BD4-AF07-5EC5BDC236AD}"/>
    <cellStyle name="Style 80 7 2 6 2" xfId="25477" xr:uid="{CEA624A5-4815-487F-9C60-CF8041A26A0F}"/>
    <cellStyle name="Style 80 7 2 7" xfId="9375" xr:uid="{931F4375-2E3F-4DFE-A315-D4850E1BBA05}"/>
    <cellStyle name="Style 80 7 2 7 2" xfId="25478" xr:uid="{91F05014-9ED0-4AD3-BCF9-DE8D1CD5F3DF}"/>
    <cellStyle name="Style 80 7 2 8" xfId="9376" xr:uid="{D2703801-C672-4198-9335-56398926F3AF}"/>
    <cellStyle name="Style 80 7 2 8 2" xfId="25479" xr:uid="{87FEC55D-31AB-4CB9-98FA-63ECA3350702}"/>
    <cellStyle name="Style 80 7 2 9" xfId="9377" xr:uid="{76EF0B35-FCCA-4BC5-9AB0-225DE023CFF9}"/>
    <cellStyle name="Style 80 7 2 9 2" xfId="25480" xr:uid="{5B5E41E9-9957-4965-85DC-C27D53FA7C35}"/>
    <cellStyle name="Style 80 7 3" xfId="4584" xr:uid="{E416205A-3A5B-48DB-882B-4C25D63FC03D}"/>
    <cellStyle name="Style 80 7 3 2" xfId="4585" xr:uid="{F5B677CA-DFCB-4851-BAE3-C7ACB0CD839D}"/>
    <cellStyle name="Style 80 7 3 2 2" xfId="9378" xr:uid="{3FA82DD9-1A7B-48B9-B780-5F82E18E86D3}"/>
    <cellStyle name="Style 80 7 3 2 2 2" xfId="25481" xr:uid="{F1F04146-67D4-42AA-8280-E8EAB35B0C94}"/>
    <cellStyle name="Style 80 7 3 3" xfId="9379" xr:uid="{7FF0AFE9-E514-4BBE-BB9F-27C8E92F9FFC}"/>
    <cellStyle name="Style 80 7 3 3 2" xfId="25482" xr:uid="{26DC649D-884A-4DB1-99C3-AFDBE91B8754}"/>
    <cellStyle name="Style 80 7 3 4" xfId="9380" xr:uid="{B4A43C48-452A-42EA-BC8E-C1208DB62336}"/>
    <cellStyle name="Style 80 7 3 4 2" xfId="25483" xr:uid="{A38160BC-DA37-4070-A2E5-44A146977E5D}"/>
    <cellStyle name="Style 80 7 3 5" xfId="19043" xr:uid="{56CCEDBD-97F6-4F7C-810F-602CC6B15584}"/>
    <cellStyle name="Style 80 7 4" xfId="4586" xr:uid="{0A5E3F9A-CD8A-4FD3-A7EA-09023D8AB3E9}"/>
    <cellStyle name="Style 80 7 4 2" xfId="9381" xr:uid="{DD37FCA4-4DC3-41AF-A80A-F91223A56FE2}"/>
    <cellStyle name="Style 80 7 4 2 2" xfId="25484" xr:uid="{B220ABB0-7D7F-45B2-85F2-C877360017BA}"/>
    <cellStyle name="Style 80 7 5" xfId="4587" xr:uid="{51C8F95F-8603-40DB-BCC3-AAB9A9D803EA}"/>
    <cellStyle name="Style 80 7 5 2" xfId="9382" xr:uid="{AB23C380-0B60-4BEF-B095-5B970C3181AC}"/>
    <cellStyle name="Style 80 7 5 2 2" xfId="25485" xr:uid="{AFDF96B6-EF24-4C9C-89B1-A753FDC9BB9C}"/>
    <cellStyle name="Style 80 7 6" xfId="4581" xr:uid="{74B2BBDC-9400-477B-8D8D-A59670A1429F}"/>
    <cellStyle name="Style 80 7 6 2" xfId="9383" xr:uid="{E0C11A23-8DD3-466B-AFD7-72E26C17F1C9}"/>
    <cellStyle name="Style 80 7 6 2 2" xfId="25486" xr:uid="{9A65ACA6-1EF3-42C4-A1F0-67160BA9FDB7}"/>
    <cellStyle name="Style 80 7 7" xfId="9384" xr:uid="{A67F9325-811D-4A86-A9C2-3214D38FC46F}"/>
    <cellStyle name="Style 80 7 7 2" xfId="9385" xr:uid="{F3D19461-6E3A-4828-9C27-11A466BFB3DD}"/>
    <cellStyle name="Style 80 7 7 2 2" xfId="25487" xr:uid="{E6735F1C-6FBB-4E63-92F4-DE9FD0BADC66}"/>
    <cellStyle name="Style 80 7 7 3" xfId="22259" xr:uid="{59704232-A326-49F0-B63A-486492CB328E}"/>
    <cellStyle name="Style 80 7 8" xfId="9386" xr:uid="{7DED5556-1EB7-4FCF-875E-8F316B677C1A}"/>
    <cellStyle name="Style 80 7 8 2" xfId="25488" xr:uid="{91E6B0D5-3E40-4F9A-BFF4-D2BE35D75584}"/>
    <cellStyle name="Style 80 7 9" xfId="9387" xr:uid="{CE716B0D-E34E-47D5-8FD9-27A97F4A1DE9}"/>
    <cellStyle name="Style 80 7 9 2" xfId="25489" xr:uid="{93BAF0BA-0625-4E54-A525-839ABC9FBFC6}"/>
    <cellStyle name="Style 80 8" xfId="2098" xr:uid="{193FBC5B-036C-40E4-B0E9-01297A2FBDEF}"/>
    <cellStyle name="Style 80 8 10" xfId="9388" xr:uid="{03C9E3E9-2DD0-4029-A5E9-4F528367959B}"/>
    <cellStyle name="Style 80 8 10 2" xfId="25490" xr:uid="{4AE48E1B-AEDC-4584-9588-DB52772E3625}"/>
    <cellStyle name="Style 80 8 11" xfId="9389" xr:uid="{79733979-77F4-4A7E-9897-E4570CA85D11}"/>
    <cellStyle name="Style 80 8 11 2" xfId="25491" xr:uid="{41CA2F2F-B462-4726-811F-502CEC19BF08}"/>
    <cellStyle name="Style 80 8 12" xfId="9390" xr:uid="{2C0D1513-9E2A-4B6E-867B-189C5A56EB64}"/>
    <cellStyle name="Style 80 8 12 2" xfId="25492" xr:uid="{84F71971-5C0F-4584-BD3D-3786B0607DDC}"/>
    <cellStyle name="Style 80 8 13" xfId="19044" xr:uid="{DF5A0C57-EB6D-4382-B6CB-BCA2445CB9EE}"/>
    <cellStyle name="Style 80 8 2" xfId="2099" xr:uid="{E8315563-FCE9-406E-90F9-05707F568826}"/>
    <cellStyle name="Style 80 8 2 10" xfId="9391" xr:uid="{09277699-13F9-4CA4-90EE-0B69D9DAF206}"/>
    <cellStyle name="Style 80 8 2 10 2" xfId="25493" xr:uid="{BC515C5F-7847-453A-92DC-DABFC7333AC5}"/>
    <cellStyle name="Style 80 8 2 11" xfId="9392" xr:uid="{914302C7-1300-4BFF-AE1A-DC4C480F2717}"/>
    <cellStyle name="Style 80 8 2 11 2" xfId="25494" xr:uid="{4C9EB419-E500-411A-A1CB-443B5D6C40F5}"/>
    <cellStyle name="Style 80 8 2 12" xfId="19045" xr:uid="{403B6A74-2FF9-45B6-A179-DD92313CF29B}"/>
    <cellStyle name="Style 80 8 2 2" xfId="4590" xr:uid="{51AD2ED5-4C12-4F54-87E1-FADBD2686AFC}"/>
    <cellStyle name="Style 80 8 2 2 2" xfId="9393" xr:uid="{EDF5238C-29A6-47BD-AFBE-0CBAD67335EA}"/>
    <cellStyle name="Style 80 8 2 2 2 2" xfId="25495" xr:uid="{1A5486A2-B006-4DFB-BAB0-12D772BE4940}"/>
    <cellStyle name="Style 80 8 2 3" xfId="4589" xr:uid="{61FE02D2-519C-438B-8891-10DF92264C4B}"/>
    <cellStyle name="Style 80 8 2 3 2" xfId="9394" xr:uid="{7CF4E502-8803-4D06-8F28-07C908668540}"/>
    <cellStyle name="Style 80 8 2 3 2 2" xfId="25496" xr:uid="{47D842B6-F3BC-4E90-BFD2-0694105C9B26}"/>
    <cellStyle name="Style 80 8 2 4" xfId="9395" xr:uid="{0E92041F-1CF0-4EB0-90BD-1830C47D21AA}"/>
    <cellStyle name="Style 80 8 2 4 2" xfId="9396" xr:uid="{90A2766D-394B-45C0-8C7C-C8209B798EFA}"/>
    <cellStyle name="Style 80 8 2 4 2 2" xfId="25497" xr:uid="{EE3A3066-5322-4915-955D-25F158848D65}"/>
    <cellStyle name="Style 80 8 2 4 3" xfId="22262" xr:uid="{8F44DB8B-ED0C-4DC7-A1CD-E920024D1955}"/>
    <cellStyle name="Style 80 8 2 5" xfId="9397" xr:uid="{95546F75-E50B-4995-A11F-D72610EE4342}"/>
    <cellStyle name="Style 80 8 2 5 2" xfId="25498" xr:uid="{0DE5C034-F5B4-4565-89CE-7FBD5068DBEA}"/>
    <cellStyle name="Style 80 8 2 6" xfId="9398" xr:uid="{7EDCB222-7FF7-4710-8223-BB4567EA16C7}"/>
    <cellStyle name="Style 80 8 2 6 2" xfId="25499" xr:uid="{663B1878-CB83-4FCA-9D2C-3D8E7AC28CAB}"/>
    <cellStyle name="Style 80 8 2 7" xfId="9399" xr:uid="{FB4D0B2D-0A89-436B-94AF-74808A61B7BD}"/>
    <cellStyle name="Style 80 8 2 7 2" xfId="25500" xr:uid="{69828459-9FC7-4FC4-BDD2-C288CF389B0E}"/>
    <cellStyle name="Style 80 8 2 8" xfId="9400" xr:uid="{C2327902-77F1-47D2-B71B-5CD54F3747B4}"/>
    <cellStyle name="Style 80 8 2 8 2" xfId="25501" xr:uid="{6D01B173-8A85-4F02-815A-B6804D9DDAF0}"/>
    <cellStyle name="Style 80 8 2 9" xfId="9401" xr:uid="{208D74F5-98EA-4AFF-A7C8-1BCCF5077BC1}"/>
    <cellStyle name="Style 80 8 2 9 2" xfId="25502" xr:uid="{24933D14-BBC3-4EB2-AA53-E2E53525845C}"/>
    <cellStyle name="Style 80 8 3" xfId="4591" xr:uid="{5903C7BF-890F-4BD7-B4EB-2AD7EE9AD675}"/>
    <cellStyle name="Style 80 8 3 2" xfId="4592" xr:uid="{DBF9598E-E479-4361-ABBF-277A2676A977}"/>
    <cellStyle name="Style 80 8 3 3" xfId="9402" xr:uid="{01CC302E-7442-4EF9-8153-284E6D9EC39C}"/>
    <cellStyle name="Style 80 8 3 3 2" xfId="25503" xr:uid="{63F887EE-E6B6-424F-9147-61D64F42762C}"/>
    <cellStyle name="Style 80 8 3 4" xfId="19046" xr:uid="{34C58B6A-993E-449C-B002-C5CB828844B7}"/>
    <cellStyle name="Style 80 8 4" xfId="4593" xr:uid="{59293721-38C7-442F-A52E-DB4608B0DE89}"/>
    <cellStyle name="Style 80 8 4 2" xfId="9403" xr:uid="{CF03A018-2980-4D01-BEE3-640E27760980}"/>
    <cellStyle name="Style 80 8 4 2 2" xfId="25504" xr:uid="{E1BBD261-3985-4BEC-A5BD-6556DADB92FF}"/>
    <cellStyle name="Style 80 8 5" xfId="4594" xr:uid="{610C7F33-3BEE-4815-8F31-968195043D47}"/>
    <cellStyle name="Style 80 8 5 2" xfId="9404" xr:uid="{00146155-C192-4D04-8A38-7FBD5E68A35F}"/>
    <cellStyle name="Style 80 8 5 2 2" xfId="25505" xr:uid="{63370E93-AF24-49D4-A932-06477C5356B3}"/>
    <cellStyle name="Style 80 8 6" xfId="4588" xr:uid="{E7AE678F-31B8-4FFA-924B-78D3D779B1B0}"/>
    <cellStyle name="Style 80 8 6 2" xfId="9405" xr:uid="{C49FF974-77A7-4216-9224-7EB251218BE0}"/>
    <cellStyle name="Style 80 8 6 2 2" xfId="25506" xr:uid="{210C3090-221A-43CC-BAC8-11A842FD5E56}"/>
    <cellStyle name="Style 80 8 7" xfId="9406" xr:uid="{8C86022E-41C2-4C63-B545-8D7FBAD7453F}"/>
    <cellStyle name="Style 80 8 7 2" xfId="9407" xr:uid="{A28ED8E0-316D-4104-A975-6303FF37B9DA}"/>
    <cellStyle name="Style 80 8 7 2 2" xfId="25507" xr:uid="{FC17E18A-BCA4-4262-A20C-9DC934C4F01D}"/>
    <cellStyle name="Style 80 8 7 3" xfId="22261" xr:uid="{EFA67A16-E61E-475D-81DD-1036844324DF}"/>
    <cellStyle name="Style 80 8 8" xfId="9408" xr:uid="{632FEF9D-1C42-442E-9E55-94C9EAAE7348}"/>
    <cellStyle name="Style 80 8 8 2" xfId="25508" xr:uid="{8ACEDD15-F901-46F7-BE20-7CC2710AD1C1}"/>
    <cellStyle name="Style 80 8 9" xfId="9409" xr:uid="{9BC7178D-470F-46E7-9D80-FA42BA8B9BEC}"/>
    <cellStyle name="Style 80 8 9 2" xfId="25509" xr:uid="{112F4DF1-B83F-4304-9549-8EC2E1ED8F87}"/>
    <cellStyle name="Style 80 9" xfId="2100" xr:uid="{F72A211A-1897-404A-AB39-5CF9F78F28FD}"/>
    <cellStyle name="Style 80 9 10" xfId="9410" xr:uid="{6AB29F9D-B5AC-4BE7-AD1F-859E5BAE618C}"/>
    <cellStyle name="Style 80 9 10 2" xfId="25510" xr:uid="{D23B0868-6E9C-4A9E-8717-4EBE59AE896C}"/>
    <cellStyle name="Style 80 9 11" xfId="9411" xr:uid="{5DEC8DD0-05EA-472F-9AAE-0C48EEC767DD}"/>
    <cellStyle name="Style 80 9 11 2" xfId="25511" xr:uid="{755222FA-06E3-47B8-A583-55442A7E0437}"/>
    <cellStyle name="Style 80 9 12" xfId="9412" xr:uid="{320C6F1D-AB7D-4CCD-887F-2671DEA526D9}"/>
    <cellStyle name="Style 80 9 12 2" xfId="25512" xr:uid="{E2F293D5-C791-4520-A59F-039584F20677}"/>
    <cellStyle name="Style 80 9 13" xfId="19047" xr:uid="{CE845267-1312-4FF6-8EDC-CF2775762501}"/>
    <cellStyle name="Style 80 9 2" xfId="2101" xr:uid="{D89CD2D6-06A8-49D9-A6C3-6521F7B5D477}"/>
    <cellStyle name="Style 80 9 2 10" xfId="9413" xr:uid="{7BBE136E-C9DE-42BD-AB45-0601EEDC6D71}"/>
    <cellStyle name="Style 80 9 2 10 2" xfId="25513" xr:uid="{C2E330AE-F0C6-4347-8A4D-F4042415933B}"/>
    <cellStyle name="Style 80 9 2 2" xfId="4596" xr:uid="{DBE43307-3D25-46CE-9134-46913CB1D887}"/>
    <cellStyle name="Style 80 9 2 2 2" xfId="9414" xr:uid="{B135C19C-1C84-4255-A252-100FEC74B98C}"/>
    <cellStyle name="Style 80 9 2 2 2 2" xfId="25514" xr:uid="{1D897080-B079-4784-A871-96322BAF15A6}"/>
    <cellStyle name="Style 80 9 2 3" xfId="9415" xr:uid="{7CC554DD-A262-4A74-8192-763550507603}"/>
    <cellStyle name="Style 80 9 2 3 2" xfId="9416" xr:uid="{DBD3FAC0-667D-4573-98B7-469C8A2290CA}"/>
    <cellStyle name="Style 80 9 2 3 2 2" xfId="25515" xr:uid="{9E92EA76-7C76-4509-BC79-33610FC3BAC2}"/>
    <cellStyle name="Style 80 9 2 3 3" xfId="22264" xr:uid="{43664584-6C0E-4A00-A30D-48E30902DC21}"/>
    <cellStyle name="Style 80 9 2 4" xfId="9417" xr:uid="{09A11112-81ED-41B4-94C5-E36092292EE6}"/>
    <cellStyle name="Style 80 9 2 4 2" xfId="25516" xr:uid="{529AC11B-DB69-4562-A14E-50588EFC2D47}"/>
    <cellStyle name="Style 80 9 2 5" xfId="9418" xr:uid="{30851AD1-CB40-4004-A6B1-E4BB89B05FE0}"/>
    <cellStyle name="Style 80 9 2 5 2" xfId="25517" xr:uid="{B6326936-AE18-448B-9DB4-D535A0F4789D}"/>
    <cellStyle name="Style 80 9 2 6" xfId="9419" xr:uid="{AA8338E5-05CD-4C95-8E33-4F4C587E6A00}"/>
    <cellStyle name="Style 80 9 2 6 2" xfId="25518" xr:uid="{43A4045B-AB63-4C89-95F7-7AEA009B1AF6}"/>
    <cellStyle name="Style 80 9 2 7" xfId="9420" xr:uid="{33BB26B9-7944-4A58-AAB0-9DF3235EB582}"/>
    <cellStyle name="Style 80 9 2 7 2" xfId="25519" xr:uid="{B84B13CB-C2C7-4A99-A758-0F04BAAB265A}"/>
    <cellStyle name="Style 80 9 2 8" xfId="9421" xr:uid="{028D9CF5-B1F8-45BF-A0EC-111EE13D822D}"/>
    <cellStyle name="Style 80 9 2 8 2" xfId="25520" xr:uid="{21575F5A-35A1-4A45-A064-916EE843C7C0}"/>
    <cellStyle name="Style 80 9 2 9" xfId="9422" xr:uid="{4F96BED3-EBC5-40FA-B8FC-CF36746C206E}"/>
    <cellStyle name="Style 80 9 2 9 2" xfId="25521" xr:uid="{5E5C5A25-ED54-4984-85BE-0A82760D019C}"/>
    <cellStyle name="Style 80 9 3" xfId="2780" xr:uid="{703A4101-6011-419E-BDF1-D3B1C68279B1}"/>
    <cellStyle name="Style 80 9 3 2" xfId="4597" xr:uid="{FE5FD3C4-1989-4DC3-A1CC-574C14996D5F}"/>
    <cellStyle name="Style 80 9 3 2 2" xfId="22527" xr:uid="{DA982C89-9239-48E5-95F5-22793FF41A9A}"/>
    <cellStyle name="Style 80 9 3 3" xfId="9423" xr:uid="{9BAE4C01-E032-4877-9A59-8D2BA4FE29E0}"/>
    <cellStyle name="Style 80 9 3 3 2" xfId="25522" xr:uid="{5A3E485A-9134-4233-98F5-B8666906A95E}"/>
    <cellStyle name="Style 80 9 4" xfId="4595" xr:uid="{63C36866-6216-4896-9420-FF08B250501E}"/>
    <cellStyle name="Style 80 9 4 2" xfId="9424" xr:uid="{8DEC385E-63B6-4EC0-94A5-513D83C9E459}"/>
    <cellStyle name="Style 80 9 4 2 2" xfId="25523" xr:uid="{CA2638DA-6D84-4C5A-B6E5-4C65BB438DF2}"/>
    <cellStyle name="Style 80 9 5" xfId="9425" xr:uid="{D6F270EE-B379-4BAF-8C84-8DA88C6F7402}"/>
    <cellStyle name="Style 80 9 5 2" xfId="9426" xr:uid="{37481077-7C8E-4AB0-89A1-BAB657705C36}"/>
    <cellStyle name="Style 80 9 5 2 2" xfId="25524" xr:uid="{E79D64B7-4606-4D5D-A346-4833058A7BE2}"/>
    <cellStyle name="Style 80 9 5 3" xfId="22263" xr:uid="{02F5CEE6-8684-498F-AB7D-609AE632B314}"/>
    <cellStyle name="Style 80 9 6" xfId="9427" xr:uid="{B601F1E6-33D4-435D-B164-DF5C1E0F2F41}"/>
    <cellStyle name="Style 80 9 6 2" xfId="25525" xr:uid="{02D515D9-F5DE-4683-856F-F89BF711D645}"/>
    <cellStyle name="Style 80 9 7" xfId="9428" xr:uid="{42387D53-F393-4271-B025-F1FA7FE28A3D}"/>
    <cellStyle name="Style 80 9 7 2" xfId="25526" xr:uid="{588A81B9-CA24-4B5F-B4B2-190A43C7517C}"/>
    <cellStyle name="Style 80 9 8" xfId="9429" xr:uid="{6CDD6591-ABAB-4D24-A2FC-E06399D5CAA6}"/>
    <cellStyle name="Style 80 9 8 2" xfId="25527" xr:uid="{EFD134E1-19C4-4448-99D4-C1223143AD5E}"/>
    <cellStyle name="Style 80 9 9" xfId="9430" xr:uid="{18289EF2-D0BC-4291-B9BD-94EA14BB9DDE}"/>
    <cellStyle name="Style 80 9 9 2" xfId="25528" xr:uid="{16A8545F-9E08-4739-B52F-15053C72685B}"/>
    <cellStyle name="Style 80_ADDON" xfId="20532" xr:uid="{B2AE9671-2B86-400C-BD79-88713AC26C17}"/>
    <cellStyle name="Style 81" xfId="2102" xr:uid="{3C65677B-8F15-42D2-BA99-F3DF0B3CDDE5}"/>
    <cellStyle name="Style 81 10" xfId="2103" xr:uid="{B3EF5123-EF79-4639-924F-EA8E040557F0}"/>
    <cellStyle name="Style 81 10 10" xfId="9431" xr:uid="{BE33B4E8-C6EA-4DC8-B3CB-15ABF0C6C5BB}"/>
    <cellStyle name="Style 81 10 10 2" xfId="25529" xr:uid="{33E32989-093E-4CCA-A41F-F93E68E74A08}"/>
    <cellStyle name="Style 81 10 11" xfId="9432" xr:uid="{24A63E23-4379-48A6-9F6B-B71A15F459A6}"/>
    <cellStyle name="Style 81 10 11 2" xfId="25530" xr:uid="{F5954FA4-55E8-41FB-9C54-F8404044FAD7}"/>
    <cellStyle name="Style 81 10 12" xfId="9433" xr:uid="{F265E2BC-A219-49BB-BC6D-F11E30FE0A66}"/>
    <cellStyle name="Style 81 10 12 2" xfId="25531" xr:uid="{702959A9-5404-445C-B730-097023FE1B5F}"/>
    <cellStyle name="Style 81 10 13" xfId="19049" xr:uid="{C5DA4BCC-8927-4169-8DCE-79106A9C3FC5}"/>
    <cellStyle name="Style 81 10 2" xfId="2104" xr:uid="{90A8AE4C-4332-4B74-B175-98D21B7749FF}"/>
    <cellStyle name="Style 81 10 2 10" xfId="9434" xr:uid="{66852BAF-FC81-4FDE-AC6E-88BE8FE53E0A}"/>
    <cellStyle name="Style 81 10 2 10 2" xfId="25532" xr:uid="{F1B202FC-CF3A-44DA-AFC5-B40472D82B6B}"/>
    <cellStyle name="Style 81 10 2 2" xfId="4600" xr:uid="{244B9308-F6BC-4DA4-B312-24AF855403F1}"/>
    <cellStyle name="Style 81 10 2 2 2" xfId="9435" xr:uid="{BBD372CA-E335-4136-B865-69D326D4E233}"/>
    <cellStyle name="Style 81 10 2 2 2 2" xfId="25533" xr:uid="{E835D5A7-B739-4A5F-A786-C8828237D695}"/>
    <cellStyle name="Style 81 10 2 3" xfId="9436" xr:uid="{AECFD355-26B2-4467-90F5-2A9BACCAEFA6}"/>
    <cellStyle name="Style 81 10 2 3 2" xfId="9437" xr:uid="{96691386-D572-4C70-AE38-03A8692BF7B5}"/>
    <cellStyle name="Style 81 10 2 3 2 2" xfId="25534" xr:uid="{9B00FFA9-43F0-4974-BD59-4EDA1ACA32FB}"/>
    <cellStyle name="Style 81 10 2 3 3" xfId="22266" xr:uid="{597F545D-615A-486B-A4A3-BCDE8BD26F3B}"/>
    <cellStyle name="Style 81 10 2 4" xfId="9438" xr:uid="{541C0EEF-BB3C-40CF-A106-F403A08DFFF2}"/>
    <cellStyle name="Style 81 10 2 4 2" xfId="25535" xr:uid="{B1FCDA95-FB36-4FB4-B715-204BE2F2CBBA}"/>
    <cellStyle name="Style 81 10 2 5" xfId="9439" xr:uid="{3803C797-476F-482A-80E5-FEF09C39B31F}"/>
    <cellStyle name="Style 81 10 2 5 2" xfId="25536" xr:uid="{09D38ED7-FE99-4E1C-97DF-AB6A59530BF3}"/>
    <cellStyle name="Style 81 10 2 6" xfId="9440" xr:uid="{0C3DB7A9-8702-4BDA-8191-259470345548}"/>
    <cellStyle name="Style 81 10 2 6 2" xfId="25537" xr:uid="{A84E40FB-EDA0-496C-AB30-7074AB35D1FE}"/>
    <cellStyle name="Style 81 10 2 7" xfId="9441" xr:uid="{E3B4C3A0-8518-40F9-A32E-4AA26399FA3A}"/>
    <cellStyle name="Style 81 10 2 7 2" xfId="25538" xr:uid="{79F20648-EF8C-4CB0-83BD-3D327ACCDCEA}"/>
    <cellStyle name="Style 81 10 2 8" xfId="9442" xr:uid="{47A550E5-E218-4278-9DE1-5D15D1816FDD}"/>
    <cellStyle name="Style 81 10 2 8 2" xfId="25539" xr:uid="{9AA549EF-4B52-4245-A494-BB05E79025F1}"/>
    <cellStyle name="Style 81 10 2 9" xfId="9443" xr:uid="{044FBB4E-32F3-42E4-8198-B8C56E571946}"/>
    <cellStyle name="Style 81 10 2 9 2" xfId="25540" xr:uid="{1D31466C-597E-411F-8EF6-0CB54D67D5D6}"/>
    <cellStyle name="Style 81 10 3" xfId="2781" xr:uid="{E569450B-503E-4B34-B070-03233555B387}"/>
    <cellStyle name="Style 81 10 3 2" xfId="4601" xr:uid="{1B372254-7777-49F4-8207-61FB653F6D40}"/>
    <cellStyle name="Style 81 10 3 2 2" xfId="22528" xr:uid="{844C4180-8230-4CFD-AE13-9C5DC77849B1}"/>
    <cellStyle name="Style 81 10 3 3" xfId="9444" xr:uid="{E1462521-7E25-4835-AFCE-76C8DEBCAB66}"/>
    <cellStyle name="Style 81 10 3 3 2" xfId="25541" xr:uid="{4AC45FE5-2C7A-4D21-B42B-C7A5F71980E4}"/>
    <cellStyle name="Style 81 10 4" xfId="4599" xr:uid="{12613B3F-309B-40E7-91E4-825D74B8DB81}"/>
    <cellStyle name="Style 81 10 4 2" xfId="9445" xr:uid="{782A7DBD-54C7-4B00-9ED2-CFFD77B181D1}"/>
    <cellStyle name="Style 81 10 4 2 2" xfId="25542" xr:uid="{A7D5B591-928D-4DFB-985C-958CF7A1DD53}"/>
    <cellStyle name="Style 81 10 5" xfId="9446" xr:uid="{7356655A-FD33-4B55-A2C1-94E214C3FCD1}"/>
    <cellStyle name="Style 81 10 5 2" xfId="9447" xr:uid="{0923309A-0765-448A-9F89-E173B1535039}"/>
    <cellStyle name="Style 81 10 5 2 2" xfId="25543" xr:uid="{41BBE0BB-FD5A-405C-98AE-8FCF5460ACD6}"/>
    <cellStyle name="Style 81 10 5 3" xfId="22265" xr:uid="{B3A6F590-12DA-4C1E-B167-DD645D9996F8}"/>
    <cellStyle name="Style 81 10 6" xfId="9448" xr:uid="{12D49443-F784-4F50-8BEC-78E27CCE331E}"/>
    <cellStyle name="Style 81 10 6 2" xfId="25544" xr:uid="{A6858358-1C0D-4C8C-8B0E-18796BA00244}"/>
    <cellStyle name="Style 81 10 7" xfId="9449" xr:uid="{7B1A753C-0D58-4800-A5E0-7D1EF15BFE95}"/>
    <cellStyle name="Style 81 10 7 2" xfId="25545" xr:uid="{51F23E86-1F04-45BE-94BD-26272E98640D}"/>
    <cellStyle name="Style 81 10 8" xfId="9450" xr:uid="{C1D236CA-017E-4B20-B412-B0321B8C1AFC}"/>
    <cellStyle name="Style 81 10 8 2" xfId="25546" xr:uid="{E1B7F58B-BE5A-4190-9D8D-1350C9CB41EB}"/>
    <cellStyle name="Style 81 10 9" xfId="9451" xr:uid="{7ED55474-AB52-4A79-BC13-EEAE11EAAE46}"/>
    <cellStyle name="Style 81 10 9 2" xfId="25547" xr:uid="{0A49FA74-29D3-438E-9599-ABFB4C232591}"/>
    <cellStyle name="Style 81 11" xfId="2105" xr:uid="{07F888F5-49F0-45A6-8703-B0B65182430A}"/>
    <cellStyle name="Style 81 11 10" xfId="9452" xr:uid="{24F87806-3147-4316-8C27-A8095703FCDF}"/>
    <cellStyle name="Style 81 11 10 2" xfId="25548" xr:uid="{DCE15E44-B67F-42AC-9E39-0566F52C07FD}"/>
    <cellStyle name="Style 81 11 11" xfId="9453" xr:uid="{B647B4E1-4B42-475D-8D80-79A2BF3AE7B9}"/>
    <cellStyle name="Style 81 11 11 2" xfId="25549" xr:uid="{ABC6CD50-FB45-479D-867B-39A7BB03C57E}"/>
    <cellStyle name="Style 81 11 12" xfId="9454" xr:uid="{31FDAEA0-0C24-4B30-AA6E-67614FD8470C}"/>
    <cellStyle name="Style 81 11 12 2" xfId="25550" xr:uid="{689D0312-6D95-4EFC-BC14-72B1612C3A1A}"/>
    <cellStyle name="Style 81 11 13" xfId="19050" xr:uid="{EB0886DC-B6CB-4A38-BCC7-899349E96BC1}"/>
    <cellStyle name="Style 81 11 2" xfId="2106" xr:uid="{C2815313-09D3-41D2-9763-75FCECCDD604}"/>
    <cellStyle name="Style 81 11 2 10" xfId="9455" xr:uid="{44BC6D96-B4A3-4013-ACF1-99AC980EBFE2}"/>
    <cellStyle name="Style 81 11 2 10 2" xfId="25551" xr:uid="{D3D53430-7D97-4024-A7D1-ACE7D8AD8182}"/>
    <cellStyle name="Style 81 11 2 2" xfId="4603" xr:uid="{B159D642-7F82-41BC-8B30-E28549270E64}"/>
    <cellStyle name="Style 81 11 2 2 2" xfId="9456" xr:uid="{52B19C1F-3D70-4973-8AEC-305F20BE2876}"/>
    <cellStyle name="Style 81 11 2 2 2 2" xfId="25552" xr:uid="{1D5B618A-C066-4468-AE64-852C147CDBB6}"/>
    <cellStyle name="Style 81 11 2 3" xfId="9457" xr:uid="{AB7C810D-1B2F-402B-BE45-DA5ECDF4A46A}"/>
    <cellStyle name="Style 81 11 2 3 2" xfId="9458" xr:uid="{E67F615F-E142-4942-9188-FD5875FD286D}"/>
    <cellStyle name="Style 81 11 2 3 2 2" xfId="25553" xr:uid="{CED67609-23EC-49A9-8620-6EE57E331355}"/>
    <cellStyle name="Style 81 11 2 3 3" xfId="22268" xr:uid="{DFCB4289-A64D-4AE3-9351-89E955B6E678}"/>
    <cellStyle name="Style 81 11 2 4" xfId="9459" xr:uid="{0FEA31F4-6276-45E8-8B48-3E1FBAFD6226}"/>
    <cellStyle name="Style 81 11 2 4 2" xfId="25554" xr:uid="{98D925BB-9892-4F14-8B0C-FFEDF84274B1}"/>
    <cellStyle name="Style 81 11 2 5" xfId="9460" xr:uid="{20E7978A-2DC5-42CD-88B2-C5D775BF9CA4}"/>
    <cellStyle name="Style 81 11 2 5 2" xfId="25555" xr:uid="{2393DFD7-2E91-4EBC-A211-7E3280521EC6}"/>
    <cellStyle name="Style 81 11 2 6" xfId="9461" xr:uid="{14B0FA62-8EED-4DF3-9596-78679E11A5E1}"/>
    <cellStyle name="Style 81 11 2 6 2" xfId="25556" xr:uid="{74FFEEBA-6D8E-403D-A39F-FCA2253836C4}"/>
    <cellStyle name="Style 81 11 2 7" xfId="9462" xr:uid="{65DDCD3D-FA9C-49DD-9F87-20C1575458AB}"/>
    <cellStyle name="Style 81 11 2 7 2" xfId="25557" xr:uid="{4C9DFC41-1045-4C0C-A390-C041F7E9C74A}"/>
    <cellStyle name="Style 81 11 2 8" xfId="9463" xr:uid="{D20AE7BF-5D4A-47FF-AFFF-2D5CB3B57E17}"/>
    <cellStyle name="Style 81 11 2 8 2" xfId="25558" xr:uid="{1A5069C1-EDE3-4875-837F-50B20918112E}"/>
    <cellStyle name="Style 81 11 2 9" xfId="9464" xr:uid="{A88F85A4-641F-4501-AF90-62BB63D75D9A}"/>
    <cellStyle name="Style 81 11 2 9 2" xfId="25559" xr:uid="{4A5511F5-AE6E-45B4-BE18-F6CBE5D73BD5}"/>
    <cellStyle name="Style 81 11 3" xfId="4604" xr:uid="{39FA1EB4-3016-47CE-B9E5-5B4ED3863D31}"/>
    <cellStyle name="Style 81 11 3 2" xfId="9465" xr:uid="{20609D9F-543D-4FFF-AD58-B572D938A6B8}"/>
    <cellStyle name="Style 81 11 3 2 2" xfId="25560" xr:uid="{AD620716-6ADE-4E20-82EF-4B47E150E538}"/>
    <cellStyle name="Style 81 11 4" xfId="4602" xr:uid="{DD5C80C3-35BA-40C1-8821-E342BE1F5808}"/>
    <cellStyle name="Style 81 11 4 2" xfId="9466" xr:uid="{D6974939-6B4D-47D2-917E-C3F73777E8AA}"/>
    <cellStyle name="Style 81 11 4 2 2" xfId="25561" xr:uid="{76107AEC-447B-4BB7-BB7E-33FAA8806450}"/>
    <cellStyle name="Style 81 11 5" xfId="9467" xr:uid="{30B6F7FB-92E7-443B-BBE2-E738B6128A7D}"/>
    <cellStyle name="Style 81 11 5 2" xfId="9468" xr:uid="{70E04BB7-9582-4759-A3A6-082045080F10}"/>
    <cellStyle name="Style 81 11 5 2 2" xfId="25562" xr:uid="{346C531F-5898-46CB-80BF-C1B38011B4BE}"/>
    <cellStyle name="Style 81 11 5 3" xfId="22267" xr:uid="{DE09BF93-2524-480C-A304-4C66D4272F6C}"/>
    <cellStyle name="Style 81 11 6" xfId="9469" xr:uid="{6717534D-F94C-4709-A71E-9E812CD902F6}"/>
    <cellStyle name="Style 81 11 6 2" xfId="25563" xr:uid="{37FAB3CC-622F-425D-A923-6242A5D04125}"/>
    <cellStyle name="Style 81 11 7" xfId="9470" xr:uid="{6093B355-0A36-469A-8534-303B64AF3934}"/>
    <cellStyle name="Style 81 11 7 2" xfId="25564" xr:uid="{D557F0A4-CA21-4D81-BC74-065938150B36}"/>
    <cellStyle name="Style 81 11 8" xfId="9471" xr:uid="{DF2E1974-EB61-48D7-82D7-CE350BBAF91F}"/>
    <cellStyle name="Style 81 11 8 2" xfId="25565" xr:uid="{AFCA2B39-1002-446D-891D-031DBE378DAF}"/>
    <cellStyle name="Style 81 11 9" xfId="9472" xr:uid="{FA9A3331-897C-4EE8-9F17-EF9E19030CC8}"/>
    <cellStyle name="Style 81 11 9 2" xfId="25566" xr:uid="{FEDB1C36-DCA6-4269-8332-453D13467676}"/>
    <cellStyle name="Style 81 12" xfId="2107" xr:uid="{9F2BF0CF-CCD0-49CC-B322-9B5DF17F5393}"/>
    <cellStyle name="Style 81 12 10" xfId="9473" xr:uid="{9BE05611-B01A-40E3-A8D2-889097005506}"/>
    <cellStyle name="Style 81 12 10 2" xfId="25567" xr:uid="{56F7CACC-600E-4FAB-9DEF-AD14F54D7424}"/>
    <cellStyle name="Style 81 12 11" xfId="9474" xr:uid="{A8AAE613-EB99-4CBB-AA9C-733A3E3CBBC9}"/>
    <cellStyle name="Style 81 12 11 2" xfId="25568" xr:uid="{2EAF6357-4C10-4BBA-9F5E-EA1C61BFD18C}"/>
    <cellStyle name="Style 81 12 12" xfId="9475" xr:uid="{D36F5612-C518-4738-930D-90FA7D3118CB}"/>
    <cellStyle name="Style 81 12 12 2" xfId="25569" xr:uid="{BC2BF388-81F3-4FAA-B5D9-DED473535CB0}"/>
    <cellStyle name="Style 81 12 13" xfId="9476" xr:uid="{8BE30332-5C8D-4627-B381-92B5983D3D00}"/>
    <cellStyle name="Style 81 12 13 2" xfId="25570" xr:uid="{A354552A-3AFD-4C11-874A-E0038932189B}"/>
    <cellStyle name="Style 81 12 2" xfId="4605" xr:uid="{1F7242F8-E7EF-424A-B947-0DFCE99352A0}"/>
    <cellStyle name="Style 81 12 2 2" xfId="9477" xr:uid="{583DFA98-1539-460D-B61B-4305FF894969}"/>
    <cellStyle name="Style 81 12 2 2 2" xfId="25571" xr:uid="{E01F9251-6606-4A35-99A5-DA04D3CBBF5D}"/>
    <cellStyle name="Style 81 12 2 3" xfId="9478" xr:uid="{C3413B3E-EC9A-4AFF-B2FE-2DE7542FBB92}"/>
    <cellStyle name="Style 81 12 2 3 2" xfId="25572" xr:uid="{9B2FD743-9AD7-4998-81F4-13868C37DAA5}"/>
    <cellStyle name="Style 81 12 2 4" xfId="9479" xr:uid="{EDD87208-9719-403D-B6D3-85CCF3AE76E9}"/>
    <cellStyle name="Style 81 12 2 4 2" xfId="25573" xr:uid="{701D5F1D-A8C1-48A2-BF1F-9E4B66CB6325}"/>
    <cellStyle name="Style 81 12 2 5" xfId="9480" xr:uid="{64E3F34C-32A4-4B82-8B5B-0816C6A87D90}"/>
    <cellStyle name="Style 81 12 2 5 2" xfId="25574" xr:uid="{22547722-3855-4EA6-90E9-87F893372809}"/>
    <cellStyle name="Style 81 12 2 6" xfId="9481" xr:uid="{9FF571CA-C85C-4768-9679-32C05BC7DBB5}"/>
    <cellStyle name="Style 81 12 2 6 2" xfId="25575" xr:uid="{E480FD89-CDA6-46A2-A070-27D82A70C63B}"/>
    <cellStyle name="Style 81 12 2 7" xfId="9482" xr:uid="{D21C36A3-A697-45A7-B7A4-809CDEE33740}"/>
    <cellStyle name="Style 81 12 2 7 2" xfId="25576" xr:uid="{C0D3A390-A462-4865-B513-6400B7A77D75}"/>
    <cellStyle name="Style 81 12 2 8" xfId="9483" xr:uid="{D9AF6B10-545A-46DD-A01E-AC1DE749F6C3}"/>
    <cellStyle name="Style 81 12 2 8 2" xfId="25577" xr:uid="{982D82C8-9C03-4F87-A3D3-5210DD19D98D}"/>
    <cellStyle name="Style 81 12 2 9" xfId="9484" xr:uid="{66D728A1-7AAD-415A-8F0E-B7EFFDBABE0F}"/>
    <cellStyle name="Style 81 12 2 9 2" xfId="25578" xr:uid="{11D04366-3745-42D2-9FAD-FF221DC5CDCC}"/>
    <cellStyle name="Style 81 12 3" xfId="9485" xr:uid="{DD35B39D-F340-4071-9525-40882E8C376A}"/>
    <cellStyle name="Style 81 12 3 10" xfId="22269" xr:uid="{F8B5694D-FF1A-4FA6-A049-9B4F725BDC44}"/>
    <cellStyle name="Style 81 12 3 2" xfId="9486" xr:uid="{3C65C6F5-01C8-4AB8-B65E-D185CA12ECF6}"/>
    <cellStyle name="Style 81 12 3 2 2" xfId="25579" xr:uid="{3CC1230A-627F-4016-A9CF-B15BEEE96DEE}"/>
    <cellStyle name="Style 81 12 3 3" xfId="9487" xr:uid="{8F4446D8-EAF5-40CB-9D11-7A723C6089A5}"/>
    <cellStyle name="Style 81 12 3 3 2" xfId="25580" xr:uid="{EA1F21E6-2005-4EF8-AD56-5B5B0A2CAAF7}"/>
    <cellStyle name="Style 81 12 3 4" xfId="9488" xr:uid="{EF56F621-B304-4C3B-AADE-D1D50BF84048}"/>
    <cellStyle name="Style 81 12 3 4 2" xfId="25581" xr:uid="{EC143D5C-2A03-44B6-BACB-A3AE0A8F02F1}"/>
    <cellStyle name="Style 81 12 3 5" xfId="9489" xr:uid="{BFD8F891-067B-4FBE-9951-7071278DCE81}"/>
    <cellStyle name="Style 81 12 3 5 2" xfId="25582" xr:uid="{0726B762-7588-49C3-A2C9-5EAAD145F779}"/>
    <cellStyle name="Style 81 12 3 6" xfId="9490" xr:uid="{A69239D7-6574-451D-8B7B-679DC1AE0D2F}"/>
    <cellStyle name="Style 81 12 3 6 2" xfId="25583" xr:uid="{D7D2C48B-2116-4D01-AD9A-41043D155DF0}"/>
    <cellStyle name="Style 81 12 3 7" xfId="9491" xr:uid="{9386E96F-B190-4FA0-A5C9-44ED420D0854}"/>
    <cellStyle name="Style 81 12 3 7 2" xfId="25584" xr:uid="{60C74E1D-F363-4557-833C-2DF4B315CFAD}"/>
    <cellStyle name="Style 81 12 3 8" xfId="9492" xr:uid="{D210AC09-0B75-4EDB-B496-F3FB84A3A7A7}"/>
    <cellStyle name="Style 81 12 3 8 2" xfId="25585" xr:uid="{D129EFDA-9503-4F1A-9994-7C5E33E2A145}"/>
    <cellStyle name="Style 81 12 3 9" xfId="9493" xr:uid="{C92F2901-AD2E-4808-92FC-A0128D312F13}"/>
    <cellStyle name="Style 81 12 3 9 2" xfId="25586" xr:uid="{9DA07D83-74EB-4FCA-B7EC-E44EF4AB7C45}"/>
    <cellStyle name="Style 81 12 4" xfId="9494" xr:uid="{ADB95C98-6006-4F86-9DF4-4C16749653D3}"/>
    <cellStyle name="Style 81 12 4 2" xfId="9495" xr:uid="{E225058D-B3B5-4AA5-92CA-552E817A4310}"/>
    <cellStyle name="Style 81 12 4 2 2" xfId="25588" xr:uid="{8979B03D-4089-4039-B40F-B052CD0AADE0}"/>
    <cellStyle name="Style 81 12 4 3" xfId="9496" xr:uid="{814BA9E0-03C5-42F6-B15B-0C14BA70C3E8}"/>
    <cellStyle name="Style 81 12 4 3 2" xfId="25589" xr:uid="{2844AC4D-E90C-4193-BD13-9B5E0ADDA8CD}"/>
    <cellStyle name="Style 81 12 4 4" xfId="9497" xr:uid="{376B2EF2-0DF0-46FB-9A72-E598DE38BD05}"/>
    <cellStyle name="Style 81 12 4 4 2" xfId="25590" xr:uid="{F9A186C8-354C-4AC1-B638-8B1D407E7E64}"/>
    <cellStyle name="Style 81 12 4 5" xfId="9498" xr:uid="{2CCF54DA-95E1-4FA1-80A4-0331D8000514}"/>
    <cellStyle name="Style 81 12 4 5 2" xfId="25591" xr:uid="{DA8B9EDF-706C-449F-A563-E48F312CE2F6}"/>
    <cellStyle name="Style 81 12 4 6" xfId="9499" xr:uid="{8F93EA47-954E-498C-A3C8-0175AD26528F}"/>
    <cellStyle name="Style 81 12 4 6 2" xfId="25592" xr:uid="{75AE4793-3964-4AF9-88FE-A8715A29FB43}"/>
    <cellStyle name="Style 81 12 4 7" xfId="25587" xr:uid="{3A569A72-0CAA-4918-9985-0A0A6CC43392}"/>
    <cellStyle name="Style 81 12 5" xfId="9500" xr:uid="{0DFD291E-558F-4D4F-BF48-CB07B402FD8B}"/>
    <cellStyle name="Style 81 12 5 2" xfId="25593" xr:uid="{12A42B1B-166F-4C39-8343-EA6700510A6F}"/>
    <cellStyle name="Style 81 12 6" xfId="9501" xr:uid="{34BBFD6B-F747-4F99-BCC8-FE36FFC55FB2}"/>
    <cellStyle name="Style 81 12 6 2" xfId="25594" xr:uid="{F3C9E3C5-147A-4B5C-B598-5C81090AB44B}"/>
    <cellStyle name="Style 81 12 7" xfId="9502" xr:uid="{06779478-EE3A-4840-B203-D818E2A1B685}"/>
    <cellStyle name="Style 81 12 7 2" xfId="25595" xr:uid="{626DF2DF-C0BA-47C7-BD53-6D7BE4C663F5}"/>
    <cellStyle name="Style 81 12 8" xfId="9503" xr:uid="{644C645D-DD54-4AE6-ADBE-542AE1D36827}"/>
    <cellStyle name="Style 81 12 8 2" xfId="25596" xr:uid="{80633B6E-3843-49C6-8E08-BEB0522DF80F}"/>
    <cellStyle name="Style 81 12 9" xfId="9504" xr:uid="{01626695-4CAD-4AF3-9E1E-347E85DC0693}"/>
    <cellStyle name="Style 81 12 9 2" xfId="25597" xr:uid="{839DFC2D-7806-4540-931B-865B78DBBC71}"/>
    <cellStyle name="Style 81 13" xfId="4606" xr:uid="{E034F234-ADAA-4A07-A857-D6C294C6E57E}"/>
    <cellStyle name="Style 81 13 2" xfId="9505" xr:uid="{B1C4E076-078F-4BA2-B950-ED8749A000E1}"/>
    <cellStyle name="Style 81 13 2 2" xfId="25598" xr:uid="{09D68CED-9DF4-4E92-8A30-BE4E18463C7F}"/>
    <cellStyle name="Style 81 13 3" xfId="9506" xr:uid="{86CAD695-8646-483D-847A-0AA5C3154217}"/>
    <cellStyle name="Style 81 13 3 2" xfId="25599" xr:uid="{F6DD4A55-9687-41FC-B604-271CCE48D64A}"/>
    <cellStyle name="Style 81 13 4" xfId="9507" xr:uid="{FAFCBC7B-0085-4BEB-BF4C-0E6922A9DC0C}"/>
    <cellStyle name="Style 81 13 4 2" xfId="25600" xr:uid="{497F14AB-D72B-4D20-863C-F33FA5B47A04}"/>
    <cellStyle name="Style 81 13 5" xfId="9508" xr:uid="{A377EED3-B61F-4109-A375-84A7DE129EBF}"/>
    <cellStyle name="Style 81 13 5 2" xfId="25601" xr:uid="{87EB7141-927A-4090-BCFD-BA2FC08FD6F8}"/>
    <cellStyle name="Style 81 13 6" xfId="9509" xr:uid="{AE56EE68-5366-4A0C-A94A-FA121B7D3EFE}"/>
    <cellStyle name="Style 81 13 6 2" xfId="25602" xr:uid="{51176F7E-D296-49EC-9050-461476A35264}"/>
    <cellStyle name="Style 81 13 7" xfId="9510" xr:uid="{997F25DC-9CE8-4F48-8210-76564D0616C5}"/>
    <cellStyle name="Style 81 13 7 2" xfId="25603" xr:uid="{DA3AC91D-DBAF-4A14-815A-3B486C8CCCC9}"/>
    <cellStyle name="Style 81 13 8" xfId="9511" xr:uid="{E206C8A2-E4E9-4A19-B176-7B8BD8A63F22}"/>
    <cellStyle name="Style 81 13 8 2" xfId="25604" xr:uid="{493A4F04-FC59-4600-98E1-87012F4E6EC5}"/>
    <cellStyle name="Style 81 13 9" xfId="9512" xr:uid="{9C8C7CC3-8025-40AE-A762-DA11DD0656AA}"/>
    <cellStyle name="Style 81 13 9 2" xfId="25605" xr:uid="{0A7FA5E2-D3B2-4011-BE9D-D42CADDD5624}"/>
    <cellStyle name="Style 81 14" xfId="4598" xr:uid="{5878EACC-D1C8-4C3F-98E6-20EE0ED0AF8A}"/>
    <cellStyle name="Style 81 14 2" xfId="9513" xr:uid="{9B5C6AC4-9627-4FC6-83D8-8480FAC9E969}"/>
    <cellStyle name="Style 81 14 2 2" xfId="25606" xr:uid="{E7E7F093-2067-458D-8647-D3DDA328D91B}"/>
    <cellStyle name="Style 81 14 3" xfId="9514" xr:uid="{B10B892C-5ECA-44AD-8C68-D817D7B78564}"/>
    <cellStyle name="Style 81 14 3 2" xfId="25607" xr:uid="{86A1ECF3-3A95-419D-9926-01EA59A8845B}"/>
    <cellStyle name="Style 81 14 4" xfId="9515" xr:uid="{E8C4203E-23E7-4F50-862D-F95CFAFB6834}"/>
    <cellStyle name="Style 81 14 4 2" xfId="25608" xr:uid="{1DF663FE-3F2B-41B7-A737-B9498F0C9ACD}"/>
    <cellStyle name="Style 81 14 5" xfId="9516" xr:uid="{895B294D-DB93-4B5E-AB8A-F4EE16D441AB}"/>
    <cellStyle name="Style 81 14 5 2" xfId="25609" xr:uid="{FDEB0AD7-78B9-4D98-988A-E54DE081C891}"/>
    <cellStyle name="Style 81 14 6" xfId="9517" xr:uid="{CE42AE72-821D-4167-916F-802A24811EDA}"/>
    <cellStyle name="Style 81 14 6 2" xfId="25610" xr:uid="{17F01309-8F62-4442-B392-9FA35D87E949}"/>
    <cellStyle name="Style 81 14 7" xfId="9518" xr:uid="{A4DB4560-8656-47E4-A25B-2F93F0542ADD}"/>
    <cellStyle name="Style 81 14 7 2" xfId="25611" xr:uid="{4259A5CA-0C57-4C00-BD27-200419CA66F1}"/>
    <cellStyle name="Style 81 14 8" xfId="9519" xr:uid="{F3DA1875-E2E3-4091-B4D4-47B73AEBA757}"/>
    <cellStyle name="Style 81 14 8 2" xfId="25612" xr:uid="{6131DE6A-A4F9-4205-B3FE-19558D956259}"/>
    <cellStyle name="Style 81 14 9" xfId="9520" xr:uid="{59B350D8-CB58-4354-892F-6F11D966F20B}"/>
    <cellStyle name="Style 81 14 9 2" xfId="25613" xr:uid="{02A763B4-B092-44B7-A7D4-36077509ED99}"/>
    <cellStyle name="Style 81 15" xfId="9521" xr:uid="{3654A33D-006F-461D-A116-46EFA56E7D0C}"/>
    <cellStyle name="Style 81 15 2" xfId="9522" xr:uid="{7DDF981A-8995-4300-A2E6-200F1DB3789F}"/>
    <cellStyle name="Style 81 15 2 2" xfId="25614" xr:uid="{BC8E9072-1E35-494C-B526-E53F268E7B74}"/>
    <cellStyle name="Style 81 15 3" xfId="9523" xr:uid="{A5E66D66-4552-49C6-9630-2608EFB61199}"/>
    <cellStyle name="Style 81 15 3 2" xfId="25615" xr:uid="{3D3B95D8-4D15-45D5-B63A-000114621FF4}"/>
    <cellStyle name="Style 81 15 4" xfId="9524" xr:uid="{04F6591A-E09B-48EA-B478-84AC3DA835F2}"/>
    <cellStyle name="Style 81 15 4 2" xfId="25616" xr:uid="{D66A7178-7F54-4FD5-88EA-4BFB1EE4F57A}"/>
    <cellStyle name="Style 81 15 5" xfId="9525" xr:uid="{15E96161-2EE6-4D43-A2F1-6B9D2040D1DB}"/>
    <cellStyle name="Style 81 15 5 2" xfId="25617" xr:uid="{FE6F0B4E-E087-49EA-9DC9-245D425FF882}"/>
    <cellStyle name="Style 81 15 6" xfId="9526" xr:uid="{A7C6F286-41B9-41DF-9406-E12F8CB8BA5C}"/>
    <cellStyle name="Style 81 15 6 2" xfId="25618" xr:uid="{549177A5-E2A2-4032-B8CE-D829C380EC4A}"/>
    <cellStyle name="Style 81 15 7" xfId="9527" xr:uid="{0E772C63-A0FB-4BD2-83DE-9849883CF760}"/>
    <cellStyle name="Style 81 15 7 2" xfId="25619" xr:uid="{E2D41F33-D629-49AA-A089-17582F093AF4}"/>
    <cellStyle name="Style 81 15 8" xfId="21307" xr:uid="{09CEDB96-F92D-433E-B3C7-A3F360111209}"/>
    <cellStyle name="Style 81 16" xfId="9528" xr:uid="{6D9A3422-A09B-4A65-8DC9-222E2A778EC0}"/>
    <cellStyle name="Style 81 16 2" xfId="25620" xr:uid="{647399A4-8EA4-4160-A4CB-D43C0DC4B043}"/>
    <cellStyle name="Style 81 17" xfId="9529" xr:uid="{CE236876-A077-48A6-B414-90D0D6B080C5}"/>
    <cellStyle name="Style 81 17 2" xfId="25621" xr:uid="{355BF31B-367B-4D33-85F1-0D77F18C1AB5}"/>
    <cellStyle name="Style 81 18" xfId="9530" xr:uid="{7653BC84-217F-4BC3-9FA2-1E3F2012E1D2}"/>
    <cellStyle name="Style 81 18 2" xfId="25622" xr:uid="{35BDC999-88D7-47FD-8647-EE7DF49ED59D}"/>
    <cellStyle name="Style 81 19" xfId="9531" xr:uid="{51242D32-C236-41D2-B492-C45A3525E33E}"/>
    <cellStyle name="Style 81 19 2" xfId="25623" xr:uid="{980B3BB7-9AD4-41F5-B99F-ADA0AD9B3B86}"/>
    <cellStyle name="Style 81 2" xfId="2108" xr:uid="{47F115E5-AD51-411D-9FBF-F8BB9400982E}"/>
    <cellStyle name="Style 81 2 10" xfId="9532" xr:uid="{4C7C6735-A536-44A5-A717-22AD036EF059}"/>
    <cellStyle name="Style 81 2 10 2" xfId="25624" xr:uid="{A7395DB7-A14E-415B-A3CB-85005DF5B0C6}"/>
    <cellStyle name="Style 81 2 11" xfId="9533" xr:uid="{6E875398-BED2-4865-B0D0-4951BFF94BF6}"/>
    <cellStyle name="Style 81 2 11 2" xfId="25625" xr:uid="{7146E9DD-8AD5-4F4E-867A-7DBFB3054F97}"/>
    <cellStyle name="Style 81 2 12" xfId="19051" xr:uid="{558144BC-F279-4588-A4B0-F6D69B93A67F}"/>
    <cellStyle name="Style 81 2 2" xfId="4608" xr:uid="{60059A83-13B2-4122-A3B7-216987469E0D}"/>
    <cellStyle name="Style 81 2 2 2" xfId="9534" xr:uid="{210544D0-4E32-43E9-9C50-1DD9E77D78A3}"/>
    <cellStyle name="Style 81 2 2 2 2" xfId="25626" xr:uid="{0A3A32EA-0C0D-4C7B-BEF4-57D6B5505751}"/>
    <cellStyle name="Style 81 2 3" xfId="4607" xr:uid="{98B79E39-98B6-4564-9512-63ACA1D34E5D}"/>
    <cellStyle name="Style 81 2 3 2" xfId="9535" xr:uid="{5A491CD3-B33A-4BBD-838A-894CEAFE3452}"/>
    <cellStyle name="Style 81 2 3 2 2" xfId="25627" xr:uid="{8471D84C-1861-48B7-858B-7E121D67D8B6}"/>
    <cellStyle name="Style 81 2 4" xfId="2960" xr:uid="{70068900-D614-45E8-AA1E-87F1F890F376}"/>
    <cellStyle name="Style 81 2 4 2" xfId="9536" xr:uid="{3147D249-E4F1-4EBC-B789-7559FD66407A}"/>
    <cellStyle name="Style 81 2 4 2 2" xfId="25628" xr:uid="{9E6746ED-893F-4360-B4C2-0E030325DE4F}"/>
    <cellStyle name="Style 81 2 4 3" xfId="21308" xr:uid="{842B42F3-A46E-4852-8FDC-D56A19141D0A}"/>
    <cellStyle name="Style 81 2 5" xfId="9537" xr:uid="{D3F2EBF7-A154-4ACD-ADFE-39E084253667}"/>
    <cellStyle name="Style 81 2 5 2" xfId="25629" xr:uid="{EB13AABB-B1A9-443B-A3C2-E3B7EC4ED07F}"/>
    <cellStyle name="Style 81 2 6" xfId="9538" xr:uid="{C4156F08-B99C-4652-8586-6FAE69F18CEB}"/>
    <cellStyle name="Style 81 2 6 2" xfId="25630" xr:uid="{8263B7D7-2BA9-442B-8636-58AF21EC6ABE}"/>
    <cellStyle name="Style 81 2 7" xfId="9539" xr:uid="{2426CDE1-1675-4167-AC23-096B384268BE}"/>
    <cellStyle name="Style 81 2 7 2" xfId="25631" xr:uid="{3B59C787-8966-4673-B0D8-F1ED0F6D8AD6}"/>
    <cellStyle name="Style 81 2 8" xfId="9540" xr:uid="{2E885748-6425-4237-88FD-1B0447DBEA53}"/>
    <cellStyle name="Style 81 2 8 2" xfId="25632" xr:uid="{89CA3103-6771-43C1-90B5-397457C67194}"/>
    <cellStyle name="Style 81 2 9" xfId="9541" xr:uid="{B06A7E17-214C-4819-B5E7-10B0D6A31798}"/>
    <cellStyle name="Style 81 2 9 2" xfId="25633" xr:uid="{8B2A7586-57A1-4D5D-9005-762D345CDB71}"/>
    <cellStyle name="Style 81 20" xfId="9542" xr:uid="{FF99634F-D86E-4A38-8864-1F138F4F29E8}"/>
    <cellStyle name="Style 81 20 2" xfId="25634" xr:uid="{B9D3506A-10B3-427D-9714-EFC460247DEF}"/>
    <cellStyle name="Style 81 21" xfId="9543" xr:uid="{BEECD296-3AC4-4914-B08E-10075C7A0BE6}"/>
    <cellStyle name="Style 81 21 2" xfId="25635" xr:uid="{3A4B9B80-7080-4F7A-909A-35BF9BDEF4C3}"/>
    <cellStyle name="Style 81 22" xfId="9544" xr:uid="{E3967141-EB10-4473-97C7-289635B1522F}"/>
    <cellStyle name="Style 81 22 2" xfId="25636" xr:uid="{2CF1BA5B-2DCE-43E0-9AF1-CF59F24D9474}"/>
    <cellStyle name="Style 81 23" xfId="9545" xr:uid="{D9F96CC2-0B6D-4A1F-8202-8A1140E53452}"/>
    <cellStyle name="Style 81 23 2" xfId="25637" xr:uid="{E80FCE5C-1412-40A0-B0E7-C3E233DFEAF9}"/>
    <cellStyle name="Style 81 24" xfId="9546" xr:uid="{1787BF86-3EDD-47D7-8299-5A3D88DA0940}"/>
    <cellStyle name="Style 81 24 2" xfId="25638" xr:uid="{EBE008E2-19C1-4C3E-B0DB-1BC19442E222}"/>
    <cellStyle name="Style 81 25" xfId="19048" xr:uid="{7E6495BA-2508-4C80-AC8A-939C66E2BE64}"/>
    <cellStyle name="Style 81 3" xfId="2109" xr:uid="{2BCD9E71-4AC4-4419-BF25-D4DB94B7C405}"/>
    <cellStyle name="Style 81 3 10" xfId="9547" xr:uid="{F760E85C-0987-426B-9641-14FF43152720}"/>
    <cellStyle name="Style 81 3 10 2" xfId="25639" xr:uid="{2AA90E3D-E9AF-4D3A-8055-43CF40568638}"/>
    <cellStyle name="Style 81 3 11" xfId="9548" xr:uid="{5AE83D0C-D8BE-4BDC-A2D9-736AB9FF068D}"/>
    <cellStyle name="Style 81 3 11 2" xfId="25640" xr:uid="{AD8A7336-6411-4234-B0E0-4DA239089420}"/>
    <cellStyle name="Style 81 3 12" xfId="9549" xr:uid="{5645C0E3-44FF-4F92-9ECF-BC1E70DE857E}"/>
    <cellStyle name="Style 81 3 12 2" xfId="25641" xr:uid="{E563D04E-A1AA-40A9-87A6-C45B10FF7F36}"/>
    <cellStyle name="Style 81 3 13" xfId="9550" xr:uid="{CA36B8E8-0339-497E-97A0-6326E02D1F86}"/>
    <cellStyle name="Style 81 3 13 2" xfId="25642" xr:uid="{EF9F3C31-EE20-4D4F-BD7B-CF5CDD7BD768}"/>
    <cellStyle name="Style 81 3 14" xfId="9551" xr:uid="{5A9E1E76-AC7C-4B82-A3CF-DE59DD4B9BB1}"/>
    <cellStyle name="Style 81 3 14 2" xfId="25643" xr:uid="{0815E1BD-B3A3-4E80-AE27-134620D7BB41}"/>
    <cellStyle name="Style 81 3 15" xfId="9552" xr:uid="{B04E1DD8-4225-47B1-996F-F843767DBC88}"/>
    <cellStyle name="Style 81 3 15 2" xfId="25644" xr:uid="{39D2CF3B-3132-4E3C-AB75-E0AE049BAB7D}"/>
    <cellStyle name="Style 81 3 16" xfId="19052" xr:uid="{9287135F-423A-465B-BFB1-0D25517FB6C3}"/>
    <cellStyle name="Style 81 3 2" xfId="2110" xr:uid="{F2AF5DC1-BD5A-48A1-ABCC-BE637DDC48DD}"/>
    <cellStyle name="Style 81 3 2 10" xfId="9553" xr:uid="{7E24930B-0C0F-478B-9CE3-2EF2227433E6}"/>
    <cellStyle name="Style 81 3 2 10 2" xfId="25645" xr:uid="{D18C208E-3F3D-488D-96B0-242405B9786B}"/>
    <cellStyle name="Style 81 3 2 11" xfId="9554" xr:uid="{DA00655D-A508-4CAA-9C50-1DCA3BBDB548}"/>
    <cellStyle name="Style 81 3 2 11 2" xfId="25646" xr:uid="{0F261049-EB13-494E-ABA9-53570C7FA9E1}"/>
    <cellStyle name="Style 81 3 2 12" xfId="9555" xr:uid="{F11B1E22-ED76-4BBC-B681-ACB11B65B542}"/>
    <cellStyle name="Style 81 3 2 12 2" xfId="25647" xr:uid="{5D8857A2-9077-4A34-AE9A-0C3AE92DB0E3}"/>
    <cellStyle name="Style 81 3 2 13" xfId="19053" xr:uid="{68DC7060-CEB9-4085-BE4B-ABA77E0150E9}"/>
    <cellStyle name="Style 81 3 2 2" xfId="2111" xr:uid="{1FD0A631-97E9-48DB-A3DB-38F30F877B21}"/>
    <cellStyle name="Style 81 3 2 2 10" xfId="9556" xr:uid="{634D6EE0-64AA-452F-92C2-8235365A04D2}"/>
    <cellStyle name="Style 81 3 2 2 10 2" xfId="25648" xr:uid="{6526A022-0711-4C75-9EA1-F98E1F34B981}"/>
    <cellStyle name="Style 81 3 2 2 11" xfId="9557" xr:uid="{DF0BBB59-5D47-4E35-967C-B4EDFF146BEB}"/>
    <cellStyle name="Style 81 3 2 2 11 2" xfId="25649" xr:uid="{E6C07280-A1FE-4017-8D15-BF1CBA10A44D}"/>
    <cellStyle name="Style 81 3 2 2 12" xfId="19054" xr:uid="{874B5AD1-2C5A-41C2-8CE3-CCE1A1ABD8B0}"/>
    <cellStyle name="Style 81 3 2 2 2" xfId="4612" xr:uid="{66AC84E6-26E2-4E53-B7F7-EA79CA2591DB}"/>
    <cellStyle name="Style 81 3 2 2 2 2" xfId="9558" xr:uid="{8BD4CDF8-9C2D-4E19-A256-DAE2C57E680D}"/>
    <cellStyle name="Style 81 3 2 2 2 2 2" xfId="25650" xr:uid="{5D8A7CA3-362D-445A-AE9C-B251F6488300}"/>
    <cellStyle name="Style 81 3 2 2 3" xfId="4611" xr:uid="{4660CA62-EA76-4910-9873-6F8DBC4B2036}"/>
    <cellStyle name="Style 81 3 2 2 3 2" xfId="9559" xr:uid="{D9CD5B7B-CEC5-43C4-AFEA-09738125AA3B}"/>
    <cellStyle name="Style 81 3 2 2 3 2 2" xfId="25651" xr:uid="{B5DD737B-7908-484F-9DFB-F508C4371126}"/>
    <cellStyle name="Style 81 3 2 2 4" xfId="9560" xr:uid="{8CBA0044-29C9-4B00-8513-719069C01320}"/>
    <cellStyle name="Style 81 3 2 2 4 2" xfId="9561" xr:uid="{D5FD9638-C2F7-4500-A17E-12C946F161E3}"/>
    <cellStyle name="Style 81 3 2 2 4 2 2" xfId="25652" xr:uid="{45A35AD8-A1DD-4839-8359-C04C00FBA8B3}"/>
    <cellStyle name="Style 81 3 2 2 4 3" xfId="22270" xr:uid="{13D2018B-26CF-429C-AC9D-03874FDEA0DD}"/>
    <cellStyle name="Style 81 3 2 2 5" xfId="9562" xr:uid="{DFAFBE78-F1E1-421D-ACAA-8DC240BC7015}"/>
    <cellStyle name="Style 81 3 2 2 5 2" xfId="25653" xr:uid="{A40CB60D-93D7-4432-AAA5-D1A6CEA350EB}"/>
    <cellStyle name="Style 81 3 2 2 6" xfId="9563" xr:uid="{DC862F42-96E4-4EA6-A71F-A44318480C46}"/>
    <cellStyle name="Style 81 3 2 2 6 2" xfId="25654" xr:uid="{F9D6D41C-94EF-4800-A968-C1B769A10A54}"/>
    <cellStyle name="Style 81 3 2 2 7" xfId="9564" xr:uid="{B46B0C54-D5B6-4399-9F6A-0C013CBBCD4E}"/>
    <cellStyle name="Style 81 3 2 2 7 2" xfId="25655" xr:uid="{39256929-1A38-4A0A-B2C9-26F430FC6A5A}"/>
    <cellStyle name="Style 81 3 2 2 8" xfId="9565" xr:uid="{E613A3D8-9DAD-48D2-82EF-55DFA8A3319C}"/>
    <cellStyle name="Style 81 3 2 2 8 2" xfId="25656" xr:uid="{C83B3D07-AE72-4395-A0D5-159376314AD2}"/>
    <cellStyle name="Style 81 3 2 2 9" xfId="9566" xr:uid="{BFD57AE3-D0B5-4B5C-A199-91692191DC59}"/>
    <cellStyle name="Style 81 3 2 2 9 2" xfId="25657" xr:uid="{4AB51D40-E556-49C2-8D64-E674F8AD6A03}"/>
    <cellStyle name="Style 81 3 2 3" xfId="4613" xr:uid="{705F10B1-A153-4B8D-9D86-833E4CE74812}"/>
    <cellStyle name="Style 81 3 2 3 2" xfId="9567" xr:uid="{F0173460-A182-466B-B1FC-93FDB11BE02D}"/>
    <cellStyle name="Style 81 3 2 3 2 2" xfId="25658" xr:uid="{8ABD5C40-9869-4704-AB7E-E18DCF945C4C}"/>
    <cellStyle name="Style 81 3 2 4" xfId="4610" xr:uid="{424103E5-AABA-479A-AE81-304C99EFCF0C}"/>
    <cellStyle name="Style 81 3 2 4 2" xfId="9568" xr:uid="{ED38378B-8DF1-48AA-8901-8AF85D4BA323}"/>
    <cellStyle name="Style 81 3 2 4 2 2" xfId="25659" xr:uid="{8AF44E24-C141-44A3-BC8E-72345E091A66}"/>
    <cellStyle name="Style 81 3 2 5" xfId="2962" xr:uid="{B8811C4B-8A86-40D2-9AFD-D1281D8C764B}"/>
    <cellStyle name="Style 81 3 2 5 2" xfId="9569" xr:uid="{3AF0DB9F-368B-4182-B62A-C6B20E42386A}"/>
    <cellStyle name="Style 81 3 2 5 2 2" xfId="25660" xr:uid="{06A0B9EE-CEAF-4F73-97DF-15AD97B6302D}"/>
    <cellStyle name="Style 81 3 2 5 3" xfId="21310" xr:uid="{4450FACF-88CE-47CF-BF6F-AD97A57A9027}"/>
    <cellStyle name="Style 81 3 2 6" xfId="9570" xr:uid="{E7A96F80-21C2-4112-A463-6C2CE8C43851}"/>
    <cellStyle name="Style 81 3 2 6 2" xfId="25661" xr:uid="{21781D17-CF47-45F9-9BE0-4BC05E5AA3AC}"/>
    <cellStyle name="Style 81 3 2 7" xfId="9571" xr:uid="{6FD8B17B-C3CA-4558-825D-6E87E8FD6B41}"/>
    <cellStyle name="Style 81 3 2 7 2" xfId="25662" xr:uid="{E7F71466-1203-4227-BD2A-040C868A026A}"/>
    <cellStyle name="Style 81 3 2 8" xfId="9572" xr:uid="{3E4C9A34-18C6-4C9C-B09E-ECD95706AD53}"/>
    <cellStyle name="Style 81 3 2 8 2" xfId="25663" xr:uid="{0DF8B696-F051-45A1-A8FA-3B0FFBAE3692}"/>
    <cellStyle name="Style 81 3 2 9" xfId="9573" xr:uid="{3D54CBCA-4905-4AB4-A55A-7AD27519F167}"/>
    <cellStyle name="Style 81 3 2 9 2" xfId="25664" xr:uid="{90556AA4-3E6F-4D99-BBFC-67B83620F210}"/>
    <cellStyle name="Style 81 3 3" xfId="2112" xr:uid="{2ABDFDC3-D417-41E6-85DE-3F37B39FD89F}"/>
    <cellStyle name="Style 81 3 3 10" xfId="9574" xr:uid="{6AD1F705-4629-4005-83A5-E0A20EFFCEF5}"/>
    <cellStyle name="Style 81 3 3 10 2" xfId="25665" xr:uid="{276DE8E9-80C0-43BB-AD7C-F053006D7B22}"/>
    <cellStyle name="Style 81 3 3 11" xfId="9575" xr:uid="{6FBEBFEB-09BD-4122-AC81-D9E1FE8ACD4E}"/>
    <cellStyle name="Style 81 3 3 11 2" xfId="25666" xr:uid="{618360C3-1F14-4EED-81C3-4E5CE0DF7013}"/>
    <cellStyle name="Style 81 3 3 12" xfId="9576" xr:uid="{E05791EB-F3AE-41F4-8815-4DFE9A0F2A99}"/>
    <cellStyle name="Style 81 3 3 12 2" xfId="25667" xr:uid="{5FF62D9B-AEFB-4B23-94BE-73291E2BDBD1}"/>
    <cellStyle name="Style 81 3 3 13" xfId="9577" xr:uid="{DC8B98EA-3F88-4D6D-BDB8-219480E7187A}"/>
    <cellStyle name="Style 81 3 3 13 2" xfId="25668" xr:uid="{3D2D56A5-04E9-4FB8-B51F-EF317CC304E7}"/>
    <cellStyle name="Style 81 3 3 14" xfId="9578" xr:uid="{220EB32E-CEDD-4A0A-8718-9A11C6393A92}"/>
    <cellStyle name="Style 81 3 3 14 2" xfId="25669" xr:uid="{6A385CF5-B3FD-42CA-94CF-078AADAB4254}"/>
    <cellStyle name="Style 81 3 3 15" xfId="9579" xr:uid="{A4F65295-A228-45BD-8695-E198C62F71AC}"/>
    <cellStyle name="Style 81 3 3 15 2" xfId="25670" xr:uid="{B211B33F-2FA3-4FE4-A719-24EC28A60930}"/>
    <cellStyle name="Style 81 3 3 16" xfId="19055" xr:uid="{941551E8-8A30-4ED8-9DE9-4AF86984F37E}"/>
    <cellStyle name="Style 81 3 3 2" xfId="2113" xr:uid="{9F2FC313-AFF7-4164-8C84-A589F739E158}"/>
    <cellStyle name="Style 81 3 3 2 10" xfId="9580" xr:uid="{947325E8-67D7-4FFD-9242-E987FB403E0E}"/>
    <cellStyle name="Style 81 3 3 2 10 2" xfId="25671" xr:uid="{F6C65221-9DAD-44E9-9D78-F04ECA620BD4}"/>
    <cellStyle name="Style 81 3 3 2 11" xfId="9581" xr:uid="{90C70C57-910C-425F-97A1-1E8E447DBB9D}"/>
    <cellStyle name="Style 81 3 3 2 11 2" xfId="25672" xr:uid="{8822A507-2609-41A2-8B98-99D07C2BA47D}"/>
    <cellStyle name="Style 81 3 3 2 12" xfId="19056" xr:uid="{912D62FC-5C42-4068-B822-8FFE023B83CA}"/>
    <cellStyle name="Style 81 3 3 2 2" xfId="4616" xr:uid="{8F272494-6739-4406-8409-E680205FCB24}"/>
    <cellStyle name="Style 81 3 3 2 2 2" xfId="9582" xr:uid="{047AFDB9-4C0B-4D4B-82FF-BA187447DF36}"/>
    <cellStyle name="Style 81 3 3 2 2 2 2" xfId="25673" xr:uid="{2BA5C44C-D08E-4266-9EDD-F52FF98B8672}"/>
    <cellStyle name="Style 81 3 3 2 3" xfId="4615" xr:uid="{69E8C43B-D6B3-4CE5-BC5A-79067C3EA37E}"/>
    <cellStyle name="Style 81 3 3 2 3 2" xfId="9583" xr:uid="{4A7F9D2E-FFD5-409B-A579-627BC408DB0B}"/>
    <cellStyle name="Style 81 3 3 2 3 2 2" xfId="25674" xr:uid="{1E408EFB-0B9C-450B-8B0F-7186FE009EA5}"/>
    <cellStyle name="Style 81 3 3 2 4" xfId="9584" xr:uid="{CC971CD6-D84A-4BDF-A411-084896A29D08}"/>
    <cellStyle name="Style 81 3 3 2 4 2" xfId="9585" xr:uid="{83936C7E-ABF8-4B2B-8D01-99C60AD2E509}"/>
    <cellStyle name="Style 81 3 3 2 4 2 2" xfId="25675" xr:uid="{290D04C8-6FDC-47CA-9A0E-F4BD6176F125}"/>
    <cellStyle name="Style 81 3 3 2 4 3" xfId="22272" xr:uid="{27D97A93-96FD-4ABD-AD9B-0ABFB22642E1}"/>
    <cellStyle name="Style 81 3 3 2 5" xfId="9586" xr:uid="{578514E1-1CDE-4D29-90F3-3D005C6B30C5}"/>
    <cellStyle name="Style 81 3 3 2 5 2" xfId="25676" xr:uid="{86B19664-873C-4A30-93BA-3BA44665D361}"/>
    <cellStyle name="Style 81 3 3 2 6" xfId="9587" xr:uid="{1DD66E8F-FB01-4350-987A-ECE7BD316E4A}"/>
    <cellStyle name="Style 81 3 3 2 6 2" xfId="25677" xr:uid="{D043CE53-5D75-4BB0-A2F7-31966FE8417D}"/>
    <cellStyle name="Style 81 3 3 2 7" xfId="9588" xr:uid="{1FC95F00-9B6B-48BE-BE87-76AFB99A54CE}"/>
    <cellStyle name="Style 81 3 3 2 7 2" xfId="25678" xr:uid="{CB9A1D01-39F2-45E2-85A5-D804981CF498}"/>
    <cellStyle name="Style 81 3 3 2 8" xfId="9589" xr:uid="{57B77866-2AFE-40DC-9691-CFC985BCE51B}"/>
    <cellStyle name="Style 81 3 3 2 8 2" xfId="25679" xr:uid="{AF3EE1DB-4549-4DA3-8CCB-882E1CEAB82B}"/>
    <cellStyle name="Style 81 3 3 2 9" xfId="9590" xr:uid="{28548955-00F8-426E-88B1-DAC9686BF4F0}"/>
    <cellStyle name="Style 81 3 3 2 9 2" xfId="25680" xr:uid="{8BCF5E18-F50C-4846-85D2-87AE0B12C22D}"/>
    <cellStyle name="Style 81 3 3 3" xfId="2114" xr:uid="{C027176F-2571-48A1-8BCF-A69C6737E063}"/>
    <cellStyle name="Style 81 3 3 3 10" xfId="9591" xr:uid="{B2A11282-4120-42A0-A59B-8D2A34E1E3E7}"/>
    <cellStyle name="Style 81 3 3 3 10 2" xfId="25681" xr:uid="{5761513D-C1EC-463A-B7E0-BF8B401CA5AA}"/>
    <cellStyle name="Style 81 3 3 3 11" xfId="9592" xr:uid="{C0A809BB-6FE7-4BB0-BCAD-8B2A4C454236}"/>
    <cellStyle name="Style 81 3 3 3 11 2" xfId="25682" xr:uid="{B8E30201-2E25-4AC0-9067-6906F5D555BB}"/>
    <cellStyle name="Style 81 3 3 3 12" xfId="9593" xr:uid="{E2B77C52-88C5-4388-87F5-6202EA5338BF}"/>
    <cellStyle name="Style 81 3 3 3 12 2" xfId="25683" xr:uid="{D626B4D3-5935-47B3-A0A4-6E065A857607}"/>
    <cellStyle name="Style 81 3 3 3 13" xfId="9594" xr:uid="{6E5DC826-3A7D-4CF4-A284-B0FD29AB297B}"/>
    <cellStyle name="Style 81 3 3 3 13 2" xfId="25684" xr:uid="{E50E6121-A2B8-462E-BDF2-FDA7F7851ED3}"/>
    <cellStyle name="Style 81 3 3 3 14" xfId="19057" xr:uid="{EEEF8E7B-0D67-4177-A567-0051A8CC9D42}"/>
    <cellStyle name="Style 81 3 3 3 2" xfId="2115" xr:uid="{2B8BF859-0D1D-4F54-B0C5-7AEC3B4CE412}"/>
    <cellStyle name="Style 81 3 3 3 2 10" xfId="9595" xr:uid="{0C953294-E0D5-448A-B958-F32D58BF50BC}"/>
    <cellStyle name="Style 81 3 3 3 2 10 2" xfId="25685" xr:uid="{FDC0E364-7896-468E-A375-06ECCAE9ABEE}"/>
    <cellStyle name="Style 81 3 3 3 2 11" xfId="9596" xr:uid="{0555C052-6070-45A9-8A72-A524E9FE4E30}"/>
    <cellStyle name="Style 81 3 3 3 2 11 2" xfId="25686" xr:uid="{6E0F7C94-81C0-4817-84DD-36730A1A8D44}"/>
    <cellStyle name="Style 81 3 3 3 2 12" xfId="19058" xr:uid="{989C6CFB-5F88-4BA6-B964-30DFC5EC4A85}"/>
    <cellStyle name="Style 81 3 3 3 2 2" xfId="4619" xr:uid="{06CD3C3D-E693-4ED7-8B32-562A792D8FBF}"/>
    <cellStyle name="Style 81 3 3 3 2 2 2" xfId="9597" xr:uid="{AA0AACF6-B839-4EA4-8FE9-2FC22EC73E71}"/>
    <cellStyle name="Style 81 3 3 3 2 2 2 2" xfId="25687" xr:uid="{F8575E16-B768-4E5B-87DD-58F71FA6C0CD}"/>
    <cellStyle name="Style 81 3 3 3 2 3" xfId="4618" xr:uid="{E9A1265D-D4B7-4FD5-AEA4-7C8E29C25B1C}"/>
    <cellStyle name="Style 81 3 3 3 2 3 2" xfId="9598" xr:uid="{A3BC6F1E-ECDF-455C-9639-ADD8194CA5FD}"/>
    <cellStyle name="Style 81 3 3 3 2 3 2 2" xfId="25688" xr:uid="{77209D87-EA18-4751-9210-3E65584AD2F3}"/>
    <cellStyle name="Style 81 3 3 3 2 4" xfId="9599" xr:uid="{A9332CB5-1500-44D6-B804-916F57A08AEF}"/>
    <cellStyle name="Style 81 3 3 3 2 4 2" xfId="9600" xr:uid="{B224BE10-E63C-4AFE-A12F-3C460265CC1A}"/>
    <cellStyle name="Style 81 3 3 3 2 4 2 2" xfId="25689" xr:uid="{1ECEA2C7-434C-4E68-B25C-5EB80AF83BF5}"/>
    <cellStyle name="Style 81 3 3 3 2 4 3" xfId="22274" xr:uid="{F67B854C-1D29-461B-9C63-777B97C56AA2}"/>
    <cellStyle name="Style 81 3 3 3 2 5" xfId="9601" xr:uid="{5DB04C6A-4120-464E-A971-9CC514A3384D}"/>
    <cellStyle name="Style 81 3 3 3 2 5 2" xfId="25690" xr:uid="{A92053EB-4971-49DD-90D8-4CA1275CCB4A}"/>
    <cellStyle name="Style 81 3 3 3 2 6" xfId="9602" xr:uid="{8D0B36AF-1765-49F5-8171-FDD9021D257A}"/>
    <cellStyle name="Style 81 3 3 3 2 6 2" xfId="25691" xr:uid="{4C416629-E188-4683-8F62-D1A70AC11E60}"/>
    <cellStyle name="Style 81 3 3 3 2 7" xfId="9603" xr:uid="{D2927145-4F24-4953-9BAA-F3CB3059BAA5}"/>
    <cellStyle name="Style 81 3 3 3 2 7 2" xfId="25692" xr:uid="{C6535631-B263-470A-BB73-143F6E02FB68}"/>
    <cellStyle name="Style 81 3 3 3 2 8" xfId="9604" xr:uid="{C8F64E24-B98C-4D0D-9707-B414346CB202}"/>
    <cellStyle name="Style 81 3 3 3 2 8 2" xfId="25693" xr:uid="{42E9FC62-0B00-4AB1-9864-291D69BB73A4}"/>
    <cellStyle name="Style 81 3 3 3 2 9" xfId="9605" xr:uid="{81434D27-7725-4D88-A726-A5DFB362A9B8}"/>
    <cellStyle name="Style 81 3 3 3 2 9 2" xfId="25694" xr:uid="{4FFA9659-55E8-42C9-89CF-D073CDA19E82}"/>
    <cellStyle name="Style 81 3 3 3 3" xfId="4620" xr:uid="{85332C0D-6254-4431-B566-C97A20D0AA22}"/>
    <cellStyle name="Style 81 3 3 3 3 2" xfId="4621" xr:uid="{C2CF6E18-2BAA-4A21-8102-7F0685C1D452}"/>
    <cellStyle name="Style 81 3 3 3 3 2 2" xfId="9606" xr:uid="{AFE9F456-BF66-42CD-B48A-134E47F023B4}"/>
    <cellStyle name="Style 81 3 3 3 3 2 2 2" xfId="25695" xr:uid="{28B537A1-367E-455A-AD4F-6ED0D7B3E395}"/>
    <cellStyle name="Style 81 3 3 3 3 3" xfId="9607" xr:uid="{8F34B661-E403-47B1-8AB5-FD3D0DE55661}"/>
    <cellStyle name="Style 81 3 3 3 3 3 2" xfId="25696" xr:uid="{AA41C26A-685E-49E7-9E8A-36A40FBDF5BB}"/>
    <cellStyle name="Style 81 3 3 3 3 4" xfId="9608" xr:uid="{7B38D817-17E3-4511-98E2-2EF9EF6AE581}"/>
    <cellStyle name="Style 81 3 3 3 3 4 2" xfId="25697" xr:uid="{BA0FE597-4DC3-4BA3-9542-788FD4271027}"/>
    <cellStyle name="Style 81 3 3 3 3 5" xfId="19059" xr:uid="{7F348B7F-5477-4F42-A28F-CBD2622F1FDC}"/>
    <cellStyle name="Style 81 3 3 3 4" xfId="4622" xr:uid="{A83FF645-5AC8-472D-B728-20324BFF1F27}"/>
    <cellStyle name="Style 81 3 3 3 4 2" xfId="9609" xr:uid="{7F14BB4B-61EF-427C-9F89-AA3D60160CCA}"/>
    <cellStyle name="Style 81 3 3 3 4 2 2" xfId="25698" xr:uid="{B169CB36-1064-4A5C-8973-C7244BC64D3D}"/>
    <cellStyle name="Style 81 3 3 3 5" xfId="4623" xr:uid="{E4169A84-870B-4D2B-9D99-F889D64AB294}"/>
    <cellStyle name="Style 81 3 3 3 5 2" xfId="9610" xr:uid="{FBD499AC-F839-4C99-9F01-F63A03B078CA}"/>
    <cellStyle name="Style 81 3 3 3 5 2 2" xfId="25699" xr:uid="{A36FA4EC-4CF8-4506-9BF2-79443CB3606F}"/>
    <cellStyle name="Style 81 3 3 3 6" xfId="4617" xr:uid="{03C4F659-6CF1-46F4-AD8E-77172EE523FA}"/>
    <cellStyle name="Style 81 3 3 3 6 2" xfId="9611" xr:uid="{1C2DD3B7-9069-4A92-9572-9290B4E79581}"/>
    <cellStyle name="Style 81 3 3 3 6 2 2" xfId="25700" xr:uid="{7F754F97-022D-43EC-959E-E184BB65D497}"/>
    <cellStyle name="Style 81 3 3 3 7" xfId="9612" xr:uid="{48222D1C-1A7D-4E83-80BE-C39D92F63130}"/>
    <cellStyle name="Style 81 3 3 3 7 2" xfId="9613" xr:uid="{D673876F-EA86-4BBE-B918-0B73E549ED80}"/>
    <cellStyle name="Style 81 3 3 3 7 2 2" xfId="25701" xr:uid="{1A607D33-E119-4779-BC8E-C7D1A3FE8473}"/>
    <cellStyle name="Style 81 3 3 3 7 3" xfId="22273" xr:uid="{96EADEA7-63C8-4EC5-B956-4239C038C124}"/>
    <cellStyle name="Style 81 3 3 3 8" xfId="9614" xr:uid="{3EFFCB7F-8BE5-4DDE-A868-9091E119AC5C}"/>
    <cellStyle name="Style 81 3 3 3 8 2" xfId="25702" xr:uid="{BD8A4BB5-AAF6-4A40-AAB6-A10EBC7B220F}"/>
    <cellStyle name="Style 81 3 3 3 9" xfId="9615" xr:uid="{9141E899-6199-446E-97F0-D7ECD47A5A15}"/>
    <cellStyle name="Style 81 3 3 3 9 2" xfId="25703" xr:uid="{8A3F822E-A5BD-4006-A545-477B1E949BE3}"/>
    <cellStyle name="Style 81 3 3 4" xfId="2116" xr:uid="{F1A4E971-4731-4644-8E1A-94FA6735B8AB}"/>
    <cellStyle name="Style 81 3 3 4 10" xfId="9616" xr:uid="{312842C5-7A59-4926-AB38-8B7C2937333D}"/>
    <cellStyle name="Style 81 3 3 4 10 2" xfId="25704" xr:uid="{C6832541-3BF1-4F6A-84D3-AEB24181E550}"/>
    <cellStyle name="Style 81 3 3 4 11" xfId="9617" xr:uid="{7420B789-363F-489C-99FC-98F05071466A}"/>
    <cellStyle name="Style 81 3 3 4 11 2" xfId="25705" xr:uid="{0C50ABD2-B884-4C96-969D-3B9FF77FC6F2}"/>
    <cellStyle name="Style 81 3 3 4 12" xfId="9618" xr:uid="{F0A96F0E-9685-4644-AB1B-CBA2BD43136A}"/>
    <cellStyle name="Style 81 3 3 4 12 2" xfId="25706" xr:uid="{BE74F0F3-8140-40E1-87F0-ED2F1E82CBA0}"/>
    <cellStyle name="Style 81 3 3 4 13" xfId="19060" xr:uid="{FB91380F-29A6-4B15-B081-446E6A27B8DA}"/>
    <cellStyle name="Style 81 3 3 4 2" xfId="2117" xr:uid="{8E2D56A3-F0FB-4ACF-BE65-C53C313F6213}"/>
    <cellStyle name="Style 81 3 3 4 2 10" xfId="9619" xr:uid="{3B733422-C17B-4947-AD9B-9105173CDFD7}"/>
    <cellStyle name="Style 81 3 3 4 2 10 2" xfId="25707" xr:uid="{87ED8F23-AAC1-4D7D-A7D1-407283828200}"/>
    <cellStyle name="Style 81 3 3 4 2 11" xfId="9620" xr:uid="{AB8BC607-D63D-4475-8B33-F75DF6A05462}"/>
    <cellStyle name="Style 81 3 3 4 2 11 2" xfId="25708" xr:uid="{24883FFB-1378-483B-B02B-BB6355CA7CA0}"/>
    <cellStyle name="Style 81 3 3 4 2 12" xfId="19061" xr:uid="{03F0F608-FEC8-4718-B04F-396D21D95AAB}"/>
    <cellStyle name="Style 81 3 3 4 2 2" xfId="4626" xr:uid="{6296DC6D-5E33-408C-BB4A-8F9B4D4F4C2B}"/>
    <cellStyle name="Style 81 3 3 4 2 2 2" xfId="9621" xr:uid="{2FDE94CD-05F9-4033-BC4F-A39BFD5E1C37}"/>
    <cellStyle name="Style 81 3 3 4 2 2 2 2" xfId="25709" xr:uid="{FB7647B7-F303-4E18-8B36-38E7F77BE843}"/>
    <cellStyle name="Style 81 3 3 4 2 3" xfId="4625" xr:uid="{FE2A41A7-70B6-4280-9A83-D76D6733112F}"/>
    <cellStyle name="Style 81 3 3 4 2 3 2" xfId="9622" xr:uid="{78E50350-D58F-40DD-9B02-071C4B636B64}"/>
    <cellStyle name="Style 81 3 3 4 2 3 2 2" xfId="25710" xr:uid="{0AD19229-DBD4-4B6C-B193-8B44392C87E3}"/>
    <cellStyle name="Style 81 3 3 4 2 4" xfId="9623" xr:uid="{B64FDC44-8D51-40B4-A298-6D86E2A79925}"/>
    <cellStyle name="Style 81 3 3 4 2 4 2" xfId="9624" xr:uid="{6099CE64-5442-435C-AC4E-49FAA77AE6D9}"/>
    <cellStyle name="Style 81 3 3 4 2 4 2 2" xfId="25711" xr:uid="{314A514B-462A-455F-B4B8-3FA64A9802AF}"/>
    <cellStyle name="Style 81 3 3 4 2 4 3" xfId="22276" xr:uid="{10EE46E5-4559-4F11-B713-6CDD53F317BE}"/>
    <cellStyle name="Style 81 3 3 4 2 5" xfId="9625" xr:uid="{2E4F91AA-F415-4411-A385-A98A05A6C203}"/>
    <cellStyle name="Style 81 3 3 4 2 5 2" xfId="25712" xr:uid="{C42DD1AC-C029-448B-BE27-2370F2A68894}"/>
    <cellStyle name="Style 81 3 3 4 2 6" xfId="9626" xr:uid="{586E09B4-D347-48B7-A133-CB45BC32C36C}"/>
    <cellStyle name="Style 81 3 3 4 2 6 2" xfId="25713" xr:uid="{636B102E-7901-47EA-B0A4-BCAED7DFF79F}"/>
    <cellStyle name="Style 81 3 3 4 2 7" xfId="9627" xr:uid="{03BE11C2-6455-4390-B9E8-C932B4EA3C61}"/>
    <cellStyle name="Style 81 3 3 4 2 7 2" xfId="25714" xr:uid="{DAFE5B7F-AEC5-456B-8A6F-6349CD3F0F43}"/>
    <cellStyle name="Style 81 3 3 4 2 8" xfId="9628" xr:uid="{1DE1FF14-3F08-44EC-B4A7-D914CAA5321F}"/>
    <cellStyle name="Style 81 3 3 4 2 8 2" xfId="25715" xr:uid="{26EC25FF-0C60-44E8-8C14-445C20C8DFCC}"/>
    <cellStyle name="Style 81 3 3 4 2 9" xfId="9629" xr:uid="{E9A33F08-DC28-4F83-8E80-7D2D7AD30A77}"/>
    <cellStyle name="Style 81 3 3 4 2 9 2" xfId="25716" xr:uid="{65EEE337-EDD7-4A14-AB8C-3322F45F22C7}"/>
    <cellStyle name="Style 81 3 3 4 3" xfId="4627" xr:uid="{4AD8AAF0-6CC8-412C-A5D8-9232EC125B1E}"/>
    <cellStyle name="Style 81 3 3 4 3 2" xfId="9630" xr:uid="{5A319F43-55B7-49F2-ABC3-B656FFCC0AEB}"/>
    <cellStyle name="Style 81 3 3 4 3 2 2" xfId="25717" xr:uid="{D872D4EF-B943-40EF-98C4-5387B5E4EE08}"/>
    <cellStyle name="Style 81 3 3 4 4" xfId="4624" xr:uid="{860DC6F5-C5F3-4682-980B-03F054E97E98}"/>
    <cellStyle name="Style 81 3 3 4 4 2" xfId="9631" xr:uid="{E2F568FC-9913-4A0A-9FFE-DD86452F1D16}"/>
    <cellStyle name="Style 81 3 3 4 4 2 2" xfId="25718" xr:uid="{47BD7249-5361-4C40-844F-9FF3BC6D4424}"/>
    <cellStyle name="Style 81 3 3 4 5" xfId="9632" xr:uid="{64C01E1F-AAFF-4B0F-8457-94BA3AD941BC}"/>
    <cellStyle name="Style 81 3 3 4 5 2" xfId="9633" xr:uid="{9C4D99F8-0F09-4336-B518-708FF58BC8A8}"/>
    <cellStyle name="Style 81 3 3 4 5 2 2" xfId="25719" xr:uid="{F784800F-F751-4A0E-9EE5-A0B4212F2A7F}"/>
    <cellStyle name="Style 81 3 3 4 5 3" xfId="22275" xr:uid="{5A290899-4533-4C24-A281-6D923434534D}"/>
    <cellStyle name="Style 81 3 3 4 6" xfId="9634" xr:uid="{741C5D88-CAD1-4F21-A9D2-62F7DB1DABA9}"/>
    <cellStyle name="Style 81 3 3 4 6 2" xfId="25720" xr:uid="{102801D8-7380-4B07-B6E8-94E19A028ED6}"/>
    <cellStyle name="Style 81 3 3 4 7" xfId="9635" xr:uid="{8D817F94-01A5-4822-8A71-430266443E6B}"/>
    <cellStyle name="Style 81 3 3 4 7 2" xfId="25721" xr:uid="{E66DE27B-3EE0-46FD-9E9B-ECD7C95E780E}"/>
    <cellStyle name="Style 81 3 3 4 8" xfId="9636" xr:uid="{F9A9558E-AE9B-4616-879D-AB5A49288C91}"/>
    <cellStyle name="Style 81 3 3 4 8 2" xfId="25722" xr:uid="{AC2E80C5-6FC5-4183-B794-11F1E85E53F6}"/>
    <cellStyle name="Style 81 3 3 4 9" xfId="9637" xr:uid="{8A90D065-1FE3-4D5E-AC7F-6B975D549B01}"/>
    <cellStyle name="Style 81 3 3 4 9 2" xfId="25723" xr:uid="{05C4D4E3-0D2A-4206-ACA2-BEF13E599966}"/>
    <cellStyle name="Style 81 3 3 5" xfId="4628" xr:uid="{86686328-BC98-43D6-A4A5-86D3621BF6CA}"/>
    <cellStyle name="Style 81 3 3 5 2" xfId="9638" xr:uid="{BE312DEB-23B0-4125-BB7C-607A631B2A29}"/>
    <cellStyle name="Style 81 3 3 5 2 2" xfId="25724" xr:uid="{A26EF4A4-4C87-461A-A049-968E876B2D90}"/>
    <cellStyle name="Style 81 3 3 5 3" xfId="9639" xr:uid="{4213BB75-56E2-4073-9C1A-EE6B6A5BAA76}"/>
    <cellStyle name="Style 81 3 3 5 3 2" xfId="25725" xr:uid="{EB147749-3B29-48DC-B128-7FE0F3781183}"/>
    <cellStyle name="Style 81 3 3 5 4" xfId="9640" xr:uid="{65545706-55E4-4400-8612-0DE402F03B2F}"/>
    <cellStyle name="Style 81 3 3 5 4 2" xfId="25726" xr:uid="{2D614DC8-D494-40D2-BB84-9A4DF75627A7}"/>
    <cellStyle name="Style 81 3 3 6" xfId="4629" xr:uid="{89A95796-E113-4977-96DC-AFE809DC06A1}"/>
    <cellStyle name="Style 81 3 3 6 2" xfId="9641" xr:uid="{88A8C31B-B096-47AB-AF8C-136C83AC9AB5}"/>
    <cellStyle name="Style 81 3 3 6 2 2" xfId="25727" xr:uid="{1AD6D51E-1FC7-4B89-AA3C-6E1D8058E640}"/>
    <cellStyle name="Style 81 3 3 7" xfId="4614" xr:uid="{AF2AD6D1-021C-4FE5-BF5E-24424060A2C2}"/>
    <cellStyle name="Style 81 3 3 7 2" xfId="9642" xr:uid="{D230A809-6552-4089-8D8B-CBD59C5B9DEC}"/>
    <cellStyle name="Style 81 3 3 7 2 2" xfId="25728" xr:uid="{1D2487DC-EAFE-4A9E-8DA2-8D822935D650}"/>
    <cellStyle name="Style 81 3 3 8" xfId="9643" xr:uid="{8EF3EE47-2BE4-40AE-8277-4A069A64714F}"/>
    <cellStyle name="Style 81 3 3 8 2" xfId="9644" xr:uid="{7B674043-3B8B-468C-B643-D1EC4C45442A}"/>
    <cellStyle name="Style 81 3 3 8 2 2" xfId="25729" xr:uid="{46E6E58C-93D1-4498-8E46-C623557485EA}"/>
    <cellStyle name="Style 81 3 3 8 3" xfId="22271" xr:uid="{AD68A8B0-E7D5-4ABE-B9FE-DA5F438AA31D}"/>
    <cellStyle name="Style 81 3 3 9" xfId="9645" xr:uid="{26309685-1BF0-460A-BB78-8CC4445FA617}"/>
    <cellStyle name="Style 81 3 3 9 2" xfId="25730" xr:uid="{86B0D7DC-D3D9-49E6-8DCC-4C3EACC1A406}"/>
    <cellStyle name="Style 81 3 4" xfId="2118" xr:uid="{EFE1B833-4E8B-49F9-BC1A-7D0B2AFE88E7}"/>
    <cellStyle name="Style 81 3 4 10" xfId="9646" xr:uid="{8EC7E206-7241-41A1-8715-58F060FB03BA}"/>
    <cellStyle name="Style 81 3 4 10 2" xfId="25731" xr:uid="{B6E85461-B628-45F2-A0F8-CE0660C7B38F}"/>
    <cellStyle name="Style 81 3 4 11" xfId="9647" xr:uid="{96D89696-4DCA-4D8E-83CB-2DE53CE09426}"/>
    <cellStyle name="Style 81 3 4 11 2" xfId="25732" xr:uid="{CA08A97B-E8FA-4673-9F71-B3B53C98AD2E}"/>
    <cellStyle name="Style 81 3 4 12" xfId="19062" xr:uid="{5151A50E-8E6B-4706-8EC6-0BE258CCAA10}"/>
    <cellStyle name="Style 81 3 4 2" xfId="4631" xr:uid="{A8DFD929-A9D3-4BE7-832B-A889AC33BC53}"/>
    <cellStyle name="Style 81 3 4 2 2" xfId="4632" xr:uid="{AB85D0A9-6F5B-4418-AD49-6808967F7E46}"/>
    <cellStyle name="Style 81 3 4 2 3" xfId="9648" xr:uid="{9106C05D-FED5-4327-A585-381AF2E0EDE2}"/>
    <cellStyle name="Style 81 3 4 2 3 2" xfId="25733" xr:uid="{D8BB41AE-6B9E-4031-B581-F035BA921835}"/>
    <cellStyle name="Style 81 3 4 2 4" xfId="19063" xr:uid="{77E536FF-8C5D-4EE6-91C8-B7BF4FF1665F}"/>
    <cellStyle name="Style 81 3 4 3" xfId="4633" xr:uid="{7455DAA1-B2A6-4394-ABE4-C7B7A86A2F0D}"/>
    <cellStyle name="Style 81 3 4 3 2" xfId="9649" xr:uid="{B7833F22-52AA-44CE-8668-529CCE1EF603}"/>
    <cellStyle name="Style 81 3 4 3 2 2" xfId="25734" xr:uid="{4D206186-6483-48F5-B94E-56C8285B559B}"/>
    <cellStyle name="Style 81 3 4 4" xfId="4634" xr:uid="{7FC3078C-55EF-4CA2-A55E-BF666B656F3A}"/>
    <cellStyle name="Style 81 3 4 4 2" xfId="9650" xr:uid="{9F5692E0-CD74-4585-A88A-B7112545D1E3}"/>
    <cellStyle name="Style 81 3 4 4 2 2" xfId="25735" xr:uid="{077A20D2-BDF2-4A81-AF2C-8F2FB78F9DD9}"/>
    <cellStyle name="Style 81 3 4 5" xfId="4630" xr:uid="{14249580-6EAD-454F-9E47-0D6EF53E803C}"/>
    <cellStyle name="Style 81 3 4 5 2" xfId="9651" xr:uid="{1C686C58-AF13-49D3-8C0C-E4B732134932}"/>
    <cellStyle name="Style 81 3 4 5 2 2" xfId="25736" xr:uid="{A5649204-E2BC-486D-AAB5-344A333AA9E6}"/>
    <cellStyle name="Style 81 3 4 6" xfId="9652" xr:uid="{3C5A8588-A46F-4887-9C08-9643D01A2858}"/>
    <cellStyle name="Style 81 3 4 6 2" xfId="9653" xr:uid="{BDACD9D4-288F-4F28-98C1-A34E62C900FF}"/>
    <cellStyle name="Style 81 3 4 6 2 2" xfId="25737" xr:uid="{59972553-9BF5-4BDD-9622-2E44F51CEAA6}"/>
    <cellStyle name="Style 81 3 4 6 3" xfId="22277" xr:uid="{3F022057-BF77-4E2B-A813-43136BE7F34F}"/>
    <cellStyle name="Style 81 3 4 7" xfId="9654" xr:uid="{8C2E0664-C63F-4F67-BA7E-2BAD0322E682}"/>
    <cellStyle name="Style 81 3 4 7 2" xfId="25738" xr:uid="{E3945966-32FD-45C7-A35A-86985C94457F}"/>
    <cellStyle name="Style 81 3 4 8" xfId="9655" xr:uid="{0C4A28D1-2A0B-4952-946C-87D4DEFDE5E9}"/>
    <cellStyle name="Style 81 3 4 8 2" xfId="25739" xr:uid="{0FD617BF-B705-4BD5-8065-308CFBD8E8E6}"/>
    <cellStyle name="Style 81 3 4 9" xfId="9656" xr:uid="{C4B8E382-E0FA-459E-83A9-E8D850B7F4E5}"/>
    <cellStyle name="Style 81 3 4 9 2" xfId="25740" xr:uid="{9089DBC7-B4FF-4155-959A-9281B0BFB3EB}"/>
    <cellStyle name="Style 81 3 5" xfId="4635" xr:uid="{F0653CF8-9D54-4EB2-98ED-A327C439FCEB}"/>
    <cellStyle name="Style 81 3 5 2" xfId="4636" xr:uid="{C9DE96E9-5E73-42BF-A9A6-AFC7F4C1B14F}"/>
    <cellStyle name="Style 81 3 5 3" xfId="9657" xr:uid="{7E83B7C2-E1A5-47DD-917F-45F085673653}"/>
    <cellStyle name="Style 81 3 5 4" xfId="9658" xr:uid="{CC5458F6-90A5-4058-8722-D701B96D4468}"/>
    <cellStyle name="Style 81 3 5 4 2" xfId="25741" xr:uid="{358CEDC5-11FD-4EB9-850D-6D7467FB9BFF}"/>
    <cellStyle name="Style 81 3 5 5" xfId="19064" xr:uid="{B9CC2990-C1A7-433C-82D9-4AD493B75F64}"/>
    <cellStyle name="Style 81 3 6" xfId="4637" xr:uid="{813CC79B-EED5-429A-9310-34F1E13CF21F}"/>
    <cellStyle name="Style 81 3 6 2" xfId="9659" xr:uid="{C2EBCD2A-C5D5-4135-8E79-1090DB3A1188}"/>
    <cellStyle name="Style 81 3 6 2 2" xfId="25742" xr:uid="{F5DC834F-24CB-4AAB-8A5F-EA04316C1719}"/>
    <cellStyle name="Style 81 3 7" xfId="4609" xr:uid="{6322A571-819D-4F08-A27A-AD1F841FCEB5}"/>
    <cellStyle name="Style 81 3 7 2" xfId="9660" xr:uid="{0E404824-213F-4AB1-9EBC-609A923E5731}"/>
    <cellStyle name="Style 81 3 7 2 2" xfId="25743" xr:uid="{D0BB85C3-2FCE-4C19-A8D1-F2D80BE72E8B}"/>
    <cellStyle name="Style 81 3 8" xfId="2961" xr:uid="{308CF01E-D83A-4BCE-9132-F22092FB40B2}"/>
    <cellStyle name="Style 81 3 8 2" xfId="9661" xr:uid="{FE950069-5CB3-4F0C-B17F-AC8072F4B456}"/>
    <cellStyle name="Style 81 3 8 2 2" xfId="25744" xr:uid="{DAAAA94A-7790-404F-ACD7-C9FF774191B5}"/>
    <cellStyle name="Style 81 3 8 3" xfId="21309" xr:uid="{27266F6F-09D1-489C-BA84-A9BFE00959EA}"/>
    <cellStyle name="Style 81 3 9" xfId="9662" xr:uid="{481D4A57-CB90-46F0-9410-0D98D0358614}"/>
    <cellStyle name="Style 81 3 9 2" xfId="25745" xr:uid="{751E4C5A-214B-4AD1-A2CC-07AA592C329D}"/>
    <cellStyle name="Style 81 4" xfId="2119" xr:uid="{CBF260F0-5FA7-4D98-80B6-84E5021F4B83}"/>
    <cellStyle name="Style 81 4 10" xfId="9663" xr:uid="{E08C4441-5A10-4DE4-941D-996DB92C8DA4}"/>
    <cellStyle name="Style 81 4 10 2" xfId="25746" xr:uid="{88397CFC-D5C9-4190-9415-2FA4DFD147C4}"/>
    <cellStyle name="Style 81 4 11" xfId="9664" xr:uid="{578E4808-7B42-4871-8E5E-D4A0D92CA4F3}"/>
    <cellStyle name="Style 81 4 11 2" xfId="25747" xr:uid="{FE8EB64A-0BAA-46A4-8AC3-C69E68F324B5}"/>
    <cellStyle name="Style 81 4 12" xfId="9665" xr:uid="{C5A52465-9CB6-4707-BB4D-509FB7493B6F}"/>
    <cellStyle name="Style 81 4 12 2" xfId="25748" xr:uid="{AE010943-CE41-4998-90E4-30E55AE7E587}"/>
    <cellStyle name="Style 81 4 13" xfId="9666" xr:uid="{B2CC9237-B7F3-44EB-8659-9E4AD73B0301}"/>
    <cellStyle name="Style 81 4 13 2" xfId="25749" xr:uid="{412843A4-D55D-4AD8-B118-3A2E4774E775}"/>
    <cellStyle name="Style 81 4 14" xfId="9667" xr:uid="{989EB411-E8EB-48C3-8C53-B6ECC7296227}"/>
    <cellStyle name="Style 81 4 14 2" xfId="25750" xr:uid="{619BC08C-5F12-461F-8963-CB19CFBFFE89}"/>
    <cellStyle name="Style 81 4 15" xfId="19065" xr:uid="{166F99FE-4713-4B68-BA8B-BC5132C0A692}"/>
    <cellStyle name="Style 81 4 2" xfId="2120" xr:uid="{3B3F0063-E651-4A75-8637-C40595D57222}"/>
    <cellStyle name="Style 81 4 2 10" xfId="9668" xr:uid="{BE6A0E8D-645D-47A5-9E18-1EAFE8F1853D}"/>
    <cellStyle name="Style 81 4 2 10 2" xfId="25751" xr:uid="{FE26B883-D83C-4545-B5C6-96B4602261F2}"/>
    <cellStyle name="Style 81 4 2 11" xfId="9669" xr:uid="{1D43D9CD-48B8-4476-B97D-C8A47C408684}"/>
    <cellStyle name="Style 81 4 2 11 2" xfId="25752" xr:uid="{D08DC198-88F8-44C9-BB9C-689DF49F523D}"/>
    <cellStyle name="Style 81 4 2 12" xfId="9670" xr:uid="{0C744E86-594B-4886-83C4-4E741E8910B3}"/>
    <cellStyle name="Style 81 4 2 12 2" xfId="25753" xr:uid="{DDBE415C-340D-44EC-A9A3-01ECF73C4F74}"/>
    <cellStyle name="Style 81 4 2 13" xfId="9671" xr:uid="{5DFE8E45-73FC-4896-B604-7813F4F89AC9}"/>
    <cellStyle name="Style 81 4 2 13 2" xfId="25754" xr:uid="{FD0B62D7-972C-43B4-950C-0B26ECA600F8}"/>
    <cellStyle name="Style 81 4 2 14" xfId="9672" xr:uid="{49E8B489-7D4C-4F32-BB20-3F0C9F7BF13B}"/>
    <cellStyle name="Style 81 4 2 14 2" xfId="25755" xr:uid="{CF5654B0-049E-4A28-A27F-8E18709CE116}"/>
    <cellStyle name="Style 81 4 2 15" xfId="9673" xr:uid="{B8114867-B3E0-48DE-BECE-A08A9BD37BA2}"/>
    <cellStyle name="Style 81 4 2 15 2" xfId="25756" xr:uid="{64F845BB-70D6-4519-B845-80530E0A18D4}"/>
    <cellStyle name="Style 81 4 2 16" xfId="19066" xr:uid="{32A9B11C-1BF4-431C-8EF6-312B910630CA}"/>
    <cellStyle name="Style 81 4 2 2" xfId="2121" xr:uid="{BD568B16-8E58-4E97-948C-AA2C00B08B92}"/>
    <cellStyle name="Style 81 4 2 2 10" xfId="9674" xr:uid="{AEC662CC-58EC-4CCF-94E1-6058D00EF602}"/>
    <cellStyle name="Style 81 4 2 2 10 2" xfId="25757" xr:uid="{294E4CFF-757D-4FE3-BFDA-0E7B73D2AF30}"/>
    <cellStyle name="Style 81 4 2 2 11" xfId="9675" xr:uid="{09CE7D76-E5C8-4C56-85F1-F23EC3628897}"/>
    <cellStyle name="Style 81 4 2 2 11 2" xfId="25758" xr:uid="{E9F5213D-B1B5-407C-A8D7-36775EC15F4C}"/>
    <cellStyle name="Style 81 4 2 2 12" xfId="19067" xr:uid="{BBA1CCA4-8BD6-4E32-8CE4-28ECA79CC348}"/>
    <cellStyle name="Style 81 4 2 2 2" xfId="4641" xr:uid="{02F4BFCE-5C73-4656-A622-2CA86996E6F7}"/>
    <cellStyle name="Style 81 4 2 2 2 2" xfId="9676" xr:uid="{3A8B6F4C-A77D-4D55-A736-39D9C356DE07}"/>
    <cellStyle name="Style 81 4 2 2 2 2 2" xfId="25759" xr:uid="{AF6B11DC-81DD-4155-AEDB-CFB93F695394}"/>
    <cellStyle name="Style 81 4 2 2 3" xfId="4640" xr:uid="{F481DE12-F84D-43CA-81FC-1767AF99BFEC}"/>
    <cellStyle name="Style 81 4 2 2 3 2" xfId="9677" xr:uid="{14AC0D54-3B96-4DEC-8395-4A1465AE8210}"/>
    <cellStyle name="Style 81 4 2 2 3 2 2" xfId="25760" xr:uid="{95F83F1B-3190-4CAA-9507-5243FE0E5A4C}"/>
    <cellStyle name="Style 81 4 2 2 4" xfId="9678" xr:uid="{A165753C-EF74-40D5-84A0-8BD17762929A}"/>
    <cellStyle name="Style 81 4 2 2 4 2" xfId="9679" xr:uid="{33011DDF-E00D-4F23-B36F-F4083C1D6CA8}"/>
    <cellStyle name="Style 81 4 2 2 4 2 2" xfId="25761" xr:uid="{BBE90EFA-3724-4F56-A1A1-C57025C51BE6}"/>
    <cellStyle name="Style 81 4 2 2 4 3" xfId="22280" xr:uid="{478CE809-87B1-43FE-BC6D-46025B222444}"/>
    <cellStyle name="Style 81 4 2 2 5" xfId="9680" xr:uid="{BEF49FBF-6926-4510-A8CC-3B1195A1C9A5}"/>
    <cellStyle name="Style 81 4 2 2 5 2" xfId="25762" xr:uid="{C97771FB-661A-44FA-9546-28352D51AC92}"/>
    <cellStyle name="Style 81 4 2 2 6" xfId="9681" xr:uid="{F7FD5152-C444-43A0-A44E-C33FCCE6DC68}"/>
    <cellStyle name="Style 81 4 2 2 6 2" xfId="25763" xr:uid="{CF195648-E1DC-48F7-9129-571E5E12623E}"/>
    <cellStyle name="Style 81 4 2 2 7" xfId="9682" xr:uid="{5F45EC0B-3699-45F1-87DC-40B7A7341654}"/>
    <cellStyle name="Style 81 4 2 2 7 2" xfId="25764" xr:uid="{9493E562-A2CB-4EA1-BE6E-597E4C41C6AE}"/>
    <cellStyle name="Style 81 4 2 2 8" xfId="9683" xr:uid="{8F563151-AE54-4C66-B800-B59C6BE12E44}"/>
    <cellStyle name="Style 81 4 2 2 8 2" xfId="25765" xr:uid="{6971AA00-5496-4D51-B4FB-2196D0896E36}"/>
    <cellStyle name="Style 81 4 2 2 9" xfId="9684" xr:uid="{6CC6EA41-823A-445C-A507-D318D8BABE50}"/>
    <cellStyle name="Style 81 4 2 2 9 2" xfId="25766" xr:uid="{8C50919F-75A0-438B-A05E-4BFAB2225DE4}"/>
    <cellStyle name="Style 81 4 2 3" xfId="2122" xr:uid="{FF7F9D68-ACCC-419A-BE5E-C7C7E11809FC}"/>
    <cellStyle name="Style 81 4 2 3 10" xfId="9685" xr:uid="{A9215952-5329-4B7B-90B5-226730692962}"/>
    <cellStyle name="Style 81 4 2 3 10 2" xfId="25767" xr:uid="{A2A016E6-55C2-4100-AFD9-8819D0E55591}"/>
    <cellStyle name="Style 81 4 2 3 11" xfId="9686" xr:uid="{3135B4E7-64D9-4C8B-BB65-630271D9ADD4}"/>
    <cellStyle name="Style 81 4 2 3 11 2" xfId="25768" xr:uid="{B622BA87-F4E7-4DFD-A2FF-333E5CB29718}"/>
    <cellStyle name="Style 81 4 2 3 12" xfId="9687" xr:uid="{940C7ED1-7575-49C6-B220-BBE6C3AFD179}"/>
    <cellStyle name="Style 81 4 2 3 12 2" xfId="25769" xr:uid="{6B4D973C-C0D0-4CEC-84C8-1425E649355F}"/>
    <cellStyle name="Style 81 4 2 3 13" xfId="9688" xr:uid="{593AC365-5BAA-47E4-96E9-8994656EBBAB}"/>
    <cellStyle name="Style 81 4 2 3 13 2" xfId="25770" xr:uid="{58CB97A1-E18E-4447-A37F-770769C3349E}"/>
    <cellStyle name="Style 81 4 2 3 14" xfId="19068" xr:uid="{ED2428D5-D833-45CC-8533-935D5A393763}"/>
    <cellStyle name="Style 81 4 2 3 2" xfId="2123" xr:uid="{55B44EB3-F347-4718-82C2-7FA4BAD56ACE}"/>
    <cellStyle name="Style 81 4 2 3 2 10" xfId="9689" xr:uid="{45992818-941E-45D4-888F-387F8C22438B}"/>
    <cellStyle name="Style 81 4 2 3 2 10 2" xfId="25771" xr:uid="{B357B640-463D-460B-947B-B465D856B6CC}"/>
    <cellStyle name="Style 81 4 2 3 2 11" xfId="9690" xr:uid="{D2B9A578-7A66-4230-8F89-D421C023AC35}"/>
    <cellStyle name="Style 81 4 2 3 2 11 2" xfId="25772" xr:uid="{0A70F500-6CBB-422F-911F-209ACFD7972F}"/>
    <cellStyle name="Style 81 4 2 3 2 12" xfId="19069" xr:uid="{34CE2870-4E15-4A29-8D5B-59A5ABD99C8F}"/>
    <cellStyle name="Style 81 4 2 3 2 2" xfId="4644" xr:uid="{EAAD8E86-4629-4D27-B57C-A0695D528983}"/>
    <cellStyle name="Style 81 4 2 3 2 2 2" xfId="9691" xr:uid="{3AA69423-5529-4321-9038-6B7844718698}"/>
    <cellStyle name="Style 81 4 2 3 2 2 2 2" xfId="25773" xr:uid="{25FB352F-AE8F-42D1-9B36-FB54F55E1A0C}"/>
    <cellStyle name="Style 81 4 2 3 2 3" xfId="4643" xr:uid="{6793EA33-E1CC-49BC-89CC-06C8504043F5}"/>
    <cellStyle name="Style 81 4 2 3 2 3 2" xfId="9692" xr:uid="{AE514E74-39CA-4F3D-9BAB-952063B987E3}"/>
    <cellStyle name="Style 81 4 2 3 2 3 2 2" xfId="25774" xr:uid="{928220DB-0B84-477B-8A72-6FD5636FC23C}"/>
    <cellStyle name="Style 81 4 2 3 2 4" xfId="9693" xr:uid="{46FB9697-F11B-4DE9-B3B3-906F9FC16DFB}"/>
    <cellStyle name="Style 81 4 2 3 2 4 2" xfId="9694" xr:uid="{5E483F77-1504-406B-AD7F-3A9FB3E4BB70}"/>
    <cellStyle name="Style 81 4 2 3 2 4 2 2" xfId="25775" xr:uid="{68EB38C7-9DA3-49F1-93AE-18D24A17A5D7}"/>
    <cellStyle name="Style 81 4 2 3 2 4 3" xfId="22282" xr:uid="{BAAA6FEF-5439-44F8-B073-5F2B606B5517}"/>
    <cellStyle name="Style 81 4 2 3 2 5" xfId="9695" xr:uid="{7FCCAA80-B66F-4387-8BF7-1802BC623E78}"/>
    <cellStyle name="Style 81 4 2 3 2 5 2" xfId="25776" xr:uid="{71114D34-D1E4-49E4-9C77-6C9CA51E491C}"/>
    <cellStyle name="Style 81 4 2 3 2 6" xfId="9696" xr:uid="{39E3AFD2-B0AA-44F8-96E4-0A40C2BB1698}"/>
    <cellStyle name="Style 81 4 2 3 2 6 2" xfId="25777" xr:uid="{F10BE6FA-189D-4780-97A5-E84699BC49F3}"/>
    <cellStyle name="Style 81 4 2 3 2 7" xfId="9697" xr:uid="{F2F690F2-E858-4B63-A39D-0C1ADFABF6CE}"/>
    <cellStyle name="Style 81 4 2 3 2 7 2" xfId="25778" xr:uid="{213762DC-5825-4BEB-BD0E-88010AEF622A}"/>
    <cellStyle name="Style 81 4 2 3 2 8" xfId="9698" xr:uid="{F0089085-0144-406C-AAE0-7F8BCFAC28C1}"/>
    <cellStyle name="Style 81 4 2 3 2 8 2" xfId="25779" xr:uid="{C4AF4A76-4722-4817-8696-968A7B4451F1}"/>
    <cellStyle name="Style 81 4 2 3 2 9" xfId="9699" xr:uid="{56205FDE-F609-4A14-BABD-93DC13B9DB29}"/>
    <cellStyle name="Style 81 4 2 3 2 9 2" xfId="25780" xr:uid="{7BF51DB1-4522-425B-A8C5-336C4CAE139F}"/>
    <cellStyle name="Style 81 4 2 3 3" xfId="4645" xr:uid="{DCB88ACA-24AF-4C3D-B23C-016987611F96}"/>
    <cellStyle name="Style 81 4 2 3 3 2" xfId="4646" xr:uid="{375794E8-9299-4839-B7D4-3310E5361014}"/>
    <cellStyle name="Style 81 4 2 3 3 2 2" xfId="9700" xr:uid="{8CF16FB7-90A0-428E-8C9A-2E9E8B456775}"/>
    <cellStyle name="Style 81 4 2 3 3 2 2 2" xfId="25781" xr:uid="{E6E22320-FF14-4F15-9F44-EFA886C2B61D}"/>
    <cellStyle name="Style 81 4 2 3 3 3" xfId="9701" xr:uid="{3336A9CF-68C7-4DD5-9471-076E514B3872}"/>
    <cellStyle name="Style 81 4 2 3 3 3 2" xfId="25782" xr:uid="{41702E87-E06F-4353-8BEC-4C551CF4D384}"/>
    <cellStyle name="Style 81 4 2 3 3 4" xfId="9702" xr:uid="{EFC7C12D-6EC0-4CC4-96CA-A4DF309745A7}"/>
    <cellStyle name="Style 81 4 2 3 3 4 2" xfId="25783" xr:uid="{C581F1A9-D9D5-4DBD-9C9A-A5EF3562D7EF}"/>
    <cellStyle name="Style 81 4 2 3 3 5" xfId="19070" xr:uid="{1B6B42ED-8686-4905-9C10-1FC36DC48992}"/>
    <cellStyle name="Style 81 4 2 3 4" xfId="4647" xr:uid="{D6BDA0CF-9523-4121-8B82-E4E93C6C99E8}"/>
    <cellStyle name="Style 81 4 2 3 4 2" xfId="9703" xr:uid="{20CB000C-FE95-44A7-B3EA-427659FF1971}"/>
    <cellStyle name="Style 81 4 2 3 4 2 2" xfId="25784" xr:uid="{786BACC0-B4F2-45DF-8D5C-7888895742CE}"/>
    <cellStyle name="Style 81 4 2 3 5" xfId="4648" xr:uid="{D840B83F-547A-4C5A-BE4F-BA26B9075F3A}"/>
    <cellStyle name="Style 81 4 2 3 5 2" xfId="9704" xr:uid="{EF8DE5C3-28DF-45C1-9B3E-D359C1732449}"/>
    <cellStyle name="Style 81 4 2 3 5 2 2" xfId="25785" xr:uid="{B45DAF4B-63AD-4583-8A83-FF81E884C44C}"/>
    <cellStyle name="Style 81 4 2 3 6" xfId="4642" xr:uid="{1DFC6885-599A-422F-AD42-FB707F1F2860}"/>
    <cellStyle name="Style 81 4 2 3 6 2" xfId="9705" xr:uid="{9DB8F943-073D-47C5-BC8D-F8A11F696433}"/>
    <cellStyle name="Style 81 4 2 3 6 2 2" xfId="25786" xr:uid="{387F7DB0-347C-41D0-AED6-99E70AE6B835}"/>
    <cellStyle name="Style 81 4 2 3 7" xfId="9706" xr:uid="{E2C1E2E3-50A5-4078-8D29-67CC4FC14AFC}"/>
    <cellStyle name="Style 81 4 2 3 7 2" xfId="9707" xr:uid="{4BB4D831-30DF-48B7-A473-9DB164483F00}"/>
    <cellStyle name="Style 81 4 2 3 7 2 2" xfId="25787" xr:uid="{7436C5C9-2827-468A-98C1-890EEF7068A1}"/>
    <cellStyle name="Style 81 4 2 3 7 3" xfId="22281" xr:uid="{CFE16789-5EAD-46A8-BDAD-F23487A65771}"/>
    <cellStyle name="Style 81 4 2 3 8" xfId="9708" xr:uid="{D38F2846-5C7C-43F6-8C24-4BCD6E90B420}"/>
    <cellStyle name="Style 81 4 2 3 8 2" xfId="25788" xr:uid="{4EE46C42-28C8-43E0-B64E-ADEA507F4A02}"/>
    <cellStyle name="Style 81 4 2 3 9" xfId="9709" xr:uid="{D725FDA6-70AA-4990-B4CF-ACC202526DD0}"/>
    <cellStyle name="Style 81 4 2 3 9 2" xfId="25789" xr:uid="{283666B0-7B3D-466F-80C2-5F501C0735FD}"/>
    <cellStyle name="Style 81 4 2 4" xfId="2124" xr:uid="{994B705A-DC34-4E40-944F-F6FD54CD8B16}"/>
    <cellStyle name="Style 81 4 2 4 10" xfId="9710" xr:uid="{DA045BD3-16D2-4017-8F57-290301A770DA}"/>
    <cellStyle name="Style 81 4 2 4 10 2" xfId="25790" xr:uid="{F4774E81-5727-409F-8439-D738F39D96AF}"/>
    <cellStyle name="Style 81 4 2 4 11" xfId="9711" xr:uid="{80757377-E5DE-47FA-8F07-8F40963DA25E}"/>
    <cellStyle name="Style 81 4 2 4 11 2" xfId="25791" xr:uid="{FAE09645-CEB7-46EC-A2CA-FB09B0A88B91}"/>
    <cellStyle name="Style 81 4 2 4 12" xfId="9712" xr:uid="{6AF5EF1E-B15B-4B35-AC70-51F32DAE49AE}"/>
    <cellStyle name="Style 81 4 2 4 12 2" xfId="25792" xr:uid="{F39F0379-6B02-44F7-9A2A-B3C435185DE4}"/>
    <cellStyle name="Style 81 4 2 4 13" xfId="19071" xr:uid="{7266E2D6-9479-4CF8-9CF1-E832AA126203}"/>
    <cellStyle name="Style 81 4 2 4 2" xfId="2125" xr:uid="{4D3396A1-C4AC-4810-B119-BCEFCDFE55FA}"/>
    <cellStyle name="Style 81 4 2 4 2 10" xfId="9713" xr:uid="{32793D1A-7C7F-4249-946C-FD0C5F29405D}"/>
    <cellStyle name="Style 81 4 2 4 2 10 2" xfId="25793" xr:uid="{3433102B-1E07-4C8D-9BEC-A00822BAE27A}"/>
    <cellStyle name="Style 81 4 2 4 2 11" xfId="9714" xr:uid="{A896B24A-5704-4A43-8472-9182816683C8}"/>
    <cellStyle name="Style 81 4 2 4 2 11 2" xfId="25794" xr:uid="{B1A7760C-427E-4E7E-95D1-8116DEA6023F}"/>
    <cellStyle name="Style 81 4 2 4 2 12" xfId="19072" xr:uid="{198D4CA5-3181-4015-A92D-A4094B0029A1}"/>
    <cellStyle name="Style 81 4 2 4 2 2" xfId="4651" xr:uid="{CED7C276-CD1D-4588-93B2-0E4C8A8DC871}"/>
    <cellStyle name="Style 81 4 2 4 2 2 2" xfId="9715" xr:uid="{78B67F85-563D-437B-9D90-0213E4AE5228}"/>
    <cellStyle name="Style 81 4 2 4 2 2 2 2" xfId="25795" xr:uid="{350906C1-6DCC-4F74-9287-ED781785B063}"/>
    <cellStyle name="Style 81 4 2 4 2 3" xfId="4650" xr:uid="{2A7415D2-CA7B-47DF-B97B-C4666F066EF6}"/>
    <cellStyle name="Style 81 4 2 4 2 3 2" xfId="9716" xr:uid="{E0FE21EA-B1A1-40FA-BAA6-9F589A9B22BC}"/>
    <cellStyle name="Style 81 4 2 4 2 3 2 2" xfId="25796" xr:uid="{08B4CEA3-899B-44F8-8C18-B748691FABF9}"/>
    <cellStyle name="Style 81 4 2 4 2 4" xfId="9717" xr:uid="{5053F65A-C574-4985-B16C-C64621E83013}"/>
    <cellStyle name="Style 81 4 2 4 2 4 2" xfId="9718" xr:uid="{67E478F4-1100-45CD-8B09-BA334F6A9459}"/>
    <cellStyle name="Style 81 4 2 4 2 4 2 2" xfId="25797" xr:uid="{F5211253-250B-41E3-A54A-8287E07A7F7C}"/>
    <cellStyle name="Style 81 4 2 4 2 4 3" xfId="22284" xr:uid="{92154707-B07D-434B-A9B4-6414C85CA54A}"/>
    <cellStyle name="Style 81 4 2 4 2 5" xfId="9719" xr:uid="{B1F30CCD-C5C5-474C-8C2D-FED671B98067}"/>
    <cellStyle name="Style 81 4 2 4 2 5 2" xfId="25798" xr:uid="{BC08D93D-294F-4521-A7E8-3828F8899B5F}"/>
    <cellStyle name="Style 81 4 2 4 2 6" xfId="9720" xr:uid="{04885C0B-5233-4661-AD9E-5C01178B9E72}"/>
    <cellStyle name="Style 81 4 2 4 2 6 2" xfId="25799" xr:uid="{F8FD2B24-5012-44FC-98E5-763C0EDD163B}"/>
    <cellStyle name="Style 81 4 2 4 2 7" xfId="9721" xr:uid="{0F0E5057-D41A-4021-84AA-95841B33573D}"/>
    <cellStyle name="Style 81 4 2 4 2 7 2" xfId="25800" xr:uid="{4790EDCC-9C05-408A-AD35-63981AAC87D0}"/>
    <cellStyle name="Style 81 4 2 4 2 8" xfId="9722" xr:uid="{DE04D7F4-60C1-4505-B3A4-A43FB2346F31}"/>
    <cellStyle name="Style 81 4 2 4 2 8 2" xfId="25801" xr:uid="{C64C6D08-6676-44A0-B0F1-7CCACCCA8938}"/>
    <cellStyle name="Style 81 4 2 4 2 9" xfId="9723" xr:uid="{60220912-53EC-4475-A0E1-9E3F2256A6C3}"/>
    <cellStyle name="Style 81 4 2 4 2 9 2" xfId="25802" xr:uid="{46CE5528-2EEC-46D3-9643-0214E08CA4AC}"/>
    <cellStyle name="Style 81 4 2 4 3" xfId="4652" xr:uid="{27105EF4-5A36-4D3B-90FA-CB5EC386CD7A}"/>
    <cellStyle name="Style 81 4 2 4 3 2" xfId="9724" xr:uid="{FF8F761A-5A19-49FD-8E1D-4F1C7913DA04}"/>
    <cellStyle name="Style 81 4 2 4 3 2 2" xfId="25803" xr:uid="{7D4A66CE-3F7C-42A5-8688-2C232EDD12E0}"/>
    <cellStyle name="Style 81 4 2 4 4" xfId="4649" xr:uid="{AB655CA5-049E-4779-8E27-CFA75CB7EE48}"/>
    <cellStyle name="Style 81 4 2 4 4 2" xfId="9725" xr:uid="{02BFB635-6A11-4EDE-8557-EEF6EE1D785E}"/>
    <cellStyle name="Style 81 4 2 4 4 2 2" xfId="25804" xr:uid="{A9BAAAD7-7E5B-4840-A77D-E2070223E791}"/>
    <cellStyle name="Style 81 4 2 4 5" xfId="9726" xr:uid="{7330FACC-81DE-441F-9820-9D7C0F34AECD}"/>
    <cellStyle name="Style 81 4 2 4 5 2" xfId="9727" xr:uid="{D62C30C6-6C28-44D9-9472-F68E213F52E4}"/>
    <cellStyle name="Style 81 4 2 4 5 2 2" xfId="25805" xr:uid="{3909A4E1-D2BD-45CA-9B44-418024119764}"/>
    <cellStyle name="Style 81 4 2 4 5 3" xfId="22283" xr:uid="{CBEB3217-69E4-4C90-B661-E1F2B7F0FEDD}"/>
    <cellStyle name="Style 81 4 2 4 6" xfId="9728" xr:uid="{8D25F93B-B0EB-447C-BA5B-972EAF09DCCC}"/>
    <cellStyle name="Style 81 4 2 4 6 2" xfId="25806" xr:uid="{E0F305CB-77FE-4C38-85C7-E32717A444DD}"/>
    <cellStyle name="Style 81 4 2 4 7" xfId="9729" xr:uid="{AF34ABB9-5785-4468-9573-410D2E58DCD5}"/>
    <cellStyle name="Style 81 4 2 4 7 2" xfId="25807" xr:uid="{D508BA1C-0A2B-4C25-843D-F30991A603E6}"/>
    <cellStyle name="Style 81 4 2 4 8" xfId="9730" xr:uid="{29E02D51-D1C2-41CF-B6AA-1FFA9222F97C}"/>
    <cellStyle name="Style 81 4 2 4 8 2" xfId="25808" xr:uid="{74D86B71-1F08-421D-AF48-09DF03A3643A}"/>
    <cellStyle name="Style 81 4 2 4 9" xfId="9731" xr:uid="{4E4EE055-2EA4-4E77-8A38-D9640EED8863}"/>
    <cellStyle name="Style 81 4 2 4 9 2" xfId="25809" xr:uid="{515F986C-25DB-4828-8086-81933BBEF2D2}"/>
    <cellStyle name="Style 81 4 2 5" xfId="4653" xr:uid="{D5B5DFA7-20E8-4C9A-A892-95F0072363A4}"/>
    <cellStyle name="Style 81 4 2 5 2" xfId="9732" xr:uid="{80AAE7D4-EC82-4C4B-882A-3B1A5F1A3BF5}"/>
    <cellStyle name="Style 81 4 2 5 2 2" xfId="25810" xr:uid="{1C6EAFDE-2432-41A4-A1C0-49D5A92F7CE8}"/>
    <cellStyle name="Style 81 4 2 5 3" xfId="9733" xr:uid="{64C97905-1678-4284-ABAC-67B567216B10}"/>
    <cellStyle name="Style 81 4 2 5 3 2" xfId="25811" xr:uid="{95DB9329-7E34-45B6-98D6-33B9426481CF}"/>
    <cellStyle name="Style 81 4 2 5 4" xfId="9734" xr:uid="{9EB04D14-1CFE-4BB4-A3D9-44DCBBBBC401}"/>
    <cellStyle name="Style 81 4 2 5 4 2" xfId="25812" xr:uid="{833B1349-E057-461A-8A06-A445384CEC5C}"/>
    <cellStyle name="Style 81 4 2 6" xfId="4654" xr:uid="{5EC0761D-647A-4C8C-948C-20BA035B7E76}"/>
    <cellStyle name="Style 81 4 2 6 2" xfId="9735" xr:uid="{F16465D2-3550-45F3-AFD3-E294D8502AD3}"/>
    <cellStyle name="Style 81 4 2 6 2 2" xfId="25813" xr:uid="{F1A79B14-D6A3-4D3D-BC83-0FA589952760}"/>
    <cellStyle name="Style 81 4 2 7" xfId="4639" xr:uid="{C5F23DAB-CCA8-40D4-93ED-3DEC2546C3DD}"/>
    <cellStyle name="Style 81 4 2 7 2" xfId="9736" xr:uid="{47E410D8-54D1-4104-9BF8-BDA64FA1C4BE}"/>
    <cellStyle name="Style 81 4 2 7 2 2" xfId="25814" xr:uid="{46A2DC8C-98AD-4869-A88D-2EB121954ED6}"/>
    <cellStyle name="Style 81 4 2 8" xfId="9737" xr:uid="{590441F0-F1B0-4935-82A6-FF76A13945E8}"/>
    <cellStyle name="Style 81 4 2 8 2" xfId="9738" xr:uid="{9C9E47F0-560D-4D8B-891D-ADD32A413AFE}"/>
    <cellStyle name="Style 81 4 2 8 2 2" xfId="25815" xr:uid="{69530D97-4AC1-4AE4-980B-CA1A3D90FD3C}"/>
    <cellStyle name="Style 81 4 2 8 3" xfId="22279" xr:uid="{18DC8703-E2A2-4D48-910A-6CB7515D1B30}"/>
    <cellStyle name="Style 81 4 2 9" xfId="9739" xr:uid="{184CACDE-21E2-401E-834E-12B256ECE0C3}"/>
    <cellStyle name="Style 81 4 2 9 2" xfId="25816" xr:uid="{929924F6-B97F-4983-8AB7-CE107B314746}"/>
    <cellStyle name="Style 81 4 3" xfId="2126" xr:uid="{05546B64-D31A-4A67-977B-42566CF31B5E}"/>
    <cellStyle name="Style 81 4 3 10" xfId="9740" xr:uid="{27F24E4F-91DC-4221-9E8F-BEF7CF22056D}"/>
    <cellStyle name="Style 81 4 3 10 2" xfId="25817" xr:uid="{2CA6148E-F50F-44C2-B056-5724D2EA6B06}"/>
    <cellStyle name="Style 81 4 3 11" xfId="9741" xr:uid="{948B0CDE-F741-4163-A4A1-700BB361E35C}"/>
    <cellStyle name="Style 81 4 3 11 2" xfId="25818" xr:uid="{7E01C105-8A8B-4177-AB93-D2F2954E0B7C}"/>
    <cellStyle name="Style 81 4 3 12" xfId="19073" xr:uid="{CEED312B-76E6-43B0-BB49-1738767F34E5}"/>
    <cellStyle name="Style 81 4 3 2" xfId="4656" xr:uid="{E3215470-C119-46AA-A255-EB221F4657CD}"/>
    <cellStyle name="Style 81 4 3 2 2" xfId="9742" xr:uid="{F8DF3D06-175C-41A6-BD9D-4D8747215A88}"/>
    <cellStyle name="Style 81 4 3 2 2 2" xfId="25819" xr:uid="{F60F5384-5016-49D6-866F-DF65EBB47A1D}"/>
    <cellStyle name="Style 81 4 3 3" xfId="4655" xr:uid="{9AA823C5-3FBA-4FA4-AB3C-92EE3E8A0204}"/>
    <cellStyle name="Style 81 4 3 3 2" xfId="9743" xr:uid="{C2E1B0F1-4215-4369-B7FC-BEC9747BE7DD}"/>
    <cellStyle name="Style 81 4 3 3 2 2" xfId="25820" xr:uid="{E08D4C1C-2587-41D0-885C-D42D9DF9F2D5}"/>
    <cellStyle name="Style 81 4 3 4" xfId="9744" xr:uid="{DD6B32E2-EDDB-4BB2-BFE5-4EC4FF57F54D}"/>
    <cellStyle name="Style 81 4 3 4 2" xfId="9745" xr:uid="{3FA6AACF-0150-4DB9-A6DD-1F9E2FCF0597}"/>
    <cellStyle name="Style 81 4 3 4 2 2" xfId="25821" xr:uid="{38B03F9B-6D14-44F8-8060-1FC0406BA9C3}"/>
    <cellStyle name="Style 81 4 3 4 3" xfId="22285" xr:uid="{67EF70C2-53B4-4CA3-A8CA-6535BDAC9A91}"/>
    <cellStyle name="Style 81 4 3 5" xfId="9746" xr:uid="{3CFF8F6D-96D3-484B-B961-CE9CF7F69A99}"/>
    <cellStyle name="Style 81 4 3 5 2" xfId="25822" xr:uid="{36CBDE19-115E-4A0B-A364-9C02A42128D1}"/>
    <cellStyle name="Style 81 4 3 6" xfId="9747" xr:uid="{4083D110-FE65-4B58-9DFF-90B53B5E75DE}"/>
    <cellStyle name="Style 81 4 3 6 2" xfId="25823" xr:uid="{40DDE373-C1A9-42B1-A03F-7F6C816FAA43}"/>
    <cellStyle name="Style 81 4 3 7" xfId="9748" xr:uid="{95589F0B-4CB1-4892-A93E-7C44010531ED}"/>
    <cellStyle name="Style 81 4 3 7 2" xfId="25824" xr:uid="{6771FDC6-B115-467F-9C62-630967B77F3A}"/>
    <cellStyle name="Style 81 4 3 8" xfId="9749" xr:uid="{195554C6-1F5B-43AD-821E-B66BABD529EE}"/>
    <cellStyle name="Style 81 4 3 8 2" xfId="25825" xr:uid="{32F171FB-3206-4327-9C3C-5C59DEBC66F5}"/>
    <cellStyle name="Style 81 4 3 9" xfId="9750" xr:uid="{4244D9E4-19C9-4ECB-9C43-DD0827267666}"/>
    <cellStyle name="Style 81 4 3 9 2" xfId="25826" xr:uid="{D65AA970-6364-4F14-A8B6-482D6362490D}"/>
    <cellStyle name="Style 81 4 4" xfId="4657" xr:uid="{C13ED356-0FA9-43F8-8D60-5950E6628B80}"/>
    <cellStyle name="Style 81 4 4 2" xfId="4658" xr:uid="{E271DF0E-4315-4538-BDD9-38C50D67E7BB}"/>
    <cellStyle name="Style 81 4 4 2 2" xfId="9751" xr:uid="{2AC77098-C8F5-4865-8211-2030BB0B3336}"/>
    <cellStyle name="Style 81 4 4 2 2 2" xfId="25827" xr:uid="{B0643CF3-2781-4A2E-BADD-E3183F9497C2}"/>
    <cellStyle name="Style 81 4 4 3" xfId="4659" xr:uid="{D68E1E03-FE27-48F7-9333-7EEC96EA5DC1}"/>
    <cellStyle name="Style 81 4 4 3 2" xfId="9752" xr:uid="{F94DF2E7-2E4C-4753-AAAE-08216C36F0D3}"/>
    <cellStyle name="Style 81 4 4 3 2 2" xfId="25828" xr:uid="{D5F712E1-2C39-415D-891F-E701E36A4427}"/>
    <cellStyle name="Style 81 4 4 4" xfId="9753" xr:uid="{74E9042A-5399-4629-BC5B-DED143CFAD01}"/>
    <cellStyle name="Style 81 4 4 4 2" xfId="25829" xr:uid="{CC592CCF-BC5D-4896-B6B8-67B349C93564}"/>
    <cellStyle name="Style 81 4 4 5" xfId="19074" xr:uid="{9108B1AF-FD46-4767-9236-563E53AA9AEF}"/>
    <cellStyle name="Style 81 4 5" xfId="4660" xr:uid="{DDD84F24-6EBD-428A-BE8A-AE2FCE05D3B0}"/>
    <cellStyle name="Style 81 4 5 2" xfId="9754" xr:uid="{26DF9BE9-E989-46E9-B5A2-C974136DA081}"/>
    <cellStyle name="Style 81 4 5 2 2" xfId="25830" xr:uid="{07DF2524-8358-46C9-90E0-86D92ADCB696}"/>
    <cellStyle name="Style 81 4 6" xfId="4638" xr:uid="{47919DD5-028E-4FFE-9E89-5E0AFAE02FA0}"/>
    <cellStyle name="Style 81 4 6 2" xfId="9755" xr:uid="{CFF83146-3C85-4A95-8A3B-34C432F13F73}"/>
    <cellStyle name="Style 81 4 6 2 2" xfId="25831" xr:uid="{2413A3F7-F73D-445A-A083-CD2BD6C00F15}"/>
    <cellStyle name="Style 81 4 7" xfId="2963" xr:uid="{BD8CB806-7985-4F49-86A6-72641277EA85}"/>
    <cellStyle name="Style 81 4 7 2" xfId="9756" xr:uid="{27DE1BA1-4B2D-41AB-BAA5-D1593CA79023}"/>
    <cellStyle name="Style 81 4 7 2 2" xfId="25832" xr:uid="{866730C8-F414-4C97-A8EB-2A226B9B892D}"/>
    <cellStyle name="Style 81 4 7 3" xfId="21311" xr:uid="{3F99F6B5-67B0-4BA8-B668-2320E8BA3C8D}"/>
    <cellStyle name="Style 81 4 8" xfId="9757" xr:uid="{1666E14A-843D-44C4-A47E-AA050B01871F}"/>
    <cellStyle name="Style 81 4 8 2" xfId="9758" xr:uid="{31DAF9CE-4EFB-4A2D-A1F9-83C346C529C0}"/>
    <cellStyle name="Style 81 4 8 2 2" xfId="25833" xr:uid="{0B16362D-6E79-4E4F-BE6B-448D2251EA2B}"/>
    <cellStyle name="Style 81 4 8 3" xfId="22278" xr:uid="{36877F94-1111-4AA4-863D-423930FA4817}"/>
    <cellStyle name="Style 81 4 9" xfId="9759" xr:uid="{C64F8668-341F-4950-AFD4-0AA62E4FB932}"/>
    <cellStyle name="Style 81 4 9 2" xfId="25834" xr:uid="{9836FE81-A284-4EDF-B937-F3A482BA7341}"/>
    <cellStyle name="Style 81 5" xfId="2127" xr:uid="{49A0529B-320D-4D2A-B1F9-65A8430D0CB6}"/>
    <cellStyle name="Style 81 5 10" xfId="9760" xr:uid="{368E1DB8-5977-423A-8288-C954219FA33E}"/>
    <cellStyle name="Style 81 5 10 2" xfId="25835" xr:uid="{AD2CA7FA-F38C-43F8-9074-7311CB599093}"/>
    <cellStyle name="Style 81 5 11" xfId="9761" xr:uid="{F0E93F29-289A-4910-AB3E-6B3A1F2EE385}"/>
    <cellStyle name="Style 81 5 11 2" xfId="25836" xr:uid="{32FB206A-2491-4255-80DC-29CB00C62949}"/>
    <cellStyle name="Style 81 5 12" xfId="9762" xr:uid="{71863F18-A0EB-4E5E-9CC6-C748F228F1F0}"/>
    <cellStyle name="Style 81 5 12 2" xfId="25837" xr:uid="{0647BE72-0E1F-43A7-96CF-9739DA9F5807}"/>
    <cellStyle name="Style 81 5 13" xfId="9763" xr:uid="{F41490EE-833F-47A3-8CD3-E5204B6AB549}"/>
    <cellStyle name="Style 81 5 13 2" xfId="25838" xr:uid="{CBD0F969-DBE6-44A8-99A2-02A9E266D6BE}"/>
    <cellStyle name="Style 81 5 14" xfId="9764" xr:uid="{7C1B138E-7E74-4175-9F08-4FCAD181376A}"/>
    <cellStyle name="Style 81 5 14 2" xfId="25839" xr:uid="{3B9FFA8B-C65F-4F14-8967-2D05307B427A}"/>
    <cellStyle name="Style 81 5 15" xfId="19075" xr:uid="{7003327B-80CD-4C56-9C1B-1EE333664734}"/>
    <cellStyle name="Style 81 5 2" xfId="2128" xr:uid="{A0DE3F57-CCC7-48D7-AD66-3F6F5DAF574C}"/>
    <cellStyle name="Style 81 5 2 10" xfId="9765" xr:uid="{A279B299-4A23-4552-9399-CD8376ACC7C7}"/>
    <cellStyle name="Style 81 5 2 10 2" xfId="25840" xr:uid="{64CD380B-8560-4597-88F1-0D20BD9CB405}"/>
    <cellStyle name="Style 81 5 2 11" xfId="9766" xr:uid="{0B8ED660-BBE8-4EC8-B730-A43543113C67}"/>
    <cellStyle name="Style 81 5 2 11 2" xfId="25841" xr:uid="{5EA2A612-E227-4ED6-8D6E-A4CD669646D8}"/>
    <cellStyle name="Style 81 5 2 12" xfId="9767" xr:uid="{B94F7D89-459D-4370-8574-20842048F659}"/>
    <cellStyle name="Style 81 5 2 12 2" xfId="25842" xr:uid="{40943EF1-D1F9-4A2A-8106-BA6F523635FC}"/>
    <cellStyle name="Style 81 5 2 13" xfId="9768" xr:uid="{ECAE1A7F-06F3-454C-9D9C-1DAA70F839F0}"/>
    <cellStyle name="Style 81 5 2 13 2" xfId="25843" xr:uid="{8E92DF89-CAF1-435E-A6BB-F0AB5EC8587D}"/>
    <cellStyle name="Style 81 5 2 14" xfId="9769" xr:uid="{D58002D8-8248-44D3-9C56-08E74D65037C}"/>
    <cellStyle name="Style 81 5 2 14 2" xfId="25844" xr:uid="{F9FC9851-AEB8-4EB2-BD59-EAFF7CA90471}"/>
    <cellStyle name="Style 81 5 2 15" xfId="19076" xr:uid="{64A1ED09-838A-4C6A-9F27-142A65056366}"/>
    <cellStyle name="Style 81 5 2 2" xfId="2129" xr:uid="{759DF5E5-D0C0-4618-89E0-9755DCCB4DCE}"/>
    <cellStyle name="Style 81 5 2 2 10" xfId="9770" xr:uid="{85F0AD51-1DF5-478F-AA06-01F166E560A5}"/>
    <cellStyle name="Style 81 5 2 2 10 2" xfId="25845" xr:uid="{0138ED97-C659-4DA7-8831-7AA85A2274DB}"/>
    <cellStyle name="Style 81 5 2 2 11" xfId="9771" xr:uid="{B9B46238-3A4D-4443-85DC-F7CD6E1BD422}"/>
    <cellStyle name="Style 81 5 2 2 11 2" xfId="25846" xr:uid="{AAB184CA-0628-4E4C-9C32-1500288117E7}"/>
    <cellStyle name="Style 81 5 2 2 12" xfId="19077" xr:uid="{7A5792CF-A0A5-4714-9432-0D404A307568}"/>
    <cellStyle name="Style 81 5 2 2 2" xfId="4664" xr:uid="{FD5C4768-178C-40BD-8477-F10B71D7B52F}"/>
    <cellStyle name="Style 81 5 2 2 2 2" xfId="9772" xr:uid="{250313E2-9B7A-4013-AE21-90332651A19F}"/>
    <cellStyle name="Style 81 5 2 2 2 2 2" xfId="25847" xr:uid="{2281C29A-0259-4075-B4AC-803732C574E7}"/>
    <cellStyle name="Style 81 5 2 2 3" xfId="4663" xr:uid="{DAD6BC02-7CA7-4529-B747-6F4517CA6DAF}"/>
    <cellStyle name="Style 81 5 2 2 3 2" xfId="9773" xr:uid="{4D5A5553-E7A8-43A1-8750-A8F99E7C5DC8}"/>
    <cellStyle name="Style 81 5 2 2 3 2 2" xfId="25848" xr:uid="{EAE68C7A-6924-4F84-AD33-2AED0F440949}"/>
    <cellStyle name="Style 81 5 2 2 4" xfId="9774" xr:uid="{B9B80A48-EBD3-44B6-A748-C0CC93A36B14}"/>
    <cellStyle name="Style 81 5 2 2 4 2" xfId="9775" xr:uid="{4685064B-138E-4D65-9A03-72F03A53B145}"/>
    <cellStyle name="Style 81 5 2 2 4 2 2" xfId="25849" xr:uid="{187EE0D2-EEF9-4514-A978-EEA5A37356D1}"/>
    <cellStyle name="Style 81 5 2 2 4 3" xfId="22288" xr:uid="{F68E3E94-2303-4985-9733-560E7A2AEE86}"/>
    <cellStyle name="Style 81 5 2 2 5" xfId="9776" xr:uid="{2842B7FE-F963-4EC2-B190-CAAE39BE0D5D}"/>
    <cellStyle name="Style 81 5 2 2 5 2" xfId="25850" xr:uid="{D20CC522-6F7E-470A-BD6B-5CDB64AAD615}"/>
    <cellStyle name="Style 81 5 2 2 6" xfId="9777" xr:uid="{8BA7242C-80A0-47E7-BF8E-058E6A8B5B06}"/>
    <cellStyle name="Style 81 5 2 2 6 2" xfId="25851" xr:uid="{8455B7D6-EBEA-47F9-AEEF-1D20724907C9}"/>
    <cellStyle name="Style 81 5 2 2 7" xfId="9778" xr:uid="{ACAB7817-CE69-44F0-9774-75BA78207BD6}"/>
    <cellStyle name="Style 81 5 2 2 7 2" xfId="25852" xr:uid="{E692DF0B-C9BE-49F3-BB43-A3288E459911}"/>
    <cellStyle name="Style 81 5 2 2 8" xfId="9779" xr:uid="{8401853A-614B-4F54-A79E-90E7B6F72E22}"/>
    <cellStyle name="Style 81 5 2 2 8 2" xfId="25853" xr:uid="{30D752DA-9E29-40A5-87D4-35F449BAC728}"/>
    <cellStyle name="Style 81 5 2 2 9" xfId="9780" xr:uid="{87D55390-50E0-45BF-B427-E62C00FD979E}"/>
    <cellStyle name="Style 81 5 2 2 9 2" xfId="25854" xr:uid="{769EE5A0-975A-4B19-990C-03751B98CBB1}"/>
    <cellStyle name="Style 81 5 2 3" xfId="2130" xr:uid="{989709E8-B258-4BC6-91F8-470249A03096}"/>
    <cellStyle name="Style 81 5 2 3 10" xfId="9781" xr:uid="{6639716D-FCB2-43B4-A804-BFB43090D281}"/>
    <cellStyle name="Style 81 5 2 3 10 2" xfId="25855" xr:uid="{6BADC3E6-9120-4004-B700-290C573A5310}"/>
    <cellStyle name="Style 81 5 2 3 11" xfId="9782" xr:uid="{284E6DB2-5AF5-4E9F-AEC1-680BA47C447F}"/>
    <cellStyle name="Style 81 5 2 3 11 2" xfId="25856" xr:uid="{1AFF7CCC-0EEF-435A-9AA5-89C96567E3BB}"/>
    <cellStyle name="Style 81 5 2 3 12" xfId="9783" xr:uid="{968D05C9-195C-4B47-9183-BB14297C7590}"/>
    <cellStyle name="Style 81 5 2 3 12 2" xfId="25857" xr:uid="{ED3F7080-5AC1-411A-ABD6-C05729DA0D5D}"/>
    <cellStyle name="Style 81 5 2 3 13" xfId="9784" xr:uid="{58FC0D96-10A0-4D6B-AC3F-7A35DBDC30F4}"/>
    <cellStyle name="Style 81 5 2 3 13 2" xfId="25858" xr:uid="{853EF491-B12E-4B5E-A201-CF41F5CFF519}"/>
    <cellStyle name="Style 81 5 2 3 14" xfId="19078" xr:uid="{6F40FF0C-D7CD-4563-903B-A6B04C3396A0}"/>
    <cellStyle name="Style 81 5 2 3 2" xfId="2131" xr:uid="{4BA52215-7F3E-4A4A-9831-7F053304A143}"/>
    <cellStyle name="Style 81 5 2 3 2 10" xfId="9785" xr:uid="{D131554D-DF26-41EC-9431-E8CD90751848}"/>
    <cellStyle name="Style 81 5 2 3 2 10 2" xfId="25859" xr:uid="{A1EE9F4D-7734-45DB-A68E-CC18E5DA71D9}"/>
    <cellStyle name="Style 81 5 2 3 2 11" xfId="9786" xr:uid="{DDDF23F2-FEBD-4BB4-B516-447C0C646426}"/>
    <cellStyle name="Style 81 5 2 3 2 11 2" xfId="25860" xr:uid="{37909AFD-D2B4-4DCB-A300-D21DDBE07F3D}"/>
    <cellStyle name="Style 81 5 2 3 2 12" xfId="19079" xr:uid="{91668409-57B5-4AA1-BD14-23A27866B956}"/>
    <cellStyle name="Style 81 5 2 3 2 2" xfId="4667" xr:uid="{E0AF18B2-7B00-4917-A606-F7E6369CD309}"/>
    <cellStyle name="Style 81 5 2 3 2 2 2" xfId="9787" xr:uid="{1A7B9CBE-4625-4C95-9BC4-5482CEC09241}"/>
    <cellStyle name="Style 81 5 2 3 2 2 2 2" xfId="25861" xr:uid="{98DF6817-C7E1-4A68-9879-E9003191103C}"/>
    <cellStyle name="Style 81 5 2 3 2 3" xfId="4666" xr:uid="{53E17AF4-24CC-416C-A6DE-299D70E4BB11}"/>
    <cellStyle name="Style 81 5 2 3 2 3 2" xfId="9788" xr:uid="{B615BD2F-C21A-42A2-AC35-E2EBFF07198A}"/>
    <cellStyle name="Style 81 5 2 3 2 3 2 2" xfId="25862" xr:uid="{0AB9F01F-35B4-4E55-835C-CA009C93AF85}"/>
    <cellStyle name="Style 81 5 2 3 2 4" xfId="9789" xr:uid="{4E2F2EF7-E875-40E3-9513-DC13DCB80560}"/>
    <cellStyle name="Style 81 5 2 3 2 4 2" xfId="9790" xr:uid="{3D4C3E70-FDDD-4CA1-BDC4-1CCA3F9B761F}"/>
    <cellStyle name="Style 81 5 2 3 2 4 2 2" xfId="25863" xr:uid="{D1C2201C-7DDB-47BE-AE32-BE9D06797BFD}"/>
    <cellStyle name="Style 81 5 2 3 2 4 3" xfId="22290" xr:uid="{6C012D06-0909-4413-B1A6-371B1CF8479F}"/>
    <cellStyle name="Style 81 5 2 3 2 5" xfId="9791" xr:uid="{9C296AAB-14E6-46E1-9A15-B43AE982FEC9}"/>
    <cellStyle name="Style 81 5 2 3 2 5 2" xfId="25864" xr:uid="{10201EE6-572A-40F5-AFC5-6D802E682DFF}"/>
    <cellStyle name="Style 81 5 2 3 2 6" xfId="9792" xr:uid="{B3BA4825-348E-460B-A167-8819E57EDC9C}"/>
    <cellStyle name="Style 81 5 2 3 2 6 2" xfId="25865" xr:uid="{E07C861B-3587-496F-B633-8189FB584E80}"/>
    <cellStyle name="Style 81 5 2 3 2 7" xfId="9793" xr:uid="{F4002E8A-FD15-4403-A762-C639A1743C67}"/>
    <cellStyle name="Style 81 5 2 3 2 7 2" xfId="25866" xr:uid="{A9800D48-AAEB-4FE9-B528-A05A0806F191}"/>
    <cellStyle name="Style 81 5 2 3 2 8" xfId="9794" xr:uid="{C6A152C7-F1DD-48CD-AED4-C27218D172FF}"/>
    <cellStyle name="Style 81 5 2 3 2 8 2" xfId="25867" xr:uid="{2381D793-BCD5-40B8-9BBD-5522F44F9972}"/>
    <cellStyle name="Style 81 5 2 3 2 9" xfId="9795" xr:uid="{EEF16BC9-85E6-4935-8270-E42204861FEF}"/>
    <cellStyle name="Style 81 5 2 3 2 9 2" xfId="25868" xr:uid="{E8486B65-79ED-489D-BB3B-BB699C6DC986}"/>
    <cellStyle name="Style 81 5 2 3 3" xfId="4668" xr:uid="{B227CC75-6D5E-4284-BE55-2A3AE4FF2146}"/>
    <cellStyle name="Style 81 5 2 3 3 2" xfId="4669" xr:uid="{E55851BB-90AF-4D75-A737-36FDB47DB414}"/>
    <cellStyle name="Style 81 5 2 3 3 2 2" xfId="9796" xr:uid="{F815211A-842A-48E6-BC86-C88F70F74777}"/>
    <cellStyle name="Style 81 5 2 3 3 2 2 2" xfId="25869" xr:uid="{D366BE26-EE47-4517-8F61-303A2AB8128D}"/>
    <cellStyle name="Style 81 5 2 3 3 3" xfId="9797" xr:uid="{A7DADD3D-7950-4093-92EB-09F42DCBE2E9}"/>
    <cellStyle name="Style 81 5 2 3 3 3 2" xfId="25870" xr:uid="{8A9E2B5B-9598-4F86-BC29-EA4BCA329DBA}"/>
    <cellStyle name="Style 81 5 2 3 3 4" xfId="9798" xr:uid="{9B074960-1C85-4008-8AA8-48A83043A3FD}"/>
    <cellStyle name="Style 81 5 2 3 3 4 2" xfId="25871" xr:uid="{81FEA463-38AC-45AE-B549-14A60EDF1BC3}"/>
    <cellStyle name="Style 81 5 2 3 3 5" xfId="19080" xr:uid="{9932FB0B-969A-45F3-88E8-EF3474D1A51D}"/>
    <cellStyle name="Style 81 5 2 3 4" xfId="4670" xr:uid="{ADDF4B68-7FCF-4636-8F96-2923197996E6}"/>
    <cellStyle name="Style 81 5 2 3 4 2" xfId="9799" xr:uid="{43B8204D-30B0-47EE-AD76-BCA3999A0C72}"/>
    <cellStyle name="Style 81 5 2 3 4 2 2" xfId="25872" xr:uid="{653A6E6D-CE57-4C8B-A0F5-429BC80FC6AA}"/>
    <cellStyle name="Style 81 5 2 3 5" xfId="4671" xr:uid="{C9BC289A-67ED-4598-92FF-0C784560E4E7}"/>
    <cellStyle name="Style 81 5 2 3 5 2" xfId="9800" xr:uid="{CADD0F3B-7AEB-4669-ABDC-172048772C51}"/>
    <cellStyle name="Style 81 5 2 3 5 2 2" xfId="25873" xr:uid="{2959E9DE-4057-401A-8A6C-DCBCF8DF21DC}"/>
    <cellStyle name="Style 81 5 2 3 6" xfId="4665" xr:uid="{72650051-82F8-4326-9F95-8083AB48DD9A}"/>
    <cellStyle name="Style 81 5 2 3 6 2" xfId="9801" xr:uid="{C7424028-5627-4751-9820-56ED3DA61A84}"/>
    <cellStyle name="Style 81 5 2 3 6 2 2" xfId="25874" xr:uid="{4196F4BB-954E-4D32-8502-D818252656D4}"/>
    <cellStyle name="Style 81 5 2 3 7" xfId="9802" xr:uid="{83AE5FD7-2023-448C-956D-7E55C15B01EC}"/>
    <cellStyle name="Style 81 5 2 3 7 2" xfId="9803" xr:uid="{076B0B80-4FAA-47F8-BBB1-C4A1B23D78B8}"/>
    <cellStyle name="Style 81 5 2 3 7 2 2" xfId="25875" xr:uid="{C1319664-D0F0-420A-9D23-B1F08F225401}"/>
    <cellStyle name="Style 81 5 2 3 7 3" xfId="22289" xr:uid="{81A78BAB-4B84-49FA-AA28-47EC1D970B2E}"/>
    <cellStyle name="Style 81 5 2 3 8" xfId="9804" xr:uid="{BFBD03AF-F4D2-44A4-816A-6537E85A8EB8}"/>
    <cellStyle name="Style 81 5 2 3 8 2" xfId="25876" xr:uid="{E8891E31-C8E5-4E2F-9A06-CA0E2CA60AC1}"/>
    <cellStyle name="Style 81 5 2 3 9" xfId="9805" xr:uid="{43F6A3A4-ABBC-4DC1-B328-F951947EE5AF}"/>
    <cellStyle name="Style 81 5 2 3 9 2" xfId="25877" xr:uid="{0FD882DF-1C1D-400D-8B82-ED69356D0EAE}"/>
    <cellStyle name="Style 81 5 2 4" xfId="2132" xr:uid="{135D501A-A102-456F-BE7D-8F2CCC588663}"/>
    <cellStyle name="Style 81 5 2 4 10" xfId="9806" xr:uid="{DD2BA113-9043-4816-A07E-A5B6BAB0116D}"/>
    <cellStyle name="Style 81 5 2 4 10 2" xfId="25878" xr:uid="{76FD29F9-AFB1-4F6E-9418-14128462795A}"/>
    <cellStyle name="Style 81 5 2 4 11" xfId="9807" xr:uid="{7461AB3E-16A0-4E1D-976B-6A816518448E}"/>
    <cellStyle name="Style 81 5 2 4 11 2" xfId="25879" xr:uid="{BC1576F2-980E-4DB2-A2C9-3C9AD8649715}"/>
    <cellStyle name="Style 81 5 2 4 12" xfId="9808" xr:uid="{C1291A4C-92F5-4CA2-886D-93D389367414}"/>
    <cellStyle name="Style 81 5 2 4 12 2" xfId="25880" xr:uid="{2514C123-2205-4A9F-9983-3045A34983B7}"/>
    <cellStyle name="Style 81 5 2 4 13" xfId="19081" xr:uid="{D9AB21AD-5D92-4E84-9DA6-79C7270DEE68}"/>
    <cellStyle name="Style 81 5 2 4 2" xfId="2133" xr:uid="{AC909EFA-4899-4DC9-9A38-719E6976D898}"/>
    <cellStyle name="Style 81 5 2 4 2 10" xfId="9809" xr:uid="{665299FF-83DE-4E44-8C2A-E5EB1B9AF8FB}"/>
    <cellStyle name="Style 81 5 2 4 2 10 2" xfId="25881" xr:uid="{AA64CB61-54BB-4D2A-A1DB-DEBCAC5037B3}"/>
    <cellStyle name="Style 81 5 2 4 2 11" xfId="9810" xr:uid="{04234AE1-78F7-4337-AC64-856DEC9A2A55}"/>
    <cellStyle name="Style 81 5 2 4 2 11 2" xfId="25882" xr:uid="{A8D834B5-5A85-415A-BF7A-93E7A8B44AAC}"/>
    <cellStyle name="Style 81 5 2 4 2 12" xfId="19082" xr:uid="{F112BE42-9E47-43C9-B371-6800486846FD}"/>
    <cellStyle name="Style 81 5 2 4 2 2" xfId="4674" xr:uid="{B092BA14-A5B4-49E3-B567-C0C366695641}"/>
    <cellStyle name="Style 81 5 2 4 2 2 2" xfId="9811" xr:uid="{76741475-17D6-404F-8939-7A9E96472C15}"/>
    <cellStyle name="Style 81 5 2 4 2 2 2 2" xfId="25883" xr:uid="{FD047668-7C8F-4EF2-8269-8BCE5AAA3E2B}"/>
    <cellStyle name="Style 81 5 2 4 2 3" xfId="4673" xr:uid="{69831100-159B-420F-A781-C586C3F1F416}"/>
    <cellStyle name="Style 81 5 2 4 2 3 2" xfId="9812" xr:uid="{61F22E3B-76D6-4683-AEDD-69B578C8BA7A}"/>
    <cellStyle name="Style 81 5 2 4 2 3 2 2" xfId="25884" xr:uid="{6F696823-521C-4329-A18B-63532191A464}"/>
    <cellStyle name="Style 81 5 2 4 2 4" xfId="9813" xr:uid="{31EDE8D0-C56C-4817-9399-065138D96E66}"/>
    <cellStyle name="Style 81 5 2 4 2 4 2" xfId="9814" xr:uid="{80A5FB3B-1EE4-4A36-9FEF-CB65AA2FC0B4}"/>
    <cellStyle name="Style 81 5 2 4 2 4 2 2" xfId="25885" xr:uid="{2449B818-C3FE-45FD-AE8C-CC24CAC0CADF}"/>
    <cellStyle name="Style 81 5 2 4 2 4 3" xfId="22292" xr:uid="{72C8B894-8BB2-4732-AC2D-A8DA520E9508}"/>
    <cellStyle name="Style 81 5 2 4 2 5" xfId="9815" xr:uid="{18FC0883-DDA4-4DDF-AA4F-104999F24177}"/>
    <cellStyle name="Style 81 5 2 4 2 5 2" xfId="25886" xr:uid="{C657EB9A-74D7-4232-B27F-EBC8E5EC003D}"/>
    <cellStyle name="Style 81 5 2 4 2 6" xfId="9816" xr:uid="{DC1DC157-BAC6-47B0-A7AA-5A6415A2E82A}"/>
    <cellStyle name="Style 81 5 2 4 2 6 2" xfId="25887" xr:uid="{F31E9646-0D59-45A5-845D-1825CD9475C1}"/>
    <cellStyle name="Style 81 5 2 4 2 7" xfId="9817" xr:uid="{B5AFA345-F3D7-4184-B395-434F21572699}"/>
    <cellStyle name="Style 81 5 2 4 2 7 2" xfId="25888" xr:uid="{A4E647D1-1305-40C9-B032-B4513DBFA04F}"/>
    <cellStyle name="Style 81 5 2 4 2 8" xfId="9818" xr:uid="{AAF7190F-E8D1-418C-8DC6-054B3B05AD45}"/>
    <cellStyle name="Style 81 5 2 4 2 8 2" xfId="25889" xr:uid="{559547E9-A3ED-43C6-AB4B-BE80041B2B45}"/>
    <cellStyle name="Style 81 5 2 4 2 9" xfId="9819" xr:uid="{5B2EC1C1-A8F2-40D9-9B3E-EA9A15DB2E92}"/>
    <cellStyle name="Style 81 5 2 4 2 9 2" xfId="25890" xr:uid="{0D9C692E-6299-4E5E-B98E-38F6ABA19187}"/>
    <cellStyle name="Style 81 5 2 4 3" xfId="4675" xr:uid="{E7CEE4BD-4B0C-4B97-9F55-15877829E615}"/>
    <cellStyle name="Style 81 5 2 4 3 2" xfId="9820" xr:uid="{869B3575-1F29-498A-AE3B-515CA2718B00}"/>
    <cellStyle name="Style 81 5 2 4 3 2 2" xfId="25891" xr:uid="{B571B6BF-B36E-4696-BC3E-2780EEAF9741}"/>
    <cellStyle name="Style 81 5 2 4 4" xfId="4672" xr:uid="{A29E348A-045A-455F-A5B9-9A05CC254DA6}"/>
    <cellStyle name="Style 81 5 2 4 4 2" xfId="9821" xr:uid="{56D34901-8FFF-487C-841C-F41607C9A71B}"/>
    <cellStyle name="Style 81 5 2 4 4 2 2" xfId="25892" xr:uid="{6A9B3D75-5467-4E8C-832B-489988329CC6}"/>
    <cellStyle name="Style 81 5 2 4 5" xfId="9822" xr:uid="{9C6E8D1E-E5C8-4D93-930C-B8B9F8550BEF}"/>
    <cellStyle name="Style 81 5 2 4 5 2" xfId="9823" xr:uid="{A6124372-35AB-4748-A82A-3252FEAE15D2}"/>
    <cellStyle name="Style 81 5 2 4 5 2 2" xfId="25893" xr:uid="{1BE76A7F-0FF3-4A60-B3FC-0081382B71D0}"/>
    <cellStyle name="Style 81 5 2 4 5 3" xfId="22291" xr:uid="{9A8FE04D-3B39-4750-BE1D-33FC13996864}"/>
    <cellStyle name="Style 81 5 2 4 6" xfId="9824" xr:uid="{10248EE0-2574-46BB-B3A5-9EAC3CC9E64B}"/>
    <cellStyle name="Style 81 5 2 4 6 2" xfId="25894" xr:uid="{D186008F-0043-4177-98EB-DBFA62CC3FA3}"/>
    <cellStyle name="Style 81 5 2 4 7" xfId="9825" xr:uid="{D062C472-2F64-40E0-A409-E350CC5F5E5E}"/>
    <cellStyle name="Style 81 5 2 4 7 2" xfId="25895" xr:uid="{1577B843-CCA2-43A5-A03B-2F35DF129B58}"/>
    <cellStyle name="Style 81 5 2 4 8" xfId="9826" xr:uid="{6D99A18B-4A0C-479E-B4B9-0DA5439E7F5B}"/>
    <cellStyle name="Style 81 5 2 4 8 2" xfId="25896" xr:uid="{3E0D89FC-629E-4EA1-9FB7-B079401A6849}"/>
    <cellStyle name="Style 81 5 2 4 9" xfId="9827" xr:uid="{3FEBB0E1-689E-4AF2-AB07-DA82A0B66E2B}"/>
    <cellStyle name="Style 81 5 2 4 9 2" xfId="25897" xr:uid="{A9E1480E-9A9C-4B74-AD1A-6CC2840599F9}"/>
    <cellStyle name="Style 81 5 2 5" xfId="4676" xr:uid="{F74E716C-6EC2-4BA7-A36E-8307071239E7}"/>
    <cellStyle name="Style 81 5 2 5 2" xfId="9828" xr:uid="{716AB4DA-1C81-4C9B-BF6C-479F643FEC32}"/>
    <cellStyle name="Style 81 5 2 5 2 2" xfId="25898" xr:uid="{84629C43-47D0-414F-B415-FB4EDAB32142}"/>
    <cellStyle name="Style 81 5 2 6" xfId="4677" xr:uid="{D1773560-EDD5-49C8-806E-F77966DA587B}"/>
    <cellStyle name="Style 81 5 2 6 2" xfId="9829" xr:uid="{AEB05563-938B-4190-9F67-7DD3C03AAF7F}"/>
    <cellStyle name="Style 81 5 2 6 2 2" xfId="25899" xr:uid="{8EC983DF-F94F-478B-B56E-5058AA069562}"/>
    <cellStyle name="Style 81 5 2 7" xfId="4662" xr:uid="{803F6BC3-4950-4344-824B-D987407AF273}"/>
    <cellStyle name="Style 81 5 2 7 2" xfId="9830" xr:uid="{2292FA61-4002-4835-AA19-7D500F03BA04}"/>
    <cellStyle name="Style 81 5 2 7 2 2" xfId="25900" xr:uid="{DD3CD04F-3764-416E-A439-5FE6909997CD}"/>
    <cellStyle name="Style 81 5 2 8" xfId="9831" xr:uid="{50F064B5-E10A-4377-BCA8-663027B05DAA}"/>
    <cellStyle name="Style 81 5 2 8 2" xfId="9832" xr:uid="{1512B8B9-81B7-49B3-A671-CDE8D50B9F86}"/>
    <cellStyle name="Style 81 5 2 8 2 2" xfId="25901" xr:uid="{52FF8A68-0A94-47C0-B881-7CFA79059797}"/>
    <cellStyle name="Style 81 5 2 8 3" xfId="22287" xr:uid="{97051CAE-6663-4BF3-AEBB-F0FA223D5284}"/>
    <cellStyle name="Style 81 5 2 9" xfId="9833" xr:uid="{14DF5087-6B89-4EB0-895A-ABD5F30B58BD}"/>
    <cellStyle name="Style 81 5 2 9 2" xfId="25902" xr:uid="{391B3C17-5343-4783-9AC7-D17D5FC33383}"/>
    <cellStyle name="Style 81 5 3" xfId="2134" xr:uid="{9F969400-8EAD-49EB-932F-7CE6DA3D2D3D}"/>
    <cellStyle name="Style 81 5 3 10" xfId="9834" xr:uid="{97CC58ED-366C-4E97-93AA-128150A5A4BF}"/>
    <cellStyle name="Style 81 5 3 10 2" xfId="25903" xr:uid="{23FD7A91-CEF0-45B0-89F8-897021B196C1}"/>
    <cellStyle name="Style 81 5 3 11" xfId="9835" xr:uid="{9BFCD9C9-3843-44D1-8976-20E02D847E1D}"/>
    <cellStyle name="Style 81 5 3 11 2" xfId="25904" xr:uid="{22B6C851-F6A7-4242-830F-0AF1453EE672}"/>
    <cellStyle name="Style 81 5 3 12" xfId="19083" xr:uid="{F6F6A0DA-76DA-4F28-921D-D2C7AC7978FE}"/>
    <cellStyle name="Style 81 5 3 2" xfId="4679" xr:uid="{A43AA08C-1A1D-48E8-A275-48A031A136A2}"/>
    <cellStyle name="Style 81 5 3 2 2" xfId="9836" xr:uid="{EB90B6CE-DBC9-4089-A0A1-CC6963B2C98D}"/>
    <cellStyle name="Style 81 5 3 2 2 2" xfId="25905" xr:uid="{959C3EC8-35BD-41B6-82BD-368B3AFBDACC}"/>
    <cellStyle name="Style 81 5 3 3" xfId="4678" xr:uid="{3480CFCA-C697-45B9-93AB-8247397C0045}"/>
    <cellStyle name="Style 81 5 3 3 2" xfId="9837" xr:uid="{BB8A6FB7-E2DE-4F63-89C8-D099CD719FD8}"/>
    <cellStyle name="Style 81 5 3 3 2 2" xfId="25906" xr:uid="{108D942E-CB3D-4ED6-B4A8-9A6DC618D2DC}"/>
    <cellStyle name="Style 81 5 3 4" xfId="9838" xr:uid="{EED7430C-BF87-4086-94FA-6A3A4F7F8F60}"/>
    <cellStyle name="Style 81 5 3 4 2" xfId="9839" xr:uid="{0FAA5782-B023-4779-B9E3-F46ED16FA27B}"/>
    <cellStyle name="Style 81 5 3 4 2 2" xfId="25907" xr:uid="{81F304F5-CCC9-4B9F-BF08-AA7AF6ECA798}"/>
    <cellStyle name="Style 81 5 3 4 3" xfId="22293" xr:uid="{102F5A19-27A8-447D-8137-8AE68087F712}"/>
    <cellStyle name="Style 81 5 3 5" xfId="9840" xr:uid="{EF02F7B0-B8C3-48A6-95EC-96FDCE29223E}"/>
    <cellStyle name="Style 81 5 3 5 2" xfId="25908" xr:uid="{16615BD0-BAAC-41A1-AE57-AC26BD3AC0A5}"/>
    <cellStyle name="Style 81 5 3 6" xfId="9841" xr:uid="{6FDA5117-5C38-4E83-B274-69D4B36CE56F}"/>
    <cellStyle name="Style 81 5 3 6 2" xfId="25909" xr:uid="{12A8279E-6C95-41F3-9740-8ACF9F5EE38C}"/>
    <cellStyle name="Style 81 5 3 7" xfId="9842" xr:uid="{84913AB7-EDE2-45A8-9C41-2FF4C5EFC3AA}"/>
    <cellStyle name="Style 81 5 3 7 2" xfId="25910" xr:uid="{F28D55F7-6FD0-47FF-A83D-2F2659542A59}"/>
    <cellStyle name="Style 81 5 3 8" xfId="9843" xr:uid="{9B6F00EC-3623-4173-AECD-C9448B4E4F36}"/>
    <cellStyle name="Style 81 5 3 8 2" xfId="25911" xr:uid="{66D852F2-1F36-4065-B26E-2D2454648182}"/>
    <cellStyle name="Style 81 5 3 9" xfId="9844" xr:uid="{FD39B322-3026-4CFC-AA77-928E4C8A83E5}"/>
    <cellStyle name="Style 81 5 3 9 2" xfId="25912" xr:uid="{AAA6A987-45A8-4294-AF34-F959CC272818}"/>
    <cellStyle name="Style 81 5 4" xfId="4680" xr:uid="{2795C654-4977-4505-AC94-1FD9EE195D59}"/>
    <cellStyle name="Style 81 5 4 2" xfId="4681" xr:uid="{D718D977-5AAD-49EB-8A09-5ACA023B5B7B}"/>
    <cellStyle name="Style 81 5 4 2 2" xfId="9845" xr:uid="{1A050714-0F45-40A2-BBE0-B347B17097D5}"/>
    <cellStyle name="Style 81 5 4 2 2 2" xfId="25913" xr:uid="{179489B0-0C43-49B7-93BE-45ED5863C73F}"/>
    <cellStyle name="Style 81 5 4 3" xfId="4682" xr:uid="{9E07ABEA-8108-4B67-B99A-126E45536505}"/>
    <cellStyle name="Style 81 5 4 3 2" xfId="9846" xr:uid="{93AD51E6-B785-4256-8BA8-12BD0060367F}"/>
    <cellStyle name="Style 81 5 4 3 2 2" xfId="25914" xr:uid="{4C5DEE15-DD1B-47D0-A900-82E3DCEC9AB5}"/>
    <cellStyle name="Style 81 5 4 4" xfId="9847" xr:uid="{149CDCDE-9AB1-407D-980B-177E7A747DA3}"/>
    <cellStyle name="Style 81 5 4 4 2" xfId="25915" xr:uid="{C79C2C43-A303-451E-8906-BAC799FC218D}"/>
    <cellStyle name="Style 81 5 4 5" xfId="19084" xr:uid="{C2559F1C-6935-4DDF-9DA3-F307B1D91D39}"/>
    <cellStyle name="Style 81 5 5" xfId="4683" xr:uid="{4721D075-B125-4A8C-93C4-6A4E4B42AB6D}"/>
    <cellStyle name="Style 81 5 5 2" xfId="9848" xr:uid="{BEA9BC36-3C5D-4FDA-9202-F507C9588984}"/>
    <cellStyle name="Style 81 5 5 2 2" xfId="25916" xr:uid="{11A09081-0606-4C79-AE8F-D7B2015C90AC}"/>
    <cellStyle name="Style 81 5 6" xfId="4661" xr:uid="{61FABC16-64F3-4AD4-97CA-08BCC2661529}"/>
    <cellStyle name="Style 81 5 6 2" xfId="9849" xr:uid="{3348EED8-B0C8-4969-82DF-AD8E4250BF9E}"/>
    <cellStyle name="Style 81 5 6 2 2" xfId="25917" xr:uid="{6CFFF75F-A14E-4E38-A541-DA9D4E820C25}"/>
    <cellStyle name="Style 81 5 7" xfId="2964" xr:uid="{33E983DB-9759-4D90-96CF-8C438D4A6177}"/>
    <cellStyle name="Style 81 5 7 2" xfId="9850" xr:uid="{DD5A01C3-B8E5-46FE-8580-8B8FAFF329DD}"/>
    <cellStyle name="Style 81 5 7 2 2" xfId="25918" xr:uid="{90C43E15-B868-4FFF-8A51-29CBEBD9984E}"/>
    <cellStyle name="Style 81 5 7 3" xfId="21312" xr:uid="{0A4D8CE6-8632-47A1-A6C7-E144995A8C57}"/>
    <cellStyle name="Style 81 5 8" xfId="9851" xr:uid="{7A27D04E-B7BB-461C-858B-C5D7B11BACBA}"/>
    <cellStyle name="Style 81 5 8 2" xfId="9852" xr:uid="{7A61E19E-F93F-484F-A2CB-FB0904FEA5F1}"/>
    <cellStyle name="Style 81 5 8 2 2" xfId="25919" xr:uid="{235E3C31-8413-445C-87E6-473FFF3E8D14}"/>
    <cellStyle name="Style 81 5 8 3" xfId="22286" xr:uid="{00FAA3EE-0854-4C4D-A783-07534A6ADA39}"/>
    <cellStyle name="Style 81 5 9" xfId="9853" xr:uid="{391D92B5-C007-436B-9201-5484AA35F6C5}"/>
    <cellStyle name="Style 81 5 9 2" xfId="25920" xr:uid="{12A0303D-E774-4521-8545-A7B26AA2212D}"/>
    <cellStyle name="Style 81 6" xfId="2135" xr:uid="{1552C3A4-C7EC-4EAD-95D2-61C71E388C9D}"/>
    <cellStyle name="Style 81 6 10" xfId="9854" xr:uid="{2BC37C02-F78C-4E70-AB71-18AB3C5888DC}"/>
    <cellStyle name="Style 81 6 10 2" xfId="25921" xr:uid="{3BDBBE43-D5F2-41C9-8A8E-DEA44E6A8810}"/>
    <cellStyle name="Style 81 6 11" xfId="9855" xr:uid="{D58F41AC-A056-4DE6-90B5-33C22B80618E}"/>
    <cellStyle name="Style 81 6 11 2" xfId="25922" xr:uid="{3D888963-E514-4302-AA1E-1F63FA518FA6}"/>
    <cellStyle name="Style 81 6 12" xfId="9856" xr:uid="{A0BA259F-E6B9-47C1-A43F-ACCA37BE7BA3}"/>
    <cellStyle name="Style 81 6 12 2" xfId="25923" xr:uid="{341CA468-7D36-4DAD-9967-C7FC2256B936}"/>
    <cellStyle name="Style 81 6 13" xfId="9857" xr:uid="{BFCE4D68-9075-4A2C-B767-2AEACE1BC5EA}"/>
    <cellStyle name="Style 81 6 13 2" xfId="25924" xr:uid="{D7994298-F3CC-4954-9C94-CFA1E469C525}"/>
    <cellStyle name="Style 81 6 14" xfId="9858" xr:uid="{744D104C-B584-409D-AD21-86C75A7D24BD}"/>
    <cellStyle name="Style 81 6 14 2" xfId="25925" xr:uid="{A2362C2C-5229-4237-9DDD-8B56A3FC1377}"/>
    <cellStyle name="Style 81 6 15" xfId="9859" xr:uid="{A7F9A358-7F5C-4B8E-AAE3-2B42CBDDF2AC}"/>
    <cellStyle name="Style 81 6 15 2" xfId="25926" xr:uid="{1894C937-86F9-45E7-9206-F64B94308685}"/>
    <cellStyle name="Style 81 6 16" xfId="9860" xr:uid="{5AC86E94-C549-446E-B151-28627E90C9B0}"/>
    <cellStyle name="Style 81 6 16 2" xfId="25927" xr:uid="{6693D400-5613-4647-A822-6D099A618BDE}"/>
    <cellStyle name="Style 81 6 17" xfId="19085" xr:uid="{FEDF6EE8-3ACE-4301-AA35-5E074A60BB38}"/>
    <cellStyle name="Style 81 6 2" xfId="2136" xr:uid="{E11832B8-EAE3-45FA-BE17-454315717441}"/>
    <cellStyle name="Style 81 6 2 10" xfId="9861" xr:uid="{07403FC8-7088-448A-BEB4-420226FF3F71}"/>
    <cellStyle name="Style 81 6 2 10 2" xfId="25928" xr:uid="{4C7C34DE-E09B-4683-A2A0-76E01C15A100}"/>
    <cellStyle name="Style 81 6 2 11" xfId="9862" xr:uid="{D3160E55-8F76-4458-9301-7028FA6A309B}"/>
    <cellStyle name="Style 81 6 2 11 2" xfId="25929" xr:uid="{C21C1E0F-670F-4C7B-B866-AD925A048F3F}"/>
    <cellStyle name="Style 81 6 2 12" xfId="9863" xr:uid="{6C446457-4FCE-477C-BE10-0143B01ED178}"/>
    <cellStyle name="Style 81 6 2 12 2" xfId="25930" xr:uid="{EF9E7DB5-F8C3-42F1-9A70-9E996F907CE4}"/>
    <cellStyle name="Style 81 6 2 13" xfId="19086" xr:uid="{E486A62C-F0D7-4073-8FF4-BE83E2EF2526}"/>
    <cellStyle name="Style 81 6 2 2" xfId="4686" xr:uid="{92289B92-58FC-4506-BCA5-6D041BE4423B}"/>
    <cellStyle name="Style 81 6 2 2 2" xfId="9864" xr:uid="{C0BCFDB2-3048-4669-A498-29C1658E6301}"/>
    <cellStyle name="Style 81 6 2 2 2 2" xfId="25931" xr:uid="{F5120C22-F9E7-4CA2-9DB9-5FC7DED1CF86}"/>
    <cellStyle name="Style 81 6 2 3" xfId="4685" xr:uid="{5D454895-3CF7-4EE0-9A5F-E975A2CD4E03}"/>
    <cellStyle name="Style 81 6 2 3 2" xfId="9865" xr:uid="{8965A54B-E37F-41BD-8FC2-2CAE36D52EE7}"/>
    <cellStyle name="Style 81 6 2 3 2 2" xfId="25932" xr:uid="{D13D2131-0636-4A58-A340-C6B031C91273}"/>
    <cellStyle name="Style 81 6 2 4" xfId="9866" xr:uid="{24FE3810-23BC-481F-AC3A-4AE3FE513A50}"/>
    <cellStyle name="Style 81 6 2 4 2" xfId="9867" xr:uid="{8292A933-1F35-4ED0-890D-67C468C5F767}"/>
    <cellStyle name="Style 81 6 2 4 2 2" xfId="25933" xr:uid="{C52545BA-0650-48A0-8364-BFD732BD78E7}"/>
    <cellStyle name="Style 81 6 2 4 3" xfId="22295" xr:uid="{7A5F3391-DF33-4CA6-8224-5B25D4F720D4}"/>
    <cellStyle name="Style 81 6 2 5" xfId="9868" xr:uid="{9C55FA30-21DE-4C76-ABE8-525D2821545E}"/>
    <cellStyle name="Style 81 6 2 5 2" xfId="25934" xr:uid="{EAE4157C-40EF-442F-97B8-ABD4ABB96895}"/>
    <cellStyle name="Style 81 6 2 6" xfId="9869" xr:uid="{6B1B02C5-8A69-4A3D-A61F-EFF1A2506F2E}"/>
    <cellStyle name="Style 81 6 2 6 2" xfId="25935" xr:uid="{3F388883-5823-4114-AAF6-BECD1C951F12}"/>
    <cellStyle name="Style 81 6 2 7" xfId="9870" xr:uid="{69C5EBBA-B069-456B-8359-6E6F34655F65}"/>
    <cellStyle name="Style 81 6 2 7 2" xfId="25936" xr:uid="{C335E8CA-56E1-4ED7-9F07-AC4113921EC4}"/>
    <cellStyle name="Style 81 6 2 8" xfId="9871" xr:uid="{12062D65-A15A-4DA9-9599-9F834AA10D1E}"/>
    <cellStyle name="Style 81 6 2 8 2" xfId="25937" xr:uid="{AEEB5D31-31DB-4F95-9AFD-7D7F996343C7}"/>
    <cellStyle name="Style 81 6 2 9" xfId="9872" xr:uid="{847F6861-D58C-4080-B584-FE9A3B84D656}"/>
    <cellStyle name="Style 81 6 2 9 2" xfId="25938" xr:uid="{9CDA896B-D052-46F6-B24A-9A13F2DF9B61}"/>
    <cellStyle name="Style 81 6 3" xfId="2137" xr:uid="{0719B096-2661-4A96-B691-2FE4DEC6605F}"/>
    <cellStyle name="Style 81 6 3 10" xfId="9873" xr:uid="{1936DB9D-0CA5-4EC8-AC51-71F327C4F1D8}"/>
    <cellStyle name="Style 81 6 3 10 2" xfId="25939" xr:uid="{673267AC-9AF5-4924-827C-5232B20FB33D}"/>
    <cellStyle name="Style 81 6 3 11" xfId="9874" xr:uid="{B923D3B6-DC7B-4D36-9D64-E540D97601BC}"/>
    <cellStyle name="Style 81 6 3 11 2" xfId="25940" xr:uid="{FA244584-911B-4449-AD09-A3F6EC633AC3}"/>
    <cellStyle name="Style 81 6 3 12" xfId="9875" xr:uid="{4F664FD9-47E2-4D39-8AD5-F9825D304074}"/>
    <cellStyle name="Style 81 6 3 12 2" xfId="25941" xr:uid="{44206947-EC8C-4394-AFE9-142D0B58719E}"/>
    <cellStyle name="Style 81 6 3 13" xfId="9876" xr:uid="{44159099-828E-4075-B2FE-71F978A8403F}"/>
    <cellStyle name="Style 81 6 3 13 2" xfId="25942" xr:uid="{15A8D4B8-409F-4C08-B353-5724B2730FA0}"/>
    <cellStyle name="Style 81 6 3 14" xfId="9877" xr:uid="{507B8AC7-05FA-4D9C-9B30-CDC961055A4A}"/>
    <cellStyle name="Style 81 6 3 14 2" xfId="25943" xr:uid="{110F7502-8B74-4F69-8841-79CB48F02F7A}"/>
    <cellStyle name="Style 81 6 3 15" xfId="19087" xr:uid="{291DE5B5-FCC2-4574-9820-6A4BD430979B}"/>
    <cellStyle name="Style 81 6 3 2" xfId="2138" xr:uid="{22C78018-A4DD-4ECF-B374-E28157C1D706}"/>
    <cellStyle name="Style 81 6 3 2 10" xfId="9878" xr:uid="{D056F6BD-54D6-42C3-AE37-B67E41E9BD46}"/>
    <cellStyle name="Style 81 6 3 2 10 2" xfId="25944" xr:uid="{4FECACED-962A-4772-9D6E-7285CF0ECDE2}"/>
    <cellStyle name="Style 81 6 3 2 11" xfId="9879" xr:uid="{2EF0F2E2-7C2B-4C5F-9361-80F5F3318D2F}"/>
    <cellStyle name="Style 81 6 3 2 11 2" xfId="25945" xr:uid="{AE40603A-B812-4442-9D19-FD8E1A6A6D35}"/>
    <cellStyle name="Style 81 6 3 2 12" xfId="9880" xr:uid="{20630C1F-83E0-44A5-AF3C-F9B0D23B47DE}"/>
    <cellStyle name="Style 81 6 3 2 12 2" xfId="25946" xr:uid="{9A7304AD-F9CD-476B-94B6-C7F621C1AE93}"/>
    <cellStyle name="Style 81 6 3 2 13" xfId="19088" xr:uid="{D724D034-FD85-40C3-9EBC-2F1F5636A41D}"/>
    <cellStyle name="Style 81 6 3 2 2" xfId="4689" xr:uid="{4903BA9C-7EA7-4F9F-A405-FC9D3802BB09}"/>
    <cellStyle name="Style 81 6 3 2 2 2" xfId="9881" xr:uid="{9C123982-A829-4D21-89E2-C60036643FD3}"/>
    <cellStyle name="Style 81 6 3 2 2 2 2" xfId="25947" xr:uid="{DDE45B83-F7BC-43B1-AD17-BC52CF5D518F}"/>
    <cellStyle name="Style 81 6 3 2 3" xfId="4688" xr:uid="{5AF03AF3-166D-47F9-AEB0-8E0446136AAE}"/>
    <cellStyle name="Style 81 6 3 2 3 2" xfId="9882" xr:uid="{E6C23910-07FB-4E5A-A2C3-C29F31785876}"/>
    <cellStyle name="Style 81 6 3 2 3 2 2" xfId="25948" xr:uid="{FACC9150-562B-4A4C-80A6-BC210B5EE913}"/>
    <cellStyle name="Style 81 6 3 2 4" xfId="9883" xr:uid="{15664555-64E4-4F6D-BF58-09E2FC93FBEF}"/>
    <cellStyle name="Style 81 6 3 2 4 2" xfId="9884" xr:uid="{C99277C5-BC01-4B96-B0C8-7AF1333CC4C8}"/>
    <cellStyle name="Style 81 6 3 2 4 2 2" xfId="25949" xr:uid="{FE2863F3-F160-4577-81C1-DAD026C485DE}"/>
    <cellStyle name="Style 81 6 3 2 4 3" xfId="22297" xr:uid="{82663C53-6063-4C94-A63D-D383CAADAF9E}"/>
    <cellStyle name="Style 81 6 3 2 5" xfId="9885" xr:uid="{3AD054DE-7D75-41FF-BED6-324C68B03C6F}"/>
    <cellStyle name="Style 81 6 3 2 5 2" xfId="25950" xr:uid="{222BD7C9-3C04-4B43-B0BD-531319EB3A56}"/>
    <cellStyle name="Style 81 6 3 2 6" xfId="9886" xr:uid="{4BF6E3A6-2090-45DB-88DA-1D13F9451F09}"/>
    <cellStyle name="Style 81 6 3 2 6 2" xfId="25951" xr:uid="{9B147862-820F-467E-85E4-C0111AF7FA1B}"/>
    <cellStyle name="Style 81 6 3 2 7" xfId="9887" xr:uid="{8981F897-1F0D-4A28-9B77-1EF987257C13}"/>
    <cellStyle name="Style 81 6 3 2 7 2" xfId="25952" xr:uid="{35E887B8-7C74-47A2-849D-8F18BBF28EB7}"/>
    <cellStyle name="Style 81 6 3 2 8" xfId="9888" xr:uid="{B0FE28F6-12F5-4FD0-9E77-7F728C467607}"/>
    <cellStyle name="Style 81 6 3 2 8 2" xfId="25953" xr:uid="{EF8573E3-8525-44F5-8F9B-84B71D659DE5}"/>
    <cellStyle name="Style 81 6 3 2 9" xfId="9889" xr:uid="{049F798C-E66B-42CF-B5A5-38FF1F41FBD9}"/>
    <cellStyle name="Style 81 6 3 2 9 2" xfId="25954" xr:uid="{34C2BACE-CCAE-4A4D-8AEF-1029B3FB1517}"/>
    <cellStyle name="Style 81 6 3 3" xfId="4690" xr:uid="{B90E884C-0AC5-4A6B-85FC-EC88396C119F}"/>
    <cellStyle name="Style 81 6 3 3 2" xfId="4691" xr:uid="{D36534A1-B5C5-4F2E-98C8-0947896CFCFC}"/>
    <cellStyle name="Style 81 6 3 3 2 2" xfId="9890" xr:uid="{4A4622C2-FD49-4F6D-804B-96B45259FE77}"/>
    <cellStyle name="Style 81 6 3 3 2 2 2" xfId="25955" xr:uid="{378355B7-5B86-497C-80A8-CD6235DFBCE2}"/>
    <cellStyle name="Style 81 6 3 3 3" xfId="9891" xr:uid="{A8EBB771-E021-420E-838C-66F694D53315}"/>
    <cellStyle name="Style 81 6 3 3 3 2" xfId="25956" xr:uid="{F7FE46CD-5941-4AF1-AC32-DFACE2F58F7F}"/>
    <cellStyle name="Style 81 6 3 3 4" xfId="9892" xr:uid="{6B58F9CC-EC11-49B7-BABC-DDDAF3F4E532}"/>
    <cellStyle name="Style 81 6 3 3 4 2" xfId="25957" xr:uid="{2D628705-6B47-49DF-90BD-7BCAB222C208}"/>
    <cellStyle name="Style 81 6 3 3 5" xfId="19089" xr:uid="{61C7CF57-1EFB-4984-994D-9D53C95667E0}"/>
    <cellStyle name="Style 81 6 3 4" xfId="4692" xr:uid="{0F27F779-3C36-4312-9EBC-B4E24D935BCD}"/>
    <cellStyle name="Style 81 6 3 4 2" xfId="9893" xr:uid="{A8403390-82B5-45B5-9495-3CD372313CA1}"/>
    <cellStyle name="Style 81 6 3 4 2 2" xfId="25958" xr:uid="{9EA5BAFD-7140-42E5-8905-ABE96631F3B4}"/>
    <cellStyle name="Style 81 6 3 5" xfId="4693" xr:uid="{F31101B1-BA15-40A2-BE1B-F5644095BC4A}"/>
    <cellStyle name="Style 81 6 3 5 2" xfId="9894" xr:uid="{F1AB9D83-4013-4471-8F6E-5E26D98F1603}"/>
    <cellStyle name="Style 81 6 3 5 2 2" xfId="25959" xr:uid="{2AF83C36-A512-4A52-9E0A-3C997EC08A9D}"/>
    <cellStyle name="Style 81 6 3 6" xfId="4687" xr:uid="{B31FC542-22B6-4A18-85DF-8708E0357505}"/>
    <cellStyle name="Style 81 6 3 6 2" xfId="9895" xr:uid="{8DD7BBF9-5B63-4F1C-8A22-6DAC1438148C}"/>
    <cellStyle name="Style 81 6 3 6 2 2" xfId="25960" xr:uid="{F8993C80-7B0A-48D5-864A-786055174ACA}"/>
    <cellStyle name="Style 81 6 3 7" xfId="9896" xr:uid="{9748501B-4BE7-4870-938C-E6902B4C0971}"/>
    <cellStyle name="Style 81 6 3 7 2" xfId="9897" xr:uid="{2FAC824D-2CE9-43C4-9B7A-B5D40DA2D59A}"/>
    <cellStyle name="Style 81 6 3 7 2 2" xfId="25961" xr:uid="{5A1DFFA9-4B2F-41B6-8A24-60025095ED69}"/>
    <cellStyle name="Style 81 6 3 7 3" xfId="22296" xr:uid="{A86881F3-3938-4754-AF14-6E7A2683651F}"/>
    <cellStyle name="Style 81 6 3 8" xfId="9898" xr:uid="{942E0378-4F19-4629-A568-CFF2297A021B}"/>
    <cellStyle name="Style 81 6 3 8 2" xfId="25962" xr:uid="{0B3949A0-5261-4F52-8268-67D63EE59A6B}"/>
    <cellStyle name="Style 81 6 3 9" xfId="9899" xr:uid="{1AEB3E3A-CE10-4A50-BC18-F335BE73B6DF}"/>
    <cellStyle name="Style 81 6 3 9 2" xfId="25963" xr:uid="{8A8B0AE5-D520-4BDD-B6D8-CEC953DB28C7}"/>
    <cellStyle name="Style 81 6 4" xfId="2139" xr:uid="{8BF731B3-B4FA-4FDC-9072-AA9B69210959}"/>
    <cellStyle name="Style 81 6 4 10" xfId="9900" xr:uid="{5EB2AB90-BD6F-47A5-8618-7C96B015E044}"/>
    <cellStyle name="Style 81 6 4 10 2" xfId="25964" xr:uid="{F3135847-D3EE-4985-A92E-8D49D6572940}"/>
    <cellStyle name="Style 81 6 4 11" xfId="9901" xr:uid="{C658FEC2-515E-4AD3-B3F3-68B26DA58617}"/>
    <cellStyle name="Style 81 6 4 11 2" xfId="25965" xr:uid="{5BABF190-E6AD-4826-81D2-3C8D3A77C116}"/>
    <cellStyle name="Style 81 6 4 12" xfId="9902" xr:uid="{CC56595C-04B0-4143-9D74-442CC2671AEB}"/>
    <cellStyle name="Style 81 6 4 12 2" xfId="25966" xr:uid="{FBF8F2A3-FF1E-40EC-A7D6-EE16FA437E78}"/>
    <cellStyle name="Style 81 6 4 13" xfId="9903" xr:uid="{4F86FB93-8805-46F0-8148-0A61A6DEDCAA}"/>
    <cellStyle name="Style 81 6 4 13 2" xfId="25967" xr:uid="{B00DEEB8-79D8-49FF-9BE9-EE8079A678F7}"/>
    <cellStyle name="Style 81 6 4 14" xfId="19090" xr:uid="{4904B21D-BAA9-4908-A137-E720F9BEEB6D}"/>
    <cellStyle name="Style 81 6 4 2" xfId="2140" xr:uid="{F5ECF5FC-325E-440E-8620-570B489466A7}"/>
    <cellStyle name="Style 81 6 4 2 10" xfId="9904" xr:uid="{B77E18B5-081E-4C84-BF0F-0925C9E0F5B1}"/>
    <cellStyle name="Style 81 6 4 2 10 2" xfId="25968" xr:uid="{6B73DFAB-4915-4C72-B317-82DBAA0BB20A}"/>
    <cellStyle name="Style 81 6 4 2 11" xfId="9905" xr:uid="{D4912071-9D73-457E-A056-49C0EDFF5BAB}"/>
    <cellStyle name="Style 81 6 4 2 11 2" xfId="25969" xr:uid="{E33F5CE0-5AA9-46F7-B2EB-F25CBD0D61ED}"/>
    <cellStyle name="Style 81 6 4 2 12" xfId="9906" xr:uid="{6E5D3205-A318-40FC-BC7F-6886626ACBE6}"/>
    <cellStyle name="Style 81 6 4 2 12 2" xfId="25970" xr:uid="{6509EF08-59F1-4246-AB1C-7B14ECB9D0FE}"/>
    <cellStyle name="Style 81 6 4 2 13" xfId="19091" xr:uid="{B692BAEE-4CA2-42C5-99BB-5C1316323087}"/>
    <cellStyle name="Style 81 6 4 2 2" xfId="4696" xr:uid="{F2CB3251-F93C-42F5-AFBC-28F58FCAABA6}"/>
    <cellStyle name="Style 81 6 4 2 2 2" xfId="9907" xr:uid="{0CEB1BC3-21CB-4BCB-9DA6-21190DEFFA03}"/>
    <cellStyle name="Style 81 6 4 2 2 2 2" xfId="25971" xr:uid="{FA71ED61-83E0-45CC-8859-E6C37139D050}"/>
    <cellStyle name="Style 81 6 4 2 3" xfId="4695" xr:uid="{A17DF563-644E-4416-B7E1-BBAC958897A7}"/>
    <cellStyle name="Style 81 6 4 2 3 2" xfId="9908" xr:uid="{28C16427-158B-4EF1-A267-BD74AA15BCEC}"/>
    <cellStyle name="Style 81 6 4 2 3 2 2" xfId="25972" xr:uid="{CDCE1E19-7960-4951-A25C-151F303A6241}"/>
    <cellStyle name="Style 81 6 4 2 4" xfId="9909" xr:uid="{91EEEBEA-7BBD-413E-A46C-6FC4B72FD4C7}"/>
    <cellStyle name="Style 81 6 4 2 4 2" xfId="9910" xr:uid="{4FF2DBE4-5798-4DBC-AAF2-858E19BC77E2}"/>
    <cellStyle name="Style 81 6 4 2 4 2 2" xfId="25973" xr:uid="{2B2014B8-EF29-4AF4-B916-BB72074E6D9C}"/>
    <cellStyle name="Style 81 6 4 2 4 3" xfId="22299" xr:uid="{121F3906-48F4-49E6-A18F-8FF30CA52E12}"/>
    <cellStyle name="Style 81 6 4 2 5" xfId="9911" xr:uid="{F2D87177-EBD0-4B16-9F01-BD7288835C17}"/>
    <cellStyle name="Style 81 6 4 2 5 2" xfId="25974" xr:uid="{CB464C30-000D-48BB-A1AA-E8FBF65EB4DE}"/>
    <cellStyle name="Style 81 6 4 2 6" xfId="9912" xr:uid="{3F53C91B-07F9-4F21-B29E-1425E1E657E1}"/>
    <cellStyle name="Style 81 6 4 2 6 2" xfId="25975" xr:uid="{1DF0DAF7-7983-4AB4-BBB0-E5668AEA2D6B}"/>
    <cellStyle name="Style 81 6 4 2 7" xfId="9913" xr:uid="{527812F4-C966-437F-BA09-C0CB66F9564C}"/>
    <cellStyle name="Style 81 6 4 2 7 2" xfId="25976" xr:uid="{708A7F23-6CAC-4C4E-A06C-BFDE03EE0B59}"/>
    <cellStyle name="Style 81 6 4 2 8" xfId="9914" xr:uid="{925B5227-A8FC-40C6-97C2-E1B33CFB6AF0}"/>
    <cellStyle name="Style 81 6 4 2 8 2" xfId="25977" xr:uid="{B173B161-3566-42C1-A682-84C1DED7E20A}"/>
    <cellStyle name="Style 81 6 4 2 9" xfId="9915" xr:uid="{89D562C2-5B03-45DE-8ADD-2AFB636AC935}"/>
    <cellStyle name="Style 81 6 4 2 9 2" xfId="25978" xr:uid="{CD3611D8-A3A0-4B9C-BAA6-2FD7AB40F78A}"/>
    <cellStyle name="Style 81 6 4 3" xfId="4697" xr:uid="{B4F65CF4-8635-4367-BA7B-C4EBB189428E}"/>
    <cellStyle name="Style 81 6 4 3 2" xfId="9916" xr:uid="{77EA952B-C167-4DC9-B544-DFD7A48B74F0}"/>
    <cellStyle name="Style 81 6 4 3 2 2" xfId="25979" xr:uid="{2005C696-0DD3-4860-A377-DDBF4190BF88}"/>
    <cellStyle name="Style 81 6 4 4" xfId="4694" xr:uid="{84134EDF-9740-4E69-B37D-9C9F9B90831A}"/>
    <cellStyle name="Style 81 6 4 4 2" xfId="9917" xr:uid="{886096F6-C6B1-4A80-B69E-175B1761BB46}"/>
    <cellStyle name="Style 81 6 4 4 2 2" xfId="25980" xr:uid="{479FE2C3-6FA8-45CD-BDCB-64F3E5FDEFE6}"/>
    <cellStyle name="Style 81 6 4 5" xfId="9918" xr:uid="{8EB55FAE-B391-4C79-ABBE-C235E84153C5}"/>
    <cellStyle name="Style 81 6 4 5 2" xfId="9919" xr:uid="{D3DBA386-FB8D-4C44-B008-23D02E3295E4}"/>
    <cellStyle name="Style 81 6 4 5 2 2" xfId="25981" xr:uid="{91340804-E18A-4995-B334-64E56636D76D}"/>
    <cellStyle name="Style 81 6 4 5 3" xfId="22298" xr:uid="{868F43AF-053B-4A97-BA9C-0C2BD57DA396}"/>
    <cellStyle name="Style 81 6 4 6" xfId="9920" xr:uid="{A2982E66-BE24-4101-9E4A-2BD7DF72A21F}"/>
    <cellStyle name="Style 81 6 4 6 2" xfId="25982" xr:uid="{105CF11D-D824-4BC0-8EBE-C125F3FF42D2}"/>
    <cellStyle name="Style 81 6 4 7" xfId="9921" xr:uid="{99D672AE-B5DC-4117-B8A3-38116E965BB4}"/>
    <cellStyle name="Style 81 6 4 7 2" xfId="25983" xr:uid="{81B785D1-8709-4614-9163-2D6797F31ED9}"/>
    <cellStyle name="Style 81 6 4 8" xfId="9922" xr:uid="{AD46E4B6-C437-479C-970E-6BD7ED6A8770}"/>
    <cellStyle name="Style 81 6 4 8 2" xfId="25984" xr:uid="{83A53AB3-3437-4319-89B4-11AB6221133D}"/>
    <cellStyle name="Style 81 6 4 9" xfId="9923" xr:uid="{796EA157-3F96-4729-93DB-E618C3516C94}"/>
    <cellStyle name="Style 81 6 4 9 2" xfId="25985" xr:uid="{22692BA9-F6B4-4184-879C-9D757750963B}"/>
    <cellStyle name="Style 81 6 5" xfId="4698" xr:uid="{66E78709-DC4A-47ED-9476-C5BCD5563CE6}"/>
    <cellStyle name="Style 81 6 5 2" xfId="9924" xr:uid="{1671A2B4-31D0-4C93-982C-BE42B5D0DDB6}"/>
    <cellStyle name="Style 81 6 5 2 2" xfId="25986" xr:uid="{08D6C888-371D-4B57-94E9-C058B34D7102}"/>
    <cellStyle name="Style 81 6 5 3" xfId="9925" xr:uid="{051A9979-9B1E-4C70-81A1-3F3B20C5F2BB}"/>
    <cellStyle name="Style 81 6 5 3 2" xfId="25987" xr:uid="{DBE2E174-352E-4861-A996-9C10561F0E38}"/>
    <cellStyle name="Style 81 6 5 4" xfId="9926" xr:uid="{B288C2ED-5526-4E0A-AAF1-CC1950C1B4EA}"/>
    <cellStyle name="Style 81 6 5 4 2" xfId="25988" xr:uid="{F5A68E40-6BDC-4E4A-92F1-3488543A48C8}"/>
    <cellStyle name="Style 81 6 6" xfId="4699" xr:uid="{9758FC0F-3FAA-4FF6-BDBB-5CF42D9B405E}"/>
    <cellStyle name="Style 81 6 6 2" xfId="9927" xr:uid="{DB0F12E0-6689-4413-A70E-AE7FA4264371}"/>
    <cellStyle name="Style 81 6 6 2 2" xfId="25989" xr:uid="{B1368CE7-5E8A-4F45-93B0-659856DC8FF8}"/>
    <cellStyle name="Style 81 6 7" xfId="4684" xr:uid="{621026C6-60D3-45B1-A1A3-EED08D0E7A1B}"/>
    <cellStyle name="Style 81 6 7 2" xfId="9928" xr:uid="{FEE82973-10B2-4B05-BB5F-71451F0C238D}"/>
    <cellStyle name="Style 81 6 7 2 2" xfId="25990" xr:uid="{9A9DEF31-8667-43E3-83F7-669720657FBC}"/>
    <cellStyle name="Style 81 6 8" xfId="9929" xr:uid="{C7E3B976-E8E4-4E9B-9038-AA282BD38F25}"/>
    <cellStyle name="Style 81 6 8 2" xfId="9930" xr:uid="{6BA11F64-2D6C-4970-87CB-F646BBEB34A6}"/>
    <cellStyle name="Style 81 6 8 2 2" xfId="25991" xr:uid="{C8D70C6B-35F5-4B74-B6FF-593563610E80}"/>
    <cellStyle name="Style 81 6 8 3" xfId="22294" xr:uid="{534304FF-E219-40FA-8A44-4A86274F7D8C}"/>
    <cellStyle name="Style 81 6 9" xfId="9931" xr:uid="{6C76F3A4-2646-4F4F-B052-6A1053591752}"/>
    <cellStyle name="Style 81 6 9 2" xfId="25992" xr:uid="{2EE8CE8E-F7E5-4C4E-A580-F62970A355CF}"/>
    <cellStyle name="Style 81 7" xfId="2141" xr:uid="{35412A07-6A12-488E-A02B-BA74A7C0128E}"/>
    <cellStyle name="Style 81 7 10" xfId="9932" xr:uid="{4092CA38-49B0-410A-8B9D-9A6B69A2257D}"/>
    <cellStyle name="Style 81 7 10 2" xfId="25993" xr:uid="{7BB19E3B-93F1-4A31-9266-E083EF3126CB}"/>
    <cellStyle name="Style 81 7 11" xfId="9933" xr:uid="{7C3DD601-0966-42B1-AF93-557480D254FB}"/>
    <cellStyle name="Style 81 7 11 2" xfId="25994" xr:uid="{D9D2C534-C2A3-45CE-80F2-F7984892744B}"/>
    <cellStyle name="Style 81 7 12" xfId="9934" xr:uid="{FF2FC79A-940B-48C1-8EAD-FC13953B5577}"/>
    <cellStyle name="Style 81 7 12 2" xfId="25995" xr:uid="{A1BDDDD9-1568-4D8A-914B-6B31560A93F0}"/>
    <cellStyle name="Style 81 7 13" xfId="9935" xr:uid="{6125E201-3166-4E95-88E1-9A7ADE260E5E}"/>
    <cellStyle name="Style 81 7 13 2" xfId="25996" xr:uid="{177DA208-2FED-4E1A-8849-CD945FF49754}"/>
    <cellStyle name="Style 81 7 14" xfId="9936" xr:uid="{C38A3527-A6AF-4276-80A7-07F246A9C197}"/>
    <cellStyle name="Style 81 7 14 2" xfId="25997" xr:uid="{C789B786-F37E-4117-8408-8A005EB25C33}"/>
    <cellStyle name="Style 81 7 15" xfId="19092" xr:uid="{9B4C546F-A04E-423A-8291-CC5CE80839CF}"/>
    <cellStyle name="Style 81 7 2" xfId="2142" xr:uid="{B50BB319-9307-4983-9116-5D421B40BABD}"/>
    <cellStyle name="Style 81 7 2 10" xfId="9937" xr:uid="{40277987-5B43-439C-941B-7E4565F7BBAA}"/>
    <cellStyle name="Style 81 7 2 10 2" xfId="25998" xr:uid="{727A8DEB-A196-4961-9178-C2F6600D3950}"/>
    <cellStyle name="Style 81 7 2 11" xfId="9938" xr:uid="{57D998E7-B643-470A-A9B8-3CD09A9643D9}"/>
    <cellStyle name="Style 81 7 2 11 2" xfId="25999" xr:uid="{78A0A34D-7D42-41D6-AAA2-74A73BA89B6E}"/>
    <cellStyle name="Style 81 7 2 12" xfId="9939" xr:uid="{6CB6FED7-43F5-4F1C-A483-A69DD4DF464F}"/>
    <cellStyle name="Style 81 7 2 12 2" xfId="26000" xr:uid="{F8629498-7D63-4F83-8F78-144B1409CA4A}"/>
    <cellStyle name="Style 81 7 2 13" xfId="19093" xr:uid="{363F66E3-CF34-46C4-A32B-F1716F299467}"/>
    <cellStyle name="Style 81 7 2 2" xfId="4702" xr:uid="{D67E9C1C-F4D1-467E-B8DA-55991321B696}"/>
    <cellStyle name="Style 81 7 2 2 2" xfId="9940" xr:uid="{9B531FBA-5298-41A0-A5D8-4F9ED25A6D8F}"/>
    <cellStyle name="Style 81 7 2 2 2 2" xfId="26001" xr:uid="{08F4A0E1-ABA2-4FE1-A801-047A704BE594}"/>
    <cellStyle name="Style 81 7 2 3" xfId="4701" xr:uid="{AE7678F0-9F18-4EA5-B39D-1301963BFE80}"/>
    <cellStyle name="Style 81 7 2 3 2" xfId="9941" xr:uid="{ECD6CDE1-BE3B-4ED0-BC23-3F0D57C3DAD1}"/>
    <cellStyle name="Style 81 7 2 3 2 2" xfId="26002" xr:uid="{79A19B0A-A1FB-4D1E-A254-000C8228C512}"/>
    <cellStyle name="Style 81 7 2 4" xfId="9942" xr:uid="{52C6CF31-89AF-47CA-BE91-5BB6C61D871A}"/>
    <cellStyle name="Style 81 7 2 4 2" xfId="9943" xr:uid="{982A7415-000B-4D43-92E5-49B97037BFC0}"/>
    <cellStyle name="Style 81 7 2 4 2 2" xfId="26003" xr:uid="{D89147C1-994C-4A67-BE0F-7F770EB2F84E}"/>
    <cellStyle name="Style 81 7 2 4 3" xfId="22301" xr:uid="{601DB195-497F-416B-AC77-7DB720F992B0}"/>
    <cellStyle name="Style 81 7 2 5" xfId="9944" xr:uid="{F9F1A26B-7ABD-41FB-B03A-EAD02D8107E6}"/>
    <cellStyle name="Style 81 7 2 5 2" xfId="26004" xr:uid="{FA22ED79-CB09-4545-A3D1-7E3C72A792CC}"/>
    <cellStyle name="Style 81 7 2 6" xfId="9945" xr:uid="{ADD5F372-8532-4C3A-A168-D1D1EF4A7975}"/>
    <cellStyle name="Style 81 7 2 6 2" xfId="26005" xr:uid="{5435A54A-2BB6-47D3-ADEA-21EF6F8B58E4}"/>
    <cellStyle name="Style 81 7 2 7" xfId="9946" xr:uid="{9D3B10BC-DD46-4986-B6A2-EF04081D40B8}"/>
    <cellStyle name="Style 81 7 2 7 2" xfId="26006" xr:uid="{006193C3-004D-4A33-A9DE-EE886FFB28D0}"/>
    <cellStyle name="Style 81 7 2 8" xfId="9947" xr:uid="{A67631C0-C0B9-4A9D-9DBD-4A434FF0328D}"/>
    <cellStyle name="Style 81 7 2 8 2" xfId="26007" xr:uid="{58855E19-3B5A-4F99-A148-DE400A6E2955}"/>
    <cellStyle name="Style 81 7 2 9" xfId="9948" xr:uid="{17B43D6D-1345-43A3-8149-2A4EF1AFC7F1}"/>
    <cellStyle name="Style 81 7 2 9 2" xfId="26008" xr:uid="{3EB6D293-EF4A-4458-A637-EDBB3EAA425D}"/>
    <cellStyle name="Style 81 7 3" xfId="4703" xr:uid="{D038E43A-8A67-4EC2-8521-FC6B56468C82}"/>
    <cellStyle name="Style 81 7 3 2" xfId="4704" xr:uid="{69F9456F-D21B-4DAF-8E81-FBDE0EA7BD3B}"/>
    <cellStyle name="Style 81 7 3 2 2" xfId="9949" xr:uid="{B8CF7039-1163-4315-B364-E7415E21CE05}"/>
    <cellStyle name="Style 81 7 3 2 2 2" xfId="26009" xr:uid="{D8416714-69FA-480F-8668-44083345DDD4}"/>
    <cellStyle name="Style 81 7 3 3" xfId="9950" xr:uid="{29202308-3203-43BB-B1A8-0C31766B9C74}"/>
    <cellStyle name="Style 81 7 3 3 2" xfId="26010" xr:uid="{24847852-4BDA-461B-A781-BF383E081FD3}"/>
    <cellStyle name="Style 81 7 3 4" xfId="9951" xr:uid="{08FC2FC6-CE87-4FEF-92CE-C7EE5924ED45}"/>
    <cellStyle name="Style 81 7 3 4 2" xfId="26011" xr:uid="{3BFE8FAF-7B43-49E6-8B8E-D58DEB2B2BDB}"/>
    <cellStyle name="Style 81 7 3 5" xfId="19094" xr:uid="{968B9BFC-383A-4CB2-9347-98F76025BE41}"/>
    <cellStyle name="Style 81 7 4" xfId="4705" xr:uid="{36BD9B70-38A7-48FF-A51C-1845C455AC4C}"/>
    <cellStyle name="Style 81 7 4 2" xfId="9952" xr:uid="{4B188AA9-D96E-43AD-BFFA-9CBCF126AFA9}"/>
    <cellStyle name="Style 81 7 4 2 2" xfId="26012" xr:uid="{A9CA18C0-5D2B-4026-B097-D57FE4C71EBF}"/>
    <cellStyle name="Style 81 7 5" xfId="4706" xr:uid="{B04445E2-0774-4E50-A710-ECADEAE630E9}"/>
    <cellStyle name="Style 81 7 5 2" xfId="9953" xr:uid="{E571AA1A-241C-4788-AF7F-05381248EC8C}"/>
    <cellStyle name="Style 81 7 5 2 2" xfId="26013" xr:uid="{5B19A3C2-1EBF-46D6-BD98-D6CBAB13D9E2}"/>
    <cellStyle name="Style 81 7 6" xfId="4700" xr:uid="{6282BA6F-ADCC-49D0-AD69-E7FD2F236FFA}"/>
    <cellStyle name="Style 81 7 6 2" xfId="9954" xr:uid="{B5DC2DBC-BA82-479E-8CBF-BB16F821BA49}"/>
    <cellStyle name="Style 81 7 6 2 2" xfId="26014" xr:uid="{B39BD4A5-5650-4506-9C13-A3901F100CB7}"/>
    <cellStyle name="Style 81 7 7" xfId="9955" xr:uid="{C46B6B7D-33C1-4FFF-8509-9C93C639532E}"/>
    <cellStyle name="Style 81 7 7 2" xfId="9956" xr:uid="{423AB92C-A133-4D62-A83D-1BDF2290F1AE}"/>
    <cellStyle name="Style 81 7 7 2 2" xfId="26015" xr:uid="{7ADF4763-5926-4222-9A58-BA533552DA1D}"/>
    <cellStyle name="Style 81 7 7 3" xfId="22300" xr:uid="{5340BD14-C428-43A1-9CE6-A26A9B6B1C51}"/>
    <cellStyle name="Style 81 7 8" xfId="9957" xr:uid="{7C2C175C-45CA-4CD8-8088-B3BD7ABC068A}"/>
    <cellStyle name="Style 81 7 8 2" xfId="26016" xr:uid="{C8C25A37-0463-404E-8E36-3146C8FF1888}"/>
    <cellStyle name="Style 81 7 9" xfId="9958" xr:uid="{81015A87-AD8C-457A-B1FA-77E67CCB7C3A}"/>
    <cellStyle name="Style 81 7 9 2" xfId="26017" xr:uid="{8C68B09F-E659-4265-A964-75A5A5EF950F}"/>
    <cellStyle name="Style 81 8" xfId="2143" xr:uid="{144E51DC-05B2-4E0D-A2CB-C14AEBC28F18}"/>
    <cellStyle name="Style 81 8 10" xfId="9959" xr:uid="{86E4F943-B481-4525-8A47-72D32F89BDEE}"/>
    <cellStyle name="Style 81 8 10 2" xfId="26018" xr:uid="{6AFB5E2A-0CDD-4B8E-9249-CE32E7FC806B}"/>
    <cellStyle name="Style 81 8 11" xfId="9960" xr:uid="{FF3B41DC-580E-42F2-95CA-68242430F1F7}"/>
    <cellStyle name="Style 81 8 11 2" xfId="26019" xr:uid="{B03AAC00-E990-49DD-951B-D2A1F7E4CEEC}"/>
    <cellStyle name="Style 81 8 12" xfId="9961" xr:uid="{C357FFE2-3130-4A17-8F33-27D469BD30BD}"/>
    <cellStyle name="Style 81 8 12 2" xfId="26020" xr:uid="{D860E9ED-458A-48DD-B2AE-C504E20D63A9}"/>
    <cellStyle name="Style 81 8 13" xfId="9962" xr:uid="{517E6221-7947-4A51-A2D2-481B56E5E887}"/>
    <cellStyle name="Style 81 8 13 2" xfId="26021" xr:uid="{DD49559A-A422-46D8-8687-CFE8CCE511F6}"/>
    <cellStyle name="Style 81 8 14" xfId="19095" xr:uid="{BF6C74EA-247B-41D7-A5FA-7A1B223FA69D}"/>
    <cellStyle name="Style 81 8 2" xfId="2144" xr:uid="{E5AA3991-04B0-46FE-BFB3-CE88C517FBF4}"/>
    <cellStyle name="Style 81 8 2 10" xfId="9963" xr:uid="{41BA1969-1D12-4F7F-A3CF-F081D30B54C9}"/>
    <cellStyle name="Style 81 8 2 10 2" xfId="26022" xr:uid="{1B8AB8B7-8CE2-45BE-A7DF-38138D86A4E9}"/>
    <cellStyle name="Style 81 8 2 11" xfId="9964" xr:uid="{0192E3A9-4224-42E9-8DE1-BD24BB75321E}"/>
    <cellStyle name="Style 81 8 2 11 2" xfId="26023" xr:uid="{D80CCB09-A7A9-46F4-A73A-3466450BFCB1}"/>
    <cellStyle name="Style 81 8 2 12" xfId="9965" xr:uid="{0775413C-8C66-437E-B2E2-0116C26D4DC9}"/>
    <cellStyle name="Style 81 8 2 12 2" xfId="26024" xr:uid="{684BACB0-742E-49A3-ADC1-535629B3643D}"/>
    <cellStyle name="Style 81 8 2 13" xfId="19096" xr:uid="{2BD2E5AB-821C-45C2-96C4-7FC68F115173}"/>
    <cellStyle name="Style 81 8 2 2" xfId="4709" xr:uid="{B937D3DB-4E5F-49F1-AED1-FD56A2C5540F}"/>
    <cellStyle name="Style 81 8 2 2 2" xfId="9966" xr:uid="{06874FFF-722C-46FA-A352-94B880E258EB}"/>
    <cellStyle name="Style 81 8 2 2 2 2" xfId="26025" xr:uid="{B887B0E4-D222-4B39-A075-93639D7A9561}"/>
    <cellStyle name="Style 81 8 2 3" xfId="4708" xr:uid="{373F3DE1-22E3-4744-969E-44C713F561E7}"/>
    <cellStyle name="Style 81 8 2 3 2" xfId="9967" xr:uid="{DB315DEA-21AA-470F-9555-7752E5300C54}"/>
    <cellStyle name="Style 81 8 2 3 2 2" xfId="26026" xr:uid="{004A1497-54AB-4C90-BABA-3C13FBF34D9C}"/>
    <cellStyle name="Style 81 8 2 4" xfId="9968" xr:uid="{22F1CEFA-42B1-4DFB-A062-C978D5609B1A}"/>
    <cellStyle name="Style 81 8 2 4 2" xfId="9969" xr:uid="{84390B9C-C791-4C37-89D3-BFC6090083CF}"/>
    <cellStyle name="Style 81 8 2 4 2 2" xfId="26027" xr:uid="{95C7061A-6706-4EBA-A342-C73EADD50445}"/>
    <cellStyle name="Style 81 8 2 4 3" xfId="22303" xr:uid="{050D2FD0-4DBA-40A0-B1B6-CE9BEBE44191}"/>
    <cellStyle name="Style 81 8 2 5" xfId="9970" xr:uid="{F4D48309-350E-4608-A8F9-7E4C0EA011DE}"/>
    <cellStyle name="Style 81 8 2 5 2" xfId="26028" xr:uid="{86378DC6-8E29-489E-9264-62333244793C}"/>
    <cellStyle name="Style 81 8 2 6" xfId="9971" xr:uid="{F1F59439-75E0-4DB0-9962-265342198631}"/>
    <cellStyle name="Style 81 8 2 6 2" xfId="26029" xr:uid="{51B53AEC-2815-4F14-BE11-8C57C956B2B5}"/>
    <cellStyle name="Style 81 8 2 7" xfId="9972" xr:uid="{97DE480C-C67A-446F-B6B9-D8E528F94D8A}"/>
    <cellStyle name="Style 81 8 2 7 2" xfId="26030" xr:uid="{1527617B-34D5-4BBB-A572-8F5B19A0033E}"/>
    <cellStyle name="Style 81 8 2 8" xfId="9973" xr:uid="{4B0A0524-B876-448B-8A04-CFE464B7824E}"/>
    <cellStyle name="Style 81 8 2 8 2" xfId="26031" xr:uid="{EB161809-55A6-4EEF-A7EB-E0D5A3D57D88}"/>
    <cellStyle name="Style 81 8 2 9" xfId="9974" xr:uid="{0BC523F5-B2FC-42D9-A621-7075E1C75D9F}"/>
    <cellStyle name="Style 81 8 2 9 2" xfId="26032" xr:uid="{F80BDF19-7988-4329-96DC-7D4D3B27E80B}"/>
    <cellStyle name="Style 81 8 3" xfId="4710" xr:uid="{127DA298-F758-407A-A9C5-3515687D437D}"/>
    <cellStyle name="Style 81 8 3 2" xfId="4711" xr:uid="{344E88FD-BB9F-4FFA-940E-F43162383FD0}"/>
    <cellStyle name="Style 81 8 3 3" xfId="9975" xr:uid="{11539B4F-9B37-481E-BC57-EEC609D7B9F4}"/>
    <cellStyle name="Style 81 8 3 3 2" xfId="26033" xr:uid="{767373BA-4FF4-439B-969D-57206A7FB0C2}"/>
    <cellStyle name="Style 81 8 3 4" xfId="19097" xr:uid="{3C9CECD8-3D00-4C6E-AED7-AF09AF00E91D}"/>
    <cellStyle name="Style 81 8 4" xfId="4712" xr:uid="{3446A905-8F35-4422-9BD9-3A7029F9FAB7}"/>
    <cellStyle name="Style 81 8 4 2" xfId="9976" xr:uid="{50F095D2-1EB7-4193-90FA-EB57B95EF7CE}"/>
    <cellStyle name="Style 81 8 4 2 2" xfId="26034" xr:uid="{5738DAE0-39AF-4E73-8D8B-934069E3E35D}"/>
    <cellStyle name="Style 81 8 5" xfId="4713" xr:uid="{FB81BBC1-8D5D-432F-B0B8-2C92E455DBEE}"/>
    <cellStyle name="Style 81 8 5 2" xfId="9977" xr:uid="{12A58213-9A76-401A-BCDC-05AD9310B7F6}"/>
    <cellStyle name="Style 81 8 5 2 2" xfId="26035" xr:uid="{81E98B74-96A8-497E-8953-7DDF1E670DA8}"/>
    <cellStyle name="Style 81 8 6" xfId="4707" xr:uid="{6DDB5C3F-61E3-418D-87E9-5CBE86020C16}"/>
    <cellStyle name="Style 81 8 6 2" xfId="9978" xr:uid="{B7C0FB64-8976-48F8-9725-2BAF457D997E}"/>
    <cellStyle name="Style 81 8 6 2 2" xfId="26036" xr:uid="{52107B0D-5818-445A-B7AA-6466C3236DAB}"/>
    <cellStyle name="Style 81 8 7" xfId="9979" xr:uid="{5FA39501-B989-4960-983F-D57D4BB65633}"/>
    <cellStyle name="Style 81 8 7 2" xfId="9980" xr:uid="{33BFF796-A10D-4596-97A0-69323BDC0A5E}"/>
    <cellStyle name="Style 81 8 7 2 2" xfId="26037" xr:uid="{EC62D513-A0AB-4195-B162-8DFECDAC49BE}"/>
    <cellStyle name="Style 81 8 7 3" xfId="22302" xr:uid="{6CC00BA8-B89E-4956-8224-2A4D77255991}"/>
    <cellStyle name="Style 81 8 8" xfId="9981" xr:uid="{2203A5A7-E1EB-42D4-B09F-4DC7670F3536}"/>
    <cellStyle name="Style 81 8 8 2" xfId="26038" xr:uid="{35559131-2192-4CE1-BFF7-F48BDC7B06DB}"/>
    <cellStyle name="Style 81 8 9" xfId="9982" xr:uid="{F77D32B0-18B0-476B-8361-6888371B0B25}"/>
    <cellStyle name="Style 81 8 9 2" xfId="26039" xr:uid="{6FC27F77-6FDF-428F-8F75-40B2A4BC795F}"/>
    <cellStyle name="Style 81 9" xfId="2145" xr:uid="{772341D6-0F95-4946-AC6B-FC2414ADA141}"/>
    <cellStyle name="Style 81 9 10" xfId="9983" xr:uid="{ADF2DDE0-D960-4BB3-B9AD-905F0590923B}"/>
    <cellStyle name="Style 81 9 10 2" xfId="26040" xr:uid="{6402CD08-2551-4F70-8EC6-AFF6B43B8F36}"/>
    <cellStyle name="Style 81 9 11" xfId="9984" xr:uid="{114FC67B-2D76-49DD-A3D3-EC17B04E4D90}"/>
    <cellStyle name="Style 81 9 11 2" xfId="26041" xr:uid="{9506E9D0-B8BE-461C-9528-CFC5420C8F7C}"/>
    <cellStyle name="Style 81 9 12" xfId="9985" xr:uid="{73A608E2-1BCF-4411-80F1-6407C63A2294}"/>
    <cellStyle name="Style 81 9 12 2" xfId="26042" xr:uid="{16AC4202-63DD-4802-92BA-C0D800FD020F}"/>
    <cellStyle name="Style 81 9 13" xfId="9986" xr:uid="{8A42218C-19DD-448E-B6D9-F9D4169B5640}"/>
    <cellStyle name="Style 81 9 13 2" xfId="26043" xr:uid="{E4E484BD-6BE2-4B19-9907-BA636CCDBFC4}"/>
    <cellStyle name="Style 81 9 14" xfId="19098" xr:uid="{40D72E11-BF69-4306-9405-3C67F0D6A24D}"/>
    <cellStyle name="Style 81 9 2" xfId="2146" xr:uid="{B52A75EB-FBB7-4769-AC72-21743444F0E4}"/>
    <cellStyle name="Style 81 9 2 10" xfId="9987" xr:uid="{A636AFD6-4CD6-4FA4-8980-53BD2A72082D}"/>
    <cellStyle name="Style 81 9 2 10 2" xfId="26044" xr:uid="{26BD71D5-0248-49CF-B748-CB29AE385E66}"/>
    <cellStyle name="Style 81 9 2 11" xfId="9988" xr:uid="{2878F5BC-5146-4DC5-8121-C043DE009AE5}"/>
    <cellStyle name="Style 81 9 2 11 2" xfId="26045" xr:uid="{A783B6CB-1338-453B-A342-CC95520D0BD0}"/>
    <cellStyle name="Style 81 9 2 2" xfId="4715" xr:uid="{1E9FD02F-488B-49A0-A7F9-D7FCC1FA4A35}"/>
    <cellStyle name="Style 81 9 2 2 2" xfId="9989" xr:uid="{C5EE57D6-D9F3-4D3A-9FAE-C13083C99331}"/>
    <cellStyle name="Style 81 9 2 2 2 2" xfId="26046" xr:uid="{FF361FAC-ABFD-4F73-8BA7-CD81B8719120}"/>
    <cellStyle name="Style 81 9 2 3" xfId="9990" xr:uid="{CDEADDA0-2FFD-4D03-97CE-A7BECBD54FD9}"/>
    <cellStyle name="Style 81 9 2 3 2" xfId="9991" xr:uid="{B08F6C5B-919F-457B-A1B3-8505E71BFB53}"/>
    <cellStyle name="Style 81 9 2 3 2 2" xfId="26047" xr:uid="{C7DA3DF8-630F-4763-A9F0-453E957BF7C3}"/>
    <cellStyle name="Style 81 9 2 3 3" xfId="22305" xr:uid="{656A9AD5-6A20-4DF2-BE5D-DBDE7E8F9647}"/>
    <cellStyle name="Style 81 9 2 4" xfId="9992" xr:uid="{4CCE513D-99CE-4B2C-90A1-E514316A0C08}"/>
    <cellStyle name="Style 81 9 2 4 2" xfId="26048" xr:uid="{92C3B8E7-8D85-4291-A39E-861E80F757C6}"/>
    <cellStyle name="Style 81 9 2 5" xfId="9993" xr:uid="{623C893A-BBA9-46B7-8839-3BB510DF1DBC}"/>
    <cellStyle name="Style 81 9 2 5 2" xfId="26049" xr:uid="{A0390BD5-1BF1-417B-8FF1-A4B9B4C9534A}"/>
    <cellStyle name="Style 81 9 2 6" xfId="9994" xr:uid="{1B81D6AC-A45B-406D-AD11-0EDBB7FE526A}"/>
    <cellStyle name="Style 81 9 2 6 2" xfId="26050" xr:uid="{A1685E07-8D3A-4D03-AE89-FF32C3B6DBC9}"/>
    <cellStyle name="Style 81 9 2 7" xfId="9995" xr:uid="{0B524B77-A90E-4D44-AA82-4A1CECDF6B47}"/>
    <cellStyle name="Style 81 9 2 7 2" xfId="26051" xr:uid="{3F2ACE0D-BFC6-4828-9587-B61BDCF5DD9C}"/>
    <cellStyle name="Style 81 9 2 8" xfId="9996" xr:uid="{F819E3E0-438B-4570-8762-EA1CC0110525}"/>
    <cellStyle name="Style 81 9 2 8 2" xfId="26052" xr:uid="{5F83973F-489B-49CB-A36D-9F66A6305433}"/>
    <cellStyle name="Style 81 9 2 9" xfId="9997" xr:uid="{74010146-D72F-4104-80BC-81417BEC676E}"/>
    <cellStyle name="Style 81 9 2 9 2" xfId="26053" xr:uid="{DA7F7355-5672-477C-B3C3-0FB2D73651C9}"/>
    <cellStyle name="Style 81 9 3" xfId="2782" xr:uid="{0E8E03DB-9D1E-421A-9E32-2B704973DEDA}"/>
    <cellStyle name="Style 81 9 3 2" xfId="4716" xr:uid="{AC4F0C8A-3F59-4A85-8B33-076172E3E308}"/>
    <cellStyle name="Style 81 9 3 2 2" xfId="22529" xr:uid="{2B2FEF0D-678F-4A52-A096-A3BC2B66A874}"/>
    <cellStyle name="Style 81 9 3 3" xfId="9998" xr:uid="{2B4BA693-7802-4F41-8051-3AD25E755D67}"/>
    <cellStyle name="Style 81 9 3 3 2" xfId="26054" xr:uid="{9C4A8A11-BE92-4A81-BD0A-8ED66AFFE487}"/>
    <cellStyle name="Style 81 9 4" xfId="4714" xr:uid="{D5441BF7-B958-4EF7-B524-D139A736E7B7}"/>
    <cellStyle name="Style 81 9 4 2" xfId="9999" xr:uid="{781D458E-1771-47FA-B43B-D003D8FDA5DE}"/>
    <cellStyle name="Style 81 9 4 2 2" xfId="26055" xr:uid="{22048884-7460-4284-9965-CA5B67661AB4}"/>
    <cellStyle name="Style 81 9 5" xfId="10000" xr:uid="{1353ADC1-2A5F-4AB5-A2E3-F8AE9AE3BD18}"/>
    <cellStyle name="Style 81 9 5 2" xfId="10001" xr:uid="{B3A9A237-86FF-4BFB-8802-2989320DE0AA}"/>
    <cellStyle name="Style 81 9 5 2 2" xfId="26056" xr:uid="{BE25B980-D486-40B8-8471-562CDE602DBB}"/>
    <cellStyle name="Style 81 9 5 3" xfId="22304" xr:uid="{60152792-6A3E-4B84-AC1A-9114DBE19CA4}"/>
    <cellStyle name="Style 81 9 6" xfId="10002" xr:uid="{95771E05-00CB-4EE1-AB2E-D6E7F9E878C8}"/>
    <cellStyle name="Style 81 9 6 2" xfId="26057" xr:uid="{A0DB598D-A0D5-430A-BD84-FE74185C075E}"/>
    <cellStyle name="Style 81 9 7" xfId="10003" xr:uid="{25829D26-089E-441F-93AB-5C61BEFA1DA0}"/>
    <cellStyle name="Style 81 9 7 2" xfId="26058" xr:uid="{2D8FA5FD-5531-4C99-B6E7-E6265E4D34DB}"/>
    <cellStyle name="Style 81 9 8" xfId="10004" xr:uid="{D4EF0A8C-3FAE-4269-9A6E-1816A8F84DA3}"/>
    <cellStyle name="Style 81 9 8 2" xfId="26059" xr:uid="{4A9A36F6-2A3B-464A-8F08-53F8211C9DA5}"/>
    <cellStyle name="Style 81 9 9" xfId="10005" xr:uid="{7FAFF0B6-811E-4905-A1E9-302730FCE9DB}"/>
    <cellStyle name="Style 81 9 9 2" xfId="26060" xr:uid="{C889878F-BF4B-4E75-B336-5491602652A9}"/>
    <cellStyle name="Style 81_ADDON" xfId="20533" xr:uid="{6D2E1307-C948-4547-BE42-68200F757A72}"/>
    <cellStyle name="Style 82" xfId="2147" xr:uid="{B24A7599-6EBF-4892-99A9-9A3029E0E315}"/>
    <cellStyle name="Style 82 10" xfId="4717" xr:uid="{2FF48A97-CBF2-4F93-AD26-A6AD8D1016DA}"/>
    <cellStyle name="Style 82 10 2" xfId="10006" xr:uid="{69A3D0A0-9431-4737-B57D-3E4E72631073}"/>
    <cellStyle name="Style 82 10 2 2" xfId="26061" xr:uid="{63C820D1-6EBB-4C16-A999-8C9415BE0175}"/>
    <cellStyle name="Style 82 11" xfId="10007" xr:uid="{B3766B67-8AA6-4279-99DE-956548F716D7}"/>
    <cellStyle name="Style 82 11 2" xfId="10008" xr:uid="{26FE7E92-2C27-40DA-9C83-4E0E83D29179}"/>
    <cellStyle name="Style 82 11 2 2" xfId="26062" xr:uid="{C5E9A8B7-01FA-40C0-9E18-2132D47A12B3}"/>
    <cellStyle name="Style 82 11 3" xfId="21313" xr:uid="{BD55087B-6272-4C82-BA9D-4AFEFDDA93F8}"/>
    <cellStyle name="Style 82 12" xfId="10009" xr:uid="{40757A10-7D15-43D9-9590-0F1B1DB263F5}"/>
    <cellStyle name="Style 82 12 2" xfId="26063" xr:uid="{73A0C5CA-1A71-4301-9087-B8FE81714D90}"/>
    <cellStyle name="Style 82 13" xfId="10010" xr:uid="{EF09D723-C0B9-46BB-9E9F-D1C915BADA01}"/>
    <cellStyle name="Style 82 13 2" xfId="26064" xr:uid="{68EFA474-FF81-4D6A-80D5-7E7FBBD17F2D}"/>
    <cellStyle name="Style 82 14" xfId="10011" xr:uid="{B3CFF999-C860-453B-A3BE-E85D611D8E27}"/>
    <cellStyle name="Style 82 14 2" xfId="26065" xr:uid="{CB027D01-F081-4AE4-9B82-C612EAC24EED}"/>
    <cellStyle name="Style 82 15" xfId="10012" xr:uid="{4FC4FD5D-52F1-46A8-85DF-F8008E67A7A8}"/>
    <cellStyle name="Style 82 15 2" xfId="26066" xr:uid="{23362866-F588-4B7A-9C48-FF940B01FD3A}"/>
    <cellStyle name="Style 82 16" xfId="10013" xr:uid="{C2A3078E-1934-4119-9478-9DF9C9AE6ED9}"/>
    <cellStyle name="Style 82 16 2" xfId="26067" xr:uid="{08C380EF-4C69-44EF-8BD2-5EB544B1A729}"/>
    <cellStyle name="Style 82 17" xfId="10014" xr:uid="{26300125-0763-4F47-B20D-9AFD5818E803}"/>
    <cellStyle name="Style 82 17 2" xfId="26068" xr:uid="{6CE7DEFB-2C4B-4FC7-8385-5F3CFDE6FFDD}"/>
    <cellStyle name="Style 82 18" xfId="10015" xr:uid="{A7F8CCFA-D077-4F26-93B7-0F99118135FF}"/>
    <cellStyle name="Style 82 18 2" xfId="26069" xr:uid="{02069218-5940-482C-A0CD-FD27FF9FA3A5}"/>
    <cellStyle name="Style 82 19" xfId="10016" xr:uid="{2F14F425-8C80-443E-A7F6-3A46E4AB3F27}"/>
    <cellStyle name="Style 82 19 2" xfId="26070" xr:uid="{FCC6BACF-17FE-401E-BB5B-879522EDD236}"/>
    <cellStyle name="Style 82 2" xfId="2148" xr:uid="{9E5D54BA-CD0A-482F-8E49-8B21F6D6014F}"/>
    <cellStyle name="Style 82 2 10" xfId="10017" xr:uid="{DED0D2FA-AF1B-479F-A805-83E6EEEFB6E0}"/>
    <cellStyle name="Style 82 2 10 2" xfId="26071" xr:uid="{50BA24A5-ABCA-40B0-AB12-E817BA00F3DA}"/>
    <cellStyle name="Style 82 2 11" xfId="10018" xr:uid="{77BB1D27-4713-4885-8597-E5BEF3ED04E9}"/>
    <cellStyle name="Style 82 2 11 2" xfId="26072" xr:uid="{8C29837B-CCC1-42BD-9987-265548E36329}"/>
    <cellStyle name="Style 82 2 12" xfId="10019" xr:uid="{F01DCFBE-8745-4480-816E-E02BC3913F4E}"/>
    <cellStyle name="Style 82 2 12 2" xfId="26073" xr:uid="{545537F4-2B70-4692-AC2B-12AA25B68C6E}"/>
    <cellStyle name="Style 82 2 13" xfId="10020" xr:uid="{B84F3BB6-7E77-448C-AD3C-F3CDF922A2EB}"/>
    <cellStyle name="Style 82 2 13 2" xfId="26074" xr:uid="{6F8E54C3-563F-4227-9788-AB8398B99390}"/>
    <cellStyle name="Style 82 2 14" xfId="10021" xr:uid="{8B77550F-3008-4F2F-B41E-5A17188EF2D5}"/>
    <cellStyle name="Style 82 2 14 2" xfId="26075" xr:uid="{4A275F37-082B-4D8C-9077-EF17DCE07CFB}"/>
    <cellStyle name="Style 82 2 15" xfId="19100" xr:uid="{6595E9A5-114B-43DF-B7EB-C148C85B6FF2}"/>
    <cellStyle name="Style 82 2 2" xfId="4719" xr:uid="{7895327D-4B13-47AB-B969-EA6117787B0B}"/>
    <cellStyle name="Style 82 2 2 2" xfId="10022" xr:uid="{46FC1AAC-923B-41E6-A189-9A4AEFE5902C}"/>
    <cellStyle name="Style 82 2 2 2 2" xfId="10023" xr:uid="{BD48BE83-C22C-41B4-80A3-AEF265E86D98}"/>
    <cellStyle name="Style 82 2 2 2 2 2" xfId="26077" xr:uid="{2EA3F386-9266-4F9F-B35A-5FF4BF9B866C}"/>
    <cellStyle name="Style 82 2 2 2 3" xfId="26076" xr:uid="{1DE9301F-EF99-49FC-93C4-C4437C9DB0DD}"/>
    <cellStyle name="Style 82 2 2 3" xfId="10024" xr:uid="{6AEB2F70-89E1-4E00-94F3-04CCBA68A6EF}"/>
    <cellStyle name="Style 82 2 2 3 2" xfId="26078" xr:uid="{9A087831-290B-4A37-A2AA-0199EA5D7B2D}"/>
    <cellStyle name="Style 82 2 2 4" xfId="10025" xr:uid="{05FDD4BD-380F-46A8-A057-C3301BA5B660}"/>
    <cellStyle name="Style 82 2 2 4 2" xfId="26079" xr:uid="{EB0AC32F-2B17-424E-9511-43DD275DF62A}"/>
    <cellStyle name="Style 82 2 2 5" xfId="10026" xr:uid="{480114DC-EC87-4D74-816C-6C3EB3B6323E}"/>
    <cellStyle name="Style 82 2 2 5 2" xfId="26080" xr:uid="{F51D0EE9-04C7-482F-9298-E9D832547E18}"/>
    <cellStyle name="Style 82 2 3" xfId="4718" xr:uid="{BB6B0FDC-0392-4DB2-8EFD-8751B5903BC5}"/>
    <cellStyle name="Style 82 2 3 2" xfId="10027" xr:uid="{BEA60D17-E69E-4675-9A10-93C07B8202C5}"/>
    <cellStyle name="Style 82 2 3 2 2" xfId="26081" xr:uid="{73BCF66F-B8DB-49AA-9F94-C518A362FD9A}"/>
    <cellStyle name="Style 82 2 3 3" xfId="10028" xr:uid="{53EC0926-87BC-4554-86E6-059BE3CFE2A0}"/>
    <cellStyle name="Style 82 2 3 3 2" xfId="26082" xr:uid="{21D8EEAF-201C-4B5D-9921-DBA36685616E}"/>
    <cellStyle name="Style 82 2 4" xfId="10029" xr:uid="{534F8489-89B1-4C29-8494-8715BC9CA9CA}"/>
    <cellStyle name="Style 82 2 4 2" xfId="26083" xr:uid="{6E21C48E-C23C-46C3-94AA-9F30FC7CD273}"/>
    <cellStyle name="Style 82 2 5" xfId="10030" xr:uid="{E7534B7B-670F-483A-BDDC-370BFC2462A2}"/>
    <cellStyle name="Style 82 2 5 2" xfId="26084" xr:uid="{6E3D0635-EA43-4B34-AABF-EE9AC71405C0}"/>
    <cellStyle name="Style 82 2 6" xfId="10031" xr:uid="{926DCBE2-1782-4EA2-B3C9-75A89B54EE1B}"/>
    <cellStyle name="Style 82 2 6 2" xfId="26085" xr:uid="{05470140-DB95-4AF2-9372-1AB7204246DC}"/>
    <cellStyle name="Style 82 2 7" xfId="10032" xr:uid="{AC425D44-2E97-4270-929F-BCC894950D7A}"/>
    <cellStyle name="Style 82 2 7 2" xfId="26086" xr:uid="{9295F9A3-A05F-4204-96F3-5F7708133FED}"/>
    <cellStyle name="Style 82 2 8" xfId="10033" xr:uid="{6B5ABE85-44F8-48F0-9927-CB27565780CA}"/>
    <cellStyle name="Style 82 2 8 2" xfId="26087" xr:uid="{9AD92BEB-EAFC-4F05-B332-656747390DBF}"/>
    <cellStyle name="Style 82 2 9" xfId="10034" xr:uid="{08D552BD-E2FB-4BFE-979D-52138ABC0B2B}"/>
    <cellStyle name="Style 82 2 9 2" xfId="26088" xr:uid="{AEF30734-2D42-46BE-8D92-C00F1F587FAF}"/>
    <cellStyle name="Style 82 20" xfId="19099" xr:uid="{D1E6CA95-A40B-4F06-982F-A25E6FE93B3A}"/>
    <cellStyle name="Style 82 3" xfId="2149" xr:uid="{3B524CA2-DD86-47A5-A829-36359893959A}"/>
    <cellStyle name="Style 82 3 10" xfId="10035" xr:uid="{81768F02-CB6F-4FAB-BD0F-3D6A626A7E7B}"/>
    <cellStyle name="Style 82 3 10 2" xfId="26089" xr:uid="{3025CEF0-B635-4723-A695-5F230DD04BBF}"/>
    <cellStyle name="Style 82 3 11" xfId="10036" xr:uid="{70CE8A58-4FE4-43C4-A80D-09592D7B67E1}"/>
    <cellStyle name="Style 82 3 11 2" xfId="26090" xr:uid="{1DBDC0D7-E19D-4FBB-A041-AF69D28BAD0E}"/>
    <cellStyle name="Style 82 3 12" xfId="10037" xr:uid="{882F5FAB-D0DD-4A58-885B-241641C855C6}"/>
    <cellStyle name="Style 82 3 12 2" xfId="26091" xr:uid="{49E2994A-05EC-4AB7-B9BF-5CC7A7980D21}"/>
    <cellStyle name="Style 82 3 13" xfId="10038" xr:uid="{218C7E8A-E6A4-4336-A829-90E2CFCD946C}"/>
    <cellStyle name="Style 82 3 13 2" xfId="26092" xr:uid="{CB6CC84D-7943-46D4-8C78-1F7C1B39B3EE}"/>
    <cellStyle name="Style 82 3 14" xfId="10039" xr:uid="{698154BA-551B-4F9A-A38D-C83EA6E350E3}"/>
    <cellStyle name="Style 82 3 14 2" xfId="26093" xr:uid="{A31A717B-24C6-4B84-8E63-D16C4FEEA214}"/>
    <cellStyle name="Style 82 3 15" xfId="10040" xr:uid="{D26675B7-0843-49FD-B298-1F32E66133D6}"/>
    <cellStyle name="Style 82 3 15 2" xfId="26094" xr:uid="{9B2DF18D-ED6B-4C35-889A-AE2FCB31374B}"/>
    <cellStyle name="Style 82 3 16" xfId="10041" xr:uid="{CE3AA4CA-2243-4A41-A2EF-EA9F508E6364}"/>
    <cellStyle name="Style 82 3 16 2" xfId="26095" xr:uid="{FCEF5F72-6212-4FD7-9431-EA7F985AC85B}"/>
    <cellStyle name="Style 82 3 17" xfId="10042" xr:uid="{8B945E11-F2EB-46C5-B2C2-C5890FBC6B60}"/>
    <cellStyle name="Style 82 3 17 2" xfId="26096" xr:uid="{2269395C-3E75-414C-BFBF-508D6ECFA340}"/>
    <cellStyle name="Style 82 3 18" xfId="19101" xr:uid="{8424AB6C-65E8-471A-BD8C-D58EA08AEDBF}"/>
    <cellStyle name="Style 82 3 2" xfId="2150" xr:uid="{CC50AAB4-B6CD-4C48-A28B-4EEEA873665A}"/>
    <cellStyle name="Style 82 3 2 10" xfId="10043" xr:uid="{ED59D192-ECF7-407F-A39C-88E5C1AF6C35}"/>
    <cellStyle name="Style 82 3 2 10 2" xfId="26097" xr:uid="{005D4A0B-B86D-49A1-BE7F-F4A95A80DFBE}"/>
    <cellStyle name="Style 82 3 2 11" xfId="10044" xr:uid="{F1A032F6-61AF-47FB-B86A-B03BE8DC1012}"/>
    <cellStyle name="Style 82 3 2 11 2" xfId="26098" xr:uid="{7AE70DB9-1014-43E4-A4DE-60A98F0C1DEB}"/>
    <cellStyle name="Style 82 3 2 12" xfId="10045" xr:uid="{251793DE-C946-416F-80FC-B9F948978277}"/>
    <cellStyle name="Style 82 3 2 12 2" xfId="26099" xr:uid="{52CFC6B4-219B-418E-9BC5-73155D5C8361}"/>
    <cellStyle name="Style 82 3 2 13" xfId="10046" xr:uid="{A88A25C9-5EA1-406D-8FF7-A6F4AF30D675}"/>
    <cellStyle name="Style 82 3 2 13 2" xfId="26100" xr:uid="{281E0192-85CD-458A-B839-B41014E7ABE8}"/>
    <cellStyle name="Style 82 3 2 14" xfId="19102" xr:uid="{82681D82-3A7C-442C-BF65-0E829B6884E6}"/>
    <cellStyle name="Style 82 3 2 2" xfId="4722" xr:uid="{0D276A72-9AE8-460B-849A-512F2CBBC0FE}"/>
    <cellStyle name="Style 82 3 2 2 2" xfId="10047" xr:uid="{13BDAAAD-AACF-4EBC-8CBF-896978189745}"/>
    <cellStyle name="Style 82 3 2 2 2 2" xfId="26101" xr:uid="{9C3647D2-986B-4FDD-80AB-916391486029}"/>
    <cellStyle name="Style 82 3 2 2 3" xfId="10048" xr:uid="{029D82A0-1F7D-437C-A70B-BCB8C02719EE}"/>
    <cellStyle name="Style 82 3 2 2 3 2" xfId="26102" xr:uid="{2CD47783-6439-4E5E-AB7E-89ED246BF284}"/>
    <cellStyle name="Style 82 3 2 3" xfId="4721" xr:uid="{E62E8347-D5B3-4871-8837-8CBB9AE466E5}"/>
    <cellStyle name="Style 82 3 2 3 2" xfId="10049" xr:uid="{ED25B8BD-3069-47B9-9DE2-D619298EBBC0}"/>
    <cellStyle name="Style 82 3 2 3 2 2" xfId="26103" xr:uid="{0634627D-38EA-4394-8CC3-B56DD019B415}"/>
    <cellStyle name="Style 82 3 2 4" xfId="10050" xr:uid="{D1BB2F39-41AF-4FC5-86E7-3D67E377C524}"/>
    <cellStyle name="Style 82 3 2 4 2" xfId="26104" xr:uid="{09E90C1B-E51E-4012-A8F9-91EB873C871E}"/>
    <cellStyle name="Style 82 3 2 5" xfId="10051" xr:uid="{37478D8B-4E21-437A-9500-E029E93152B0}"/>
    <cellStyle name="Style 82 3 2 5 2" xfId="26105" xr:uid="{F5040029-202E-4708-B66B-0A7D41FA1B96}"/>
    <cellStyle name="Style 82 3 2 6" xfId="10052" xr:uid="{B00C1885-E5EC-452B-A380-BFBF8274C80C}"/>
    <cellStyle name="Style 82 3 2 6 2" xfId="26106" xr:uid="{3D4984F0-C378-4047-88D7-75FEF1231D55}"/>
    <cellStyle name="Style 82 3 2 7" xfId="10053" xr:uid="{532C4CF2-1BED-468A-9908-D6010B47E23B}"/>
    <cellStyle name="Style 82 3 2 7 2" xfId="26107" xr:uid="{6473E9DE-2D49-4954-804D-DC28486FB68D}"/>
    <cellStyle name="Style 82 3 2 8" xfId="10054" xr:uid="{15CCC0E3-2B02-4B46-B1DE-736C9403B222}"/>
    <cellStyle name="Style 82 3 2 8 2" xfId="26108" xr:uid="{532C4107-0EF4-440C-B098-2E95789EE47D}"/>
    <cellStyle name="Style 82 3 2 9" xfId="10055" xr:uid="{10402589-4853-4216-AE25-00169878427E}"/>
    <cellStyle name="Style 82 3 2 9 2" xfId="26109" xr:uid="{81EBEA06-9F18-4E13-8E04-02D93B0CBDE0}"/>
    <cellStyle name="Style 82 3 3" xfId="2151" xr:uid="{93A32431-09BB-418E-8AD1-7ADC59F71C34}"/>
    <cellStyle name="Style 82 3 3 10" xfId="10056" xr:uid="{76820F7E-C93C-4D12-A46F-61D02C8B190C}"/>
    <cellStyle name="Style 82 3 3 10 2" xfId="26110" xr:uid="{3F824ECB-E1FE-4CF5-95B6-80DDDD5EFC59}"/>
    <cellStyle name="Style 82 3 3 11" xfId="10057" xr:uid="{A0AF6C68-BC58-4FDC-9531-F0EC1E11EAE1}"/>
    <cellStyle name="Style 82 3 3 11 2" xfId="26111" xr:uid="{73061941-B073-4A18-A78F-C359E4D1712A}"/>
    <cellStyle name="Style 82 3 3 12" xfId="10058" xr:uid="{2BEBE7DC-153E-4E1F-B537-7278AB5AB380}"/>
    <cellStyle name="Style 82 3 3 12 2" xfId="26112" xr:uid="{4F4C0EAC-3177-4E4B-BD8B-C5764411A952}"/>
    <cellStyle name="Style 82 3 3 13" xfId="10059" xr:uid="{C2BA5EC9-6B94-4B2A-BBEB-530D156210E2}"/>
    <cellStyle name="Style 82 3 3 13 2" xfId="26113" xr:uid="{CF41F1DB-063A-4ECA-B07D-C645B5482666}"/>
    <cellStyle name="Style 82 3 3 14" xfId="10060" xr:uid="{91F06107-7246-4B62-A5E8-5B7057942589}"/>
    <cellStyle name="Style 82 3 3 14 2" xfId="26114" xr:uid="{E3A14DB9-8491-40C3-BDFF-7CC67EFDAC96}"/>
    <cellStyle name="Style 82 3 3 15" xfId="10061" xr:uid="{5B6CE79A-4204-4737-948A-97C1EACD9C56}"/>
    <cellStyle name="Style 82 3 3 15 2" xfId="26115" xr:uid="{989B602C-522D-492D-8AE4-2915088B4268}"/>
    <cellStyle name="Style 82 3 3 16" xfId="19103" xr:uid="{37196504-E0CF-4B66-9BB6-DE1B141791DC}"/>
    <cellStyle name="Style 82 3 3 2" xfId="2152" xr:uid="{A5D9D08F-6A3F-4AC9-B7AE-1239CFDB57F1}"/>
    <cellStyle name="Style 82 3 3 2 10" xfId="10062" xr:uid="{86A03AC3-D00B-4AFC-929A-24C568F77D2D}"/>
    <cellStyle name="Style 82 3 3 2 10 2" xfId="26116" xr:uid="{3FD57AAA-57DA-4F7F-84BF-B2159814A2AD}"/>
    <cellStyle name="Style 82 3 3 2 11" xfId="10063" xr:uid="{C567514E-762A-46A6-AF6E-41F23364C909}"/>
    <cellStyle name="Style 82 3 3 2 11 2" xfId="26117" xr:uid="{75EC1BD1-5C8F-44D1-9736-1B67556FF272}"/>
    <cellStyle name="Style 82 3 3 2 12" xfId="10064" xr:uid="{B89BD5B5-F898-4A65-A4FB-6F4429ADC0D3}"/>
    <cellStyle name="Style 82 3 3 2 12 2" xfId="26118" xr:uid="{BBDAC1F8-F1A1-4E52-9EAD-78F56A680F1C}"/>
    <cellStyle name="Style 82 3 3 2 13" xfId="10065" xr:uid="{F460869C-5759-4536-8FDD-BF4A1B7AD225}"/>
    <cellStyle name="Style 82 3 3 2 13 2" xfId="26119" xr:uid="{FAA77197-F396-46DD-AC7F-6760A433DDC9}"/>
    <cellStyle name="Style 82 3 3 2 14" xfId="19104" xr:uid="{D75FB863-4C40-47B0-BA1F-7B5920C696E9}"/>
    <cellStyle name="Style 82 3 3 2 2" xfId="4725" xr:uid="{3B175C86-F178-44A2-9EF7-37ED59400C1A}"/>
    <cellStyle name="Style 82 3 3 2 2 2" xfId="10066" xr:uid="{95B621F0-A4C1-490C-9E1B-A38BD9F9E207}"/>
    <cellStyle name="Style 82 3 3 2 2 2 2" xfId="26120" xr:uid="{7767E3FA-9DA5-44DE-98F6-62555E919800}"/>
    <cellStyle name="Style 82 3 3 2 2 3" xfId="10067" xr:uid="{59F5CD8D-FF03-41D6-97B0-1F7F621EA9C9}"/>
    <cellStyle name="Style 82 3 3 2 2 3 2" xfId="26121" xr:uid="{791B64BA-6E13-4F3C-BEF5-933CA3B47768}"/>
    <cellStyle name="Style 82 3 3 2 3" xfId="4724" xr:uid="{D5413CAD-6CB3-4F4F-A3D7-6B0DD64A4A12}"/>
    <cellStyle name="Style 82 3 3 2 3 2" xfId="10068" xr:uid="{D6D35DD4-C68E-4F6E-8312-3FB5564BA23D}"/>
    <cellStyle name="Style 82 3 3 2 3 2 2" xfId="26122" xr:uid="{6B858046-BF4B-4E58-A7C4-E6F35CA05984}"/>
    <cellStyle name="Style 82 3 3 2 4" xfId="10069" xr:uid="{48B103F7-25B8-4C3B-A615-1CF8F1D51EBF}"/>
    <cellStyle name="Style 82 3 3 2 4 2" xfId="26123" xr:uid="{5A4A812E-6156-4AD7-857A-2B588B65093D}"/>
    <cellStyle name="Style 82 3 3 2 5" xfId="10070" xr:uid="{202F7B43-EE70-4076-9F6D-BDCBE2FB6056}"/>
    <cellStyle name="Style 82 3 3 2 5 2" xfId="26124" xr:uid="{FC8BDA7A-5CF5-4D63-A7B3-E9F4252D1DAD}"/>
    <cellStyle name="Style 82 3 3 2 6" xfId="10071" xr:uid="{AE116BA4-0C3E-479E-8F78-9EE74C26F49E}"/>
    <cellStyle name="Style 82 3 3 2 6 2" xfId="26125" xr:uid="{21741146-482B-447C-BDD2-0784859E48E0}"/>
    <cellStyle name="Style 82 3 3 2 7" xfId="10072" xr:uid="{954A3644-EB61-4D74-9C5A-989E4C456701}"/>
    <cellStyle name="Style 82 3 3 2 7 2" xfId="26126" xr:uid="{07A84E4D-8071-40BA-8A48-5B61D39CE23C}"/>
    <cellStyle name="Style 82 3 3 2 8" xfId="10073" xr:uid="{71802693-F0D0-4FE8-B836-BC51281E3856}"/>
    <cellStyle name="Style 82 3 3 2 8 2" xfId="26127" xr:uid="{647A7E35-8EFF-4A35-8041-8C8391B7998D}"/>
    <cellStyle name="Style 82 3 3 2 9" xfId="10074" xr:uid="{C624C483-DA4E-4269-B46A-BFEEC84D2655}"/>
    <cellStyle name="Style 82 3 3 2 9 2" xfId="26128" xr:uid="{B9EC591A-D84A-44C5-806C-F169BC21B444}"/>
    <cellStyle name="Style 82 3 3 3" xfId="4726" xr:uid="{019C6D91-F780-409A-AA3B-9C7341D73221}"/>
    <cellStyle name="Style 82 3 3 3 2" xfId="4727" xr:uid="{10FDB205-F0F9-4764-BEF5-F1CD0442DE5D}"/>
    <cellStyle name="Style 82 3 3 3 2 2" xfId="10075" xr:uid="{43C15424-A4E9-4168-B1A9-EE6E60FEFE0C}"/>
    <cellStyle name="Style 82 3 3 3 2 2 2" xfId="26129" xr:uid="{7933EA8B-8B8D-4018-AB71-B04BAD31697D}"/>
    <cellStyle name="Style 82 3 3 3 2 3" xfId="10076" xr:uid="{EBA6E02D-97F4-47F3-84EE-30C485EA9E40}"/>
    <cellStyle name="Style 82 3 3 3 2 3 2" xfId="26130" xr:uid="{DA26692B-6B3E-4288-B76C-E4E684969D79}"/>
    <cellStyle name="Style 82 3 3 3 3" xfId="10077" xr:uid="{4BBF57BC-D684-45D7-BBB1-706536E6EE85}"/>
    <cellStyle name="Style 82 3 3 3 3 2" xfId="26131" xr:uid="{DC639BF3-352D-48EE-A48D-F609BC741B81}"/>
    <cellStyle name="Style 82 3 3 3 4" xfId="10078" xr:uid="{7C3C05D3-4A0C-4DB0-A38E-3C2E9E733715}"/>
    <cellStyle name="Style 82 3 3 3 4 2" xfId="26132" xr:uid="{8BCBDAC0-3529-4FA8-B253-F730B2216BCD}"/>
    <cellStyle name="Style 82 3 3 3 5" xfId="10079" xr:uid="{71CDFA12-D7F2-4A4B-A8F6-3501C273D487}"/>
    <cellStyle name="Style 82 3 3 3 5 2" xfId="26133" xr:uid="{AABD101C-F8A8-4633-8151-2488362A44DA}"/>
    <cellStyle name="Style 82 3 3 3 6" xfId="19105" xr:uid="{E2820479-0D30-444D-8249-FB1BC7BFA3C6}"/>
    <cellStyle name="Style 82 3 3 4" xfId="4728" xr:uid="{97E178C7-0645-4263-9245-C0B1308EA012}"/>
    <cellStyle name="Style 82 3 3 4 2" xfId="10080" xr:uid="{DD90AAB5-044B-421E-892F-0673AE531E81}"/>
    <cellStyle name="Style 82 3 3 4 2 2" xfId="26134" xr:uid="{1FAD0767-78B2-40CA-96B2-77CAD9DE6A8D}"/>
    <cellStyle name="Style 82 3 3 4 3" xfId="10081" xr:uid="{33BE5DE2-45B1-4240-B423-1003FAA3567A}"/>
    <cellStyle name="Style 82 3 3 4 3 2" xfId="26135" xr:uid="{43A3C4BE-BA0B-4AED-9807-C321892963ED}"/>
    <cellStyle name="Style 82 3 3 5" xfId="4729" xr:uid="{7C1E7E29-04C3-43FA-B229-90A53C93FE7B}"/>
    <cellStyle name="Style 82 3 3 5 2" xfId="10082" xr:uid="{31EB37A2-FBCB-44F4-9F80-257418FE156A}"/>
    <cellStyle name="Style 82 3 3 5 2 2" xfId="26136" xr:uid="{6B03B4F9-8F8D-45A2-93E4-3FCD3BDC5F62}"/>
    <cellStyle name="Style 82 3 3 6" xfId="4723" xr:uid="{327BA3A0-3323-4DB4-877D-40ED083B2E8C}"/>
    <cellStyle name="Style 82 3 3 6 2" xfId="10083" xr:uid="{E66B692B-F91E-4EFC-BFF2-8213668B0BCD}"/>
    <cellStyle name="Style 82 3 3 6 2 2" xfId="26137" xr:uid="{CF7B5B8C-BF0F-479F-BC4A-2AB5D77D57C3}"/>
    <cellStyle name="Style 82 3 3 7" xfId="10084" xr:uid="{0A3352F0-A720-41EA-A3A0-7E58B9D30621}"/>
    <cellStyle name="Style 82 3 3 7 2" xfId="26138" xr:uid="{48BC8792-D18F-4C7B-A96C-D0A661734E6C}"/>
    <cellStyle name="Style 82 3 3 8" xfId="10085" xr:uid="{D180206A-82B3-4ED8-84A4-3A2B91A56A18}"/>
    <cellStyle name="Style 82 3 3 8 2" xfId="26139" xr:uid="{19616C68-4155-4A36-84C2-AF5ACAD00549}"/>
    <cellStyle name="Style 82 3 3 9" xfId="10086" xr:uid="{C4786F1A-01DE-4ACD-ACCB-74AB973E333F}"/>
    <cellStyle name="Style 82 3 3 9 2" xfId="26140" xr:uid="{CBC058A3-5CC0-4C0C-8026-15A3DCE47545}"/>
    <cellStyle name="Style 82 3 4" xfId="2153" xr:uid="{01A18B4E-14FE-4D56-8A91-6E97F8448A4B}"/>
    <cellStyle name="Style 82 3 4 10" xfId="10087" xr:uid="{B339AD43-58E6-44A0-801A-A199237D338B}"/>
    <cellStyle name="Style 82 3 4 10 2" xfId="26141" xr:uid="{3CCAF163-C64E-4699-BD77-C13727A36AF6}"/>
    <cellStyle name="Style 82 3 4 11" xfId="10088" xr:uid="{13141A2D-ACAC-4B64-B35B-ACBB1F614C2A}"/>
    <cellStyle name="Style 82 3 4 11 2" xfId="26142" xr:uid="{C10FC1B2-3F33-4FC9-A359-6C77FC17B92F}"/>
    <cellStyle name="Style 82 3 4 12" xfId="10089" xr:uid="{4354A6BC-9B7A-41EF-B056-F554EAC49AE0}"/>
    <cellStyle name="Style 82 3 4 12 2" xfId="26143" xr:uid="{48ED4184-533A-4164-A351-859E8517CDDE}"/>
    <cellStyle name="Style 82 3 4 13" xfId="10090" xr:uid="{B74B50CD-CFFD-4BDE-A7EB-59E08EA4174B}"/>
    <cellStyle name="Style 82 3 4 13 2" xfId="26144" xr:uid="{C64C6E79-D780-4A18-8D9B-05F68A24784D}"/>
    <cellStyle name="Style 82 3 4 14" xfId="10091" xr:uid="{D24EB3D7-1F1C-45B7-BB46-424BEB5B6E5D}"/>
    <cellStyle name="Style 82 3 4 14 2" xfId="26145" xr:uid="{D9687E1B-0698-461F-8BC2-A7BC658F3A6E}"/>
    <cellStyle name="Style 82 3 4 15" xfId="19106" xr:uid="{47A8765C-BE8E-440D-B06C-23D4AA8816FE}"/>
    <cellStyle name="Style 82 3 4 2" xfId="2154" xr:uid="{523B9EB6-600F-4C0D-AA7F-5FEADF81CE12}"/>
    <cellStyle name="Style 82 3 4 2 10" xfId="10092" xr:uid="{45C8CD44-F335-43B1-8EB2-94D2AC4359C6}"/>
    <cellStyle name="Style 82 3 4 2 10 2" xfId="26146" xr:uid="{FDB92FEE-218C-4DD7-A09E-70BED495122F}"/>
    <cellStyle name="Style 82 3 4 2 11" xfId="10093" xr:uid="{11056905-FC6A-4DB7-8E3A-BB2098A88F90}"/>
    <cellStyle name="Style 82 3 4 2 11 2" xfId="26147" xr:uid="{09D1DE52-3D2E-4AEA-8584-AE6A52FE23C5}"/>
    <cellStyle name="Style 82 3 4 2 12" xfId="10094" xr:uid="{5C4F0E34-DDA4-4A09-BCAD-ACB01361FFED}"/>
    <cellStyle name="Style 82 3 4 2 12 2" xfId="26148" xr:uid="{56402508-B279-4C68-A073-3EEAEE0908C5}"/>
    <cellStyle name="Style 82 3 4 2 13" xfId="10095" xr:uid="{3BA05E0C-3FE0-48AA-9401-221FEF77DCD7}"/>
    <cellStyle name="Style 82 3 4 2 13 2" xfId="26149" xr:uid="{DFBA3901-D4CC-493A-B58B-6ECA2F64003E}"/>
    <cellStyle name="Style 82 3 4 2 14" xfId="19107" xr:uid="{638CC350-2CCD-47B3-B16B-EB0ACC17BAAE}"/>
    <cellStyle name="Style 82 3 4 2 2" xfId="4732" xr:uid="{612E9616-6FDA-4C5F-926F-CB6CC1FEEC94}"/>
    <cellStyle name="Style 82 3 4 2 2 2" xfId="10096" xr:uid="{D14DEC58-5FED-4473-A74B-2878F4672DF6}"/>
    <cellStyle name="Style 82 3 4 2 2 2 2" xfId="26150" xr:uid="{777582A5-1C4C-4BA1-9FCB-04FD670BB4C5}"/>
    <cellStyle name="Style 82 3 4 2 2 3" xfId="10097" xr:uid="{B51D1105-C92C-4C37-8399-2C2E93995FBC}"/>
    <cellStyle name="Style 82 3 4 2 2 3 2" xfId="26151" xr:uid="{B483EBB1-D52E-4780-A638-E3213C9B7D46}"/>
    <cellStyle name="Style 82 3 4 2 3" xfId="4731" xr:uid="{0BF971C9-38C6-4BD7-875C-04529D67B814}"/>
    <cellStyle name="Style 82 3 4 2 3 2" xfId="10098" xr:uid="{D4FEDF0A-A0A2-4E5A-AE6F-AA4FF62894DB}"/>
    <cellStyle name="Style 82 3 4 2 3 2 2" xfId="26152" xr:uid="{713B4649-913F-458A-BB03-B06A86CB0CAB}"/>
    <cellStyle name="Style 82 3 4 2 4" xfId="10099" xr:uid="{4AE13860-542D-491D-9C70-082B92F33509}"/>
    <cellStyle name="Style 82 3 4 2 4 2" xfId="26153" xr:uid="{C03486EB-6BFD-4ECB-81FA-D2BBD8889A87}"/>
    <cellStyle name="Style 82 3 4 2 5" xfId="10100" xr:uid="{C2A3B2CC-AC97-4227-A227-AD2E34FE665E}"/>
    <cellStyle name="Style 82 3 4 2 5 2" xfId="26154" xr:uid="{5629F64B-260B-4963-A391-3CC6DDBFC19F}"/>
    <cellStyle name="Style 82 3 4 2 6" xfId="10101" xr:uid="{896704F0-E95A-49D7-BC96-FE1E43CF2689}"/>
    <cellStyle name="Style 82 3 4 2 6 2" xfId="26155" xr:uid="{8DCF49F6-980B-4B61-82D7-D3AADC9AA51B}"/>
    <cellStyle name="Style 82 3 4 2 7" xfId="10102" xr:uid="{844C9ADC-883D-439C-8505-4DE495DDECAB}"/>
    <cellStyle name="Style 82 3 4 2 7 2" xfId="26156" xr:uid="{2B6E46E2-CD1A-4572-96CC-33819990949F}"/>
    <cellStyle name="Style 82 3 4 2 8" xfId="10103" xr:uid="{3B093B1C-D2D9-4623-9706-10FE173DE0F3}"/>
    <cellStyle name="Style 82 3 4 2 8 2" xfId="26157" xr:uid="{046BE17C-AC76-4FEE-93CD-60A0BA260EFB}"/>
    <cellStyle name="Style 82 3 4 2 9" xfId="10104" xr:uid="{25F7D804-377F-4034-95D5-B54FDE90E9F5}"/>
    <cellStyle name="Style 82 3 4 2 9 2" xfId="26158" xr:uid="{E81A20FD-5DC3-430A-9F67-9F370BFA8C94}"/>
    <cellStyle name="Style 82 3 4 3" xfId="4733" xr:uid="{7796A28F-F07E-4860-BF58-48EFFBFBBAF2}"/>
    <cellStyle name="Style 82 3 4 3 2" xfId="10105" xr:uid="{8AE8EFA7-2682-4295-B0DA-BD95D760AD56}"/>
    <cellStyle name="Style 82 3 4 3 2 2" xfId="26159" xr:uid="{6ECF2E6F-D899-4ECD-BD27-0BA774C0B8BB}"/>
    <cellStyle name="Style 82 3 4 3 3" xfId="10106" xr:uid="{AEEB184A-FA1E-47C3-A2A8-D163C3FE6D46}"/>
    <cellStyle name="Style 82 3 4 3 3 2" xfId="26160" xr:uid="{B6708FD1-DB8C-4DCC-A57B-9851A7EEDB3A}"/>
    <cellStyle name="Style 82 3 4 4" xfId="4730" xr:uid="{434FB4A5-9B71-4E28-9AFF-0C741B532A18}"/>
    <cellStyle name="Style 82 3 4 4 2" xfId="10107" xr:uid="{D0374C7C-7D17-4A6B-AF34-85D8563957F4}"/>
    <cellStyle name="Style 82 3 4 4 2 2" xfId="26161" xr:uid="{E0C80762-671D-4F88-98C2-80139713916A}"/>
    <cellStyle name="Style 82 3 4 5" xfId="10108" xr:uid="{453C851A-11C5-43AF-AA72-071625F79764}"/>
    <cellStyle name="Style 82 3 4 5 2" xfId="26162" xr:uid="{857B7E30-71C2-4F90-8D4E-BCE4B4C571CA}"/>
    <cellStyle name="Style 82 3 4 6" xfId="10109" xr:uid="{F272F766-A276-4159-9D87-1B5ED8E1382E}"/>
    <cellStyle name="Style 82 3 4 6 2" xfId="26163" xr:uid="{7EC89169-671F-4A01-BD4D-BD3D22D6A142}"/>
    <cellStyle name="Style 82 3 4 7" xfId="10110" xr:uid="{FFE3225C-2E4E-4F93-B349-1D4379879FD5}"/>
    <cellStyle name="Style 82 3 4 7 2" xfId="26164" xr:uid="{259ADD49-C8C2-4045-B19C-659DC3698010}"/>
    <cellStyle name="Style 82 3 4 8" xfId="10111" xr:uid="{E500C946-C5DA-4EB8-98A0-94FA8877EB3E}"/>
    <cellStyle name="Style 82 3 4 8 2" xfId="26165" xr:uid="{8109D91D-5420-4323-8CBD-F21EC7C8D9A1}"/>
    <cellStyle name="Style 82 3 4 9" xfId="10112" xr:uid="{296A9907-E200-4E19-8B8B-0B3373CC623C}"/>
    <cellStyle name="Style 82 3 4 9 2" xfId="26166" xr:uid="{D6591615-3E2A-4195-B355-14A38DADAD75}"/>
    <cellStyle name="Style 82 3 5" xfId="4734" xr:uid="{8CA8C437-E68D-4AE1-9BB8-B3A43EAFED64}"/>
    <cellStyle name="Style 82 3 5 2" xfId="10113" xr:uid="{FD21E369-2EC3-4AA0-BC90-15CF9F0A8942}"/>
    <cellStyle name="Style 82 3 5 2 2" xfId="10114" xr:uid="{2EC423FF-6334-49A2-B186-663BF5A39E2A}"/>
    <cellStyle name="Style 82 3 5 2 2 2" xfId="26168" xr:uid="{AF3AC2E2-841C-4551-B881-DDBE89935EA7}"/>
    <cellStyle name="Style 82 3 5 2 3" xfId="26167" xr:uid="{2FB4719D-A9EC-4AB6-AD8A-EF108DF5D5EE}"/>
    <cellStyle name="Style 82 3 5 3" xfId="10115" xr:uid="{49FFC92A-DAD1-4973-A5E0-13F15FC0B959}"/>
    <cellStyle name="Style 82 3 5 3 2" xfId="26169" xr:uid="{1633B543-85C6-4924-AEF5-407776DB9D92}"/>
    <cellStyle name="Style 82 3 5 4" xfId="10116" xr:uid="{626E815E-E2D2-4D9D-B0ED-2197E6BA49FD}"/>
    <cellStyle name="Style 82 3 5 4 2" xfId="26170" xr:uid="{237C4C3D-A9B1-4155-B179-0EC6BF0C5080}"/>
    <cellStyle name="Style 82 3 5 5" xfId="10117" xr:uid="{33609983-7008-4470-956F-520E545196A5}"/>
    <cellStyle name="Style 82 3 5 5 2" xfId="26171" xr:uid="{CC4A7D9A-7F9F-4E22-A697-C57CD6944076}"/>
    <cellStyle name="Style 82 3 6" xfId="4735" xr:uid="{F9DD2297-EA73-4217-AD3B-2BA4376D8311}"/>
    <cellStyle name="Style 82 3 6 2" xfId="10118" xr:uid="{DBC7A847-5F00-421A-9AC0-0CE31EB2D703}"/>
    <cellStyle name="Style 82 3 6 2 2" xfId="26172" xr:uid="{199A9B2D-0EFC-49FA-9CE4-9EFFA5FF74D9}"/>
    <cellStyle name="Style 82 3 6 3" xfId="10119" xr:uid="{9145E705-A741-4B3B-8BB4-71116F776CA3}"/>
    <cellStyle name="Style 82 3 6 3 2" xfId="26173" xr:uid="{D1E32469-738C-41AE-8845-068F25D6BA20}"/>
    <cellStyle name="Style 82 3 7" xfId="4720" xr:uid="{9C3A83C5-8716-458D-AC3B-DE5E9CC27A9B}"/>
    <cellStyle name="Style 82 3 7 2" xfId="10120" xr:uid="{A6D5A694-AE29-4476-B315-70BA84F43EAF}"/>
    <cellStyle name="Style 82 3 7 2 2" xfId="26174" xr:uid="{BD14E4FA-4A1C-4F6D-B00B-B5DD4AA9BD11}"/>
    <cellStyle name="Style 82 3 8" xfId="10121" xr:uid="{8F4A26C3-6E66-47BF-9ADC-C727B7C90934}"/>
    <cellStyle name="Style 82 3 8 2" xfId="26175" xr:uid="{02729263-A64F-41D7-B049-3F4D23F51D1C}"/>
    <cellStyle name="Style 82 3 9" xfId="10122" xr:uid="{6F189A4D-9CED-4F97-BCBC-D79A1B954C80}"/>
    <cellStyle name="Style 82 3 9 2" xfId="26176" xr:uid="{A5C33F87-CE2D-4864-9E3D-0D6BCF9EA836}"/>
    <cellStyle name="Style 82 4" xfId="2155" xr:uid="{D323A5E0-32B9-4A5C-9953-C7A8A3FC1507}"/>
    <cellStyle name="Style 82 4 10" xfId="10123" xr:uid="{70A0C0BC-D637-4980-A0DB-3B6CF68FF60A}"/>
    <cellStyle name="Style 82 4 10 2" xfId="26177" xr:uid="{B4DB1843-3CC2-4E4F-B1C7-222B941B5F3C}"/>
    <cellStyle name="Style 82 4 11" xfId="10124" xr:uid="{CB66ACEF-9C7E-4F01-A743-7BE26DEA1B57}"/>
    <cellStyle name="Style 82 4 11 2" xfId="26178" xr:uid="{E738DD17-F850-40EA-A93C-16AA79A75761}"/>
    <cellStyle name="Style 82 4 12" xfId="10125" xr:uid="{1F1DD52F-88BC-41FF-979F-FA9F3698F28F}"/>
    <cellStyle name="Style 82 4 12 2" xfId="26179" xr:uid="{B216792C-E337-4FDE-A18D-B0465CD059BB}"/>
    <cellStyle name="Style 82 4 13" xfId="10126" xr:uid="{4446061B-3C8D-4D57-8549-9511115C622A}"/>
    <cellStyle name="Style 82 4 13 2" xfId="26180" xr:uid="{2139CFD5-D1E1-441C-8DEE-E00D5D83B559}"/>
    <cellStyle name="Style 82 4 14" xfId="10127" xr:uid="{4E69ED92-50A0-4C41-95CB-7339878D22EF}"/>
    <cellStyle name="Style 82 4 14 2" xfId="26181" xr:uid="{693698DC-3D1C-49FB-9BD4-1E3B0A3050BE}"/>
    <cellStyle name="Style 82 4 15" xfId="10128" xr:uid="{736B55CC-1117-4BF2-96A6-F50B299B4123}"/>
    <cellStyle name="Style 82 4 15 2" xfId="26182" xr:uid="{010E3B3C-B32F-4C12-A2A4-947628A8D47A}"/>
    <cellStyle name="Style 82 4 16" xfId="19108" xr:uid="{55D665C3-9B87-4BC0-A6F5-8AFE189D8675}"/>
    <cellStyle name="Style 82 4 2" xfId="2156" xr:uid="{837D65DE-1401-44D0-B44D-651ED7BC9744}"/>
    <cellStyle name="Style 82 4 2 10" xfId="10129" xr:uid="{12952145-8464-4D90-8CFB-203774A00181}"/>
    <cellStyle name="Style 82 4 2 10 2" xfId="26183" xr:uid="{9267E6DC-F799-4998-8583-925273203E34}"/>
    <cellStyle name="Style 82 4 2 11" xfId="10130" xr:uid="{CCBFD34C-29F9-49AA-976F-30B06315A493}"/>
    <cellStyle name="Style 82 4 2 11 2" xfId="26184" xr:uid="{38D9E2FB-73A6-4E50-BD0A-27440460C7E7}"/>
    <cellStyle name="Style 82 4 2 12" xfId="10131" xr:uid="{80B973D7-E0B7-4500-AF6F-A5A16F037E9F}"/>
    <cellStyle name="Style 82 4 2 12 2" xfId="26185" xr:uid="{53DFB68B-BF13-46C1-8B1B-FAED934B7ECC}"/>
    <cellStyle name="Style 82 4 2 13" xfId="10132" xr:uid="{DB6A3235-201D-49A3-8103-C5321E2106F7}"/>
    <cellStyle name="Style 82 4 2 13 2" xfId="26186" xr:uid="{4B844B3D-C0B6-41EE-A09A-875346A3E954}"/>
    <cellStyle name="Style 82 4 2 14" xfId="19109" xr:uid="{65EB8139-64DE-4791-AF9A-7073B01E1F38}"/>
    <cellStyle name="Style 82 4 2 2" xfId="4738" xr:uid="{0497E39B-81F3-40C9-A443-3F4CF0F77ABC}"/>
    <cellStyle name="Style 82 4 2 2 2" xfId="10133" xr:uid="{A8D18BB6-66D7-4CE5-A2E7-C051DF4CB924}"/>
    <cellStyle name="Style 82 4 2 2 2 2" xfId="26187" xr:uid="{58928369-E49C-4762-B2A6-F10CFCCE30F4}"/>
    <cellStyle name="Style 82 4 2 2 3" xfId="10134" xr:uid="{614B51E8-AAF1-4BBA-915B-C5639D5E4087}"/>
    <cellStyle name="Style 82 4 2 2 3 2" xfId="26188" xr:uid="{2913AC89-DE38-485D-81F3-F655F20CB62C}"/>
    <cellStyle name="Style 82 4 2 3" xfId="4737" xr:uid="{5A5A356B-FA03-4230-B7E4-8606DC58D354}"/>
    <cellStyle name="Style 82 4 2 3 2" xfId="10135" xr:uid="{91FE36F9-0E22-4880-8EBD-4DBD383B5A1A}"/>
    <cellStyle name="Style 82 4 2 3 2 2" xfId="26189" xr:uid="{75904060-A901-4564-8B3A-7AD01D4C0DCC}"/>
    <cellStyle name="Style 82 4 2 4" xfId="10136" xr:uid="{663CDF18-BDA7-4ABE-BF90-774192462EAD}"/>
    <cellStyle name="Style 82 4 2 4 2" xfId="26190" xr:uid="{0628E190-5A26-457B-9382-9AF49D2D8A95}"/>
    <cellStyle name="Style 82 4 2 5" xfId="10137" xr:uid="{0486517D-469E-45C9-9901-C1AFE0BA1BCB}"/>
    <cellStyle name="Style 82 4 2 5 2" xfId="26191" xr:uid="{CFBEA2B6-A7CE-4E57-8D04-1DDECC4C655B}"/>
    <cellStyle name="Style 82 4 2 6" xfId="10138" xr:uid="{FD47F757-B083-4018-8C72-A744485A3CD1}"/>
    <cellStyle name="Style 82 4 2 6 2" xfId="26192" xr:uid="{5CA9DD2E-26BF-4B39-A237-81F7BFAC0367}"/>
    <cellStyle name="Style 82 4 2 7" xfId="10139" xr:uid="{EB8E66FE-FF94-4871-981C-544A5E1B6EB7}"/>
    <cellStyle name="Style 82 4 2 7 2" xfId="26193" xr:uid="{5BD56E80-F1DE-448C-9640-FA4E3404C84C}"/>
    <cellStyle name="Style 82 4 2 8" xfId="10140" xr:uid="{862CB086-923A-4B4E-908B-59BFA3CFD852}"/>
    <cellStyle name="Style 82 4 2 8 2" xfId="26194" xr:uid="{116E302D-D479-4BDF-A110-D83FD90391F8}"/>
    <cellStyle name="Style 82 4 2 9" xfId="10141" xr:uid="{F4335378-391A-40A2-BC42-6EF3989B1C3B}"/>
    <cellStyle name="Style 82 4 2 9 2" xfId="26195" xr:uid="{7ECDB843-9DA6-4A01-9EFB-8D56927F1B47}"/>
    <cellStyle name="Style 82 4 3" xfId="4739" xr:uid="{333D0AB1-AABE-4A94-886E-7CBCDDB6532D}"/>
    <cellStyle name="Style 82 4 3 2" xfId="4740" xr:uid="{91CA1CC5-1F4E-43FA-9634-1FF197CA049A}"/>
    <cellStyle name="Style 82 4 3 2 2" xfId="10142" xr:uid="{C021AAA1-5CBC-415E-9D4F-67A89F5E0B99}"/>
    <cellStyle name="Style 82 4 3 2 2 2" xfId="26196" xr:uid="{30FDD799-C182-417C-812A-669535B5AB45}"/>
    <cellStyle name="Style 82 4 3 2 3" xfId="10143" xr:uid="{0BD4BFC9-FC2B-4888-B14A-B1C52872F6B2}"/>
    <cellStyle name="Style 82 4 3 2 3 2" xfId="26197" xr:uid="{33454C14-4021-4CA2-A2E4-01194B434245}"/>
    <cellStyle name="Style 82 4 3 3" xfId="10144" xr:uid="{318C68F1-C76E-4E73-91C2-4B98B20E623F}"/>
    <cellStyle name="Style 82 4 3 3 2" xfId="26198" xr:uid="{CFC25B5F-06E2-4937-BBF1-E4E725E7A696}"/>
    <cellStyle name="Style 82 4 3 4" xfId="10145" xr:uid="{9C05AC59-14BE-4776-8693-CFC3D0BCADD5}"/>
    <cellStyle name="Style 82 4 3 4 2" xfId="26199" xr:uid="{B207115E-8B15-4C70-9B55-5D2A5D7B6210}"/>
    <cellStyle name="Style 82 4 3 5" xfId="10146" xr:uid="{DD926704-EA52-4213-B724-7CFAD164C3BE}"/>
    <cellStyle name="Style 82 4 3 5 2" xfId="26200" xr:uid="{ACE06231-D7C5-4061-A9BC-1DFF16C256E5}"/>
    <cellStyle name="Style 82 4 3 6" xfId="19110" xr:uid="{948CDAE3-2AD9-407D-BA42-AA3FCA546D57}"/>
    <cellStyle name="Style 82 4 4" xfId="4741" xr:uid="{84454082-3900-4183-895B-09851C7654AE}"/>
    <cellStyle name="Style 82 4 4 2" xfId="10147" xr:uid="{233B1B47-25DC-482E-8E7D-4EBD60078998}"/>
    <cellStyle name="Style 82 4 4 2 2" xfId="26201" xr:uid="{849F2B21-2784-4E6D-AF80-4D7C5323AE71}"/>
    <cellStyle name="Style 82 4 4 3" xfId="10148" xr:uid="{B3BB6541-24FF-4BAD-904A-ADEF9A532D53}"/>
    <cellStyle name="Style 82 4 4 3 2" xfId="26202" xr:uid="{395AE2A8-C1E1-44B7-843F-2F1E1FED1952}"/>
    <cellStyle name="Style 82 4 5" xfId="4742" xr:uid="{721BFBCA-E12F-4BC0-BD2A-F4AB960B7D8F}"/>
    <cellStyle name="Style 82 4 5 2" xfId="10149" xr:uid="{D154BD8D-6FC3-433B-88BC-5028931F8A93}"/>
    <cellStyle name="Style 82 4 5 2 2" xfId="26203" xr:uid="{C3E15A11-5C98-4D27-ABF9-554C3FCF4AF2}"/>
    <cellStyle name="Style 82 4 6" xfId="4736" xr:uid="{FFC304A0-9282-42D4-B54B-1332BDB5B757}"/>
    <cellStyle name="Style 82 4 6 2" xfId="10150" xr:uid="{9948D7DF-BA8C-4107-A971-33FBB2E05FB8}"/>
    <cellStyle name="Style 82 4 6 2 2" xfId="26204" xr:uid="{6463A29F-8FD5-40DA-9BCC-2ADD637A168F}"/>
    <cellStyle name="Style 82 4 7" xfId="10151" xr:uid="{4A15DCB7-5650-4EFE-97ED-51A85AF3983D}"/>
    <cellStyle name="Style 82 4 7 2" xfId="26205" xr:uid="{C3E17B81-E21A-47C6-BBAE-54B9F9E4F388}"/>
    <cellStyle name="Style 82 4 8" xfId="10152" xr:uid="{F8742C22-F313-470F-9808-07BBD5550B1C}"/>
    <cellStyle name="Style 82 4 8 2" xfId="26206" xr:uid="{34CD5E05-8E9A-4E71-B1D4-139300703D6B}"/>
    <cellStyle name="Style 82 4 9" xfId="10153" xr:uid="{D049D385-B59D-4D81-A9D4-52AAB59D8C76}"/>
    <cellStyle name="Style 82 4 9 2" xfId="26207" xr:uid="{19F1F8B0-CC2B-4031-AC5A-79B9C35EB212}"/>
    <cellStyle name="Style 82 5" xfId="2157" xr:uid="{11B08DC6-2CE9-4B99-BC4E-D8785EBCCE11}"/>
    <cellStyle name="Style 82 5 10" xfId="10154" xr:uid="{85DFDCF9-6C54-433E-A782-9C0E8E7E662D}"/>
    <cellStyle name="Style 82 5 10 2" xfId="26208" xr:uid="{AC968934-9AA4-4E1A-A74A-96312E27C6F9}"/>
    <cellStyle name="Style 82 5 11" xfId="10155" xr:uid="{A7A19559-3228-4027-98EC-9DF888ED3995}"/>
    <cellStyle name="Style 82 5 11 2" xfId="26209" xr:uid="{0513C7D2-563F-409D-BEC8-E09492B49842}"/>
    <cellStyle name="Style 82 5 12" xfId="10156" xr:uid="{E432A20B-7CB7-4F0D-B6BA-99095D06A272}"/>
    <cellStyle name="Style 82 5 12 2" xfId="26210" xr:uid="{4CD22CDB-329B-43C1-A3B2-080750352649}"/>
    <cellStyle name="Style 82 5 13" xfId="10157" xr:uid="{12023169-7D7C-4B4D-92AD-0C2BD39DEA75}"/>
    <cellStyle name="Style 82 5 13 2" xfId="26211" xr:uid="{4D0B8671-1C79-46BB-84C5-FF8F3A399502}"/>
    <cellStyle name="Style 82 5 14" xfId="10158" xr:uid="{E28DD9EE-66D3-402D-A40D-C55A04666249}"/>
    <cellStyle name="Style 82 5 14 2" xfId="26212" xr:uid="{0F2E2312-2AD1-49FD-B8C6-CB95C79F966E}"/>
    <cellStyle name="Style 82 5 15" xfId="19111" xr:uid="{CA93C89A-D6EE-4027-ABF1-5C953587D3A8}"/>
    <cellStyle name="Style 82 5 2" xfId="2158" xr:uid="{1923E5A1-2886-4FA0-A698-2143D28876FC}"/>
    <cellStyle name="Style 82 5 2 10" xfId="10159" xr:uid="{D65FF28C-23A5-45E4-A8E5-18B2F5E35FDB}"/>
    <cellStyle name="Style 82 5 2 10 2" xfId="26213" xr:uid="{296F68EC-3D9A-4B3E-9B79-44A19FD3711F}"/>
    <cellStyle name="Style 82 5 2 11" xfId="10160" xr:uid="{94B41C1B-CF0B-489F-9D41-B68B7E720B84}"/>
    <cellStyle name="Style 82 5 2 11 2" xfId="26214" xr:uid="{38443C67-16BD-430C-8592-0B08548438CC}"/>
    <cellStyle name="Style 82 5 2 12" xfId="10161" xr:uid="{902B5B6F-1584-4DCA-A2C4-85EED9A4EEEA}"/>
    <cellStyle name="Style 82 5 2 12 2" xfId="26215" xr:uid="{A8EFD8B7-7390-426E-B672-5F36E0F006F9}"/>
    <cellStyle name="Style 82 5 2 13" xfId="10162" xr:uid="{10394F47-B176-4BE8-9FE3-1154D04E5F95}"/>
    <cellStyle name="Style 82 5 2 13 2" xfId="26216" xr:uid="{83A7D33D-EAB0-4DE3-A15E-EE165C756B51}"/>
    <cellStyle name="Style 82 5 2 14" xfId="19112" xr:uid="{2BFA6E14-3D69-4848-9AC9-87C71D16E772}"/>
    <cellStyle name="Style 82 5 2 2" xfId="4745" xr:uid="{2CF38C6A-4153-4856-B196-F71CFC2CE6B9}"/>
    <cellStyle name="Style 82 5 2 2 2" xfId="10163" xr:uid="{554475C5-2287-432E-9DA5-66F35DF68011}"/>
    <cellStyle name="Style 82 5 2 2 2 2" xfId="26217" xr:uid="{268202FF-A642-48F9-A074-9A7DD4993FEC}"/>
    <cellStyle name="Style 82 5 2 2 3" xfId="10164" xr:uid="{4E70C07F-6169-491D-8776-B3F209DE5F98}"/>
    <cellStyle name="Style 82 5 2 2 3 2" xfId="26218" xr:uid="{3C29031D-CE9A-4594-8A5D-60C1A310D2AB}"/>
    <cellStyle name="Style 82 5 2 3" xfId="4744" xr:uid="{0F386F04-C0D3-4C24-A0A8-EF8D9F7DF150}"/>
    <cellStyle name="Style 82 5 2 3 2" xfId="10165" xr:uid="{A1A3F19B-7657-4681-A37B-66918F011CC5}"/>
    <cellStyle name="Style 82 5 2 3 2 2" xfId="26219" xr:uid="{4B45F64E-3A61-4488-9442-E725FB1B2C62}"/>
    <cellStyle name="Style 82 5 2 4" xfId="10166" xr:uid="{72AEFEA9-A514-45CD-92C8-9FE83DAC64B9}"/>
    <cellStyle name="Style 82 5 2 4 2" xfId="26220" xr:uid="{C92E5F4E-C07F-4B47-94BB-1AF1094A88AB}"/>
    <cellStyle name="Style 82 5 2 5" xfId="10167" xr:uid="{13E30483-47AB-4FC6-954E-3E52FF4540DF}"/>
    <cellStyle name="Style 82 5 2 5 2" xfId="26221" xr:uid="{F2145AEF-905A-4C6E-890E-BC24930C8537}"/>
    <cellStyle name="Style 82 5 2 6" xfId="10168" xr:uid="{85658C9D-7CFA-4494-9282-6D3288D47054}"/>
    <cellStyle name="Style 82 5 2 6 2" xfId="26222" xr:uid="{5B2D2659-5218-4938-BA25-ADC43A294890}"/>
    <cellStyle name="Style 82 5 2 7" xfId="10169" xr:uid="{351B2AA4-32BA-4335-9DA4-6D3086D38CFF}"/>
    <cellStyle name="Style 82 5 2 7 2" xfId="26223" xr:uid="{4C758EB3-CFE6-46B6-B9CB-C16FE53A0AA1}"/>
    <cellStyle name="Style 82 5 2 8" xfId="10170" xr:uid="{FD9DC686-4790-439C-A1DF-D767C9894D54}"/>
    <cellStyle name="Style 82 5 2 8 2" xfId="26224" xr:uid="{3FAB51EB-9B86-4194-AC07-96E541DE58A8}"/>
    <cellStyle name="Style 82 5 2 9" xfId="10171" xr:uid="{CD4BF922-294C-4182-A7ED-817F54272BFB}"/>
    <cellStyle name="Style 82 5 2 9 2" xfId="26225" xr:uid="{24842657-066A-420C-A7D7-526D591D6BDB}"/>
    <cellStyle name="Style 82 5 3" xfId="4746" xr:uid="{E24B90D6-AA49-42BA-BDA5-CCB291CA0415}"/>
    <cellStyle name="Style 82 5 3 2" xfId="10172" xr:uid="{BBC3167C-3082-4810-817C-10C32AB6DBBF}"/>
    <cellStyle name="Style 82 5 3 2 2" xfId="26226" xr:uid="{A898F033-6649-4114-A1A8-6CEE401BA473}"/>
    <cellStyle name="Style 82 5 3 3" xfId="10173" xr:uid="{552A5BCF-CA1E-42D7-9956-179D2CBFF5C9}"/>
    <cellStyle name="Style 82 5 3 3 2" xfId="26227" xr:uid="{1B538008-1C58-4DDC-93E5-C125D1FA7D5F}"/>
    <cellStyle name="Style 82 5 4" xfId="4743" xr:uid="{07711D3C-F11C-4119-85D5-2DF335DEB54A}"/>
    <cellStyle name="Style 82 5 4 2" xfId="10174" xr:uid="{55B80F22-FC8E-427D-A5F8-592BEA7AE68D}"/>
    <cellStyle name="Style 82 5 4 2 2" xfId="26228" xr:uid="{9F029B0C-480E-4851-8A31-EB0CA54F2249}"/>
    <cellStyle name="Style 82 5 5" xfId="10175" xr:uid="{6AD78F81-1E50-4640-91CB-7D41F151F5E0}"/>
    <cellStyle name="Style 82 5 5 2" xfId="26229" xr:uid="{E9CF6199-BB42-4D3D-B25E-4B6ABF9322ED}"/>
    <cellStyle name="Style 82 5 6" xfId="10176" xr:uid="{AAF2E4B5-6D85-4850-A96C-7A8859905716}"/>
    <cellStyle name="Style 82 5 6 2" xfId="26230" xr:uid="{D18CD579-DCE1-4A8A-B943-DCD06D9BB801}"/>
    <cellStyle name="Style 82 5 7" xfId="10177" xr:uid="{28B4E3E8-062B-4515-8790-90E08D54BB1C}"/>
    <cellStyle name="Style 82 5 7 2" xfId="26231" xr:uid="{9CB27360-B374-4EDB-88AC-F49444F28294}"/>
    <cellStyle name="Style 82 5 8" xfId="10178" xr:uid="{DC7767AD-E956-48CF-8591-BA8598A30427}"/>
    <cellStyle name="Style 82 5 8 2" xfId="26232" xr:uid="{B41E6506-EE17-4977-B671-F671F53EB211}"/>
    <cellStyle name="Style 82 5 9" xfId="10179" xr:uid="{507C165F-FD62-4645-AE15-FB9F161DD725}"/>
    <cellStyle name="Style 82 5 9 2" xfId="26233" xr:uid="{8416485E-35A3-49F2-BCFC-2B523ECB57C1}"/>
    <cellStyle name="Style 82 6" xfId="2159" xr:uid="{5F7C4EB7-C430-40BE-8490-B983E9FEEBF9}"/>
    <cellStyle name="Style 82 6 10" xfId="10180" xr:uid="{871D727D-27D7-4BA1-8473-EC966A22E5EC}"/>
    <cellStyle name="Style 82 6 10 2" xfId="26234" xr:uid="{92A057E1-4B73-4202-A005-03B04DCB4247}"/>
    <cellStyle name="Style 82 6 11" xfId="10181" xr:uid="{B62FD693-EF15-4A4E-9EA5-9356F8CC7759}"/>
    <cellStyle name="Style 82 6 11 2" xfId="26235" xr:uid="{B551FCD6-B645-43AA-8DF7-B168D429248C}"/>
    <cellStyle name="Style 82 6 12" xfId="10182" xr:uid="{D28E9A33-419F-4868-999B-CD6550E52367}"/>
    <cellStyle name="Style 82 6 12 2" xfId="26236" xr:uid="{A8BF5DF5-ED52-4850-9EB3-E281F6A607DC}"/>
    <cellStyle name="Style 82 6 13" xfId="10183" xr:uid="{D31AF1BB-594C-4588-B016-3FE2769A65BC}"/>
    <cellStyle name="Style 82 6 13 2" xfId="26237" xr:uid="{A531AC0B-D65B-44B1-81C9-59F69ED93A41}"/>
    <cellStyle name="Style 82 6 14" xfId="10184" xr:uid="{895623EB-4300-4788-AF0B-260EC8BF9FED}"/>
    <cellStyle name="Style 82 6 14 2" xfId="26238" xr:uid="{FB1F75C2-5878-4042-993F-83F3906BE74B}"/>
    <cellStyle name="Style 82 6 15" xfId="19113" xr:uid="{26740C74-3911-42D0-9664-2C606415B688}"/>
    <cellStyle name="Style 82 6 2" xfId="2160" xr:uid="{54EE2FCE-8B58-499C-A2CB-E243C78CD950}"/>
    <cellStyle name="Style 82 6 2 10" xfId="10185" xr:uid="{E73226A8-AE8A-418A-AD5C-716FE7763419}"/>
    <cellStyle name="Style 82 6 2 10 2" xfId="26239" xr:uid="{5364CAD7-A994-400B-9018-D58949095854}"/>
    <cellStyle name="Style 82 6 2 11" xfId="10186" xr:uid="{2FAAB7AA-3820-4E33-8B6C-FBEDBA550901}"/>
    <cellStyle name="Style 82 6 2 11 2" xfId="26240" xr:uid="{BD5CF50C-87A3-4151-AF84-B2A23724AA32}"/>
    <cellStyle name="Style 82 6 2 12" xfId="10187" xr:uid="{3C97A4CD-648A-4AE2-8AF0-4734362A802E}"/>
    <cellStyle name="Style 82 6 2 12 2" xfId="26241" xr:uid="{4046D335-57C6-4867-9DF4-34AEDEF23A02}"/>
    <cellStyle name="Style 82 6 2 2" xfId="4748" xr:uid="{4494C668-2404-4EB1-81BA-24524DEA5E08}"/>
    <cellStyle name="Style 82 6 2 2 2" xfId="10188" xr:uid="{1C1118A8-B2E9-481D-9037-753D985D8FA4}"/>
    <cellStyle name="Style 82 6 2 2 2 2" xfId="26242" xr:uid="{ACA6C46B-10F6-4982-974B-956B583E14BB}"/>
    <cellStyle name="Style 82 6 2 2 3" xfId="10189" xr:uid="{B947970B-87D1-46C6-9B8E-30DAEC1C3EBC}"/>
    <cellStyle name="Style 82 6 2 2 3 2" xfId="26243" xr:uid="{7A4D4FD7-C6D0-431B-AF42-A9A2CEDE1329}"/>
    <cellStyle name="Style 82 6 2 3" xfId="10190" xr:uid="{E21C4008-48F6-4288-823F-B4CA3695E482}"/>
    <cellStyle name="Style 82 6 2 3 2" xfId="26244" xr:uid="{DA7418CC-6E9E-4934-BCD9-3D58D4DD9D16}"/>
    <cellStyle name="Style 82 6 2 4" xfId="10191" xr:uid="{8048B5DF-EAED-45CD-890A-F9223BEE519D}"/>
    <cellStyle name="Style 82 6 2 4 2" xfId="26245" xr:uid="{30718EB7-B293-48A8-996E-8AFC6A26A55D}"/>
    <cellStyle name="Style 82 6 2 5" xfId="10192" xr:uid="{01CF8516-D1D8-4ED0-831A-34744FC81319}"/>
    <cellStyle name="Style 82 6 2 5 2" xfId="26246" xr:uid="{5995546B-567E-476E-A617-A6A92EF136F5}"/>
    <cellStyle name="Style 82 6 2 6" xfId="10193" xr:uid="{FDC60C68-A973-403D-BC17-1C90686DCAE1}"/>
    <cellStyle name="Style 82 6 2 6 2" xfId="26247" xr:uid="{9A8E76CB-BE43-4B6A-9FFB-4C0CD79F1845}"/>
    <cellStyle name="Style 82 6 2 7" xfId="10194" xr:uid="{F10CD511-B45D-498B-A44F-087DF2C83844}"/>
    <cellStyle name="Style 82 6 2 7 2" xfId="26248" xr:uid="{7D95F098-C8B0-4A7D-B2DD-CD4437E5D7F9}"/>
    <cellStyle name="Style 82 6 2 8" xfId="10195" xr:uid="{1A1006A2-6B75-43F2-B792-71957A21657F}"/>
    <cellStyle name="Style 82 6 2 8 2" xfId="26249" xr:uid="{FEB0760B-347E-481D-A626-2A1C1AE97CA6}"/>
    <cellStyle name="Style 82 6 2 9" xfId="10196" xr:uid="{6CC3251F-092C-439D-8FD1-6AADCE4D3275}"/>
    <cellStyle name="Style 82 6 2 9 2" xfId="26250" xr:uid="{94DD47B0-4BE0-431F-8107-AAC44780093F}"/>
    <cellStyle name="Style 82 6 3" xfId="2784" xr:uid="{2F1EF038-B74D-42A0-A991-F436D76ED105}"/>
    <cellStyle name="Style 82 6 3 2" xfId="4749" xr:uid="{7D06D940-8BBF-407D-8B7B-C0685D5D2F20}"/>
    <cellStyle name="Style 82 6 3 2 2" xfId="10197" xr:uid="{7F5B30B5-E744-4153-9412-60ABF189052C}"/>
    <cellStyle name="Style 82 6 3 2 2 2" xfId="26251" xr:uid="{5AAE40BD-0754-4347-8B60-123B13B7C77C}"/>
    <cellStyle name="Style 82 6 3 2 3" xfId="22531" xr:uid="{18B68867-FC2B-45B6-BC0D-0995699BC67D}"/>
    <cellStyle name="Style 82 6 3 3" xfId="10198" xr:uid="{7144854D-D26D-49D8-95AB-44DDA84D3A2B}"/>
    <cellStyle name="Style 82 6 3 3 2" xfId="26252" xr:uid="{0DF3EA87-B276-4994-87FD-47C1C17711BC}"/>
    <cellStyle name="Style 82 6 4" xfId="4747" xr:uid="{47A93CA0-BEB0-4FA3-A609-99F8B9A8A4E1}"/>
    <cellStyle name="Style 82 6 4 2" xfId="10199" xr:uid="{924FB740-5959-44A7-955C-FF1E523E9E8B}"/>
    <cellStyle name="Style 82 6 4 2 2" xfId="26253" xr:uid="{6D035793-6864-4B3A-9AC4-11CAFE9F7D46}"/>
    <cellStyle name="Style 82 6 5" xfId="10200" xr:uid="{36B4835B-5AAC-40E2-9908-2FB73327695E}"/>
    <cellStyle name="Style 82 6 5 2" xfId="26254" xr:uid="{E30CFE58-78A8-402D-99D5-7FAB1A6C144A}"/>
    <cellStyle name="Style 82 6 6" xfId="10201" xr:uid="{20CAA459-3BB7-43D0-8630-71D37EEA1FA8}"/>
    <cellStyle name="Style 82 6 6 2" xfId="26255" xr:uid="{C76BE1EA-936C-4CFD-B719-CF73F5D7B7F0}"/>
    <cellStyle name="Style 82 6 7" xfId="10202" xr:uid="{6DC2FF61-13D8-480D-8EE1-7B87C1E3A23D}"/>
    <cellStyle name="Style 82 6 7 2" xfId="26256" xr:uid="{DDB39456-C42B-4F0C-BE0C-E0FB652133CF}"/>
    <cellStyle name="Style 82 6 8" xfId="10203" xr:uid="{A06C1B9B-B896-406C-B77D-FD1A6AF6717E}"/>
    <cellStyle name="Style 82 6 8 2" xfId="26257" xr:uid="{B2392205-58AC-4EA7-943C-13A3474CD364}"/>
    <cellStyle name="Style 82 6 9" xfId="10204" xr:uid="{65EAF4D5-3192-47B7-B44B-2CB3821A63D2}"/>
    <cellStyle name="Style 82 6 9 2" xfId="26258" xr:uid="{900BACD5-8B38-4C52-8747-FE5FA8E300FB}"/>
    <cellStyle name="Style 82 7" xfId="2783" xr:uid="{D71036BF-7488-4BD6-AC55-96D04D8A9A25}"/>
    <cellStyle name="Style 82 7 2" xfId="4751" xr:uid="{1BE46707-C3BF-4379-A62E-F237EECB0A7C}"/>
    <cellStyle name="Style 82 7 2 2" xfId="10205" xr:uid="{D63AC0C8-3BC3-47B9-8A48-A656C8C60F28}"/>
    <cellStyle name="Style 82 7 2 2 2" xfId="26259" xr:uid="{F3181892-3FE3-496E-AFE5-783AF8F3C102}"/>
    <cellStyle name="Style 82 7 3" xfId="4752" xr:uid="{24549B2D-9858-4BEA-A8A1-C83661FFDF5B}"/>
    <cellStyle name="Style 82 7 4" xfId="4750" xr:uid="{1313C82D-0599-4EF2-A531-416E2A89AEB9}"/>
    <cellStyle name="Style 82 7 4 2" xfId="22530" xr:uid="{9FD46025-3EBC-4942-BDAA-65DFF190C0EE}"/>
    <cellStyle name="Style 82 7 5" xfId="10206" xr:uid="{B81A9206-0A18-4C61-B33D-DF22FD974881}"/>
    <cellStyle name="Style 82 7 5 2" xfId="26260" xr:uid="{5EC153F8-B30A-45C6-A62C-8B9E73996407}"/>
    <cellStyle name="Style 82 7 6" xfId="19114" xr:uid="{5D873637-256B-49E7-81FB-C89BB5389F9F}"/>
    <cellStyle name="Style 82 8" xfId="4753" xr:uid="{FA1FFBFF-1025-4E6E-B60C-13BDACB16B16}"/>
    <cellStyle name="Style 82 8 2" xfId="10207" xr:uid="{FEC7A6E5-1AC1-4CC0-B0B2-6146CB60C1BA}"/>
    <cellStyle name="Style 82 8 2 2" xfId="26261" xr:uid="{6D255ADD-872D-4807-A16C-5B618A2A6400}"/>
    <cellStyle name="Style 82 9" xfId="4754" xr:uid="{E3A92D0D-EE51-4649-9CB7-DED106F3D19D}"/>
    <cellStyle name="Style 82 9 2" xfId="10208" xr:uid="{B314C106-45C9-4D1E-BFC8-AF8E8A0E9DE1}"/>
    <cellStyle name="Style 82 9 2 2" xfId="26262" xr:uid="{A3B6D7B1-0EF3-4F8B-B3A3-205F6B168C50}"/>
    <cellStyle name="Style 82_ADDON" xfId="20500" xr:uid="{12BED480-F92E-45BB-87E2-7FE288968D88}"/>
    <cellStyle name="Style 83" xfId="2161" xr:uid="{38B5DBF2-F181-4AC8-9517-A497F49E9DA0}"/>
    <cellStyle name="Style 83 10" xfId="4755" xr:uid="{7016D2DC-0D81-45E1-96CC-ABB81EBD7393}"/>
    <cellStyle name="Style 83 10 2" xfId="10209" xr:uid="{89E5E238-0C48-421B-A05A-439A058F7B31}"/>
    <cellStyle name="Style 83 10 2 2" xfId="26263" xr:uid="{58FEEE84-6595-4901-B1F5-76C5B7983BA6}"/>
    <cellStyle name="Style 83 11" xfId="10210" xr:uid="{BFBDA43E-D7A7-4D9D-8F78-99CFA5AF4E4E}"/>
    <cellStyle name="Style 83 11 2" xfId="10211" xr:uid="{9D681FF3-EACD-4AA6-A8DE-0C8CEA540CF8}"/>
    <cellStyle name="Style 83 11 2 2" xfId="26264" xr:uid="{9A620E83-5909-4EF8-8FF5-DC6C01F0288D}"/>
    <cellStyle name="Style 83 11 3" xfId="21314" xr:uid="{498C94CD-DDB9-4B6D-869A-281B624CD92E}"/>
    <cellStyle name="Style 83 12" xfId="10212" xr:uid="{4C3F14F5-4DE1-44ED-BFB5-DF644A283585}"/>
    <cellStyle name="Style 83 12 2" xfId="26265" xr:uid="{44C9A145-4C97-4DAD-A816-87760F328632}"/>
    <cellStyle name="Style 83 13" xfId="10213" xr:uid="{1EFFD361-6E83-4408-9757-3D254FAAD55E}"/>
    <cellStyle name="Style 83 13 2" xfId="26266" xr:uid="{2AE92A79-7A60-406E-83B1-844639A9F408}"/>
    <cellStyle name="Style 83 14" xfId="10214" xr:uid="{B10BC493-8C34-41D7-8F07-8D02E5116E67}"/>
    <cellStyle name="Style 83 14 2" xfId="26267" xr:uid="{48C5C5F2-5534-434E-8117-E847304CF5EA}"/>
    <cellStyle name="Style 83 15" xfId="10215" xr:uid="{0D7EECB8-D563-4FA9-9480-C31132E9CBAF}"/>
    <cellStyle name="Style 83 15 2" xfId="26268" xr:uid="{1B162631-2455-4C9B-8CC5-87480620A8DF}"/>
    <cellStyle name="Style 83 16" xfId="10216" xr:uid="{04D70CDE-138B-4CB3-A7EC-2DA59839D7B0}"/>
    <cellStyle name="Style 83 16 2" xfId="26269" xr:uid="{A1D785AC-6D06-46F0-8200-38A5103E9737}"/>
    <cellStyle name="Style 83 17" xfId="10217" xr:uid="{5BAD5DCD-DC74-453D-BBC5-79EB8B2FC859}"/>
    <cellStyle name="Style 83 17 2" xfId="26270" xr:uid="{64AA3CE7-3DC8-4A74-B924-AF5B59DE5E06}"/>
    <cellStyle name="Style 83 18" xfId="10218" xr:uid="{20663303-2451-4160-A928-38193B2B63AA}"/>
    <cellStyle name="Style 83 18 2" xfId="26271" xr:uid="{E8D26410-9640-475E-8A1B-7D51C1199434}"/>
    <cellStyle name="Style 83 19" xfId="10219" xr:uid="{7B76019E-B85A-4469-8CA0-EFEE5174668B}"/>
    <cellStyle name="Style 83 19 2" xfId="26272" xr:uid="{EDB857B0-C626-4557-9CAE-B698859D1372}"/>
    <cellStyle name="Style 83 2" xfId="2162" xr:uid="{476AC7A4-9EE0-433F-B854-3B1BA7C0CC83}"/>
    <cellStyle name="Style 83 2 10" xfId="10220" xr:uid="{15BC4C62-0A9A-4497-BFED-148ACA07BC37}"/>
    <cellStyle name="Style 83 2 10 2" xfId="26273" xr:uid="{29100FD5-2B16-4F3D-8A65-999AFD8A3596}"/>
    <cellStyle name="Style 83 2 11" xfId="10221" xr:uid="{2DF1C880-8FD0-4B8E-B6CD-5EA68F8122F5}"/>
    <cellStyle name="Style 83 2 11 2" xfId="26274" xr:uid="{AD0BC9D4-CD8A-4A1D-96C2-7F2759E9A843}"/>
    <cellStyle name="Style 83 2 12" xfId="10222" xr:uid="{E7D9F191-C2CD-49C7-8642-82EEFC8CD321}"/>
    <cellStyle name="Style 83 2 12 2" xfId="26275" xr:uid="{742F191F-A8E4-4C72-9B90-FBFAB4CE16FE}"/>
    <cellStyle name="Style 83 2 13" xfId="10223" xr:uid="{C986E02C-2A23-454A-9311-2FDBF1580917}"/>
    <cellStyle name="Style 83 2 13 2" xfId="26276" xr:uid="{EE9D0D9B-0412-422E-994B-C3B219D91E8F}"/>
    <cellStyle name="Style 83 2 14" xfId="10224" xr:uid="{90B2FDD3-FC00-4C1F-8292-D17E4741A5F8}"/>
    <cellStyle name="Style 83 2 14 2" xfId="26277" xr:uid="{4D3FF9B0-7083-4170-A8EB-65C4E83E112A}"/>
    <cellStyle name="Style 83 2 15" xfId="10225" xr:uid="{2C7F7FFF-E332-4598-B22E-657365390C49}"/>
    <cellStyle name="Style 83 2 15 2" xfId="26278" xr:uid="{F22C3BD5-DD5A-4E5C-B7B9-1AEE048EA38B}"/>
    <cellStyle name="Style 83 2 16" xfId="10226" xr:uid="{999BF838-AFDC-4B6E-AD02-0D0980B462DE}"/>
    <cellStyle name="Style 83 2 16 2" xfId="26279" xr:uid="{DEAAA9F8-9787-448B-A123-0E5C5BE98039}"/>
    <cellStyle name="Style 83 2 17" xfId="10227" xr:uid="{C74F4B62-01FA-4059-B42C-5D40A938DCA8}"/>
    <cellStyle name="Style 83 2 17 2" xfId="26280" xr:uid="{1131FC83-57C4-4D58-BCE1-4021A6C41EFF}"/>
    <cellStyle name="Style 83 2 2" xfId="2163" xr:uid="{14516707-6405-46EF-98E5-2F0CC7130331}"/>
    <cellStyle name="Style 83 2 2 10" xfId="10228" xr:uid="{2532C922-6509-42C4-98DB-9002F8319769}"/>
    <cellStyle name="Style 83 2 2 10 2" xfId="26281" xr:uid="{B2AEFD0E-0F1B-47AF-8FD2-C392C52F138E}"/>
    <cellStyle name="Style 83 2 2 11" xfId="10229" xr:uid="{7C876CB8-8F51-4A34-B661-CCCCBD46E343}"/>
    <cellStyle name="Style 83 2 2 11 2" xfId="26282" xr:uid="{D35068BD-FE82-4153-8206-39EAF0EB9C90}"/>
    <cellStyle name="Style 83 2 2 12" xfId="10230" xr:uid="{6D7A236A-29CA-4C42-B78B-C4CD2D85500A}"/>
    <cellStyle name="Style 83 2 2 12 2" xfId="26283" xr:uid="{50BFC94B-8DC5-4C43-86CE-DB638422DB2C}"/>
    <cellStyle name="Style 83 2 2 13" xfId="10231" xr:uid="{8441C526-CC6F-4F48-BC5A-1B68D1A3CA83}"/>
    <cellStyle name="Style 83 2 2 13 2" xfId="26284" xr:uid="{5C4B186C-ABFF-4760-A7B3-5B38599719B9}"/>
    <cellStyle name="Style 83 2 2 14" xfId="10232" xr:uid="{3DA00FCF-6779-48A1-B018-B51904B7E4B6}"/>
    <cellStyle name="Style 83 2 2 14 2" xfId="26285" xr:uid="{30807840-0907-4C66-A778-114B89BC7231}"/>
    <cellStyle name="Style 83 2 2 15" xfId="10233" xr:uid="{B08C2B87-D862-4CD7-AC3E-4B47C34D3101}"/>
    <cellStyle name="Style 83 2 2 15 2" xfId="26286" xr:uid="{6DC745A9-34A0-4260-AC2D-11ABC6D5794A}"/>
    <cellStyle name="Style 83 2 2 16" xfId="10234" xr:uid="{A639071C-D734-406D-B0A5-F8A013C00F10}"/>
    <cellStyle name="Style 83 2 2 16 2" xfId="26287" xr:uid="{8D49FAD1-7323-46A5-B3B8-B312E9F20213}"/>
    <cellStyle name="Style 83 2 2 2" xfId="2164" xr:uid="{D525508B-1895-4A5B-96B0-77E44A929EE9}"/>
    <cellStyle name="Style 83 2 2 2 10" xfId="10235" xr:uid="{A3EE9EC0-D54A-459F-93D3-BE3136EFAADC}"/>
    <cellStyle name="Style 83 2 2 2 10 2" xfId="26288" xr:uid="{EC5315FD-291A-445C-A420-893CC19D5951}"/>
    <cellStyle name="Style 83 2 2 2 11" xfId="10236" xr:uid="{E91526C8-8613-4AEB-8A01-18372D61BE2A}"/>
    <cellStyle name="Style 83 2 2 2 11 2" xfId="26289" xr:uid="{5732ECC6-93D3-442B-8826-DADEDDF6FCAC}"/>
    <cellStyle name="Style 83 2 2 2 12" xfId="10237" xr:uid="{692CD3FA-7233-4881-9D38-AC8549168BE4}"/>
    <cellStyle name="Style 83 2 2 2 12 2" xfId="26290" xr:uid="{3283BDE8-97EF-4AD7-93AA-445AA78CD43C}"/>
    <cellStyle name="Style 83 2 2 2 13" xfId="10238" xr:uid="{47AEB29E-CD77-464F-B9EF-C886F0C652C1}"/>
    <cellStyle name="Style 83 2 2 2 13 2" xfId="26291" xr:uid="{F4AFE6D8-D175-4E37-9966-DA5A6E6D213E}"/>
    <cellStyle name="Style 83 2 2 2 14" xfId="10239" xr:uid="{CF5E3A5B-E010-49BD-AC9A-78EC1C5CB99C}"/>
    <cellStyle name="Style 83 2 2 2 14 2" xfId="26292" xr:uid="{21DC2EE0-5827-4631-8511-1C9E7D607197}"/>
    <cellStyle name="Style 83 2 2 2 15" xfId="10240" xr:uid="{8151AC21-8343-4AF8-B1E0-568DEC11B5B1}"/>
    <cellStyle name="Style 83 2 2 2 15 2" xfId="26293" xr:uid="{231CAAFC-AEC4-4E2B-B46A-578AB5D3E9B5}"/>
    <cellStyle name="Style 83 2 2 2 2" xfId="2165" xr:uid="{136590A1-D6E1-4DB0-8641-61005A8673CC}"/>
    <cellStyle name="Style 83 2 2 2 2 10" xfId="10241" xr:uid="{92751C7D-E124-4E44-A433-370D9189CA53}"/>
    <cellStyle name="Style 83 2 2 2 2 10 2" xfId="26294" xr:uid="{12870D05-9520-4B0C-A3B8-18F3569230C0}"/>
    <cellStyle name="Style 83 2 2 2 2 11" xfId="10242" xr:uid="{A61FA619-F1EF-4CDB-A482-FEC1D1C06F3B}"/>
    <cellStyle name="Style 83 2 2 2 2 11 2" xfId="26295" xr:uid="{EEF31352-650C-4DB3-9C05-FA46E7F2DAD2}"/>
    <cellStyle name="Style 83 2 2 2 2 12" xfId="10243" xr:uid="{A55134AC-C595-4E82-B01B-F6A1363A6824}"/>
    <cellStyle name="Style 83 2 2 2 2 12 2" xfId="26296" xr:uid="{A4500F5D-7742-4C5A-AD0D-7F6644EEC619}"/>
    <cellStyle name="Style 83 2 2 2 2 13" xfId="10244" xr:uid="{50C3B486-085D-4B7C-A1C8-836552FB99D7}"/>
    <cellStyle name="Style 83 2 2 2 2 13 2" xfId="26297" xr:uid="{22CF3674-F9F1-459B-8F71-C58CC0600570}"/>
    <cellStyle name="Style 83 2 2 2 2 14" xfId="10245" xr:uid="{CD5048C7-CCF4-4041-89C6-C39628F9F8E6}"/>
    <cellStyle name="Style 83 2 2 2 2 14 2" xfId="26298" xr:uid="{284EFE2F-0EDB-452F-9120-FE2A4ED5BCEB}"/>
    <cellStyle name="Style 83 2 2 2 2 2" xfId="2166" xr:uid="{41F23CC7-9963-4A87-90F2-3E12A48B6997}"/>
    <cellStyle name="Style 83 2 2 2 2 2 10" xfId="10246" xr:uid="{681D3EC9-4DC7-47A7-B8D9-CE56C892E29B}"/>
    <cellStyle name="Style 83 2 2 2 2 2 10 2" xfId="26299" xr:uid="{D4D68A3D-3C75-472D-AE12-12E09D4C2FEA}"/>
    <cellStyle name="Style 83 2 2 2 2 2 11" xfId="10247" xr:uid="{B5732B2F-1A86-4513-A7CE-D343B2136712}"/>
    <cellStyle name="Style 83 2 2 2 2 2 11 2" xfId="26300" xr:uid="{915D561D-6EAE-48FC-A465-1FAD7C5225CA}"/>
    <cellStyle name="Style 83 2 2 2 2 2 12" xfId="10248" xr:uid="{542E86A0-686E-4105-A4B7-F5177CA1AECF}"/>
    <cellStyle name="Style 83 2 2 2 2 2 12 2" xfId="26301" xr:uid="{E1DA7F81-4D78-4A34-BDF1-58B4C3F2E78C}"/>
    <cellStyle name="Style 83 2 2 2 2 2 2" xfId="4760" xr:uid="{FA818595-F378-4771-9825-B82528C88D26}"/>
    <cellStyle name="Style 83 2 2 2 2 2 2 2" xfId="10249" xr:uid="{1AEEE49B-2F36-469C-B35F-71D3832B08CC}"/>
    <cellStyle name="Style 83 2 2 2 2 2 2 2 2" xfId="26302" xr:uid="{F5EEFD2C-6AD1-4422-AE3B-F502212B2B56}"/>
    <cellStyle name="Style 83 2 2 2 2 2 2 3" xfId="10250" xr:uid="{356CE821-8BDD-41CA-B8D0-722CB347BCC4}"/>
    <cellStyle name="Style 83 2 2 2 2 2 2 3 2" xfId="26303" xr:uid="{6131EC7A-3458-4A7C-86C6-5D882DFE1E6A}"/>
    <cellStyle name="Style 83 2 2 2 2 2 3" xfId="10251" xr:uid="{C42B232B-7786-43DF-905A-A61654EB0244}"/>
    <cellStyle name="Style 83 2 2 2 2 2 3 2" xfId="10252" xr:uid="{903C0D93-A0DF-4C69-B499-F31AFD81F779}"/>
    <cellStyle name="Style 83 2 2 2 2 2 3 2 2" xfId="26304" xr:uid="{298CB935-24DB-4191-940F-1C6B39E9E6EC}"/>
    <cellStyle name="Style 83 2 2 2 2 2 4" xfId="10253" xr:uid="{4332B4E0-E4EA-4FDC-92FA-E67391991B40}"/>
    <cellStyle name="Style 83 2 2 2 2 2 4 2" xfId="26305" xr:uid="{57543D7C-F943-4BCE-A564-59C84D174B64}"/>
    <cellStyle name="Style 83 2 2 2 2 2 5" xfId="10254" xr:uid="{A34C9B5F-A07E-472E-956C-426F34CCF16F}"/>
    <cellStyle name="Style 83 2 2 2 2 2 5 2" xfId="26306" xr:uid="{C585C3E6-3DBE-43E7-B006-CCA3893E3044}"/>
    <cellStyle name="Style 83 2 2 2 2 2 6" xfId="10255" xr:uid="{77AB0B07-713D-4E61-A53E-9AC82247BA0D}"/>
    <cellStyle name="Style 83 2 2 2 2 2 6 2" xfId="26307" xr:uid="{42ECB690-29CC-4D14-AEBC-1D1E7CC887D7}"/>
    <cellStyle name="Style 83 2 2 2 2 2 7" xfId="10256" xr:uid="{28E789E3-5B38-4A9E-9BF7-9FA133F11841}"/>
    <cellStyle name="Style 83 2 2 2 2 2 7 2" xfId="26308" xr:uid="{E26C1ABA-948F-478D-9317-014B67FFC940}"/>
    <cellStyle name="Style 83 2 2 2 2 2 8" xfId="10257" xr:uid="{9DAFCEA0-801A-4968-8A98-CF32270D901C}"/>
    <cellStyle name="Style 83 2 2 2 2 2 8 2" xfId="26309" xr:uid="{A6CCDB08-7AB0-4946-A490-7ECE2A928E3C}"/>
    <cellStyle name="Style 83 2 2 2 2 2 9" xfId="10258" xr:uid="{A0E4D234-7121-4C44-9714-412E2ECED383}"/>
    <cellStyle name="Style 83 2 2 2 2 2 9 2" xfId="26310" xr:uid="{A3261498-64F8-46A1-8388-31CF943BE2E8}"/>
    <cellStyle name="Style 83 2 2 2 2 3" xfId="4759" xr:uid="{3210E950-30C3-4B70-822D-9B5F7EB76658}"/>
    <cellStyle name="Style 83 2 2 2 2 3 2" xfId="10259" xr:uid="{517C196C-56E3-4ADC-B2D9-50D224950197}"/>
    <cellStyle name="Style 83 2 2 2 2 3 2 2" xfId="26311" xr:uid="{6C79A906-22E5-45FC-B955-2A0CE2FCA945}"/>
    <cellStyle name="Style 83 2 2 2 2 3 3" xfId="10260" xr:uid="{7E5BD9D3-4C3B-421D-8F50-52952AEEBFCB}"/>
    <cellStyle name="Style 83 2 2 2 2 3 3 2" xfId="26312" xr:uid="{7C7A0086-920D-45D5-8E38-628FFE8C54D0}"/>
    <cellStyle name="Style 83 2 2 2 2 4" xfId="10261" xr:uid="{516B2FC7-65C4-4EC2-88F7-A128FF331532}"/>
    <cellStyle name="Style 83 2 2 2 2 4 2" xfId="10262" xr:uid="{C780157E-7408-4109-AA12-55B140ADD8A4}"/>
    <cellStyle name="Style 83 2 2 2 2 4 2 2" xfId="26313" xr:uid="{BB3E040C-FAEC-4AEF-B032-8317529DD587}"/>
    <cellStyle name="Style 83 2 2 2 2 5" xfId="10263" xr:uid="{0FBE5B3D-DD30-4A3F-AFFE-0F125927C8BA}"/>
    <cellStyle name="Style 83 2 2 2 2 5 2" xfId="26314" xr:uid="{8EEE56FB-9DDD-4CB0-907B-E3E96A98BCE4}"/>
    <cellStyle name="Style 83 2 2 2 2 6" xfId="10264" xr:uid="{7283D350-0371-440B-AD18-ADA0D253DF14}"/>
    <cellStyle name="Style 83 2 2 2 2 6 2" xfId="26315" xr:uid="{40E05E8A-BDB5-45AA-973B-F7C73597D7E0}"/>
    <cellStyle name="Style 83 2 2 2 2 7" xfId="10265" xr:uid="{3538D8D3-D619-4330-877F-43C6722C31B1}"/>
    <cellStyle name="Style 83 2 2 2 2 7 2" xfId="26316" xr:uid="{4FB546CF-55B0-40D6-938D-F5B583CE9D50}"/>
    <cellStyle name="Style 83 2 2 2 2 8" xfId="10266" xr:uid="{B5903981-4EB9-4BBD-870B-07FE5D8E2457}"/>
    <cellStyle name="Style 83 2 2 2 2 8 2" xfId="26317" xr:uid="{9F21C292-C266-4FCD-A6F6-A546AF7612E9}"/>
    <cellStyle name="Style 83 2 2 2 2 9" xfId="10267" xr:uid="{B3170D86-2594-4E60-8FBA-A05C92778155}"/>
    <cellStyle name="Style 83 2 2 2 2 9 2" xfId="26318" xr:uid="{41FD0DD8-25DF-4F66-9630-C4BF8A835198}"/>
    <cellStyle name="Style 83 2 2 2 3" xfId="2167" xr:uid="{F46CF6B5-B9CB-465B-B765-168D61A4A76C}"/>
    <cellStyle name="Style 83 2 2 2 3 10" xfId="10268" xr:uid="{2AF8DF3B-D65F-47E8-AB69-BA23A0DC7E5D}"/>
    <cellStyle name="Style 83 2 2 2 3 10 2" xfId="26319" xr:uid="{852F934C-B965-40D5-9C51-86BAF29667C2}"/>
    <cellStyle name="Style 83 2 2 2 3 11" xfId="10269" xr:uid="{1854FE71-3B94-4F2D-A860-4B0036325854}"/>
    <cellStyle name="Style 83 2 2 2 3 11 2" xfId="26320" xr:uid="{41AE7D76-E6B9-4BEA-B731-53E3B2631E5D}"/>
    <cellStyle name="Style 83 2 2 2 3 12" xfId="10270" xr:uid="{11BEB0F7-FD2D-4231-ACA3-4E2847931A35}"/>
    <cellStyle name="Style 83 2 2 2 3 12 2" xfId="26321" xr:uid="{F42B74F3-2991-4311-A18F-069938AF4439}"/>
    <cellStyle name="Style 83 2 2 2 3 2" xfId="4761" xr:uid="{2A98B27B-10FD-468A-A361-0AFC4B365529}"/>
    <cellStyle name="Style 83 2 2 2 3 2 2" xfId="10271" xr:uid="{8A909A71-9D61-474F-9CA2-B841CAC80415}"/>
    <cellStyle name="Style 83 2 2 2 3 2 2 2" xfId="26322" xr:uid="{12DD876C-FC2B-4740-8C51-CD88AAE90E69}"/>
    <cellStyle name="Style 83 2 2 2 3 2 3" xfId="10272" xr:uid="{E7A96473-364F-4AD0-94C5-5D80A6F819D2}"/>
    <cellStyle name="Style 83 2 2 2 3 2 3 2" xfId="26323" xr:uid="{2478573A-C19B-401C-B48E-F46B3825AFD7}"/>
    <cellStyle name="Style 83 2 2 2 3 3" xfId="10273" xr:uid="{1A7FAB99-0FBC-4536-99A3-583976AB37B6}"/>
    <cellStyle name="Style 83 2 2 2 3 3 2" xfId="10274" xr:uid="{544B3F95-35AA-49F3-AE0B-42FEBB2BBC77}"/>
    <cellStyle name="Style 83 2 2 2 3 3 2 2" xfId="26324" xr:uid="{86994BA4-0BC6-4B64-90F5-02FFC50B814E}"/>
    <cellStyle name="Style 83 2 2 2 3 4" xfId="10275" xr:uid="{DE914226-1BC5-4DD8-B006-37EBCACC1B9C}"/>
    <cellStyle name="Style 83 2 2 2 3 4 2" xfId="26325" xr:uid="{630FCC72-4793-4B1E-A630-265C0397F82C}"/>
    <cellStyle name="Style 83 2 2 2 3 5" xfId="10276" xr:uid="{62AF6101-A80E-4BBA-A248-24DDB7512E0C}"/>
    <cellStyle name="Style 83 2 2 2 3 5 2" xfId="26326" xr:uid="{A6B24AD3-692B-4619-B169-C6FDCD1B0BCC}"/>
    <cellStyle name="Style 83 2 2 2 3 6" xfId="10277" xr:uid="{9DAF4B02-345F-433D-805C-450A075CA7CB}"/>
    <cellStyle name="Style 83 2 2 2 3 6 2" xfId="26327" xr:uid="{C410A7A2-D5CB-4199-9ABE-B43E291C78B3}"/>
    <cellStyle name="Style 83 2 2 2 3 7" xfId="10278" xr:uid="{6AF50290-310C-480F-BD6F-E0892DE38CF5}"/>
    <cellStyle name="Style 83 2 2 2 3 7 2" xfId="26328" xr:uid="{36B7AD94-F43C-4FA4-A614-07A65566662A}"/>
    <cellStyle name="Style 83 2 2 2 3 8" xfId="10279" xr:uid="{0383165B-09A7-4B83-B6F0-4EAE407D5CB7}"/>
    <cellStyle name="Style 83 2 2 2 3 8 2" xfId="26329" xr:uid="{4497E354-BC58-4CF9-9579-EF5D5B35AF92}"/>
    <cellStyle name="Style 83 2 2 2 3 9" xfId="10280" xr:uid="{EC818802-2B48-497A-8D05-D37DD29F7F58}"/>
    <cellStyle name="Style 83 2 2 2 3 9 2" xfId="26330" xr:uid="{B52880D7-AFCE-47A0-98BD-6A40FD993BFE}"/>
    <cellStyle name="Style 83 2 2 2 4" xfId="4758" xr:uid="{4691B6F3-B391-4A2E-BA7F-53CEF4E87FC3}"/>
    <cellStyle name="Style 83 2 2 2 4 2" xfId="10281" xr:uid="{FAD12F1B-959E-405B-BBCE-0AA59F460189}"/>
    <cellStyle name="Style 83 2 2 2 4 2 2" xfId="26331" xr:uid="{412F5176-16D4-4DF3-8192-86EC4ACABC32}"/>
    <cellStyle name="Style 83 2 2 2 4 3" xfId="10282" xr:uid="{8319721B-E586-4280-A09A-616B34D0DE7C}"/>
    <cellStyle name="Style 83 2 2 2 4 3 2" xfId="26332" xr:uid="{CF0E3E36-6686-44FC-A02B-4AD0559F9A44}"/>
    <cellStyle name="Style 83 2 2 2 5" xfId="10283" xr:uid="{233B1C2B-0C7E-4B54-B898-3A4D9B05E06C}"/>
    <cellStyle name="Style 83 2 2 2 5 2" xfId="10284" xr:uid="{9B8B6B00-7817-48C4-AD0D-8B7631348C04}"/>
    <cellStyle name="Style 83 2 2 2 5 2 2" xfId="26333" xr:uid="{6E322F5C-6AA8-4FEF-81C3-0A9FB6F91E4D}"/>
    <cellStyle name="Style 83 2 2 2 6" xfId="10285" xr:uid="{46A4539F-431C-4929-933E-CB45EF6C8876}"/>
    <cellStyle name="Style 83 2 2 2 6 2" xfId="26334" xr:uid="{CCDB5906-E4B9-4653-8A7F-7EF5305A8357}"/>
    <cellStyle name="Style 83 2 2 2 7" xfId="10286" xr:uid="{E88BF013-73F3-4B26-9F2E-CEE02DAABCB3}"/>
    <cellStyle name="Style 83 2 2 2 7 2" xfId="26335" xr:uid="{89DCB675-4B52-40B4-A90C-05A8D1612A31}"/>
    <cellStyle name="Style 83 2 2 2 8" xfId="10287" xr:uid="{05F41DF3-BD2F-42D6-96C2-D3644EDDF20C}"/>
    <cellStyle name="Style 83 2 2 2 8 2" xfId="26336" xr:uid="{AAD3A62D-9C76-4005-ADFF-087A1449D5F2}"/>
    <cellStyle name="Style 83 2 2 2 9" xfId="10288" xr:uid="{ECE7FF80-DE47-4600-AFA0-C41A4A73ECE4}"/>
    <cellStyle name="Style 83 2 2 2 9 2" xfId="26337" xr:uid="{D9DA9D66-072A-4538-A0C1-E180528929F1}"/>
    <cellStyle name="Style 83 2 2 3" xfId="2168" xr:uid="{FE9DA184-0C12-4E0B-99FB-18A0F903F077}"/>
    <cellStyle name="Style 83 2 2 3 10" xfId="10289" xr:uid="{089032A3-42CE-467A-9448-F5CA49B5004F}"/>
    <cellStyle name="Style 83 2 2 3 10 2" xfId="26338" xr:uid="{D46AFB93-F216-4626-A719-2DD06F4DF399}"/>
    <cellStyle name="Style 83 2 2 3 11" xfId="10290" xr:uid="{27C1D6C9-8358-4385-92E2-CA68AA1AE89A}"/>
    <cellStyle name="Style 83 2 2 3 11 2" xfId="26339" xr:uid="{B782CA69-4F14-4CA4-AB26-47D41FDDA69A}"/>
    <cellStyle name="Style 83 2 2 3 12" xfId="10291" xr:uid="{38C58F2C-3A9C-4AFC-8091-1A60E25735F6}"/>
    <cellStyle name="Style 83 2 2 3 12 2" xfId="26340" xr:uid="{78FEAB9E-1C29-43E4-BACB-F9B323BF45D9}"/>
    <cellStyle name="Style 83 2 2 3 13" xfId="10292" xr:uid="{03A48BBF-BD37-46EB-8506-670126DC398E}"/>
    <cellStyle name="Style 83 2 2 3 13 2" xfId="26341" xr:uid="{F52BD292-1DDD-4057-B2C9-A1196E4D51D7}"/>
    <cellStyle name="Style 83 2 2 3 14" xfId="10293" xr:uid="{BFBF560B-575B-48BD-9626-B010E3157D33}"/>
    <cellStyle name="Style 83 2 2 3 14 2" xfId="26342" xr:uid="{952FA171-E747-4A50-91E8-79A3B8E0C35D}"/>
    <cellStyle name="Style 83 2 2 3 2" xfId="2169" xr:uid="{B8767CB4-1A10-4F8C-B246-6FCE18F027F3}"/>
    <cellStyle name="Style 83 2 2 3 2 10" xfId="10294" xr:uid="{3D0DDB47-6796-48EE-8B1C-7D9E97605912}"/>
    <cellStyle name="Style 83 2 2 3 2 10 2" xfId="26343" xr:uid="{046C631E-7B1B-4BB2-9E6C-2209A3DB6B23}"/>
    <cellStyle name="Style 83 2 2 3 2 11" xfId="10295" xr:uid="{F709EDB3-9EE4-4369-A919-4E5429C660B4}"/>
    <cellStyle name="Style 83 2 2 3 2 11 2" xfId="26344" xr:uid="{94CED223-F8A9-4493-BD98-139FAE6E2A54}"/>
    <cellStyle name="Style 83 2 2 3 2 12" xfId="10296" xr:uid="{4AD3B924-9027-4ECA-B4B7-FB582AF9D200}"/>
    <cellStyle name="Style 83 2 2 3 2 12 2" xfId="26345" xr:uid="{1A3D38F1-8E8C-4433-A087-622A0DEDA02B}"/>
    <cellStyle name="Style 83 2 2 3 2 2" xfId="4763" xr:uid="{9345E2BB-AFB0-4551-BE5D-22DEE5AB0ECD}"/>
    <cellStyle name="Style 83 2 2 3 2 2 2" xfId="10297" xr:uid="{F0520264-F281-47D9-BC2D-7F19E0444947}"/>
    <cellStyle name="Style 83 2 2 3 2 2 2 2" xfId="26346" xr:uid="{8F217FB6-41CC-4D74-ACF2-35834FF904D8}"/>
    <cellStyle name="Style 83 2 2 3 2 2 3" xfId="10298" xr:uid="{2703E7EF-2DF0-48BE-A817-EC00BE689243}"/>
    <cellStyle name="Style 83 2 2 3 2 2 3 2" xfId="26347" xr:uid="{8BF7989C-3E80-49C1-B7C2-B267C2032FC4}"/>
    <cellStyle name="Style 83 2 2 3 2 3" xfId="10299" xr:uid="{EF90C7E7-3F7F-4041-ADCA-3EFE685D1D44}"/>
    <cellStyle name="Style 83 2 2 3 2 3 2" xfId="10300" xr:uid="{BDF45764-9A35-4C60-B3DD-0C0A9E974F71}"/>
    <cellStyle name="Style 83 2 2 3 2 3 2 2" xfId="26348" xr:uid="{EEFCD59D-8DD4-4BAE-B719-A3A0F25E358F}"/>
    <cellStyle name="Style 83 2 2 3 2 4" xfId="10301" xr:uid="{B7BBA6E5-2FD5-4206-AA3A-C611B46F3904}"/>
    <cellStyle name="Style 83 2 2 3 2 4 2" xfId="26349" xr:uid="{84066807-B458-4CCB-86DD-FF9D1B7A03BC}"/>
    <cellStyle name="Style 83 2 2 3 2 5" xfId="10302" xr:uid="{BCBBE04F-6776-45D1-B4CB-AD1CDACCF19B}"/>
    <cellStyle name="Style 83 2 2 3 2 5 2" xfId="26350" xr:uid="{09B27A04-ABE6-4A7A-9494-F5BF05C05C5C}"/>
    <cellStyle name="Style 83 2 2 3 2 6" xfId="10303" xr:uid="{F1115356-7A6A-4595-A06C-F13C4BF83285}"/>
    <cellStyle name="Style 83 2 2 3 2 6 2" xfId="26351" xr:uid="{F222390A-2E8B-4AB2-8CA4-E32B169F062A}"/>
    <cellStyle name="Style 83 2 2 3 2 7" xfId="10304" xr:uid="{3EA18D82-B2AF-48AC-BD91-AD567294C768}"/>
    <cellStyle name="Style 83 2 2 3 2 7 2" xfId="26352" xr:uid="{A24F0407-E646-4FB0-BF2D-589BDEC31608}"/>
    <cellStyle name="Style 83 2 2 3 2 8" xfId="10305" xr:uid="{A65ED09E-3E81-4CB6-A7F7-8DD29B52F2D5}"/>
    <cellStyle name="Style 83 2 2 3 2 8 2" xfId="26353" xr:uid="{6D2BA1B9-A524-4B6F-8CAD-DDCED0CDE361}"/>
    <cellStyle name="Style 83 2 2 3 2 9" xfId="10306" xr:uid="{49626A97-6212-42AD-B38C-7C36C900911B}"/>
    <cellStyle name="Style 83 2 2 3 2 9 2" xfId="26354" xr:uid="{D2246B07-850C-4190-B3B6-DF13C880289B}"/>
    <cellStyle name="Style 83 2 2 3 3" xfId="4762" xr:uid="{019F9BD4-096B-4977-9521-8370C4D6D364}"/>
    <cellStyle name="Style 83 2 2 3 3 2" xfId="10307" xr:uid="{370D3F4B-0288-4DBA-B0E1-AC470C2B92EA}"/>
    <cellStyle name="Style 83 2 2 3 3 2 2" xfId="26355" xr:uid="{D4A95E23-7A5F-4F2A-912A-E0FBA35DE5A8}"/>
    <cellStyle name="Style 83 2 2 3 3 3" xfId="10308" xr:uid="{0B2EC142-7D23-4E28-AEC0-98F7EF09B459}"/>
    <cellStyle name="Style 83 2 2 3 3 3 2" xfId="26356" xr:uid="{746BB48D-9621-4514-8F89-95C2B1141803}"/>
    <cellStyle name="Style 83 2 2 3 4" xfId="10309" xr:uid="{53B01038-D43E-46D3-B6B3-B461971C7FE7}"/>
    <cellStyle name="Style 83 2 2 3 4 2" xfId="10310" xr:uid="{A342B2CD-453C-4700-8E89-03B1389FB787}"/>
    <cellStyle name="Style 83 2 2 3 4 2 2" xfId="26357" xr:uid="{1ED3F484-5C01-467F-B3DE-A011F0C35EE1}"/>
    <cellStyle name="Style 83 2 2 3 5" xfId="10311" xr:uid="{160BE95A-D8D3-48FC-A48B-C2D298D36F64}"/>
    <cellStyle name="Style 83 2 2 3 5 2" xfId="26358" xr:uid="{1D5BC8C4-025F-4B3C-9EA6-EE9A90F0DB34}"/>
    <cellStyle name="Style 83 2 2 3 6" xfId="10312" xr:uid="{55BD8794-2801-448C-9F29-C5EA01F4A00B}"/>
    <cellStyle name="Style 83 2 2 3 6 2" xfId="26359" xr:uid="{E431DF72-D234-4C19-B31A-1F7D8FFDAABD}"/>
    <cellStyle name="Style 83 2 2 3 7" xfId="10313" xr:uid="{A0AEAD32-D883-4CEF-AE9C-3D4238B1FC61}"/>
    <cellStyle name="Style 83 2 2 3 7 2" xfId="26360" xr:uid="{5EA24D1C-5780-49B5-BF39-E18AFB00E24A}"/>
    <cellStyle name="Style 83 2 2 3 8" xfId="10314" xr:uid="{F2060774-7B58-4109-93DC-FC259B37CF73}"/>
    <cellStyle name="Style 83 2 2 3 8 2" xfId="26361" xr:uid="{532503C7-7F5F-4177-BA08-1ED293BFB100}"/>
    <cellStyle name="Style 83 2 2 3 9" xfId="10315" xr:uid="{3B0AF655-399C-488C-A834-E9FE55C73466}"/>
    <cellStyle name="Style 83 2 2 3 9 2" xfId="26362" xr:uid="{E0B8CEB5-55BF-4228-84F4-01750B736518}"/>
    <cellStyle name="Style 83 2 2 4" xfId="2170" xr:uid="{3AD17EC4-1249-44A6-81F4-2B9D2B26C5E1}"/>
    <cellStyle name="Style 83 2 2 4 10" xfId="10316" xr:uid="{C7826244-E54A-4B00-8856-625BA20F6E9A}"/>
    <cellStyle name="Style 83 2 2 4 10 2" xfId="26363" xr:uid="{D57B14E1-2E94-4DBF-B9C8-07F4350F56CA}"/>
    <cellStyle name="Style 83 2 2 4 11" xfId="10317" xr:uid="{B5A81E5B-DFEE-4DB9-BA41-E0EF9F567154}"/>
    <cellStyle name="Style 83 2 2 4 11 2" xfId="26364" xr:uid="{EC17F399-DC4D-41E9-8BF3-C88A85849045}"/>
    <cellStyle name="Style 83 2 2 4 12" xfId="10318" xr:uid="{90C62779-C360-4456-99EA-FD8DDB59AC55}"/>
    <cellStyle name="Style 83 2 2 4 12 2" xfId="26365" xr:uid="{0C16E89A-3E4A-4186-A945-0FBFED9AA933}"/>
    <cellStyle name="Style 83 2 2 4 2" xfId="4764" xr:uid="{064C304D-80B5-4011-AC0F-C1D12D9140C0}"/>
    <cellStyle name="Style 83 2 2 4 2 2" xfId="10319" xr:uid="{3C80477B-DB7E-428E-9415-B60D67FA7528}"/>
    <cellStyle name="Style 83 2 2 4 2 2 2" xfId="26366" xr:uid="{EC5D8C81-7B95-4B2A-9AB7-E87B7D07A3B2}"/>
    <cellStyle name="Style 83 2 2 4 2 3" xfId="10320" xr:uid="{8DD23B62-5372-439A-AE80-2C3A615AF8F3}"/>
    <cellStyle name="Style 83 2 2 4 2 3 2" xfId="26367" xr:uid="{0B5A7545-282D-47DD-A1C4-990B35B37CEA}"/>
    <cellStyle name="Style 83 2 2 4 3" xfId="10321" xr:uid="{A9E43BFE-2780-47EB-AF20-7EA4909489DB}"/>
    <cellStyle name="Style 83 2 2 4 3 2" xfId="10322" xr:uid="{BDA6CFF1-DAFB-47B4-B5C8-D4B9592DE8C3}"/>
    <cellStyle name="Style 83 2 2 4 3 2 2" xfId="26368" xr:uid="{3DB4A49E-D240-4306-B8C5-EB270C8C832E}"/>
    <cellStyle name="Style 83 2 2 4 4" xfId="10323" xr:uid="{4C901368-C71B-41D4-8A6C-547DDDA1C964}"/>
    <cellStyle name="Style 83 2 2 4 4 2" xfId="26369" xr:uid="{37CF52B6-19C8-484A-BAAD-A594675A180C}"/>
    <cellStyle name="Style 83 2 2 4 5" xfId="10324" xr:uid="{DAF3A482-C11E-4E27-A3EE-C9C7F8494F96}"/>
    <cellStyle name="Style 83 2 2 4 5 2" xfId="26370" xr:uid="{E68BAB9E-38A6-4045-9180-05CC0D593BBB}"/>
    <cellStyle name="Style 83 2 2 4 6" xfId="10325" xr:uid="{3337ACF0-79F5-4363-BF04-1C3EB5EDB3DC}"/>
    <cellStyle name="Style 83 2 2 4 6 2" xfId="26371" xr:uid="{B324403A-4C26-4636-86D8-FFB0B9F22DFA}"/>
    <cellStyle name="Style 83 2 2 4 7" xfId="10326" xr:uid="{6AC58E9D-15CA-4BE9-A62D-530FEC9CAF50}"/>
    <cellStyle name="Style 83 2 2 4 7 2" xfId="26372" xr:uid="{80A350E6-17E1-4ADF-9C64-CB548DF64D18}"/>
    <cellStyle name="Style 83 2 2 4 8" xfId="10327" xr:uid="{B7957E43-CAFC-4816-BD34-13B04D4B2CD9}"/>
    <cellStyle name="Style 83 2 2 4 8 2" xfId="26373" xr:uid="{D6B90FAE-8975-4CEF-8334-9D7F9404B87C}"/>
    <cellStyle name="Style 83 2 2 4 9" xfId="10328" xr:uid="{F7FDD9BC-5D5C-4757-8971-7E0F2F6A6C77}"/>
    <cellStyle name="Style 83 2 2 4 9 2" xfId="26374" xr:uid="{2C341EC4-458B-4B7D-9FC3-732A3F1D6A75}"/>
    <cellStyle name="Style 83 2 2 5" xfId="4757" xr:uid="{DFF6BBE8-197D-47CB-83B5-4EE6F2708E7C}"/>
    <cellStyle name="Style 83 2 2 5 2" xfId="10329" xr:uid="{8EF2B4A2-F965-4138-9B02-3DD9D202FCC3}"/>
    <cellStyle name="Style 83 2 2 5 2 2" xfId="26375" xr:uid="{C4768DEA-486A-45C8-BEB3-B336B82AF24A}"/>
    <cellStyle name="Style 83 2 2 5 3" xfId="10330" xr:uid="{138E6453-6B3E-4ADC-8C7A-892C2CB5614C}"/>
    <cellStyle name="Style 83 2 2 5 3 2" xfId="26376" xr:uid="{31EF9772-7DB8-4EB2-AE17-B837125B7C1B}"/>
    <cellStyle name="Style 83 2 2 6" xfId="10331" xr:uid="{3746CE0C-DC08-4359-A802-064C7A5B41F0}"/>
    <cellStyle name="Style 83 2 2 6 2" xfId="10332" xr:uid="{DEF6F4AC-0360-4BFD-ACFB-8774BD03C66B}"/>
    <cellStyle name="Style 83 2 2 6 2 2" xfId="26377" xr:uid="{8513F937-7FE2-4971-9910-9A968B3B8D01}"/>
    <cellStyle name="Style 83 2 2 7" xfId="10333" xr:uid="{12D41192-927B-4B23-BC59-4771BE799EF3}"/>
    <cellStyle name="Style 83 2 2 7 2" xfId="26378" xr:uid="{8F27BC5D-0CA7-4C74-88C6-BC9DEAD25D58}"/>
    <cellStyle name="Style 83 2 2 8" xfId="10334" xr:uid="{64E23146-3DC2-4E12-A3AB-96C31A8C7890}"/>
    <cellStyle name="Style 83 2 2 8 2" xfId="26379" xr:uid="{11E74278-4AF3-484B-8BAD-E5D86DE3047F}"/>
    <cellStyle name="Style 83 2 2 9" xfId="10335" xr:uid="{8138A3B1-F4C9-4A54-AA5F-2F71D51EFED9}"/>
    <cellStyle name="Style 83 2 2 9 2" xfId="26380" xr:uid="{E41E039C-BE9B-4ED6-91A6-64345B7A16EF}"/>
    <cellStyle name="Style 83 2 3" xfId="2171" xr:uid="{91CA555C-7AF0-4AD5-9097-050A3943C572}"/>
    <cellStyle name="Style 83 2 3 10" xfId="10336" xr:uid="{BD7311BE-6238-41D7-B516-BCD04AF48D83}"/>
    <cellStyle name="Style 83 2 3 10 2" xfId="26381" xr:uid="{4248758E-5084-4D20-83DE-64B64E0747A2}"/>
    <cellStyle name="Style 83 2 3 11" xfId="10337" xr:uid="{8FA10395-DD29-48E7-89D1-291B0F089882}"/>
    <cellStyle name="Style 83 2 3 11 2" xfId="26382" xr:uid="{DDBAAD51-6366-4992-9597-42ABF2DE9C8F}"/>
    <cellStyle name="Style 83 2 3 12" xfId="10338" xr:uid="{1F45E30A-D8FE-4CD4-83AF-68E2CD48419F}"/>
    <cellStyle name="Style 83 2 3 12 2" xfId="26383" xr:uid="{8930AE73-B839-4673-8AE5-C9ADD1C46759}"/>
    <cellStyle name="Style 83 2 3 13" xfId="10339" xr:uid="{9957608F-0AAC-4AFA-8818-FE5974BD4EE7}"/>
    <cellStyle name="Style 83 2 3 13 2" xfId="26384" xr:uid="{98467525-E974-4BBE-B19B-86E6B6E25B29}"/>
    <cellStyle name="Style 83 2 3 14" xfId="10340" xr:uid="{DD7139E7-76AD-4571-B65C-6566B35540FE}"/>
    <cellStyle name="Style 83 2 3 14 2" xfId="26385" xr:uid="{262E6F2F-569D-4600-9697-E68420F722AD}"/>
    <cellStyle name="Style 83 2 3 15" xfId="10341" xr:uid="{88A23A2C-6D29-4CB5-A77C-D61360B51840}"/>
    <cellStyle name="Style 83 2 3 15 2" xfId="26386" xr:uid="{2B67B5AD-1B52-4EC1-A5F9-185BF459802F}"/>
    <cellStyle name="Style 83 2 3 2" xfId="2172" xr:uid="{7CEEC06C-B464-41E3-8A7F-4A20E03928EE}"/>
    <cellStyle name="Style 83 2 3 2 10" xfId="10342" xr:uid="{A267B9CA-66AA-4838-9515-4B65361260C6}"/>
    <cellStyle name="Style 83 2 3 2 10 2" xfId="26387" xr:uid="{0B75738D-4AA9-4DC8-B3EF-AAEB7865AEDD}"/>
    <cellStyle name="Style 83 2 3 2 11" xfId="10343" xr:uid="{342026D0-335D-4709-AA1C-628BAA281517}"/>
    <cellStyle name="Style 83 2 3 2 11 2" xfId="26388" xr:uid="{32CEA25E-DE12-4383-9304-C35F9C608E81}"/>
    <cellStyle name="Style 83 2 3 2 12" xfId="10344" xr:uid="{DD22A7CB-AF11-47B0-AFEA-B59C0125260D}"/>
    <cellStyle name="Style 83 2 3 2 12 2" xfId="26389" xr:uid="{91A30DA1-8BF5-4F61-AA7F-84C453F9535E}"/>
    <cellStyle name="Style 83 2 3 2 13" xfId="10345" xr:uid="{A998DC20-B639-4615-83FC-7809336E93D1}"/>
    <cellStyle name="Style 83 2 3 2 13 2" xfId="26390" xr:uid="{8B8752C3-0A39-42F6-8A3B-A197374034B6}"/>
    <cellStyle name="Style 83 2 3 2 14" xfId="10346" xr:uid="{C76A38A2-2E64-4974-97CF-7F0ADEF65AC9}"/>
    <cellStyle name="Style 83 2 3 2 14 2" xfId="26391" xr:uid="{ED37B96A-B8E2-402D-8A0F-1E181BC2E4EF}"/>
    <cellStyle name="Style 83 2 3 2 2" xfId="2173" xr:uid="{88A19B2A-8D07-4E72-9C7E-0020A8BE48D7}"/>
    <cellStyle name="Style 83 2 3 2 2 10" xfId="10347" xr:uid="{A30C680A-CB44-4E21-8026-EC53EE1FE249}"/>
    <cellStyle name="Style 83 2 3 2 2 10 2" xfId="26392" xr:uid="{B7B941AF-3536-4187-A026-5BFFE9CDEBAC}"/>
    <cellStyle name="Style 83 2 3 2 2 11" xfId="10348" xr:uid="{CD22DF01-716B-43AC-850F-8D595C87A68F}"/>
    <cellStyle name="Style 83 2 3 2 2 11 2" xfId="26393" xr:uid="{9476C8E8-D044-4B8F-8CA0-6207415FB6A6}"/>
    <cellStyle name="Style 83 2 3 2 2 12" xfId="10349" xr:uid="{BEB73316-FB7A-43D4-8A01-7C3B02A7ACDA}"/>
    <cellStyle name="Style 83 2 3 2 2 12 2" xfId="26394" xr:uid="{ED2E12C3-5A47-47E6-8524-433F98EB91B9}"/>
    <cellStyle name="Style 83 2 3 2 2 2" xfId="4767" xr:uid="{0EFBC368-EDD9-4F7B-A873-12F359B9B981}"/>
    <cellStyle name="Style 83 2 3 2 2 2 2" xfId="10350" xr:uid="{1648051F-3FF7-4F41-AE2B-2D378606B7D4}"/>
    <cellStyle name="Style 83 2 3 2 2 2 2 2" xfId="26395" xr:uid="{7D3E069F-722A-4201-838E-DAC89C37002C}"/>
    <cellStyle name="Style 83 2 3 2 2 2 3" xfId="10351" xr:uid="{3C3D5156-8C55-44E4-ADDE-9A9DB9F22C4C}"/>
    <cellStyle name="Style 83 2 3 2 2 2 3 2" xfId="26396" xr:uid="{AADEBC7C-7D33-4CA5-924B-62835C370003}"/>
    <cellStyle name="Style 83 2 3 2 2 3" xfId="10352" xr:uid="{96532A11-81B7-4723-876A-8ADBE729866B}"/>
    <cellStyle name="Style 83 2 3 2 2 3 2" xfId="10353" xr:uid="{F78F8F23-4474-4ED2-9130-EFABA586B07B}"/>
    <cellStyle name="Style 83 2 3 2 2 3 2 2" xfId="26397" xr:uid="{4CB4664B-6D05-44F1-9AE8-77B348A66760}"/>
    <cellStyle name="Style 83 2 3 2 2 4" xfId="10354" xr:uid="{08FE0DD4-6794-457F-B4E1-ECC424D18EFC}"/>
    <cellStyle name="Style 83 2 3 2 2 4 2" xfId="26398" xr:uid="{E4D61DB0-D017-4D0D-8B38-58B4472E2157}"/>
    <cellStyle name="Style 83 2 3 2 2 5" xfId="10355" xr:uid="{7408193E-383E-4EC8-98AE-E898EB309AE8}"/>
    <cellStyle name="Style 83 2 3 2 2 5 2" xfId="26399" xr:uid="{BF0F0435-AF18-48E7-846E-80C0AEEC444E}"/>
    <cellStyle name="Style 83 2 3 2 2 6" xfId="10356" xr:uid="{BEFD6666-0D46-4409-8798-41B4C93779EF}"/>
    <cellStyle name="Style 83 2 3 2 2 6 2" xfId="26400" xr:uid="{66E4DFE5-AAAB-475A-B441-93A067A03421}"/>
    <cellStyle name="Style 83 2 3 2 2 7" xfId="10357" xr:uid="{8BF7852D-54FC-453E-B5F5-B4213C3E94B2}"/>
    <cellStyle name="Style 83 2 3 2 2 7 2" xfId="26401" xr:uid="{2EB0C16F-75E8-47A4-9246-64DD751997C1}"/>
    <cellStyle name="Style 83 2 3 2 2 8" xfId="10358" xr:uid="{70AFC16E-7600-45BB-9A97-0AD6D816EA56}"/>
    <cellStyle name="Style 83 2 3 2 2 8 2" xfId="26402" xr:uid="{52AB622E-76C2-477F-ABC5-4BCDA0739633}"/>
    <cellStyle name="Style 83 2 3 2 2 9" xfId="10359" xr:uid="{DF7CB319-686B-43C5-8A01-63FE2EA98008}"/>
    <cellStyle name="Style 83 2 3 2 2 9 2" xfId="26403" xr:uid="{29140CED-4557-4747-8BF7-1F135173CF90}"/>
    <cellStyle name="Style 83 2 3 2 3" xfId="4766" xr:uid="{EDBCD67B-2443-47E3-B5B3-CC23063F0E6C}"/>
    <cellStyle name="Style 83 2 3 2 3 2" xfId="10360" xr:uid="{4FBFE250-D93F-44C7-80A3-1D458687E4C0}"/>
    <cellStyle name="Style 83 2 3 2 3 2 2" xfId="26404" xr:uid="{1E8263EC-4262-4DCF-8631-54CEA787F5E6}"/>
    <cellStyle name="Style 83 2 3 2 3 3" xfId="10361" xr:uid="{CE7D9D7A-25DC-4F95-A694-8F3ACEB9D3FB}"/>
    <cellStyle name="Style 83 2 3 2 3 3 2" xfId="26405" xr:uid="{398E9DB0-DBCE-43B5-9264-5FCC3C177F15}"/>
    <cellStyle name="Style 83 2 3 2 4" xfId="10362" xr:uid="{4775850E-5A29-4ABB-AF3C-15D0952B0A20}"/>
    <cellStyle name="Style 83 2 3 2 4 2" xfId="10363" xr:uid="{BB31D764-6230-402E-8EF6-1DBF9E597049}"/>
    <cellStyle name="Style 83 2 3 2 4 2 2" xfId="26406" xr:uid="{6D73B6E3-4423-4DDF-BE9B-680AD3CE8791}"/>
    <cellStyle name="Style 83 2 3 2 5" xfId="10364" xr:uid="{2CE76056-D9C5-476E-8BAD-5E3C3E49982E}"/>
    <cellStyle name="Style 83 2 3 2 5 2" xfId="26407" xr:uid="{BE40E797-7F89-4370-AD91-48C98CBDB179}"/>
    <cellStyle name="Style 83 2 3 2 6" xfId="10365" xr:uid="{2262D4BE-7049-4A9B-AE25-F10E7208EB9A}"/>
    <cellStyle name="Style 83 2 3 2 6 2" xfId="26408" xr:uid="{EE1B32FB-FF8B-4881-95A8-13EAF95B923C}"/>
    <cellStyle name="Style 83 2 3 2 7" xfId="10366" xr:uid="{8C203CB8-84DB-4EF8-9EF2-66FD39406AD3}"/>
    <cellStyle name="Style 83 2 3 2 7 2" xfId="26409" xr:uid="{79FDC26A-64E5-45AE-A416-B3902D409961}"/>
    <cellStyle name="Style 83 2 3 2 8" xfId="10367" xr:uid="{6099EF33-AED3-4FDC-958D-70027D7B03ED}"/>
    <cellStyle name="Style 83 2 3 2 8 2" xfId="26410" xr:uid="{27108428-B122-483B-9248-DE12B2F6048E}"/>
    <cellStyle name="Style 83 2 3 2 9" xfId="10368" xr:uid="{0DDAE8FF-DFAE-4EED-8381-CBC2F6F62211}"/>
    <cellStyle name="Style 83 2 3 2 9 2" xfId="26411" xr:uid="{D4074298-4C88-4578-A741-B7B1BEC2E4C4}"/>
    <cellStyle name="Style 83 2 3 3" xfId="2174" xr:uid="{0847B6CD-B501-483D-954C-A3622EBE665C}"/>
    <cellStyle name="Style 83 2 3 3 10" xfId="10369" xr:uid="{75962289-9E10-4BE5-96E4-51A69F499CD3}"/>
    <cellStyle name="Style 83 2 3 3 10 2" xfId="26412" xr:uid="{63DC9E4A-9900-459D-8A68-8865AA850D75}"/>
    <cellStyle name="Style 83 2 3 3 11" xfId="10370" xr:uid="{AB82DEF8-7600-48B1-9FD4-B9ED3B3D2B01}"/>
    <cellStyle name="Style 83 2 3 3 11 2" xfId="26413" xr:uid="{1FFB500D-2F82-44EA-885A-86FB64836E62}"/>
    <cellStyle name="Style 83 2 3 3 12" xfId="10371" xr:uid="{F5B15D44-FA14-43F5-8344-E525DCC65F2D}"/>
    <cellStyle name="Style 83 2 3 3 12 2" xfId="26414" xr:uid="{2A71E54A-84D3-4EAD-B07C-8BEF6AE9CFBE}"/>
    <cellStyle name="Style 83 2 3 3 2" xfId="4768" xr:uid="{1A832F0A-1B4B-4B17-B91D-EFACB44E703F}"/>
    <cellStyle name="Style 83 2 3 3 2 2" xfId="10372" xr:uid="{5C472B5A-2150-45B3-A781-C9441EA49060}"/>
    <cellStyle name="Style 83 2 3 3 2 2 2" xfId="26415" xr:uid="{5FB4CEC8-3D49-4357-9988-893C57857D3F}"/>
    <cellStyle name="Style 83 2 3 3 2 3" xfId="10373" xr:uid="{1D4E1A40-FA3B-4064-BA61-A00B7E1071E0}"/>
    <cellStyle name="Style 83 2 3 3 2 3 2" xfId="26416" xr:uid="{FE3D7464-1DCA-4594-9FEA-3F1FC0EFE67C}"/>
    <cellStyle name="Style 83 2 3 3 3" xfId="10374" xr:uid="{2195D4E6-7232-4872-85BE-A3232DE64E47}"/>
    <cellStyle name="Style 83 2 3 3 3 2" xfId="10375" xr:uid="{C8528111-4F16-479C-BA88-899AE115D6C1}"/>
    <cellStyle name="Style 83 2 3 3 3 2 2" xfId="26417" xr:uid="{968369E9-60A8-42B9-8FAA-61A2B44CCE54}"/>
    <cellStyle name="Style 83 2 3 3 4" xfId="10376" xr:uid="{41C44DC4-D882-4377-95CD-5A0D778FDC0C}"/>
    <cellStyle name="Style 83 2 3 3 4 2" xfId="26418" xr:uid="{12D47EEF-0097-49AE-A059-BB418C324B45}"/>
    <cellStyle name="Style 83 2 3 3 5" xfId="10377" xr:uid="{F42B5FA0-0E83-4090-9CD1-1CFB47AA45BB}"/>
    <cellStyle name="Style 83 2 3 3 5 2" xfId="26419" xr:uid="{19904B22-CA1B-41E7-ADE3-EA59B5D4737B}"/>
    <cellStyle name="Style 83 2 3 3 6" xfId="10378" xr:uid="{E6F87772-913E-40E2-AF9B-49435FE5A7D2}"/>
    <cellStyle name="Style 83 2 3 3 6 2" xfId="26420" xr:uid="{68FD6DA3-BDF5-4299-9217-B9440E07F5A1}"/>
    <cellStyle name="Style 83 2 3 3 7" xfId="10379" xr:uid="{CCEE118F-C929-4C0F-8BDF-11C50AC27327}"/>
    <cellStyle name="Style 83 2 3 3 7 2" xfId="26421" xr:uid="{18555495-3EF7-45D8-9D76-E26AF54F14AD}"/>
    <cellStyle name="Style 83 2 3 3 8" xfId="10380" xr:uid="{7217364E-9FEA-4FE3-AE75-40B5F4C7D016}"/>
    <cellStyle name="Style 83 2 3 3 8 2" xfId="26422" xr:uid="{4A9CF031-1B3D-4BD3-8DD1-131E0FD63912}"/>
    <cellStyle name="Style 83 2 3 3 9" xfId="10381" xr:uid="{1160DFAA-E074-4E70-9305-C8BDF39F22AA}"/>
    <cellStyle name="Style 83 2 3 3 9 2" xfId="26423" xr:uid="{D072263E-EBE1-48C2-91FB-6106304A4037}"/>
    <cellStyle name="Style 83 2 3 4" xfId="4765" xr:uid="{5A3B3508-80F3-43D4-8505-1DEDEDD3447E}"/>
    <cellStyle name="Style 83 2 3 4 2" xfId="10382" xr:uid="{77D224CF-1ED2-4D95-A881-DAC379C2D4C9}"/>
    <cellStyle name="Style 83 2 3 4 2 2" xfId="26424" xr:uid="{9A19FDC1-2FCC-4B16-8438-A3E67364CD2D}"/>
    <cellStyle name="Style 83 2 3 4 3" xfId="10383" xr:uid="{8EDEED8D-8F22-45B4-A45B-BF7A6CC0C3C8}"/>
    <cellStyle name="Style 83 2 3 4 3 2" xfId="26425" xr:uid="{4FFFEA68-0A52-4871-AFA5-20B06CE78E04}"/>
    <cellStyle name="Style 83 2 3 5" xfId="10384" xr:uid="{6A2A80A5-73E7-4C35-9384-9E919645B11C}"/>
    <cellStyle name="Style 83 2 3 5 2" xfId="10385" xr:uid="{DDF2DCEA-2263-41E8-BD46-BD13A4C85E8D}"/>
    <cellStyle name="Style 83 2 3 5 2 2" xfId="26426" xr:uid="{150C09AD-5B77-4518-BFD8-282884DAA47A}"/>
    <cellStyle name="Style 83 2 3 6" xfId="10386" xr:uid="{852ABCA4-D777-4EE1-B141-5A314329B955}"/>
    <cellStyle name="Style 83 2 3 6 2" xfId="26427" xr:uid="{914FD2BF-7363-45EA-9550-A562679FF377}"/>
    <cellStyle name="Style 83 2 3 7" xfId="10387" xr:uid="{5FEF68FF-E00B-4E66-A027-7EF7320D9954}"/>
    <cellStyle name="Style 83 2 3 7 2" xfId="26428" xr:uid="{58C3154A-41E7-4A0A-807B-F65ECD43970F}"/>
    <cellStyle name="Style 83 2 3 8" xfId="10388" xr:uid="{0C612014-49DA-41AC-BB0C-735E6F1F5E03}"/>
    <cellStyle name="Style 83 2 3 8 2" xfId="26429" xr:uid="{F806DCA2-22DC-405B-88E0-C921301E0F5E}"/>
    <cellStyle name="Style 83 2 3 9" xfId="10389" xr:uid="{0CCB6363-5841-4D89-BD0F-C3CE1DE9F8D2}"/>
    <cellStyle name="Style 83 2 3 9 2" xfId="26430" xr:uid="{8386346C-B49C-4B41-89ED-8C5E1C6F625A}"/>
    <cellStyle name="Style 83 2 4" xfId="2175" xr:uid="{6EDF317C-D416-44FE-85A4-D723CAE6B9D5}"/>
    <cellStyle name="Style 83 2 4 10" xfId="10390" xr:uid="{C3866FED-95E0-4ADA-91DC-930E85CD60D6}"/>
    <cellStyle name="Style 83 2 4 10 2" xfId="26431" xr:uid="{54C0BE92-9517-4287-9B9D-7DE188E769EA}"/>
    <cellStyle name="Style 83 2 4 11" xfId="10391" xr:uid="{986E7E0F-D5D0-412B-BD9A-06914BEDD456}"/>
    <cellStyle name="Style 83 2 4 11 2" xfId="26432" xr:uid="{4AE362FC-B8A9-493F-9494-9DF6CF31B827}"/>
    <cellStyle name="Style 83 2 4 12" xfId="10392" xr:uid="{CCF15A55-FEDE-4261-B787-B3F1F3ECC03E}"/>
    <cellStyle name="Style 83 2 4 12 2" xfId="26433" xr:uid="{CCA021C7-3119-4373-ABF0-18521BFA7F23}"/>
    <cellStyle name="Style 83 2 4 13" xfId="10393" xr:uid="{DB470718-41BA-47DF-8BD5-A0E7BAB6DBAA}"/>
    <cellStyle name="Style 83 2 4 13 2" xfId="26434" xr:uid="{E098BF98-EF59-4809-A689-1ADE46E32A67}"/>
    <cellStyle name="Style 83 2 4 14" xfId="10394" xr:uid="{2EEF03A6-CCCA-473B-9B55-E03F2CE4BE6D}"/>
    <cellStyle name="Style 83 2 4 14 2" xfId="26435" xr:uid="{EFAC6432-387E-4C5B-B189-E1A59DC97BBF}"/>
    <cellStyle name="Style 83 2 4 2" xfId="2176" xr:uid="{8140B88B-9DD9-4012-BE16-055BD07ED51F}"/>
    <cellStyle name="Style 83 2 4 2 10" xfId="10395" xr:uid="{FD370CBC-2A1A-47CF-9A12-E80005AC57EB}"/>
    <cellStyle name="Style 83 2 4 2 10 2" xfId="26436" xr:uid="{2AC495EF-F91B-4E05-96C2-50E844F8AE4C}"/>
    <cellStyle name="Style 83 2 4 2 11" xfId="10396" xr:uid="{AE877479-D665-4669-94AF-6893A37333E7}"/>
    <cellStyle name="Style 83 2 4 2 11 2" xfId="26437" xr:uid="{83E147B6-1640-437D-8EB9-6A9DA55EE579}"/>
    <cellStyle name="Style 83 2 4 2 12" xfId="10397" xr:uid="{274A62B8-22B3-4D86-A911-74BE0ECAE258}"/>
    <cellStyle name="Style 83 2 4 2 12 2" xfId="26438" xr:uid="{4C1E8848-B24D-4635-AFCA-62909D38C6EE}"/>
    <cellStyle name="Style 83 2 4 2 2" xfId="4770" xr:uid="{EEB219C7-0961-415D-B48C-4F2670C16037}"/>
    <cellStyle name="Style 83 2 4 2 2 2" xfId="10398" xr:uid="{B6D7E726-CAE9-4E51-8436-5038070573C2}"/>
    <cellStyle name="Style 83 2 4 2 2 2 2" xfId="26439" xr:uid="{6055E0B7-6E07-46F4-93FB-426411641735}"/>
    <cellStyle name="Style 83 2 4 2 2 3" xfId="10399" xr:uid="{571668C9-1E31-4E93-B514-D60FAB397DAB}"/>
    <cellStyle name="Style 83 2 4 2 2 3 2" xfId="26440" xr:uid="{A582D983-48AF-47EA-8071-B999A104702D}"/>
    <cellStyle name="Style 83 2 4 2 3" xfId="10400" xr:uid="{CE245238-6489-4E08-B263-5AA09840D493}"/>
    <cellStyle name="Style 83 2 4 2 3 2" xfId="10401" xr:uid="{FE2FAE48-7ED7-4A22-A0D5-BD9762FD6ED9}"/>
    <cellStyle name="Style 83 2 4 2 3 2 2" xfId="26441" xr:uid="{12B2E147-7818-4D56-9458-E14B7D200355}"/>
    <cellStyle name="Style 83 2 4 2 4" xfId="10402" xr:uid="{97B9C126-EC0E-48BC-AFCE-5BA21C7C134E}"/>
    <cellStyle name="Style 83 2 4 2 4 2" xfId="26442" xr:uid="{B0EF8914-1018-4B80-ABFC-F80C54A2508C}"/>
    <cellStyle name="Style 83 2 4 2 5" xfId="10403" xr:uid="{D09B02BB-AD63-4875-9F90-D47EB8CC49E5}"/>
    <cellStyle name="Style 83 2 4 2 5 2" xfId="26443" xr:uid="{2654F213-8380-4B1E-99EE-F5D099E65795}"/>
    <cellStyle name="Style 83 2 4 2 6" xfId="10404" xr:uid="{1D07468F-B514-4840-AAB1-00BE52ABB88C}"/>
    <cellStyle name="Style 83 2 4 2 6 2" xfId="26444" xr:uid="{610CFA50-6FF9-43FE-9208-8F21F6FB963F}"/>
    <cellStyle name="Style 83 2 4 2 7" xfId="10405" xr:uid="{8D408152-6533-4F38-8E72-FAA9A96A1499}"/>
    <cellStyle name="Style 83 2 4 2 7 2" xfId="26445" xr:uid="{CF88AFB3-A3A7-4088-B2D6-86038B79FDCE}"/>
    <cellStyle name="Style 83 2 4 2 8" xfId="10406" xr:uid="{929FF86E-8F4E-4AD3-930A-4DBB10890641}"/>
    <cellStyle name="Style 83 2 4 2 8 2" xfId="26446" xr:uid="{54D6C03D-EDE5-475E-9911-E469C3433F1B}"/>
    <cellStyle name="Style 83 2 4 2 9" xfId="10407" xr:uid="{671D727F-D431-45B1-8F3E-97DEBBBF927B}"/>
    <cellStyle name="Style 83 2 4 2 9 2" xfId="26447" xr:uid="{0F166267-E122-47B2-9B2F-EDEA0D221BD2}"/>
    <cellStyle name="Style 83 2 4 3" xfId="4769" xr:uid="{82FAA6CA-9370-4CE3-988A-D372D5F3DB27}"/>
    <cellStyle name="Style 83 2 4 3 2" xfId="10408" xr:uid="{76645E92-7E92-4ADC-8A26-4F399077958B}"/>
    <cellStyle name="Style 83 2 4 3 2 2" xfId="26448" xr:uid="{CCB588A8-BD83-410C-8F59-447E9B952641}"/>
    <cellStyle name="Style 83 2 4 3 3" xfId="10409" xr:uid="{3FCB987C-05E3-41BE-9024-D24B8476E125}"/>
    <cellStyle name="Style 83 2 4 3 3 2" xfId="26449" xr:uid="{505BDE45-590E-44CB-9228-DB7B560A2E8F}"/>
    <cellStyle name="Style 83 2 4 4" xfId="10410" xr:uid="{F9CD5FBD-5B7E-4FB8-AA62-41B62725F595}"/>
    <cellStyle name="Style 83 2 4 4 2" xfId="10411" xr:uid="{C5EAECBE-406B-4017-A67A-C7BBDB877F0B}"/>
    <cellStyle name="Style 83 2 4 4 2 2" xfId="26450" xr:uid="{87DD6E21-BE09-44C6-91CB-EDDEB79DC8E6}"/>
    <cellStyle name="Style 83 2 4 5" xfId="10412" xr:uid="{B1DD529E-EFE5-4CC4-A811-66C17271479C}"/>
    <cellStyle name="Style 83 2 4 5 2" xfId="26451" xr:uid="{67F81AF6-7698-4857-8274-D4725370AD46}"/>
    <cellStyle name="Style 83 2 4 6" xfId="10413" xr:uid="{718B5671-478C-4309-B39C-12F3BDFA1988}"/>
    <cellStyle name="Style 83 2 4 6 2" xfId="26452" xr:uid="{7722366C-AD77-46C1-B51F-93B819F7B228}"/>
    <cellStyle name="Style 83 2 4 7" xfId="10414" xr:uid="{A738709F-563F-4F7E-BF8E-2ED98DD7456B}"/>
    <cellStyle name="Style 83 2 4 7 2" xfId="26453" xr:uid="{BAF358D5-DDF6-4645-8045-984F35CB82E3}"/>
    <cellStyle name="Style 83 2 4 8" xfId="10415" xr:uid="{C5AAA147-DAB5-4478-8A6E-5E321B666FF6}"/>
    <cellStyle name="Style 83 2 4 8 2" xfId="26454" xr:uid="{2BAEC021-BE32-4ED6-885A-2514E7A1ABD3}"/>
    <cellStyle name="Style 83 2 4 9" xfId="10416" xr:uid="{BEFB6D78-DF1B-4F90-BE47-90CE36166DE2}"/>
    <cellStyle name="Style 83 2 4 9 2" xfId="26455" xr:uid="{2C10F9EE-B048-4126-AFF4-5B91249A2637}"/>
    <cellStyle name="Style 83 2 5" xfId="2177" xr:uid="{DA27B816-470E-466E-ACA0-EECA798728F2}"/>
    <cellStyle name="Style 83 2 5 10" xfId="10417" xr:uid="{970226C5-72AF-4A7E-8028-45B99707915D}"/>
    <cellStyle name="Style 83 2 5 10 2" xfId="26456" xr:uid="{C4F5BE00-A40E-4863-BF58-E72AC8113936}"/>
    <cellStyle name="Style 83 2 5 11" xfId="10418" xr:uid="{6B8DE22F-F214-4881-BE04-33B6838340C0}"/>
    <cellStyle name="Style 83 2 5 11 2" xfId="26457" xr:uid="{75616657-6BF1-4056-8C7F-8F8D7C35D6AA}"/>
    <cellStyle name="Style 83 2 5 12" xfId="10419" xr:uid="{42B984C8-A1DA-4970-A87F-9EC9F7448C23}"/>
    <cellStyle name="Style 83 2 5 12 2" xfId="26458" xr:uid="{DB01C2F4-5926-4782-BCA5-639B80691343}"/>
    <cellStyle name="Style 83 2 5 2" xfId="4771" xr:uid="{2527027F-4E1C-4FF6-A37B-BC779BF1AD6F}"/>
    <cellStyle name="Style 83 2 5 2 2" xfId="10420" xr:uid="{6BE2C1A6-61E9-474C-80E0-76248BF02BF8}"/>
    <cellStyle name="Style 83 2 5 2 2 2" xfId="26459" xr:uid="{B83C96C5-DCA2-45AD-AFE7-F4FF0004823F}"/>
    <cellStyle name="Style 83 2 5 2 3" xfId="10421" xr:uid="{7185DE19-A2C9-40B8-A5C1-0CA7CDF03A77}"/>
    <cellStyle name="Style 83 2 5 2 3 2" xfId="26460" xr:uid="{01D1B8D5-0033-4017-A03A-16B3C34C8517}"/>
    <cellStyle name="Style 83 2 5 3" xfId="10422" xr:uid="{68ECF1F4-198A-45E7-AB87-74B010ED52ED}"/>
    <cellStyle name="Style 83 2 5 3 2" xfId="10423" xr:uid="{7FA46E22-0EBF-4012-A530-A133EA89949A}"/>
    <cellStyle name="Style 83 2 5 3 2 2" xfId="26461" xr:uid="{EEF92622-C78E-4A68-AFA4-557BF6314E3B}"/>
    <cellStyle name="Style 83 2 5 4" xfId="10424" xr:uid="{BAEE1CC8-137C-409F-932E-B90F2B7E07AE}"/>
    <cellStyle name="Style 83 2 5 4 2" xfId="26462" xr:uid="{ADE7128B-D6F8-4D18-8C50-028AFBF38C6A}"/>
    <cellStyle name="Style 83 2 5 5" xfId="10425" xr:uid="{EC98643C-75D0-4D25-A48A-0DA04474D1CA}"/>
    <cellStyle name="Style 83 2 5 5 2" xfId="26463" xr:uid="{40136758-AE66-4AA3-B9A9-C98FF79AFC43}"/>
    <cellStyle name="Style 83 2 5 6" xfId="10426" xr:uid="{5C1A2186-02BE-4F84-902D-3DBC4D9D6316}"/>
    <cellStyle name="Style 83 2 5 6 2" xfId="26464" xr:uid="{5DC0EA73-8DCA-4EA1-A215-429D548037F5}"/>
    <cellStyle name="Style 83 2 5 7" xfId="10427" xr:uid="{AF8CCF41-4A3B-4F03-BC09-716F036CFA97}"/>
    <cellStyle name="Style 83 2 5 7 2" xfId="26465" xr:uid="{08383A2D-309E-4044-BAE1-65D36681DEE2}"/>
    <cellStyle name="Style 83 2 5 8" xfId="10428" xr:uid="{A2184C66-628C-412C-AED6-FCE24598C294}"/>
    <cellStyle name="Style 83 2 5 8 2" xfId="26466" xr:uid="{A51EC551-3331-4F55-B2E9-E77E815D1DDE}"/>
    <cellStyle name="Style 83 2 5 9" xfId="10429" xr:uid="{FD5AD81E-095C-4FCD-968F-F2B0B7066E2A}"/>
    <cellStyle name="Style 83 2 5 9 2" xfId="26467" xr:uid="{BAFD4FE0-9D71-4D04-B7B4-448DEBF189C5}"/>
    <cellStyle name="Style 83 2 6" xfId="4756" xr:uid="{341DE11B-FEA3-4C3C-AF05-0BF166A6DFFA}"/>
    <cellStyle name="Style 83 2 6 2" xfId="10430" xr:uid="{16D5B061-F46F-458C-9A1C-638C88FFE803}"/>
    <cellStyle name="Style 83 2 6 2 2" xfId="26468" xr:uid="{BF8CF8C3-2DAF-4451-91CA-1337E890BFD3}"/>
    <cellStyle name="Style 83 2 6 3" xfId="10431" xr:uid="{2F98595A-9DFD-4CE7-8C41-7B45AEC68971}"/>
    <cellStyle name="Style 83 2 6 3 2" xfId="26469" xr:uid="{FEB29E34-6AC6-4B3C-BF1D-6F46F2A6F03B}"/>
    <cellStyle name="Style 83 2 7" xfId="10432" xr:uid="{6821B262-8131-48DE-A10A-89D50C2AC5E3}"/>
    <cellStyle name="Style 83 2 7 2" xfId="10433" xr:uid="{99E2A704-DD57-4F92-9A9F-50DD242E0189}"/>
    <cellStyle name="Style 83 2 7 2 2" xfId="26470" xr:uid="{22CE37F0-64AF-40F0-A2F8-9E16D817043B}"/>
    <cellStyle name="Style 83 2 8" xfId="10434" xr:uid="{73084A01-1898-4E4C-9F9B-AF8F2C6F48CE}"/>
    <cellStyle name="Style 83 2 8 2" xfId="26471" xr:uid="{15DB4809-4A9D-45A7-844A-7397FB7B91F1}"/>
    <cellStyle name="Style 83 2 9" xfId="10435" xr:uid="{15AFE569-323B-4DEB-894D-FD9EDD58F467}"/>
    <cellStyle name="Style 83 2 9 2" xfId="26472" xr:uid="{9E519749-17E2-4B4F-BCF1-FE1A0E19E589}"/>
    <cellStyle name="Style 83 3" xfId="2178" xr:uid="{6EBE5159-9FEE-42E4-B0BB-D5DF29609E2B}"/>
    <cellStyle name="Style 83 3 10" xfId="10436" xr:uid="{41044572-9339-4A48-A970-BAED59F41C7B}"/>
    <cellStyle name="Style 83 3 10 2" xfId="26473" xr:uid="{94936CA9-4F08-4EE6-B502-F9EF9858A0B3}"/>
    <cellStyle name="Style 83 3 11" xfId="10437" xr:uid="{75539920-6A59-4AE9-841B-81E032158B31}"/>
    <cellStyle name="Style 83 3 11 2" xfId="26474" xr:uid="{5FE11C2F-F0A0-4FA8-8183-292A5F58D44D}"/>
    <cellStyle name="Style 83 3 12" xfId="10438" xr:uid="{EA3C4562-0BB6-4184-AEA5-0EF84AB68882}"/>
    <cellStyle name="Style 83 3 12 2" xfId="26475" xr:uid="{9F840DB0-F193-43AC-A325-E381E39812DC}"/>
    <cellStyle name="Style 83 3 13" xfId="10439" xr:uid="{F663B80C-398D-43E3-AB47-7BC628A8612C}"/>
    <cellStyle name="Style 83 3 13 2" xfId="26476" xr:uid="{C7B0DEC6-33A6-434A-B5AD-EA6FE71DFCFA}"/>
    <cellStyle name="Style 83 3 14" xfId="10440" xr:uid="{2D816DBB-A26D-459F-9B95-5AA24EAE4BFE}"/>
    <cellStyle name="Style 83 3 14 2" xfId="26477" xr:uid="{0844715A-9E6B-42D4-A899-D87813B4FF63}"/>
    <cellStyle name="Style 83 3 15" xfId="10441" xr:uid="{50745716-5508-4AA0-B7C8-84D017B6CE22}"/>
    <cellStyle name="Style 83 3 15 2" xfId="26478" xr:uid="{F6292A9B-AB46-42D5-8ED8-4898916EA565}"/>
    <cellStyle name="Style 83 3 16" xfId="10442" xr:uid="{006AE54C-B30C-4A6C-863A-255C7DD111C9}"/>
    <cellStyle name="Style 83 3 16 2" xfId="26479" xr:uid="{A1E63F00-7E86-498C-9BA0-651BBB2E3C6A}"/>
    <cellStyle name="Style 83 3 17" xfId="10443" xr:uid="{50C825B4-CDB3-4608-A1A4-A0BE4576A295}"/>
    <cellStyle name="Style 83 3 17 2" xfId="26480" xr:uid="{18ED4045-24FF-4557-9444-69B749C41CB7}"/>
    <cellStyle name="Style 83 3 2" xfId="2179" xr:uid="{0655EF67-EE58-4666-87E9-9080D4AEE533}"/>
    <cellStyle name="Style 83 3 2 10" xfId="10444" xr:uid="{8274E810-E0FC-4C81-AD30-8E82A4E59771}"/>
    <cellStyle name="Style 83 3 2 10 2" xfId="26481" xr:uid="{4886C498-A334-46FA-877B-107408A337D5}"/>
    <cellStyle name="Style 83 3 2 11" xfId="10445" xr:uid="{CDFC8244-094A-4BEB-806E-FFDD94527E91}"/>
    <cellStyle name="Style 83 3 2 11 2" xfId="26482" xr:uid="{4B5ED3C0-30EF-44C8-B4B4-6B4F286ADAF9}"/>
    <cellStyle name="Style 83 3 2 12" xfId="10446" xr:uid="{E456D30B-28C6-4132-97BF-DB9CD02A9D1F}"/>
    <cellStyle name="Style 83 3 2 12 2" xfId="26483" xr:uid="{013AF975-8AFC-4774-BB34-9A6583AA1AFC}"/>
    <cellStyle name="Style 83 3 2 13" xfId="10447" xr:uid="{287D80E8-C447-4DA1-A6CC-937262205291}"/>
    <cellStyle name="Style 83 3 2 13 2" xfId="26484" xr:uid="{5427ED24-8815-47DF-98DB-4C46DD89737D}"/>
    <cellStyle name="Style 83 3 2 14" xfId="10448" xr:uid="{0E6726A5-787E-4F2F-B8CB-132F50DBE341}"/>
    <cellStyle name="Style 83 3 2 14 2" xfId="26485" xr:uid="{16B6459B-EF55-4B17-9604-86F6C0088FF8}"/>
    <cellStyle name="Style 83 3 2 15" xfId="10449" xr:uid="{9EA2691E-C187-4A85-BFC3-6F0D61EF1494}"/>
    <cellStyle name="Style 83 3 2 15 2" xfId="26486" xr:uid="{275D70A4-4286-4593-AAC0-31E65FDFE52A}"/>
    <cellStyle name="Style 83 3 2 16" xfId="10450" xr:uid="{312BC0B4-452B-4923-8632-8ED3747EF686}"/>
    <cellStyle name="Style 83 3 2 16 2" xfId="26487" xr:uid="{62EC7165-A122-4C45-BBAE-1B8169EF7E2D}"/>
    <cellStyle name="Style 83 3 2 2" xfId="2180" xr:uid="{5FAACBFC-9CE2-4C84-ACEF-C5601751FE37}"/>
    <cellStyle name="Style 83 3 2 2 10" xfId="10451" xr:uid="{B999BC64-1E5C-42F8-83FB-B2C58BE07A7A}"/>
    <cellStyle name="Style 83 3 2 2 10 2" xfId="26488" xr:uid="{DA415EB5-6432-45A0-BC6A-F44CBA97C9B0}"/>
    <cellStyle name="Style 83 3 2 2 11" xfId="10452" xr:uid="{BC8C8D02-EBD3-46C9-A355-B019C6BA9ABF}"/>
    <cellStyle name="Style 83 3 2 2 11 2" xfId="26489" xr:uid="{1F9089DA-06E5-4850-B396-571A124FE588}"/>
    <cellStyle name="Style 83 3 2 2 12" xfId="10453" xr:uid="{BBB9ED3B-6D33-4418-A0F0-A500F1ADBB77}"/>
    <cellStyle name="Style 83 3 2 2 12 2" xfId="26490" xr:uid="{EB0FE058-40D1-4A74-8F48-1D4089FD3E8D}"/>
    <cellStyle name="Style 83 3 2 2 13" xfId="10454" xr:uid="{18D79927-2D03-41E4-9793-A149E705C04C}"/>
    <cellStyle name="Style 83 3 2 2 13 2" xfId="26491" xr:uid="{7CAD9B88-9E6F-4346-A980-03A53EC1C16B}"/>
    <cellStyle name="Style 83 3 2 2 14" xfId="10455" xr:uid="{714C07E5-8B55-4385-8A61-BE3C87EDBFD7}"/>
    <cellStyle name="Style 83 3 2 2 14 2" xfId="26492" xr:uid="{BD26EFF8-658E-46AC-9849-B0647F9A7248}"/>
    <cellStyle name="Style 83 3 2 2 15" xfId="10456" xr:uid="{F7A96027-D38C-4D16-9E09-65D0613B0B7E}"/>
    <cellStyle name="Style 83 3 2 2 15 2" xfId="26493" xr:uid="{04FE73EE-BFAD-4730-B2D3-C40F61406464}"/>
    <cellStyle name="Style 83 3 2 2 2" xfId="2181" xr:uid="{F1B0B013-26D3-4FE7-A339-C0EE37E834A7}"/>
    <cellStyle name="Style 83 3 2 2 2 10" xfId="10457" xr:uid="{246F1F75-94AE-4423-AB3B-82751FC60563}"/>
    <cellStyle name="Style 83 3 2 2 2 10 2" xfId="26494" xr:uid="{16AD45AD-10DF-4C4D-9643-7F146CD54B54}"/>
    <cellStyle name="Style 83 3 2 2 2 11" xfId="10458" xr:uid="{2843A055-D983-4A62-A866-09A7AC496029}"/>
    <cellStyle name="Style 83 3 2 2 2 11 2" xfId="26495" xr:uid="{E57B2134-4028-4782-96E4-E1CCE3376C09}"/>
    <cellStyle name="Style 83 3 2 2 2 12" xfId="10459" xr:uid="{8A227EA0-ACA8-4759-AB57-02D1ABE5E907}"/>
    <cellStyle name="Style 83 3 2 2 2 12 2" xfId="26496" xr:uid="{D107D37E-6B97-4A45-A995-0884A2E2C13E}"/>
    <cellStyle name="Style 83 3 2 2 2 13" xfId="10460" xr:uid="{EC777B39-4301-4140-BFA1-DEB8166BA7CF}"/>
    <cellStyle name="Style 83 3 2 2 2 13 2" xfId="26497" xr:uid="{52D45174-F62F-45D5-BDCC-681AA279A316}"/>
    <cellStyle name="Style 83 3 2 2 2 14" xfId="10461" xr:uid="{857A575A-C725-4159-AE4D-395BD35F4D53}"/>
    <cellStyle name="Style 83 3 2 2 2 14 2" xfId="26498" xr:uid="{27887771-CB7F-429D-A1CB-B7083B02EF23}"/>
    <cellStyle name="Style 83 3 2 2 2 2" xfId="2182" xr:uid="{069A8F48-F562-4CAD-9C6D-82C1EB1D4EAD}"/>
    <cellStyle name="Style 83 3 2 2 2 2 10" xfId="10462" xr:uid="{9E5CDA08-E319-494D-BF30-FCF337773DA2}"/>
    <cellStyle name="Style 83 3 2 2 2 2 10 2" xfId="26499" xr:uid="{4AFC84CD-1A61-40AA-BDCD-98D25889E814}"/>
    <cellStyle name="Style 83 3 2 2 2 2 11" xfId="10463" xr:uid="{468450E3-5A2F-4769-8050-1D7F1E91E245}"/>
    <cellStyle name="Style 83 3 2 2 2 2 11 2" xfId="26500" xr:uid="{4C0EE91E-C3B6-47CC-81FF-E1AF4CDAC164}"/>
    <cellStyle name="Style 83 3 2 2 2 2 12" xfId="10464" xr:uid="{3847F3C9-3E10-49BB-91BE-BB00921B9264}"/>
    <cellStyle name="Style 83 3 2 2 2 2 12 2" xfId="26501" xr:uid="{9BB5172F-E475-4C5A-AD6B-183696814D6D}"/>
    <cellStyle name="Style 83 3 2 2 2 2 2" xfId="4776" xr:uid="{4D4EC92B-3AA6-435C-9AA9-EDC88E3B0748}"/>
    <cellStyle name="Style 83 3 2 2 2 2 2 2" xfId="10465" xr:uid="{A1A76EEF-9BF6-4649-B727-58BC64D05EF1}"/>
    <cellStyle name="Style 83 3 2 2 2 2 2 2 2" xfId="26502" xr:uid="{E9C5F1BD-31EC-4138-81FC-26CEDBFE173A}"/>
    <cellStyle name="Style 83 3 2 2 2 2 2 3" xfId="10466" xr:uid="{F6434598-6EB2-480B-8A97-0820719308FC}"/>
    <cellStyle name="Style 83 3 2 2 2 2 2 3 2" xfId="26503" xr:uid="{0EB576F6-C0B2-4891-88B0-3FA0B63BE2CA}"/>
    <cellStyle name="Style 83 3 2 2 2 2 3" xfId="10467" xr:uid="{4AD27CD1-D0DE-4E7B-93BE-BDD8D5D958A7}"/>
    <cellStyle name="Style 83 3 2 2 2 2 3 2" xfId="10468" xr:uid="{28894F3B-022E-4A04-9079-0D5649FE805A}"/>
    <cellStyle name="Style 83 3 2 2 2 2 3 2 2" xfId="26504" xr:uid="{53AF6F5F-34F9-41B6-B57A-D5E01B6A0B0D}"/>
    <cellStyle name="Style 83 3 2 2 2 2 4" xfId="10469" xr:uid="{F58B2BED-B5D8-4905-A5A2-6DE2CE5E38DA}"/>
    <cellStyle name="Style 83 3 2 2 2 2 4 2" xfId="26505" xr:uid="{DD58AA5B-24E1-470D-9754-EF5EFBF61745}"/>
    <cellStyle name="Style 83 3 2 2 2 2 5" xfId="10470" xr:uid="{E11B7DC2-7D0E-4B32-B876-911ED3DC6858}"/>
    <cellStyle name="Style 83 3 2 2 2 2 5 2" xfId="26506" xr:uid="{19C144CB-2542-4C4E-A30F-32E8ADB2B2BA}"/>
    <cellStyle name="Style 83 3 2 2 2 2 6" xfId="10471" xr:uid="{68D6ABB9-F13E-42F5-8748-97AB128F81D3}"/>
    <cellStyle name="Style 83 3 2 2 2 2 6 2" xfId="26507" xr:uid="{4749CB3B-1D40-46A2-883C-48AB464B899A}"/>
    <cellStyle name="Style 83 3 2 2 2 2 7" xfId="10472" xr:uid="{B16372CB-B33C-414D-AE4B-1B02D7890927}"/>
    <cellStyle name="Style 83 3 2 2 2 2 7 2" xfId="26508" xr:uid="{7AC60588-3ECA-45B3-8732-3A34869D1291}"/>
    <cellStyle name="Style 83 3 2 2 2 2 8" xfId="10473" xr:uid="{2850598A-5BCE-4B08-A005-543F071DBF4A}"/>
    <cellStyle name="Style 83 3 2 2 2 2 8 2" xfId="26509" xr:uid="{D1AEA1F6-BC3A-42C7-8EA2-A326F8A922C8}"/>
    <cellStyle name="Style 83 3 2 2 2 2 9" xfId="10474" xr:uid="{F80C29C6-AE8F-4DAD-9979-D5605C0EE939}"/>
    <cellStyle name="Style 83 3 2 2 2 2 9 2" xfId="26510" xr:uid="{53480699-C65E-4169-A5DC-6EB314CDB73D}"/>
    <cellStyle name="Style 83 3 2 2 2 3" xfId="4775" xr:uid="{416C9B9F-1299-4ECA-A792-8AC389016EDB}"/>
    <cellStyle name="Style 83 3 2 2 2 3 2" xfId="10475" xr:uid="{227E5443-3C6F-4905-B577-EEDE0B586369}"/>
    <cellStyle name="Style 83 3 2 2 2 3 2 2" xfId="26511" xr:uid="{175CF5E5-E49E-4ECE-A3A2-18F78B36FE38}"/>
    <cellStyle name="Style 83 3 2 2 2 3 3" xfId="10476" xr:uid="{D4DDABB5-2210-48C1-ABC0-00342427022B}"/>
    <cellStyle name="Style 83 3 2 2 2 3 3 2" xfId="26512" xr:uid="{8D0746E8-E561-4AB0-BDDC-2D57C1AE0212}"/>
    <cellStyle name="Style 83 3 2 2 2 4" xfId="10477" xr:uid="{25CE7E4D-9AB5-422E-83B2-9C90298C996C}"/>
    <cellStyle name="Style 83 3 2 2 2 4 2" xfId="10478" xr:uid="{75B578E6-5BA4-4F91-A5AD-A2C455C0D21C}"/>
    <cellStyle name="Style 83 3 2 2 2 4 2 2" xfId="26513" xr:uid="{586C6E75-EA80-4E6D-82B1-93D43CD79BB2}"/>
    <cellStyle name="Style 83 3 2 2 2 5" xfId="10479" xr:uid="{8B15DF99-BF9D-45C5-88A8-CC32A7560E3C}"/>
    <cellStyle name="Style 83 3 2 2 2 5 2" xfId="26514" xr:uid="{B876204F-D63E-4B5F-88C6-B23D3F3458C2}"/>
    <cellStyle name="Style 83 3 2 2 2 6" xfId="10480" xr:uid="{BEAE67B1-3CD6-4C33-8D09-DFAC1EAC4654}"/>
    <cellStyle name="Style 83 3 2 2 2 6 2" xfId="26515" xr:uid="{5C1DCBB1-876A-4514-A5A0-6FE8E7FC5665}"/>
    <cellStyle name="Style 83 3 2 2 2 7" xfId="10481" xr:uid="{03E94BF3-5BF0-47CA-9253-3F06998E8C14}"/>
    <cellStyle name="Style 83 3 2 2 2 7 2" xfId="26516" xr:uid="{23C2F784-9847-46F5-B8A5-33D734C5140C}"/>
    <cellStyle name="Style 83 3 2 2 2 8" xfId="10482" xr:uid="{F2648604-2191-408E-BD9B-A97B457926E2}"/>
    <cellStyle name="Style 83 3 2 2 2 8 2" xfId="26517" xr:uid="{6D5DFD91-353F-4F52-BF03-6256D3F246DA}"/>
    <cellStyle name="Style 83 3 2 2 2 9" xfId="10483" xr:uid="{E6847A65-2C82-4526-AF1C-0AEB4E6AF51C}"/>
    <cellStyle name="Style 83 3 2 2 2 9 2" xfId="26518" xr:uid="{C954AB4C-4CFE-4782-8370-FF18B7B14514}"/>
    <cellStyle name="Style 83 3 2 2 3" xfId="2183" xr:uid="{92A2E936-68EA-4C6B-BC8E-12D6CF8705D7}"/>
    <cellStyle name="Style 83 3 2 2 3 10" xfId="10484" xr:uid="{C8CD35EB-5C37-4365-864D-BCF4E3983F58}"/>
    <cellStyle name="Style 83 3 2 2 3 10 2" xfId="26519" xr:uid="{BD8E350A-B1A7-45B0-804D-BF5A6C57E9F8}"/>
    <cellStyle name="Style 83 3 2 2 3 11" xfId="10485" xr:uid="{566DA812-374F-415C-85E3-46E417A79A09}"/>
    <cellStyle name="Style 83 3 2 2 3 11 2" xfId="26520" xr:uid="{00F027AD-BEAB-4F51-BB47-78A615ACBEBC}"/>
    <cellStyle name="Style 83 3 2 2 3 12" xfId="10486" xr:uid="{7E301AEF-C7CB-4B4F-836A-17189A206B47}"/>
    <cellStyle name="Style 83 3 2 2 3 12 2" xfId="26521" xr:uid="{34EC6635-AF84-4AA9-8EC9-6D3DA65247BF}"/>
    <cellStyle name="Style 83 3 2 2 3 2" xfId="4777" xr:uid="{AAA5FBD5-D820-4CD6-A5A1-7CDA96BBA5FD}"/>
    <cellStyle name="Style 83 3 2 2 3 2 2" xfId="10487" xr:uid="{40DE4A1F-3AE1-423C-B50B-91DE12805610}"/>
    <cellStyle name="Style 83 3 2 2 3 2 2 2" xfId="26522" xr:uid="{A89A95A9-1474-4E87-AA13-0A889B8D10A8}"/>
    <cellStyle name="Style 83 3 2 2 3 2 3" xfId="10488" xr:uid="{CEF3563E-143A-41B5-B317-DD82FBA97BEB}"/>
    <cellStyle name="Style 83 3 2 2 3 2 3 2" xfId="26523" xr:uid="{FAACD8CF-21D0-48EF-8408-974E8ED7034A}"/>
    <cellStyle name="Style 83 3 2 2 3 3" xfId="10489" xr:uid="{086D849A-A262-4402-BE17-CE230C27AFF6}"/>
    <cellStyle name="Style 83 3 2 2 3 3 2" xfId="10490" xr:uid="{4AF4A05A-E721-4F0A-85C6-42CBA3B6B890}"/>
    <cellStyle name="Style 83 3 2 2 3 3 2 2" xfId="26524" xr:uid="{ED16A97C-273A-4241-9643-A46FB6B1E2D7}"/>
    <cellStyle name="Style 83 3 2 2 3 4" xfId="10491" xr:uid="{63EE807E-C2B8-4941-B438-AAB7AE3BB525}"/>
    <cellStyle name="Style 83 3 2 2 3 4 2" xfId="26525" xr:uid="{A2A10ADB-CD53-4CAA-B8A1-9E53EDC086E4}"/>
    <cellStyle name="Style 83 3 2 2 3 5" xfId="10492" xr:uid="{7A6065C9-1B28-4DAF-AE91-7784514D84AC}"/>
    <cellStyle name="Style 83 3 2 2 3 5 2" xfId="26526" xr:uid="{810DCA1C-9BAA-4D1C-A5F9-182036196FC4}"/>
    <cellStyle name="Style 83 3 2 2 3 6" xfId="10493" xr:uid="{DDF5463B-4D9D-47E5-97A1-E0F5EEE2498E}"/>
    <cellStyle name="Style 83 3 2 2 3 6 2" xfId="26527" xr:uid="{CD5C89B7-F3C2-4A82-AA29-465287C63F7D}"/>
    <cellStyle name="Style 83 3 2 2 3 7" xfId="10494" xr:uid="{2D5F7BB0-5964-43CD-81A9-E1F2714D3A9F}"/>
    <cellStyle name="Style 83 3 2 2 3 7 2" xfId="26528" xr:uid="{13FCDE95-39E4-4A1C-8E37-2AE7FF40C0A6}"/>
    <cellStyle name="Style 83 3 2 2 3 8" xfId="10495" xr:uid="{983D4D90-99CD-4699-BF76-6FD4026818C8}"/>
    <cellStyle name="Style 83 3 2 2 3 8 2" xfId="26529" xr:uid="{E0F83C62-8A86-46F2-8220-2B193E47C19E}"/>
    <cellStyle name="Style 83 3 2 2 3 9" xfId="10496" xr:uid="{260373AA-95A9-4C63-BDAA-8F2FBB2B1DF2}"/>
    <cellStyle name="Style 83 3 2 2 3 9 2" xfId="26530" xr:uid="{87BBC417-4969-48FE-BF9B-2CFF4DAC983A}"/>
    <cellStyle name="Style 83 3 2 2 4" xfId="4774" xr:uid="{766886B2-1BF9-4C39-89EA-AF1C920A5E9D}"/>
    <cellStyle name="Style 83 3 2 2 4 2" xfId="10497" xr:uid="{AB9F42C7-67D5-4842-9210-09460DF84E77}"/>
    <cellStyle name="Style 83 3 2 2 4 2 2" xfId="26531" xr:uid="{4C5198F4-4FBA-42AB-8D2C-E4B39CA64119}"/>
    <cellStyle name="Style 83 3 2 2 4 3" xfId="10498" xr:uid="{A12389DA-B0ED-43D4-9F3C-EA66D34CE68C}"/>
    <cellStyle name="Style 83 3 2 2 4 3 2" xfId="26532" xr:uid="{79649ABA-C129-41CB-8829-7A1DDD1A2744}"/>
    <cellStyle name="Style 83 3 2 2 5" xfId="10499" xr:uid="{371AA7D7-C489-442C-8D9E-C002927D7737}"/>
    <cellStyle name="Style 83 3 2 2 5 2" xfId="10500" xr:uid="{94F5AF0B-BE63-4197-93AE-EB79FBDD7888}"/>
    <cellStyle name="Style 83 3 2 2 5 2 2" xfId="26533" xr:uid="{573AE757-3EF1-4A15-8A12-F1297AF00DF1}"/>
    <cellStyle name="Style 83 3 2 2 6" xfId="10501" xr:uid="{0C63DB42-F99C-41FC-A608-CB1DF47E99AE}"/>
    <cellStyle name="Style 83 3 2 2 6 2" xfId="26534" xr:uid="{54FE9B10-C02F-4F61-B96F-FDFE1FC7739C}"/>
    <cellStyle name="Style 83 3 2 2 7" xfId="10502" xr:uid="{B58E69F5-390C-4DF8-9898-B350E9630F95}"/>
    <cellStyle name="Style 83 3 2 2 7 2" xfId="26535" xr:uid="{3826A0E5-FFD5-4960-B8EE-753591F4C61A}"/>
    <cellStyle name="Style 83 3 2 2 8" xfId="10503" xr:uid="{08E9A606-1D6C-432D-BB74-BA879F08534F}"/>
    <cellStyle name="Style 83 3 2 2 8 2" xfId="26536" xr:uid="{4E78A1F2-7D5B-4B42-84B2-36C240E998F9}"/>
    <cellStyle name="Style 83 3 2 2 9" xfId="10504" xr:uid="{04F92036-B4FE-46D5-AEE1-5664F0734324}"/>
    <cellStyle name="Style 83 3 2 2 9 2" xfId="26537" xr:uid="{99A5BA2F-9EAE-43E9-878B-D12918A2C5BD}"/>
    <cellStyle name="Style 83 3 2 3" xfId="2184" xr:uid="{BDEC1867-9671-4D5C-9A6C-D77D78688486}"/>
    <cellStyle name="Style 83 3 2 3 10" xfId="10505" xr:uid="{A6AA355C-E0E4-499F-8732-C81F4AE62290}"/>
    <cellStyle name="Style 83 3 2 3 10 2" xfId="26538" xr:uid="{26FE06D4-27E5-4A39-BCBD-C3FC20BDF72D}"/>
    <cellStyle name="Style 83 3 2 3 11" xfId="10506" xr:uid="{F4814EB6-539F-4A3D-B14C-8CE3182061B2}"/>
    <cellStyle name="Style 83 3 2 3 11 2" xfId="26539" xr:uid="{8A4890DD-9910-4027-B894-EC4E492FFF38}"/>
    <cellStyle name="Style 83 3 2 3 12" xfId="10507" xr:uid="{1114EF4B-04A0-4976-BB2A-AF69FB29543D}"/>
    <cellStyle name="Style 83 3 2 3 12 2" xfId="26540" xr:uid="{DA1023FD-28A2-4146-8204-D80898AFC4DC}"/>
    <cellStyle name="Style 83 3 2 3 13" xfId="10508" xr:uid="{9AA26D82-55E1-4844-9C92-36EAF44FB45E}"/>
    <cellStyle name="Style 83 3 2 3 13 2" xfId="26541" xr:uid="{10B074EB-5ABB-4A63-A848-4EA4BFBF329D}"/>
    <cellStyle name="Style 83 3 2 3 14" xfId="10509" xr:uid="{593D3B85-FA1F-484A-9CAE-7BEF2C27A50D}"/>
    <cellStyle name="Style 83 3 2 3 14 2" xfId="26542" xr:uid="{7FB90B64-D67B-46C5-8846-2A78BFBE2DB7}"/>
    <cellStyle name="Style 83 3 2 3 2" xfId="2185" xr:uid="{18077176-38F1-4B44-8E62-42E011FF2949}"/>
    <cellStyle name="Style 83 3 2 3 2 10" xfId="10510" xr:uid="{68660B92-6705-4233-ABAE-D6D7F4A772D0}"/>
    <cellStyle name="Style 83 3 2 3 2 10 2" xfId="26543" xr:uid="{7ACD990C-01D9-41D9-AECC-7610B74B1DA4}"/>
    <cellStyle name="Style 83 3 2 3 2 11" xfId="10511" xr:uid="{796E1FEF-F0E6-4B08-A9C4-9971A7EFA7B9}"/>
    <cellStyle name="Style 83 3 2 3 2 11 2" xfId="26544" xr:uid="{E2CD6D5F-FBAB-4526-A450-B3667B5314A8}"/>
    <cellStyle name="Style 83 3 2 3 2 12" xfId="10512" xr:uid="{34BD448E-7AF0-4C44-AF85-857130C668E4}"/>
    <cellStyle name="Style 83 3 2 3 2 12 2" xfId="26545" xr:uid="{48BA8083-7502-474F-BAC4-E3AE6B3BCB4D}"/>
    <cellStyle name="Style 83 3 2 3 2 2" xfId="4779" xr:uid="{F0770440-E6D0-4AED-B4D3-985B4FEE7936}"/>
    <cellStyle name="Style 83 3 2 3 2 2 2" xfId="10513" xr:uid="{D359AAB6-EBF7-4F2D-A5E8-F860964E72B6}"/>
    <cellStyle name="Style 83 3 2 3 2 2 2 2" xfId="26546" xr:uid="{9C2844B1-F218-48A9-AE28-FE4369F759A7}"/>
    <cellStyle name="Style 83 3 2 3 2 2 3" xfId="10514" xr:uid="{D665E788-31FF-447F-AB03-21F49646F0B6}"/>
    <cellStyle name="Style 83 3 2 3 2 2 3 2" xfId="26547" xr:uid="{7A9A6348-7E2B-4C05-80AB-D2B0780F0634}"/>
    <cellStyle name="Style 83 3 2 3 2 3" xfId="10515" xr:uid="{079AA88B-7F81-4FCE-A298-3C92C03B01DE}"/>
    <cellStyle name="Style 83 3 2 3 2 3 2" xfId="10516" xr:uid="{16DF6D08-DB8D-49F3-8280-89A2E4B08C24}"/>
    <cellStyle name="Style 83 3 2 3 2 3 2 2" xfId="26548" xr:uid="{033FAFF9-98C2-4239-990C-A000B6C164CF}"/>
    <cellStyle name="Style 83 3 2 3 2 4" xfId="10517" xr:uid="{5E87EAFB-17CE-40AF-A930-C80E9CAB7A15}"/>
    <cellStyle name="Style 83 3 2 3 2 4 2" xfId="26549" xr:uid="{4E666AE4-4932-4238-88F9-9A6DF33D9002}"/>
    <cellStyle name="Style 83 3 2 3 2 5" xfId="10518" xr:uid="{AF9E7DDC-2058-4A23-9FED-8CD615B7FF1F}"/>
    <cellStyle name="Style 83 3 2 3 2 5 2" xfId="26550" xr:uid="{7A19F83A-47CF-4215-9DD2-617ABC98A2A8}"/>
    <cellStyle name="Style 83 3 2 3 2 6" xfId="10519" xr:uid="{9B184E8A-BCBC-4064-9CCA-644334FAE122}"/>
    <cellStyle name="Style 83 3 2 3 2 6 2" xfId="26551" xr:uid="{3635C625-166F-4190-A896-0405D0A03138}"/>
    <cellStyle name="Style 83 3 2 3 2 7" xfId="10520" xr:uid="{00DB57D9-E2BE-4D32-A296-B4E30CA1FCF1}"/>
    <cellStyle name="Style 83 3 2 3 2 7 2" xfId="26552" xr:uid="{A59351AD-367F-43E3-B8BE-F1F6EC6C80C4}"/>
    <cellStyle name="Style 83 3 2 3 2 8" xfId="10521" xr:uid="{454F1B16-4F18-4E19-AD72-2674F1882535}"/>
    <cellStyle name="Style 83 3 2 3 2 8 2" xfId="26553" xr:uid="{20343FAF-5225-4E48-A511-8327FB05C090}"/>
    <cellStyle name="Style 83 3 2 3 2 9" xfId="10522" xr:uid="{81BECB2C-F5F4-4AAB-ABB2-EB99F62E41AF}"/>
    <cellStyle name="Style 83 3 2 3 2 9 2" xfId="26554" xr:uid="{9933F6A4-83AB-4D74-B1AF-52A0EE971B72}"/>
    <cellStyle name="Style 83 3 2 3 3" xfId="4778" xr:uid="{CDC8CD4F-C223-4A4D-B56E-39E7E5D80F84}"/>
    <cellStyle name="Style 83 3 2 3 3 2" xfId="10523" xr:uid="{C015224E-927B-4D3C-9154-211643DA9198}"/>
    <cellStyle name="Style 83 3 2 3 3 2 2" xfId="26555" xr:uid="{2110264F-7F15-45F6-9B23-80F79120C5AF}"/>
    <cellStyle name="Style 83 3 2 3 3 3" xfId="10524" xr:uid="{6BA78079-B538-455F-9D80-8EA6C0AD5CD2}"/>
    <cellStyle name="Style 83 3 2 3 3 3 2" xfId="26556" xr:uid="{E489627D-9C40-44AE-83DD-8E84E4F29742}"/>
    <cellStyle name="Style 83 3 2 3 4" xfId="10525" xr:uid="{CB273DC9-6224-4876-AB64-D3A2D7236877}"/>
    <cellStyle name="Style 83 3 2 3 4 2" xfId="10526" xr:uid="{090F8691-C682-4A33-9FBB-565FFF086390}"/>
    <cellStyle name="Style 83 3 2 3 4 2 2" xfId="26557" xr:uid="{BA646094-3288-4729-8438-B0822FAFFCFC}"/>
    <cellStyle name="Style 83 3 2 3 5" xfId="10527" xr:uid="{BF3F75F5-D9F0-4FF8-ABB1-5A12A07FAA4C}"/>
    <cellStyle name="Style 83 3 2 3 5 2" xfId="26558" xr:uid="{DC5CA7E5-095F-49B7-81D3-D1742485A990}"/>
    <cellStyle name="Style 83 3 2 3 6" xfId="10528" xr:uid="{60737FC2-DE06-40CB-9D7A-CA3B11105054}"/>
    <cellStyle name="Style 83 3 2 3 6 2" xfId="26559" xr:uid="{6ED1296E-E1DD-4A07-9DBC-B7ABF1099911}"/>
    <cellStyle name="Style 83 3 2 3 7" xfId="10529" xr:uid="{93187F32-52A5-413C-9DE1-F2E1E9863D39}"/>
    <cellStyle name="Style 83 3 2 3 7 2" xfId="26560" xr:uid="{307C8C29-9FC4-4F8E-B0DC-54835E51AA01}"/>
    <cellStyle name="Style 83 3 2 3 8" xfId="10530" xr:uid="{2BEBADC9-E468-46B8-8635-6040D1D6F0BF}"/>
    <cellStyle name="Style 83 3 2 3 8 2" xfId="26561" xr:uid="{58103F74-07F6-4062-BC5C-86EC761BF9BC}"/>
    <cellStyle name="Style 83 3 2 3 9" xfId="10531" xr:uid="{73B87641-2DA7-4E8B-A2FA-AC458062678D}"/>
    <cellStyle name="Style 83 3 2 3 9 2" xfId="26562" xr:uid="{03A7F416-B88E-472B-BA3E-2E29D9FB0282}"/>
    <cellStyle name="Style 83 3 2 4" xfId="2186" xr:uid="{3CE36F72-D6B6-42CD-AEB9-B9BBF4746D8D}"/>
    <cellStyle name="Style 83 3 2 4 10" xfId="10532" xr:uid="{B6E27A31-E96A-4B25-916B-1100373BCAD9}"/>
    <cellStyle name="Style 83 3 2 4 10 2" xfId="26563" xr:uid="{588C1A35-42C2-4668-920D-345D50271FF2}"/>
    <cellStyle name="Style 83 3 2 4 11" xfId="10533" xr:uid="{BD663040-51CB-43D1-AC1D-CDFEE8FCC3FA}"/>
    <cellStyle name="Style 83 3 2 4 11 2" xfId="26564" xr:uid="{44BD2E8D-072D-4E5F-B2EE-C73BC345C42A}"/>
    <cellStyle name="Style 83 3 2 4 12" xfId="10534" xr:uid="{4BA68C2B-4837-46F3-AF30-0E624BFDEB8A}"/>
    <cellStyle name="Style 83 3 2 4 12 2" xfId="26565" xr:uid="{C9B3687B-8B6B-4CB9-A179-99ED7111BB7B}"/>
    <cellStyle name="Style 83 3 2 4 2" xfId="4780" xr:uid="{474A58BD-489D-4D4A-BD60-8B7BFEB70F83}"/>
    <cellStyle name="Style 83 3 2 4 2 2" xfId="10535" xr:uid="{9F19BEF8-91A1-4D50-8988-D3603C993F43}"/>
    <cellStyle name="Style 83 3 2 4 2 2 2" xfId="26566" xr:uid="{9695C8BF-EFE7-4D90-9DD1-41021BA21E2E}"/>
    <cellStyle name="Style 83 3 2 4 2 3" xfId="10536" xr:uid="{B0A79CAC-24AF-442A-B13B-E6693C5BB403}"/>
    <cellStyle name="Style 83 3 2 4 2 3 2" xfId="26567" xr:uid="{1C20AF30-CE26-4B2B-8B2F-493A8E20AD9C}"/>
    <cellStyle name="Style 83 3 2 4 3" xfId="10537" xr:uid="{7921DB03-18D9-45BF-BE58-D1B082417873}"/>
    <cellStyle name="Style 83 3 2 4 3 2" xfId="10538" xr:uid="{533294AF-0A84-4B0C-88F7-4D902EC020EE}"/>
    <cellStyle name="Style 83 3 2 4 3 2 2" xfId="26568" xr:uid="{570747B3-4D2A-4C7F-91FC-30DE3F963E14}"/>
    <cellStyle name="Style 83 3 2 4 4" xfId="10539" xr:uid="{32715600-18A3-4D3A-BF10-E4349D78BF75}"/>
    <cellStyle name="Style 83 3 2 4 4 2" xfId="26569" xr:uid="{43361564-BB9A-4E39-B21B-A618CBE8F8F2}"/>
    <cellStyle name="Style 83 3 2 4 5" xfId="10540" xr:uid="{2257354F-ECD6-4617-9CE4-3B607CC95D2B}"/>
    <cellStyle name="Style 83 3 2 4 5 2" xfId="26570" xr:uid="{55F9DAA7-3F2F-495F-BDE9-81AF5B1E302A}"/>
    <cellStyle name="Style 83 3 2 4 6" xfId="10541" xr:uid="{0E692867-FD90-41EE-B187-4D3525B0D65A}"/>
    <cellStyle name="Style 83 3 2 4 6 2" xfId="26571" xr:uid="{B92190FE-65A1-4DB6-AE31-04564DA1B425}"/>
    <cellStyle name="Style 83 3 2 4 7" xfId="10542" xr:uid="{EE14B4B4-1392-47C3-B25D-4672FF020E99}"/>
    <cellStyle name="Style 83 3 2 4 7 2" xfId="26572" xr:uid="{96A0E1B0-792B-4FC4-9398-1355A1E1804C}"/>
    <cellStyle name="Style 83 3 2 4 8" xfId="10543" xr:uid="{19E85265-745E-4124-9D51-9E0CFCB0EB89}"/>
    <cellStyle name="Style 83 3 2 4 8 2" xfId="26573" xr:uid="{6AC65628-DDB4-4225-8F71-58D710682FCC}"/>
    <cellStyle name="Style 83 3 2 4 9" xfId="10544" xr:uid="{21E2BAD6-931D-4F09-B7E4-179F6EEA3AA5}"/>
    <cellStyle name="Style 83 3 2 4 9 2" xfId="26574" xr:uid="{553D0A54-07F6-48A0-812D-8D15574D8C09}"/>
    <cellStyle name="Style 83 3 2 5" xfId="4773" xr:uid="{AC39BCFE-A30E-4E84-95C5-993DBDAF50F8}"/>
    <cellStyle name="Style 83 3 2 5 2" xfId="10545" xr:uid="{1D098423-6ED3-4911-BE61-D4D9B6BEF648}"/>
    <cellStyle name="Style 83 3 2 5 2 2" xfId="26575" xr:uid="{924E22EE-E88E-4E67-A6C7-EC6929E9DA39}"/>
    <cellStyle name="Style 83 3 2 5 3" xfId="10546" xr:uid="{9150AA75-407F-4B2F-B06C-EBDDCF8B3409}"/>
    <cellStyle name="Style 83 3 2 5 3 2" xfId="26576" xr:uid="{D7994513-91BC-4B2B-817F-49D4CA486222}"/>
    <cellStyle name="Style 83 3 2 6" xfId="10547" xr:uid="{22C65AC4-3C4F-4AE8-ABC8-A6D055D2C749}"/>
    <cellStyle name="Style 83 3 2 6 2" xfId="10548" xr:uid="{85FF8E41-AC72-467C-951F-DB9EBD65B5CE}"/>
    <cellStyle name="Style 83 3 2 6 2 2" xfId="26577" xr:uid="{4AF60570-7DCB-4CEB-AFAC-01BEEFD0C9E9}"/>
    <cellStyle name="Style 83 3 2 7" xfId="10549" xr:uid="{355CBDCF-77E6-4A12-AE48-02FB15EEAC71}"/>
    <cellStyle name="Style 83 3 2 7 2" xfId="26578" xr:uid="{22BDA8EB-7FB8-41B8-85F7-D3080535B9A0}"/>
    <cellStyle name="Style 83 3 2 8" xfId="10550" xr:uid="{05876ECC-1F17-4AC6-AEB7-03856A4E09E3}"/>
    <cellStyle name="Style 83 3 2 8 2" xfId="26579" xr:uid="{011EF2AE-0ED3-4724-B91D-6F36E06FB870}"/>
    <cellStyle name="Style 83 3 2 9" xfId="10551" xr:uid="{5D0CCAB5-F4EF-4A60-BE9B-0F1795235D8A}"/>
    <cellStyle name="Style 83 3 2 9 2" xfId="26580" xr:uid="{915DC1BC-0E5F-40B4-B1BF-B9230FBAB26C}"/>
    <cellStyle name="Style 83 3 3" xfId="2187" xr:uid="{C7CEA38C-FC4E-4F0C-9E9F-D14531DC3430}"/>
    <cellStyle name="Style 83 3 3 10" xfId="10552" xr:uid="{FF0FD46F-12F9-4ABA-8B40-C48741955EC6}"/>
    <cellStyle name="Style 83 3 3 10 2" xfId="26581" xr:uid="{8D01D589-9EC7-46A9-AC15-0C9746E04DDD}"/>
    <cellStyle name="Style 83 3 3 11" xfId="10553" xr:uid="{D39B690F-BCB6-4EDE-A718-8858D1931FC8}"/>
    <cellStyle name="Style 83 3 3 11 2" xfId="26582" xr:uid="{6382EAC9-FE7B-4D7B-86D2-D24A259D6C79}"/>
    <cellStyle name="Style 83 3 3 12" xfId="10554" xr:uid="{55C994AE-E9A2-42B8-9E52-CF74A99C3C00}"/>
    <cellStyle name="Style 83 3 3 12 2" xfId="26583" xr:uid="{05258597-1235-40F4-96D0-EEFBF2A2A5E7}"/>
    <cellStyle name="Style 83 3 3 13" xfId="10555" xr:uid="{F0D015C2-BA94-4F29-80D3-E487D721288F}"/>
    <cellStyle name="Style 83 3 3 13 2" xfId="26584" xr:uid="{8CD74FB3-A824-477E-9768-D76F8DE902CE}"/>
    <cellStyle name="Style 83 3 3 14" xfId="10556" xr:uid="{E3534692-2838-4084-B05A-7E96C30BDBC2}"/>
    <cellStyle name="Style 83 3 3 14 2" xfId="26585" xr:uid="{59F3408D-DC46-4AF0-9BCB-A5287598B1B6}"/>
    <cellStyle name="Style 83 3 3 15" xfId="10557" xr:uid="{2B04C052-8609-4947-8834-E43804B8350B}"/>
    <cellStyle name="Style 83 3 3 15 2" xfId="26586" xr:uid="{9C5B74F2-45EC-4320-82EC-179F5ED2C7BA}"/>
    <cellStyle name="Style 83 3 3 2" xfId="2188" xr:uid="{4715463D-55FF-4E45-B256-F80FE594E58B}"/>
    <cellStyle name="Style 83 3 3 2 10" xfId="10558" xr:uid="{0E59B532-E85F-4CFC-ACFB-3256C782B412}"/>
    <cellStyle name="Style 83 3 3 2 10 2" xfId="26587" xr:uid="{DA4ED55E-72F0-46E8-A916-1B14490D63E4}"/>
    <cellStyle name="Style 83 3 3 2 11" xfId="10559" xr:uid="{A706000A-DF37-401B-A268-F9B63CA91526}"/>
    <cellStyle name="Style 83 3 3 2 11 2" xfId="26588" xr:uid="{B9A3A40D-B967-4A78-9406-0CC2E2C6FB1E}"/>
    <cellStyle name="Style 83 3 3 2 12" xfId="10560" xr:uid="{B3702439-DBB4-4A8E-9F9A-F978349B6E4E}"/>
    <cellStyle name="Style 83 3 3 2 12 2" xfId="26589" xr:uid="{F79E6ED1-906A-4288-9371-DFAA8A9E0180}"/>
    <cellStyle name="Style 83 3 3 2 13" xfId="10561" xr:uid="{1A9C4B72-8100-4102-8CEE-9EA973AE8CE2}"/>
    <cellStyle name="Style 83 3 3 2 13 2" xfId="26590" xr:uid="{A42D7405-712E-4371-A222-EA598C75EA2E}"/>
    <cellStyle name="Style 83 3 3 2 14" xfId="10562" xr:uid="{23DCF0A1-AEC0-4081-A37E-28C4A5D8573A}"/>
    <cellStyle name="Style 83 3 3 2 14 2" xfId="26591" xr:uid="{55D30994-6585-45A8-B98D-1F8CAA8E0849}"/>
    <cellStyle name="Style 83 3 3 2 15" xfId="10563" xr:uid="{5478D601-0805-46D2-BBEB-EDBC7D53837C}"/>
    <cellStyle name="Style 83 3 3 2 15 2" xfId="26592" xr:uid="{8BC79CC7-6438-4034-910D-5C543AC56B4D}"/>
    <cellStyle name="Style 83 3 3 2 2" xfId="2189" xr:uid="{A2D548CE-9019-465E-8A77-876EA055BAF3}"/>
    <cellStyle name="Style 83 3 3 2 2 10" xfId="10564" xr:uid="{69EEF92C-3819-4675-B3F4-96D617B0A4F4}"/>
    <cellStyle name="Style 83 3 3 2 2 10 2" xfId="26593" xr:uid="{B40034B5-8522-4120-8DA2-0276DB942699}"/>
    <cellStyle name="Style 83 3 3 2 2 11" xfId="10565" xr:uid="{98789F5A-F81F-41F5-BA12-2C2B88BB569B}"/>
    <cellStyle name="Style 83 3 3 2 2 11 2" xfId="26594" xr:uid="{4BF37949-E533-4B81-A762-E3FEF23509D9}"/>
    <cellStyle name="Style 83 3 3 2 2 12" xfId="10566" xr:uid="{F5B126AD-B94B-4739-B734-6759E1B2F47B}"/>
    <cellStyle name="Style 83 3 3 2 2 12 2" xfId="26595" xr:uid="{7944F761-98BA-40B0-8215-4D64ADEB3EAC}"/>
    <cellStyle name="Style 83 3 3 2 2 13" xfId="10567" xr:uid="{4C3DF65F-52BC-424F-B2EC-327D188B3AF3}"/>
    <cellStyle name="Style 83 3 3 2 2 13 2" xfId="26596" xr:uid="{7D4809B4-CFD5-467F-8E48-A5C3988C248F}"/>
    <cellStyle name="Style 83 3 3 2 2 14" xfId="10568" xr:uid="{12483D1F-ECB1-4C9C-97F9-092A8BFB01E1}"/>
    <cellStyle name="Style 83 3 3 2 2 14 2" xfId="26597" xr:uid="{029B6388-5EED-40FF-A827-D8EA89BCFD20}"/>
    <cellStyle name="Style 83 3 3 2 2 2" xfId="2190" xr:uid="{6B8160E3-65E6-43DD-B162-4D2F7290D38F}"/>
    <cellStyle name="Style 83 3 3 2 2 2 10" xfId="10569" xr:uid="{DD065D3C-74AA-43D8-8776-DF4DEB76BF04}"/>
    <cellStyle name="Style 83 3 3 2 2 2 10 2" xfId="26598" xr:uid="{97DA275B-C7AE-48EF-A60B-D1D7F5C2C019}"/>
    <cellStyle name="Style 83 3 3 2 2 2 11" xfId="10570" xr:uid="{5DDBA4CF-02AD-4742-9F0F-5A0729C38C88}"/>
    <cellStyle name="Style 83 3 3 2 2 2 11 2" xfId="26599" xr:uid="{DBED9EA8-D7B8-4151-A380-DF009E15075C}"/>
    <cellStyle name="Style 83 3 3 2 2 2 12" xfId="10571" xr:uid="{F7B6C0D1-CAAE-4486-B932-2CE751DE4CEA}"/>
    <cellStyle name="Style 83 3 3 2 2 2 12 2" xfId="26600" xr:uid="{B78854C2-0088-4FD8-8CC8-5EC09F61A35A}"/>
    <cellStyle name="Style 83 3 3 2 2 2 2" xfId="4784" xr:uid="{7587C954-3E74-47CC-84A5-9DBBFEEADFB4}"/>
    <cellStyle name="Style 83 3 3 2 2 2 2 2" xfId="10572" xr:uid="{3B27F11E-F4E8-4E3B-9DDE-9F88939FCCC5}"/>
    <cellStyle name="Style 83 3 3 2 2 2 2 2 2" xfId="26601" xr:uid="{124D3232-B3AD-41D0-AC44-F4C3699095DC}"/>
    <cellStyle name="Style 83 3 3 2 2 2 2 3" xfId="10573" xr:uid="{B7C81C2F-E596-4B7B-9464-EC57D3FB8748}"/>
    <cellStyle name="Style 83 3 3 2 2 2 2 3 2" xfId="26602" xr:uid="{A2176343-B056-43A4-92B3-9A037059360F}"/>
    <cellStyle name="Style 83 3 3 2 2 2 3" xfId="10574" xr:uid="{D65AD35C-4649-41F8-838E-F338AA0CC751}"/>
    <cellStyle name="Style 83 3 3 2 2 2 3 2" xfId="10575" xr:uid="{8C8B15D8-57B8-4113-AFEE-2E13AC590CD0}"/>
    <cellStyle name="Style 83 3 3 2 2 2 3 2 2" xfId="26603" xr:uid="{BA663AC2-970D-437F-B9F8-6A27A6FDEAE6}"/>
    <cellStyle name="Style 83 3 3 2 2 2 4" xfId="10576" xr:uid="{92A7C285-D623-4082-B878-5CCEBDF90FE2}"/>
    <cellStyle name="Style 83 3 3 2 2 2 4 2" xfId="26604" xr:uid="{966AC801-3C66-4774-AA62-2C55CEE29B90}"/>
    <cellStyle name="Style 83 3 3 2 2 2 5" xfId="10577" xr:uid="{4D73DE43-4362-4207-8AE8-099B7258C74B}"/>
    <cellStyle name="Style 83 3 3 2 2 2 5 2" xfId="26605" xr:uid="{5ED895E0-AE4B-4143-8302-707B7FCFD249}"/>
    <cellStyle name="Style 83 3 3 2 2 2 6" xfId="10578" xr:uid="{B6D87DAF-E10A-484C-92C5-73070BA55C1A}"/>
    <cellStyle name="Style 83 3 3 2 2 2 6 2" xfId="26606" xr:uid="{3B11ABE1-8C21-48B8-8720-8ABE953A1E7F}"/>
    <cellStyle name="Style 83 3 3 2 2 2 7" xfId="10579" xr:uid="{5D69FF65-B5D9-4107-8958-1CE78D63981A}"/>
    <cellStyle name="Style 83 3 3 2 2 2 7 2" xfId="26607" xr:uid="{53370071-68E9-4EB7-A6A8-BACF12587360}"/>
    <cellStyle name="Style 83 3 3 2 2 2 8" xfId="10580" xr:uid="{5CD748CF-6689-4AD4-AAEF-46C624C7343B}"/>
    <cellStyle name="Style 83 3 3 2 2 2 8 2" xfId="26608" xr:uid="{F5DDCD47-67D7-422F-AE29-E31FE6131ABF}"/>
    <cellStyle name="Style 83 3 3 2 2 2 9" xfId="10581" xr:uid="{F176D195-ED99-41BE-B26A-C5C71E65DD79}"/>
    <cellStyle name="Style 83 3 3 2 2 2 9 2" xfId="26609" xr:uid="{4F069557-3198-4CE8-AF1E-C4699808E1E4}"/>
    <cellStyle name="Style 83 3 3 2 2 3" xfId="4783" xr:uid="{8197C22A-C198-490E-A356-62D3C74B56C2}"/>
    <cellStyle name="Style 83 3 3 2 2 3 2" xfId="10582" xr:uid="{799B6C69-F9E4-4736-9F5D-8A37801E387D}"/>
    <cellStyle name="Style 83 3 3 2 2 3 2 2" xfId="26610" xr:uid="{D65BB930-EA4E-4C1F-8BF7-AE05E5DAF93E}"/>
    <cellStyle name="Style 83 3 3 2 2 3 3" xfId="10583" xr:uid="{F23BB901-E842-4D81-8740-F1CBDF0BF3C4}"/>
    <cellStyle name="Style 83 3 3 2 2 3 3 2" xfId="26611" xr:uid="{F4BABE01-5AFF-469C-86E7-DC8DE52AF8D2}"/>
    <cellStyle name="Style 83 3 3 2 2 4" xfId="10584" xr:uid="{54283520-FE97-488A-B0E2-1AD7EDFB8C63}"/>
    <cellStyle name="Style 83 3 3 2 2 4 2" xfId="10585" xr:uid="{C08A359A-CEDB-4EC9-B5A6-6F5BF111B311}"/>
    <cellStyle name="Style 83 3 3 2 2 4 2 2" xfId="26612" xr:uid="{1712DF36-4971-4FA9-BDED-0B52EDB8B780}"/>
    <cellStyle name="Style 83 3 3 2 2 5" xfId="10586" xr:uid="{7DBFB7E9-040D-4E2E-B637-12A0425D4459}"/>
    <cellStyle name="Style 83 3 3 2 2 5 2" xfId="26613" xr:uid="{1F90D480-7E80-43D4-A7A0-9E96658D96B0}"/>
    <cellStyle name="Style 83 3 3 2 2 6" xfId="10587" xr:uid="{BC929FBB-6CB3-490A-9533-B23873B8354C}"/>
    <cellStyle name="Style 83 3 3 2 2 6 2" xfId="26614" xr:uid="{999B20DA-904A-4710-A8DC-486AA56A1D14}"/>
    <cellStyle name="Style 83 3 3 2 2 7" xfId="10588" xr:uid="{A8D943A1-469E-4D25-95CD-A04E50D160B9}"/>
    <cellStyle name="Style 83 3 3 2 2 7 2" xfId="26615" xr:uid="{D58501F4-63E3-4C22-9AE6-5E6D3D56687B}"/>
    <cellStyle name="Style 83 3 3 2 2 8" xfId="10589" xr:uid="{E28F8E8A-98B3-42DD-980B-DC85A030AEC3}"/>
    <cellStyle name="Style 83 3 3 2 2 8 2" xfId="26616" xr:uid="{425A048E-A415-474C-9FAC-A27344DAAF9C}"/>
    <cellStyle name="Style 83 3 3 2 2 9" xfId="10590" xr:uid="{03FCF709-68E9-459E-B1D2-1B70C7B07785}"/>
    <cellStyle name="Style 83 3 3 2 2 9 2" xfId="26617" xr:uid="{FC8D396A-A263-494B-8AA9-CFBC4C689C87}"/>
    <cellStyle name="Style 83 3 3 2 3" xfId="2191" xr:uid="{D3B5E928-F32B-4FFE-A707-07FA222B70DD}"/>
    <cellStyle name="Style 83 3 3 2 3 10" xfId="10591" xr:uid="{B07A4DD2-DD67-452F-8AC5-7B7EA7275379}"/>
    <cellStyle name="Style 83 3 3 2 3 10 2" xfId="26618" xr:uid="{3CAE6D29-7824-4E18-A9CD-2B839C2BCF28}"/>
    <cellStyle name="Style 83 3 3 2 3 11" xfId="10592" xr:uid="{10A46530-912E-4218-83FC-28C9BE8F3131}"/>
    <cellStyle name="Style 83 3 3 2 3 11 2" xfId="26619" xr:uid="{21F8A9E3-7947-489A-B611-600A576242ED}"/>
    <cellStyle name="Style 83 3 3 2 3 12" xfId="10593" xr:uid="{2538C499-E0B0-4963-ABF3-76D2F5FBD03F}"/>
    <cellStyle name="Style 83 3 3 2 3 12 2" xfId="26620" xr:uid="{77F0B005-3147-4B7F-A982-0CAF638D62DD}"/>
    <cellStyle name="Style 83 3 3 2 3 2" xfId="4785" xr:uid="{232F8B99-B6F5-4D93-BE72-4425BE588467}"/>
    <cellStyle name="Style 83 3 3 2 3 2 2" xfId="10594" xr:uid="{46E04361-89E7-4734-9CF2-4DB38FBAF6F2}"/>
    <cellStyle name="Style 83 3 3 2 3 2 2 2" xfId="26621" xr:uid="{D10D19DD-C16B-4EC2-9425-62AA110EA527}"/>
    <cellStyle name="Style 83 3 3 2 3 2 3" xfId="10595" xr:uid="{C4CFAF56-33BE-4069-99DF-C35FEFDE520D}"/>
    <cellStyle name="Style 83 3 3 2 3 2 3 2" xfId="26622" xr:uid="{A3F3FE28-DEA4-4376-8B75-2B83F5B1DE97}"/>
    <cellStyle name="Style 83 3 3 2 3 3" xfId="10596" xr:uid="{C102E20A-32F0-4E0E-9779-C0986CB5DBFC}"/>
    <cellStyle name="Style 83 3 3 2 3 3 2" xfId="10597" xr:uid="{D309B2FB-EDC0-49C7-B434-3C5D7FD28DC0}"/>
    <cellStyle name="Style 83 3 3 2 3 3 2 2" xfId="26623" xr:uid="{ECEC938D-EC69-417B-82B3-EE94A72AC9CB}"/>
    <cellStyle name="Style 83 3 3 2 3 4" xfId="10598" xr:uid="{0567F2BC-7027-47D3-BEC2-AF2040938EBA}"/>
    <cellStyle name="Style 83 3 3 2 3 4 2" xfId="26624" xr:uid="{F9706B34-CE5F-4D0A-809A-7BC41CBECBC1}"/>
    <cellStyle name="Style 83 3 3 2 3 5" xfId="10599" xr:uid="{94C8433C-F01A-44AC-99B7-1868DD51D280}"/>
    <cellStyle name="Style 83 3 3 2 3 5 2" xfId="26625" xr:uid="{A9DEB89F-40AA-4511-A848-B43D3665EB74}"/>
    <cellStyle name="Style 83 3 3 2 3 6" xfId="10600" xr:uid="{A7202CB3-0DE1-476E-9F39-B15C068EC558}"/>
    <cellStyle name="Style 83 3 3 2 3 6 2" xfId="26626" xr:uid="{F840A859-BA1D-4CA7-BE71-8CFF53EB8714}"/>
    <cellStyle name="Style 83 3 3 2 3 7" xfId="10601" xr:uid="{3AAD3F01-19F5-4E57-B5A9-28B07CAC6D5F}"/>
    <cellStyle name="Style 83 3 3 2 3 7 2" xfId="26627" xr:uid="{A9BB52E0-621E-434B-88AB-780C6EB777C8}"/>
    <cellStyle name="Style 83 3 3 2 3 8" xfId="10602" xr:uid="{0CBE118A-808F-4A5B-B124-7DF7F49839C5}"/>
    <cellStyle name="Style 83 3 3 2 3 8 2" xfId="26628" xr:uid="{36CD46CF-B028-4681-800A-BC60D2344E4C}"/>
    <cellStyle name="Style 83 3 3 2 3 9" xfId="10603" xr:uid="{DE15B838-C2CE-4571-8FA8-E6D1EDAE0D7A}"/>
    <cellStyle name="Style 83 3 3 2 3 9 2" xfId="26629" xr:uid="{0897CBA0-117E-400D-81BB-A03B13AE78C9}"/>
    <cellStyle name="Style 83 3 3 2 4" xfId="4782" xr:uid="{2096E609-5FF5-43A4-B818-EE805E73D3D7}"/>
    <cellStyle name="Style 83 3 3 2 4 2" xfId="10604" xr:uid="{CCC9222B-F6D9-472D-948C-0CF0F2A68ACA}"/>
    <cellStyle name="Style 83 3 3 2 4 2 2" xfId="26630" xr:uid="{38895DB6-2637-4872-A5F0-B1C682FCA00B}"/>
    <cellStyle name="Style 83 3 3 2 4 3" xfId="10605" xr:uid="{5D2389F0-7805-41BC-8596-92EEAC8E7989}"/>
    <cellStyle name="Style 83 3 3 2 4 3 2" xfId="26631" xr:uid="{31AC1A77-A6B3-4C93-8DC6-9CED2A5B72A5}"/>
    <cellStyle name="Style 83 3 3 2 5" xfId="10606" xr:uid="{481E8EEA-BBE2-49D4-9A1F-EB421F978C3A}"/>
    <cellStyle name="Style 83 3 3 2 5 2" xfId="10607" xr:uid="{86D4B4E5-D613-427A-BA37-4C5E1AF09D28}"/>
    <cellStyle name="Style 83 3 3 2 5 2 2" xfId="26632" xr:uid="{91FE0901-8D33-4044-9199-4EF92C0100FF}"/>
    <cellStyle name="Style 83 3 3 2 6" xfId="10608" xr:uid="{791C9B39-4526-4018-BD45-BB8A85EC8400}"/>
    <cellStyle name="Style 83 3 3 2 6 2" xfId="26633" xr:uid="{FA7ABBD6-78FE-4098-AD4C-F09E621BB001}"/>
    <cellStyle name="Style 83 3 3 2 7" xfId="10609" xr:uid="{2505DBDF-EFBC-464E-82BC-A85A1116B68E}"/>
    <cellStyle name="Style 83 3 3 2 7 2" xfId="26634" xr:uid="{5E2289A7-CD0E-4E2E-9815-A2395370E93D}"/>
    <cellStyle name="Style 83 3 3 2 8" xfId="10610" xr:uid="{BD6CE885-6750-4572-B19F-47E3464F397D}"/>
    <cellStyle name="Style 83 3 3 2 8 2" xfId="26635" xr:uid="{A2992ABE-0F2C-40F5-868D-D3FB8C6AC5F1}"/>
    <cellStyle name="Style 83 3 3 2 9" xfId="10611" xr:uid="{D172CC05-B000-472F-9165-B23A0BD3AA41}"/>
    <cellStyle name="Style 83 3 3 2 9 2" xfId="26636" xr:uid="{E07CC6F4-B364-44AA-A2EE-9E5C382149EA}"/>
    <cellStyle name="Style 83 3 3 3" xfId="2192" xr:uid="{9E1215B6-D3B6-46DB-B5E0-E50923990116}"/>
    <cellStyle name="Style 83 3 3 3 10" xfId="10612" xr:uid="{5D28F546-F482-4736-8755-3528D8A35FEC}"/>
    <cellStyle name="Style 83 3 3 3 10 2" xfId="26637" xr:uid="{70CFEB07-0D1F-4CF8-B76E-FE5C5FB94DBF}"/>
    <cellStyle name="Style 83 3 3 3 11" xfId="10613" xr:uid="{3CEEED49-DD2F-4DA3-A1DD-652003A9E270}"/>
    <cellStyle name="Style 83 3 3 3 11 2" xfId="26638" xr:uid="{401B8437-4F56-48A9-BBEF-DC00CE751858}"/>
    <cellStyle name="Style 83 3 3 3 12" xfId="10614" xr:uid="{255CD10E-B30D-44A3-98CF-F2A9BDCC2A56}"/>
    <cellStyle name="Style 83 3 3 3 12 2" xfId="26639" xr:uid="{197E0353-6C93-410E-8D01-4203855E1ED0}"/>
    <cellStyle name="Style 83 3 3 3 13" xfId="10615" xr:uid="{235B764F-2B32-4BB9-B3BD-968F8E686CAA}"/>
    <cellStyle name="Style 83 3 3 3 13 2" xfId="26640" xr:uid="{627779EB-30FE-4505-AA67-E5F661FD07AD}"/>
    <cellStyle name="Style 83 3 3 3 2" xfId="4787" xr:uid="{D5307F2A-3EB3-4EB4-865B-567317BA4BA1}"/>
    <cellStyle name="Style 83 3 3 3 2 2" xfId="10616" xr:uid="{D0B8804B-E402-4EF3-A400-0A40ABBC5F24}"/>
    <cellStyle name="Style 83 3 3 3 2 2 2" xfId="26641" xr:uid="{E8A25528-E489-4E76-95CD-757441598CE7}"/>
    <cellStyle name="Style 83 3 3 3 2 3" xfId="10617" xr:uid="{108FA566-7A6D-42CE-A390-B364C2A33DBA}"/>
    <cellStyle name="Style 83 3 3 3 2 3 2" xfId="26642" xr:uid="{8A52DB7E-F309-4F79-8628-22BA6AD81A98}"/>
    <cellStyle name="Style 83 3 3 3 3" xfId="4786" xr:uid="{C4847F7B-3FC1-410F-B9AA-5F84653BA0A2}"/>
    <cellStyle name="Style 83 3 3 3 3 2" xfId="10618" xr:uid="{4ADE8AC3-6985-457F-B117-DD0BD19D1765}"/>
    <cellStyle name="Style 83 3 3 3 3 2 2" xfId="26643" xr:uid="{CCD9E52A-20EF-45F8-86B9-B546EFDAB96B}"/>
    <cellStyle name="Style 83 3 3 3 4" xfId="10619" xr:uid="{9902E578-71D6-4F78-AB93-F9EF07BF9B0A}"/>
    <cellStyle name="Style 83 3 3 3 4 2" xfId="10620" xr:uid="{103E75B8-3905-475A-9EEA-90E5868BD766}"/>
    <cellStyle name="Style 83 3 3 3 4 2 2" xfId="26644" xr:uid="{DB0414AC-8B85-4982-9E7E-CDD78482D947}"/>
    <cellStyle name="Style 83 3 3 3 5" xfId="10621" xr:uid="{FA7D9C9F-E4C4-4732-944E-043F316281EF}"/>
    <cellStyle name="Style 83 3 3 3 5 2" xfId="26645" xr:uid="{BCAEE309-1675-4B5F-B11F-A54EAA42E935}"/>
    <cellStyle name="Style 83 3 3 3 6" xfId="10622" xr:uid="{2DBA4CE1-1C96-470B-8611-6CF9A2E132FC}"/>
    <cellStyle name="Style 83 3 3 3 6 2" xfId="26646" xr:uid="{BC4B253D-6AF4-4F87-B4D1-876CCDF9C467}"/>
    <cellStyle name="Style 83 3 3 3 7" xfId="10623" xr:uid="{750255D7-D370-4FE7-BBFE-A02C13F5C2E8}"/>
    <cellStyle name="Style 83 3 3 3 7 2" xfId="26647" xr:uid="{31D33116-546C-414A-919D-8B9822939FF6}"/>
    <cellStyle name="Style 83 3 3 3 8" xfId="10624" xr:uid="{22E7DB8C-20A6-41FD-8E83-199CBE7E3DED}"/>
    <cellStyle name="Style 83 3 3 3 8 2" xfId="26648" xr:uid="{63932161-6873-4192-AE23-10B0F2FB3163}"/>
    <cellStyle name="Style 83 3 3 3 9" xfId="10625" xr:uid="{1BB623CE-0602-4F25-ACFA-077BA57B8921}"/>
    <cellStyle name="Style 83 3 3 3 9 2" xfId="26649" xr:uid="{B3EF6C39-0D5F-4282-BC93-6C7169B99317}"/>
    <cellStyle name="Style 83 3 3 4" xfId="4788" xr:uid="{4D473ADE-654D-4037-8490-56B14DE0C02E}"/>
    <cellStyle name="Style 83 3 3 4 2" xfId="10626" xr:uid="{E1BF2DAA-3159-4CD8-8B38-D331FDED375B}"/>
    <cellStyle name="Style 83 3 3 4 2 2" xfId="26650" xr:uid="{5C7BD949-64AB-44E2-92C6-D96D8B060C59}"/>
    <cellStyle name="Style 83 3 3 4 3" xfId="10627" xr:uid="{9CEC72FE-A819-4EA2-BAAB-10604DE94485}"/>
    <cellStyle name="Style 83 3 3 4 3 2" xfId="26651" xr:uid="{F273C402-288C-4423-AF71-6EF81049E459}"/>
    <cellStyle name="Style 83 3 3 5" xfId="4789" xr:uid="{E895E504-3631-4190-B50B-2BC061C74153}"/>
    <cellStyle name="Style 83 3 3 5 2" xfId="10628" xr:uid="{99F360D9-4F58-4966-8296-46EA574C4209}"/>
    <cellStyle name="Style 83 3 3 5 2 2" xfId="26652" xr:uid="{3AAA0F54-651B-4AE1-8AA6-8E4F5EBBAC13}"/>
    <cellStyle name="Style 83 3 3 6" xfId="4781" xr:uid="{40C4073A-22ED-4B8A-BBE6-B8593E690E99}"/>
    <cellStyle name="Style 83 3 3 6 2" xfId="10629" xr:uid="{3AA7140A-DCFD-4541-8074-ADC65FEF6A63}"/>
    <cellStyle name="Style 83 3 3 6 2 2" xfId="26653" xr:uid="{2FCAE3D5-915A-42D9-9F4A-5A9CA14B11B1}"/>
    <cellStyle name="Style 83 3 3 7" xfId="10630" xr:uid="{8779B55A-1D18-4BD8-8603-F5A23032AE7E}"/>
    <cellStyle name="Style 83 3 3 7 2" xfId="10631" xr:uid="{4F61C090-75A6-4501-B054-672D803FFC7F}"/>
    <cellStyle name="Style 83 3 3 7 2 2" xfId="26654" xr:uid="{23714AF9-798A-4CC3-BDAE-774C89F8BD33}"/>
    <cellStyle name="Style 83 3 3 8" xfId="10632" xr:uid="{18291979-6E8E-4F50-BCE1-DF07B10E36BD}"/>
    <cellStyle name="Style 83 3 3 8 2" xfId="26655" xr:uid="{C696D95E-D251-4896-8C12-84D305D8B962}"/>
    <cellStyle name="Style 83 3 3 9" xfId="10633" xr:uid="{B63BBCDD-2CA7-418A-9C72-6D174C608D2E}"/>
    <cellStyle name="Style 83 3 3 9 2" xfId="26656" xr:uid="{5391852D-59A5-4E7E-82BC-1EBEDFB8A739}"/>
    <cellStyle name="Style 83 3 4" xfId="2193" xr:uid="{ED927C2A-FF78-4A28-AC80-4C46E2FF4443}"/>
    <cellStyle name="Style 83 3 4 10" xfId="10634" xr:uid="{D3BA1B34-E774-42DC-BE6D-EDD0D04489F5}"/>
    <cellStyle name="Style 83 3 4 10 2" xfId="26657" xr:uid="{3A4756A1-7D84-4073-8F44-D75CBA8AA410}"/>
    <cellStyle name="Style 83 3 4 11" xfId="10635" xr:uid="{6141F647-EA37-4BCD-91A2-DF4C6A46C95E}"/>
    <cellStyle name="Style 83 3 4 11 2" xfId="26658" xr:uid="{F6DC0C49-88D0-4A24-BE2A-1AC347913E53}"/>
    <cellStyle name="Style 83 3 4 12" xfId="10636" xr:uid="{803F5B69-312E-41AD-9971-9BE2A43BECF7}"/>
    <cellStyle name="Style 83 3 4 12 2" xfId="26659" xr:uid="{7EB2FE33-70BA-4860-8A07-BC316FE8EFD5}"/>
    <cellStyle name="Style 83 3 4 13" xfId="10637" xr:uid="{7F01118B-5924-42A1-B712-D88EE82EC2B3}"/>
    <cellStyle name="Style 83 3 4 13 2" xfId="26660" xr:uid="{7D5F8184-EAF6-4DCC-9D9C-3383E530C137}"/>
    <cellStyle name="Style 83 3 4 14" xfId="10638" xr:uid="{FCCC4D8A-C562-42CC-B845-BC3A04CFBE9F}"/>
    <cellStyle name="Style 83 3 4 14 2" xfId="26661" xr:uid="{FAEDD04C-B4BE-4F63-9FF5-FD6A30870BD8}"/>
    <cellStyle name="Style 83 3 4 2" xfId="2194" xr:uid="{C2444521-7029-4E21-A0A0-347D3D3538C7}"/>
    <cellStyle name="Style 83 3 4 2 10" xfId="10639" xr:uid="{25417856-BE6C-4A97-A7B0-2CE9DE4BBD96}"/>
    <cellStyle name="Style 83 3 4 2 10 2" xfId="26662" xr:uid="{4ED3A870-A8BA-4634-AE4A-91F2798E71CF}"/>
    <cellStyle name="Style 83 3 4 2 11" xfId="10640" xr:uid="{4E8D8944-D328-4EAD-A724-B4E3BEA72EFF}"/>
    <cellStyle name="Style 83 3 4 2 11 2" xfId="26663" xr:uid="{A9E5A1B1-6317-4860-B8C2-2A211B7244B0}"/>
    <cellStyle name="Style 83 3 4 2 12" xfId="10641" xr:uid="{990CFE66-C991-48D0-8213-9918F25CB2C8}"/>
    <cellStyle name="Style 83 3 4 2 12 2" xfId="26664" xr:uid="{A484C383-722C-427A-B94A-5DBF5064E317}"/>
    <cellStyle name="Style 83 3 4 2 2" xfId="4791" xr:uid="{80767314-9170-48AD-A7A9-A65AE9958AD1}"/>
    <cellStyle name="Style 83 3 4 2 2 2" xfId="10642" xr:uid="{9CC17026-06B3-4BBA-B7CA-487649490600}"/>
    <cellStyle name="Style 83 3 4 2 2 2 2" xfId="26665" xr:uid="{DE8DC11D-39CC-49FD-82AE-5F322CE58066}"/>
    <cellStyle name="Style 83 3 4 2 2 3" xfId="10643" xr:uid="{5B3B869F-844B-4364-A7F0-AC01B6593A9C}"/>
    <cellStyle name="Style 83 3 4 2 2 3 2" xfId="26666" xr:uid="{100880CF-CE27-4DEF-B6DF-B703B03BB13C}"/>
    <cellStyle name="Style 83 3 4 2 3" xfId="10644" xr:uid="{1897EE3A-7CE5-4E3A-85B8-2A341D0E8F5E}"/>
    <cellStyle name="Style 83 3 4 2 3 2" xfId="10645" xr:uid="{9F1F99D9-63DE-4074-9A74-0496885E3ED2}"/>
    <cellStyle name="Style 83 3 4 2 3 2 2" xfId="26667" xr:uid="{1703F696-244A-43E4-9260-D5C3CFD0CA10}"/>
    <cellStyle name="Style 83 3 4 2 4" xfId="10646" xr:uid="{22DCF764-EB29-49D4-82AF-016931D43E05}"/>
    <cellStyle name="Style 83 3 4 2 4 2" xfId="26668" xr:uid="{01DF4485-3510-454D-90A6-49B233499581}"/>
    <cellStyle name="Style 83 3 4 2 5" xfId="10647" xr:uid="{3382C3C9-CE97-4D4E-B2C8-4D4897BEE4CC}"/>
    <cellStyle name="Style 83 3 4 2 5 2" xfId="26669" xr:uid="{DCF5AADC-4029-4F8C-BC52-0562D29F14BC}"/>
    <cellStyle name="Style 83 3 4 2 6" xfId="10648" xr:uid="{4C2804F4-6A9D-481F-8FCA-50B5A3F56041}"/>
    <cellStyle name="Style 83 3 4 2 6 2" xfId="26670" xr:uid="{34F0C4E4-D15F-42B1-B61A-EB8C744D31C5}"/>
    <cellStyle name="Style 83 3 4 2 7" xfId="10649" xr:uid="{8F468DAF-6E71-45B1-8169-31E2CBB9F23D}"/>
    <cellStyle name="Style 83 3 4 2 7 2" xfId="26671" xr:uid="{72216F5A-A855-4512-80EF-6CCE76AF340D}"/>
    <cellStyle name="Style 83 3 4 2 8" xfId="10650" xr:uid="{7FAE17E8-13C7-48EC-9D95-B0382F465B21}"/>
    <cellStyle name="Style 83 3 4 2 8 2" xfId="26672" xr:uid="{0940DF99-E0A0-48B8-A870-AA12FCB4D642}"/>
    <cellStyle name="Style 83 3 4 2 9" xfId="10651" xr:uid="{F41EE9C5-56C4-478E-AEC5-4379C81803B1}"/>
    <cellStyle name="Style 83 3 4 2 9 2" xfId="26673" xr:uid="{4A756614-F28A-40AA-9E01-B02A0471EA2E}"/>
    <cellStyle name="Style 83 3 4 3" xfId="4790" xr:uid="{60834225-E912-4E08-AF50-F66512227D9C}"/>
    <cellStyle name="Style 83 3 4 3 2" xfId="10652" xr:uid="{F5F970FC-CBCB-43B2-A23D-E6BF3789E66A}"/>
    <cellStyle name="Style 83 3 4 3 2 2" xfId="26674" xr:uid="{061C83CC-244A-49C2-AE32-E880B6FC485E}"/>
    <cellStyle name="Style 83 3 4 3 3" xfId="10653" xr:uid="{581BA2A8-AAD9-4D1B-B601-735125654C43}"/>
    <cellStyle name="Style 83 3 4 3 3 2" xfId="26675" xr:uid="{485D812E-4F12-4FAE-A640-AAE17B352C88}"/>
    <cellStyle name="Style 83 3 4 4" xfId="10654" xr:uid="{91DB2AF2-AEC9-4A11-A6AB-3AB9DC6AE0C5}"/>
    <cellStyle name="Style 83 3 4 4 2" xfId="10655" xr:uid="{CB673A58-76E3-4658-94A7-954F58899334}"/>
    <cellStyle name="Style 83 3 4 4 2 2" xfId="26676" xr:uid="{74CA49C1-AE45-47B4-BE8E-1838C6E3AD21}"/>
    <cellStyle name="Style 83 3 4 5" xfId="10656" xr:uid="{1206F910-D62C-40DA-9778-B6FA566CC860}"/>
    <cellStyle name="Style 83 3 4 5 2" xfId="26677" xr:uid="{8F0BF3E1-6231-4DEA-A292-33963DA4DFAF}"/>
    <cellStyle name="Style 83 3 4 6" xfId="10657" xr:uid="{A88BE129-9250-41A1-AF43-1F66C38EF0CC}"/>
    <cellStyle name="Style 83 3 4 6 2" xfId="26678" xr:uid="{05084C84-7A03-432C-A7C7-70321A699F3F}"/>
    <cellStyle name="Style 83 3 4 7" xfId="10658" xr:uid="{958A4512-838D-4DAE-8DAE-58130129EF24}"/>
    <cellStyle name="Style 83 3 4 7 2" xfId="26679" xr:uid="{711CE1BC-2E27-49DC-B3EF-EE4F3F6A80B9}"/>
    <cellStyle name="Style 83 3 4 8" xfId="10659" xr:uid="{0D09065E-3F5E-4D1A-BCC3-98EDC756F008}"/>
    <cellStyle name="Style 83 3 4 8 2" xfId="26680" xr:uid="{69185D1F-9403-4366-8CD4-613295B4744A}"/>
    <cellStyle name="Style 83 3 4 9" xfId="10660" xr:uid="{DF3BA7CB-9128-4A00-A087-DAFCB2163268}"/>
    <cellStyle name="Style 83 3 4 9 2" xfId="26681" xr:uid="{E6AD4A52-9700-4694-B6C2-07B6ECCAA694}"/>
    <cellStyle name="Style 83 3 5" xfId="2195" xr:uid="{A8AD6D99-1E7F-405F-8E6E-3C5BFEB2F3AF}"/>
    <cellStyle name="Style 83 3 5 10" xfId="10661" xr:uid="{551FECF3-4056-4AB7-A65F-351CDCFA1EE5}"/>
    <cellStyle name="Style 83 3 5 10 2" xfId="26682" xr:uid="{E19FA977-C076-4318-84F6-B6E25672D71E}"/>
    <cellStyle name="Style 83 3 5 11" xfId="10662" xr:uid="{4EBEB2D7-E464-4E84-A751-A37FF8295100}"/>
    <cellStyle name="Style 83 3 5 11 2" xfId="26683" xr:uid="{13B2B6C8-43CF-4A08-A794-0D79D754734D}"/>
    <cellStyle name="Style 83 3 5 12" xfId="10663" xr:uid="{BB7639B0-43CE-4C54-BF8B-B3CD2AE637C3}"/>
    <cellStyle name="Style 83 3 5 12 2" xfId="26684" xr:uid="{2F306580-6D51-4E10-AF7F-852207F366D0}"/>
    <cellStyle name="Style 83 3 5 13" xfId="10664" xr:uid="{E91F5AA5-27A5-4FE5-A1DA-5ABA98E87621}"/>
    <cellStyle name="Style 83 3 5 13 2" xfId="26685" xr:uid="{A8882E3A-FB69-4A7F-9259-1B20F64F6E06}"/>
    <cellStyle name="Style 83 3 5 2" xfId="4792" xr:uid="{63F8B800-9C45-44A0-A812-D41E9F5D4ED7}"/>
    <cellStyle name="Style 83 3 5 2 2" xfId="10665" xr:uid="{C741573D-7FB8-4F31-BEA3-E9B4058D8155}"/>
    <cellStyle name="Style 83 3 5 2 2 2" xfId="26686" xr:uid="{5B81A072-3119-4F5A-9450-99EC891AFD68}"/>
    <cellStyle name="Style 83 3 5 2 3" xfId="10666" xr:uid="{40FC7A83-6CA4-4881-B6AE-443A1F1A4DCD}"/>
    <cellStyle name="Style 83 3 5 2 3 2" xfId="26687" xr:uid="{DD72B29A-FEC6-4DCC-B1AD-F538E46A7745}"/>
    <cellStyle name="Style 83 3 5 3" xfId="10667" xr:uid="{94D3DC52-0CC8-49DD-9993-40E24F370A0D}"/>
    <cellStyle name="Style 83 3 5 3 2" xfId="10668" xr:uid="{C74DA2AD-7631-4652-A8FD-B657A5266D6B}"/>
    <cellStyle name="Style 83 3 5 3 2 2" xfId="26688" xr:uid="{2AC1AE63-FE07-4C6C-AEB1-683225483CE4}"/>
    <cellStyle name="Style 83 3 5 4" xfId="10669" xr:uid="{6F7BD217-AE73-434F-B4F9-C6C565C3C55C}"/>
    <cellStyle name="Style 83 3 5 4 2" xfId="26689" xr:uid="{3408295B-CD5C-4C79-8F5D-4C94FFDC5F86}"/>
    <cellStyle name="Style 83 3 5 5" xfId="10670" xr:uid="{1C97E19C-968B-4EDE-B997-5C8F2985B4B5}"/>
    <cellStyle name="Style 83 3 5 5 2" xfId="26690" xr:uid="{D1745E23-FBE2-4D1B-A604-397B78160217}"/>
    <cellStyle name="Style 83 3 5 6" xfId="10671" xr:uid="{5550DADF-F456-4165-B141-0BD662CF537C}"/>
    <cellStyle name="Style 83 3 5 6 2" xfId="26691" xr:uid="{454FB48C-4C6E-4C43-AF4E-B7454D16A699}"/>
    <cellStyle name="Style 83 3 5 7" xfId="10672" xr:uid="{C7C8118B-0DF0-4512-A519-9E139633A78A}"/>
    <cellStyle name="Style 83 3 5 7 2" xfId="26692" xr:uid="{9325A6E2-A78F-4C17-A1BF-41023D5715D4}"/>
    <cellStyle name="Style 83 3 5 8" xfId="10673" xr:uid="{6E4D9DB1-B15F-4A76-8FE6-AD6D4571BE23}"/>
    <cellStyle name="Style 83 3 5 8 2" xfId="26693" xr:uid="{5FABA587-C6F5-4E79-BAA3-C34D4ABD46B4}"/>
    <cellStyle name="Style 83 3 5 9" xfId="10674" xr:uid="{8D17FC30-20FE-4F04-97A2-789CA147E52B}"/>
    <cellStyle name="Style 83 3 5 9 2" xfId="26694" xr:uid="{9C9641D4-30D1-44E1-8B5A-24668E064726}"/>
    <cellStyle name="Style 83 3 6" xfId="4793" xr:uid="{6C8CB6D5-87B5-4379-8A8C-3D6A19FB8929}"/>
    <cellStyle name="Style 83 3 6 2" xfId="10675" xr:uid="{5ABF2993-1396-4D96-846F-B1F34964F6AB}"/>
    <cellStyle name="Style 83 3 6 2 2" xfId="26695" xr:uid="{6089FB64-387D-44A8-874A-B5434086DB1B}"/>
    <cellStyle name="Style 83 3 6 3" xfId="10676" xr:uid="{88C61B81-18AD-492F-B739-71E152140406}"/>
    <cellStyle name="Style 83 3 6 3 2" xfId="26696" xr:uid="{E76653A0-1D49-4EAB-B7E3-DFCE00537C49}"/>
    <cellStyle name="Style 83 3 7" xfId="4772" xr:uid="{B49371E4-C537-4D5A-A591-AB18DEC82204}"/>
    <cellStyle name="Style 83 3 7 2" xfId="10677" xr:uid="{6C484E76-6B3A-4959-88C6-DF733E8B144E}"/>
    <cellStyle name="Style 83 3 7 2 2" xfId="26697" xr:uid="{09319E9A-E76E-45F4-B718-865A281820A9}"/>
    <cellStyle name="Style 83 3 8" xfId="10678" xr:uid="{92A5FEEF-592B-4BA6-8030-C9B0F5760A39}"/>
    <cellStyle name="Style 83 3 8 2" xfId="10679" xr:uid="{0BAAB6C9-07AD-41DD-93BC-AB384AC2A615}"/>
    <cellStyle name="Style 83 3 8 2 2" xfId="26698" xr:uid="{D2A3D159-6E7C-4B73-951C-1323631A35EF}"/>
    <cellStyle name="Style 83 3 9" xfId="10680" xr:uid="{53B1B3DB-0065-49F5-8830-1C4D7AB64754}"/>
    <cellStyle name="Style 83 3 9 2" xfId="26699" xr:uid="{3D4D00FE-2818-406E-B656-422128ADE5BB}"/>
    <cellStyle name="Style 83 4" xfId="2196" xr:uid="{1F22E18A-5672-4561-8C26-8B5610C6E7B1}"/>
    <cellStyle name="Style 83 4 10" xfId="10681" xr:uid="{C43A12B4-2A09-4D96-BC44-48F4D411D2C5}"/>
    <cellStyle name="Style 83 4 10 2" xfId="26700" xr:uid="{F4E805BC-A49C-43E2-B2D3-F545532116F7}"/>
    <cellStyle name="Style 83 4 11" xfId="10682" xr:uid="{C6460E65-701B-4850-8FB3-10344C3772AE}"/>
    <cellStyle name="Style 83 4 11 2" xfId="26701" xr:uid="{C34E2BCA-14DA-47DC-B7C7-0553705212D8}"/>
    <cellStyle name="Style 83 4 12" xfId="10683" xr:uid="{33D09964-9CBE-449D-96C8-3D6A410D6A14}"/>
    <cellStyle name="Style 83 4 12 2" xfId="26702" xr:uid="{080BCF54-5723-4E56-BF26-B9710F1C8E1A}"/>
    <cellStyle name="Style 83 4 13" xfId="10684" xr:uid="{50A055BC-78E7-44E5-892A-0217FC4934FB}"/>
    <cellStyle name="Style 83 4 13 2" xfId="26703" xr:uid="{53DFA53F-5827-4BB6-B0F6-FE25C0169449}"/>
    <cellStyle name="Style 83 4 14" xfId="10685" xr:uid="{AEFC0210-CA39-42F9-B848-98CC431C9544}"/>
    <cellStyle name="Style 83 4 14 2" xfId="26704" xr:uid="{F6D55B22-90EA-47D9-90EF-04A1A7F8B553}"/>
    <cellStyle name="Style 83 4 15" xfId="10686" xr:uid="{26B50F06-59CC-406E-88BA-E2000677D941}"/>
    <cellStyle name="Style 83 4 15 2" xfId="26705" xr:uid="{723E8452-F019-4080-9FE1-9DCD330798A9}"/>
    <cellStyle name="Style 83 4 2" xfId="2197" xr:uid="{DFA77111-29A2-432F-9067-B0DEF05F4C3A}"/>
    <cellStyle name="Style 83 4 2 10" xfId="10687" xr:uid="{C0EC022C-2D6C-4EEE-9EC2-9EB39CE2CAF4}"/>
    <cellStyle name="Style 83 4 2 10 2" xfId="26706" xr:uid="{F6CF1E7D-06FE-4AD2-A2B8-BF04C908F67F}"/>
    <cellStyle name="Style 83 4 2 11" xfId="10688" xr:uid="{F630472B-B413-4CCD-8588-F3D6BBA988E5}"/>
    <cellStyle name="Style 83 4 2 11 2" xfId="26707" xr:uid="{21A4FA25-2215-4D6D-B5E1-3D10BEFD2A3A}"/>
    <cellStyle name="Style 83 4 2 12" xfId="10689" xr:uid="{4DD17A7C-E6D5-4E92-BE52-CB1A761B2F1C}"/>
    <cellStyle name="Style 83 4 2 12 2" xfId="26708" xr:uid="{FCD241DD-5282-4C42-9C98-F8E783C508C6}"/>
    <cellStyle name="Style 83 4 2 13" xfId="10690" xr:uid="{1CF41EE8-C72D-484B-B0B5-633FC8F14383}"/>
    <cellStyle name="Style 83 4 2 13 2" xfId="26709" xr:uid="{913FADC9-4E7F-451C-B406-B9C7767D4F91}"/>
    <cellStyle name="Style 83 4 2 14" xfId="10691" xr:uid="{5A360F65-2AF8-46BE-B27E-A7E146FF7513}"/>
    <cellStyle name="Style 83 4 2 14 2" xfId="26710" xr:uid="{F3C7986F-E40A-4580-B3E5-762C7C99482F}"/>
    <cellStyle name="Style 83 4 2 15" xfId="10692" xr:uid="{15947120-A1D6-4B7B-B5B9-9D7FDF38939F}"/>
    <cellStyle name="Style 83 4 2 15 2" xfId="26711" xr:uid="{30E219E6-6814-4433-A065-13B1182A62F3}"/>
    <cellStyle name="Style 83 4 2 2" xfId="2198" xr:uid="{D686AC98-D2DE-4C54-A2C3-CD11CD7C172E}"/>
    <cellStyle name="Style 83 4 2 2 10" xfId="10693" xr:uid="{1E9AE84E-6E26-497E-8594-F601235F6F6B}"/>
    <cellStyle name="Style 83 4 2 2 10 2" xfId="26712" xr:uid="{52B7C81F-5793-402B-B957-EBDCE47A2FD8}"/>
    <cellStyle name="Style 83 4 2 2 11" xfId="10694" xr:uid="{49F41B99-BE56-4C96-A282-53705CA76D78}"/>
    <cellStyle name="Style 83 4 2 2 11 2" xfId="26713" xr:uid="{EA8A96F8-BFBC-4B39-9305-F886C1FBE05D}"/>
    <cellStyle name="Style 83 4 2 2 12" xfId="10695" xr:uid="{19015B6D-B1CE-49D7-A2D2-C4DBD4C2CBE0}"/>
    <cellStyle name="Style 83 4 2 2 12 2" xfId="26714" xr:uid="{1A9F1724-2663-45BE-8E10-19C9A23770C5}"/>
    <cellStyle name="Style 83 4 2 2 13" xfId="10696" xr:uid="{A5CF8ED3-1A57-4A5B-85F0-B0067E4EC180}"/>
    <cellStyle name="Style 83 4 2 2 13 2" xfId="26715" xr:uid="{862CA716-5F28-4F49-8E2C-F8F284765EFA}"/>
    <cellStyle name="Style 83 4 2 2 14" xfId="10697" xr:uid="{5EBDAD2D-FE75-4540-9F73-F7362548C35F}"/>
    <cellStyle name="Style 83 4 2 2 14 2" xfId="26716" xr:uid="{B1760B9D-5F99-433E-A4AC-7CC20F9BC86F}"/>
    <cellStyle name="Style 83 4 2 2 2" xfId="2199" xr:uid="{75FEC5E9-50D7-4ACA-B21D-53055BA5E7AA}"/>
    <cellStyle name="Style 83 4 2 2 2 10" xfId="10698" xr:uid="{D95F59BA-A1D8-42A9-AAE5-6CF36DCC9301}"/>
    <cellStyle name="Style 83 4 2 2 2 10 2" xfId="26717" xr:uid="{D139E595-AD86-493E-ABD7-587C691CB78C}"/>
    <cellStyle name="Style 83 4 2 2 2 11" xfId="10699" xr:uid="{53E733F6-6255-4B35-8303-7FA914CBFBF5}"/>
    <cellStyle name="Style 83 4 2 2 2 11 2" xfId="26718" xr:uid="{8CA847CC-FFFD-4FCC-941C-708A45ADC938}"/>
    <cellStyle name="Style 83 4 2 2 2 12" xfId="10700" xr:uid="{8A25D68E-D294-4539-815E-8073A32E8051}"/>
    <cellStyle name="Style 83 4 2 2 2 12 2" xfId="26719" xr:uid="{93953C4B-2BB9-4063-AB07-627D91E9C5AC}"/>
    <cellStyle name="Style 83 4 2 2 2 2" xfId="4797" xr:uid="{77780BE7-DA68-4C38-8C8B-B905EDCB5A33}"/>
    <cellStyle name="Style 83 4 2 2 2 2 2" xfId="10701" xr:uid="{297F091C-E0E5-4F8C-83B0-879AEA0BFC9F}"/>
    <cellStyle name="Style 83 4 2 2 2 2 2 2" xfId="26720" xr:uid="{70246B0D-EF7C-4105-B15A-20ECBE60FBFF}"/>
    <cellStyle name="Style 83 4 2 2 2 2 3" xfId="10702" xr:uid="{9F438261-3CC3-4BD6-A937-CEAE5F4635D2}"/>
    <cellStyle name="Style 83 4 2 2 2 2 3 2" xfId="26721" xr:uid="{8C890A1E-4622-4D6F-B173-5FEE812869C1}"/>
    <cellStyle name="Style 83 4 2 2 2 3" xfId="10703" xr:uid="{9DBFBFCF-B1A9-4DD8-A5CC-7FE79ED47D0C}"/>
    <cellStyle name="Style 83 4 2 2 2 3 2" xfId="10704" xr:uid="{41823EDA-9B59-46A8-A756-95F631F0928A}"/>
    <cellStyle name="Style 83 4 2 2 2 3 2 2" xfId="26722" xr:uid="{96030908-39DF-4822-AA53-D17B94699673}"/>
    <cellStyle name="Style 83 4 2 2 2 4" xfId="10705" xr:uid="{AD81EC9F-A538-42C9-B725-23AC0B08A09F}"/>
    <cellStyle name="Style 83 4 2 2 2 4 2" xfId="26723" xr:uid="{6A5B465C-49F9-4155-BAAB-EBF15D609791}"/>
    <cellStyle name="Style 83 4 2 2 2 5" xfId="10706" xr:uid="{72EA5F3E-0102-4BE2-85CF-FBDEF5FC2E43}"/>
    <cellStyle name="Style 83 4 2 2 2 5 2" xfId="26724" xr:uid="{16359D74-A189-4B31-9FCA-52C940D1AA74}"/>
    <cellStyle name="Style 83 4 2 2 2 6" xfId="10707" xr:uid="{533EF354-1C04-4A16-9670-79F5DDB5D2E1}"/>
    <cellStyle name="Style 83 4 2 2 2 6 2" xfId="26725" xr:uid="{B9082B39-D2A4-4722-A55A-7D141B5B7A14}"/>
    <cellStyle name="Style 83 4 2 2 2 7" xfId="10708" xr:uid="{46E01211-9AE6-498D-8713-6356F431B595}"/>
    <cellStyle name="Style 83 4 2 2 2 7 2" xfId="26726" xr:uid="{E3A30245-E609-4719-ABF3-3ACB58491DAD}"/>
    <cellStyle name="Style 83 4 2 2 2 8" xfId="10709" xr:uid="{D34FF010-AED5-45DF-A23D-4D66111F70B6}"/>
    <cellStyle name="Style 83 4 2 2 2 8 2" xfId="26727" xr:uid="{18FC725A-BF62-45A7-9261-822B714234D4}"/>
    <cellStyle name="Style 83 4 2 2 2 9" xfId="10710" xr:uid="{4E20C744-71A3-44A3-AA90-250140FFC5FA}"/>
    <cellStyle name="Style 83 4 2 2 2 9 2" xfId="26728" xr:uid="{2A247A92-4DC2-415B-B7E5-BCF02AEB1303}"/>
    <cellStyle name="Style 83 4 2 2 3" xfId="4796" xr:uid="{09BC6162-DD5C-49A8-A342-1F974376D03E}"/>
    <cellStyle name="Style 83 4 2 2 3 2" xfId="10711" xr:uid="{A18C2117-7143-44CD-8C43-BB39C576790D}"/>
    <cellStyle name="Style 83 4 2 2 3 2 2" xfId="26729" xr:uid="{27282571-56DC-4D59-A346-B0EC03F53357}"/>
    <cellStyle name="Style 83 4 2 2 3 3" xfId="10712" xr:uid="{59F771D0-8712-48A2-92DA-9FE78B504DA4}"/>
    <cellStyle name="Style 83 4 2 2 3 3 2" xfId="26730" xr:uid="{F4EBED0F-505B-4455-BA0F-0F193B479AEE}"/>
    <cellStyle name="Style 83 4 2 2 4" xfId="10713" xr:uid="{BC61FA7A-6C96-404E-B670-A05EFC74E773}"/>
    <cellStyle name="Style 83 4 2 2 4 2" xfId="10714" xr:uid="{982CEDC7-2405-4BB0-8D46-AA85D8A48572}"/>
    <cellStyle name="Style 83 4 2 2 4 2 2" xfId="26731" xr:uid="{5CD8AA8A-A48C-407E-AF56-34822A00CCB4}"/>
    <cellStyle name="Style 83 4 2 2 5" xfId="10715" xr:uid="{5B7FB94F-3AD6-4255-9628-A8F2859B9C92}"/>
    <cellStyle name="Style 83 4 2 2 5 2" xfId="26732" xr:uid="{AF3922E0-F243-410D-BA7A-B9D377FB4EBC}"/>
    <cellStyle name="Style 83 4 2 2 6" xfId="10716" xr:uid="{CC1F2A58-C5E2-40A2-A52A-36E42284E702}"/>
    <cellStyle name="Style 83 4 2 2 6 2" xfId="26733" xr:uid="{81213BF2-9B41-4B43-92F0-8FA111018A96}"/>
    <cellStyle name="Style 83 4 2 2 7" xfId="10717" xr:uid="{1D5B639F-23AF-4429-81FF-4247A8B7ACC5}"/>
    <cellStyle name="Style 83 4 2 2 7 2" xfId="26734" xr:uid="{660B405F-CB3E-48E5-A7F9-B004C5277E07}"/>
    <cellStyle name="Style 83 4 2 2 8" xfId="10718" xr:uid="{CD0860F5-FE08-4208-B039-ED7391941C96}"/>
    <cellStyle name="Style 83 4 2 2 8 2" xfId="26735" xr:uid="{5D83D71A-B848-4739-9CD9-1B68F4DB01DF}"/>
    <cellStyle name="Style 83 4 2 2 9" xfId="10719" xr:uid="{1526B416-5BF2-479A-BD01-2C7A44AF5767}"/>
    <cellStyle name="Style 83 4 2 2 9 2" xfId="26736" xr:uid="{55BFD7BC-808D-4B7F-AD5E-7C192ADDEBEA}"/>
    <cellStyle name="Style 83 4 2 3" xfId="2200" xr:uid="{F684C648-7C6C-40E2-8F99-806B3FADBAEF}"/>
    <cellStyle name="Style 83 4 2 3 10" xfId="10720" xr:uid="{3F6B5895-3273-4301-B592-0CB54B682428}"/>
    <cellStyle name="Style 83 4 2 3 10 2" xfId="26737" xr:uid="{BC0A5F78-A7D0-40A3-B320-43BC6E2FC3AA}"/>
    <cellStyle name="Style 83 4 2 3 11" xfId="10721" xr:uid="{797E80F4-B8AF-4DC7-BBDB-2F5FC260DA2E}"/>
    <cellStyle name="Style 83 4 2 3 11 2" xfId="26738" xr:uid="{594B6279-EEF4-4C82-BB51-FC6E7B82EBB2}"/>
    <cellStyle name="Style 83 4 2 3 12" xfId="10722" xr:uid="{B2598C58-5438-4359-ABB5-D28C43F1D4C2}"/>
    <cellStyle name="Style 83 4 2 3 12 2" xfId="26739" xr:uid="{31658201-4F6E-476E-9595-16DB78A8E9A5}"/>
    <cellStyle name="Style 83 4 2 3 2" xfId="4798" xr:uid="{B0B47349-6275-4A37-95D6-9BE74A433B39}"/>
    <cellStyle name="Style 83 4 2 3 2 2" xfId="10723" xr:uid="{A5C23C00-36FA-4753-B0EF-5CD2FA7CE96D}"/>
    <cellStyle name="Style 83 4 2 3 2 2 2" xfId="26740" xr:uid="{0BDF7571-C753-4A26-8AE0-5F40693E9AF3}"/>
    <cellStyle name="Style 83 4 2 3 2 3" xfId="10724" xr:uid="{D6D3E408-C8FA-4DEF-BDE1-22800D1CC104}"/>
    <cellStyle name="Style 83 4 2 3 2 3 2" xfId="26741" xr:uid="{3398D204-AEBC-42A3-B6AA-DA9551F6061C}"/>
    <cellStyle name="Style 83 4 2 3 3" xfId="10725" xr:uid="{13680F20-53B2-4943-9A88-06FF086DDBCB}"/>
    <cellStyle name="Style 83 4 2 3 3 2" xfId="10726" xr:uid="{122EC1EC-D119-4BC0-95D7-7FACD2785D86}"/>
    <cellStyle name="Style 83 4 2 3 3 2 2" xfId="26742" xr:uid="{0610DA23-6504-4F98-A8E9-4A9948371D6C}"/>
    <cellStyle name="Style 83 4 2 3 4" xfId="10727" xr:uid="{EF11576C-5351-401A-A5FC-9093FDD63E3F}"/>
    <cellStyle name="Style 83 4 2 3 4 2" xfId="26743" xr:uid="{05132224-AD8D-4D73-A00C-A0970B990EDB}"/>
    <cellStyle name="Style 83 4 2 3 5" xfId="10728" xr:uid="{56946CBC-2A69-4390-AC2F-4354330EAD89}"/>
    <cellStyle name="Style 83 4 2 3 5 2" xfId="26744" xr:uid="{751FC333-B3E8-4C06-A89F-6EC989E93E39}"/>
    <cellStyle name="Style 83 4 2 3 6" xfId="10729" xr:uid="{6E88EB12-205A-4CCD-99D8-6DEA181897ED}"/>
    <cellStyle name="Style 83 4 2 3 6 2" xfId="26745" xr:uid="{2A05416F-CE8E-4AA1-BFAD-9499C535BCBD}"/>
    <cellStyle name="Style 83 4 2 3 7" xfId="10730" xr:uid="{C64A8DCF-FCFD-4C88-B76B-F12987A13F97}"/>
    <cellStyle name="Style 83 4 2 3 7 2" xfId="26746" xr:uid="{0F748287-DD18-4FF0-A9FB-62F3A3C01EC7}"/>
    <cellStyle name="Style 83 4 2 3 8" xfId="10731" xr:uid="{CDCC7195-9378-4EDD-84F0-0EA13938BFFE}"/>
    <cellStyle name="Style 83 4 2 3 8 2" xfId="26747" xr:uid="{5BFF8020-63A4-445E-B56F-762D678BE688}"/>
    <cellStyle name="Style 83 4 2 3 9" xfId="10732" xr:uid="{74040584-CE9C-453A-805C-9A83CA62047C}"/>
    <cellStyle name="Style 83 4 2 3 9 2" xfId="26748" xr:uid="{08BBDD7B-CB01-45C5-899F-E0AF5EA04CA8}"/>
    <cellStyle name="Style 83 4 2 4" xfId="4795" xr:uid="{3A076962-5F90-4DB9-BC97-54D9C945FF1F}"/>
    <cellStyle name="Style 83 4 2 4 2" xfId="10733" xr:uid="{E35CA0B9-21F7-4EA1-AEF7-36E71C797E58}"/>
    <cellStyle name="Style 83 4 2 4 2 2" xfId="26749" xr:uid="{AB9FAAE0-DA5F-49E1-8D1D-B5AABC349E8F}"/>
    <cellStyle name="Style 83 4 2 4 3" xfId="10734" xr:uid="{C96D7EB5-B592-4BEA-AC92-D0F5E384227D}"/>
    <cellStyle name="Style 83 4 2 4 3 2" xfId="26750" xr:uid="{931497D2-5CE8-4507-B201-7BD18AC6ACBE}"/>
    <cellStyle name="Style 83 4 2 5" xfId="10735" xr:uid="{1801729A-9E0C-483A-83CF-1F8020F5FEF4}"/>
    <cellStyle name="Style 83 4 2 5 2" xfId="10736" xr:uid="{0213A140-714C-4922-94FD-DDA09157F92B}"/>
    <cellStyle name="Style 83 4 2 5 2 2" xfId="26751" xr:uid="{A1C3848E-8DE8-4C83-AD96-795AF6A4EF6F}"/>
    <cellStyle name="Style 83 4 2 6" xfId="10737" xr:uid="{F4BCD83C-7573-41F4-8D14-9A2A6173B22A}"/>
    <cellStyle name="Style 83 4 2 6 2" xfId="26752" xr:uid="{242D2B56-C477-44FA-B133-C76CCD9C86EC}"/>
    <cellStyle name="Style 83 4 2 7" xfId="10738" xr:uid="{C4939F22-1D73-46E7-9FC5-2765FE82746F}"/>
    <cellStyle name="Style 83 4 2 7 2" xfId="26753" xr:uid="{6FED3680-EAA3-45C2-ADA0-3052CBBDFE37}"/>
    <cellStyle name="Style 83 4 2 8" xfId="10739" xr:uid="{8FED3E35-4C20-4A39-B90A-8A1303301CB3}"/>
    <cellStyle name="Style 83 4 2 8 2" xfId="26754" xr:uid="{3E8F9496-286F-4D7E-B0C2-053E3F525713}"/>
    <cellStyle name="Style 83 4 2 9" xfId="10740" xr:uid="{07CF7FB6-F450-4169-92C1-54AE6EA6CE9E}"/>
    <cellStyle name="Style 83 4 2 9 2" xfId="26755" xr:uid="{E18C6262-37F8-43EC-813C-89A16A648BDA}"/>
    <cellStyle name="Style 83 4 3" xfId="2201" xr:uid="{564955D5-2FEA-4A48-8CC1-A89692099894}"/>
    <cellStyle name="Style 83 4 3 10" xfId="10741" xr:uid="{786F3EC5-8827-49A7-8571-D4D59AEBFBFD}"/>
    <cellStyle name="Style 83 4 3 10 2" xfId="26756" xr:uid="{1AD8E406-5714-4BCF-A1F6-17F532A9DE27}"/>
    <cellStyle name="Style 83 4 3 11" xfId="10742" xr:uid="{95CF7848-C0A4-4427-A22B-682EB6682DBE}"/>
    <cellStyle name="Style 83 4 3 11 2" xfId="26757" xr:uid="{7DD72AD1-1203-423A-8176-A265B4DBC457}"/>
    <cellStyle name="Style 83 4 3 12" xfId="10743" xr:uid="{91182549-0277-49D6-8857-F439E4A6E6DB}"/>
    <cellStyle name="Style 83 4 3 12 2" xfId="26758" xr:uid="{7E3BD643-C8DE-4B2D-8980-C9E800E90314}"/>
    <cellStyle name="Style 83 4 3 13" xfId="10744" xr:uid="{FCDF045D-3132-4841-B980-C2E2799B8678}"/>
    <cellStyle name="Style 83 4 3 13 2" xfId="26759" xr:uid="{16754C24-5D81-4E70-82CB-CA0C5C1D4EE6}"/>
    <cellStyle name="Style 83 4 3 2" xfId="4800" xr:uid="{AA78B258-9F00-4E1D-9423-26818A3932ED}"/>
    <cellStyle name="Style 83 4 3 2 2" xfId="10745" xr:uid="{9293D363-3F5A-4660-8256-4EA17F60CB52}"/>
    <cellStyle name="Style 83 4 3 2 2 2" xfId="26760" xr:uid="{00DC97C4-A9E6-4E95-9895-129189B2FA08}"/>
    <cellStyle name="Style 83 4 3 2 3" xfId="10746" xr:uid="{D59B9B37-5B91-4A18-B734-0212AF72A258}"/>
    <cellStyle name="Style 83 4 3 2 3 2" xfId="26761" xr:uid="{1F887F84-CD4B-4117-A409-81B8C01C0E15}"/>
    <cellStyle name="Style 83 4 3 3" xfId="4799" xr:uid="{2542F9A7-481E-4BAE-B753-423BDF6D9FB2}"/>
    <cellStyle name="Style 83 4 3 3 2" xfId="10747" xr:uid="{91B0200F-BDD0-429A-A098-5CDD7BBBBB84}"/>
    <cellStyle name="Style 83 4 3 3 2 2" xfId="26762" xr:uid="{8E979789-2E2B-425D-AEB8-8C8F5C025B73}"/>
    <cellStyle name="Style 83 4 3 4" xfId="10748" xr:uid="{58E6077B-D44A-421C-8698-E2CC4EE6FB44}"/>
    <cellStyle name="Style 83 4 3 4 2" xfId="10749" xr:uid="{F5E82ED3-FAD9-45EF-A465-952197F12F38}"/>
    <cellStyle name="Style 83 4 3 4 2 2" xfId="26763" xr:uid="{D7D47F4E-5C46-4C5C-98D8-90F152940CBF}"/>
    <cellStyle name="Style 83 4 3 5" xfId="10750" xr:uid="{810BEFAF-3BCD-4125-8029-10BE7F7ED8B3}"/>
    <cellStyle name="Style 83 4 3 5 2" xfId="26764" xr:uid="{A26DF205-E88B-4F33-85C2-A74425A1C944}"/>
    <cellStyle name="Style 83 4 3 6" xfId="10751" xr:uid="{725DB4C3-D167-4CD4-80D0-08DB53CF75F4}"/>
    <cellStyle name="Style 83 4 3 6 2" xfId="26765" xr:uid="{6E1B1934-1ABF-4389-AA4B-49B6E941DCE7}"/>
    <cellStyle name="Style 83 4 3 7" xfId="10752" xr:uid="{338276B4-3A5F-481A-83F2-611A643483F1}"/>
    <cellStyle name="Style 83 4 3 7 2" xfId="26766" xr:uid="{A2A069AE-1B39-4CBE-9B91-9D8A45C34087}"/>
    <cellStyle name="Style 83 4 3 8" xfId="10753" xr:uid="{ED5DCFAA-C2D5-44F1-BB38-E773278EACF0}"/>
    <cellStyle name="Style 83 4 3 8 2" xfId="26767" xr:uid="{9B8519CB-4AA6-4376-B270-D105424A51E3}"/>
    <cellStyle name="Style 83 4 3 9" xfId="10754" xr:uid="{25D91C0A-4176-458C-A43D-A282C6E4D7D2}"/>
    <cellStyle name="Style 83 4 3 9 2" xfId="26768" xr:uid="{8CEF3186-EA51-4A0C-8AC3-199FB8873CAD}"/>
    <cellStyle name="Style 83 4 4" xfId="4801" xr:uid="{DEC40C10-8057-4E27-B97E-9704B240FEE2}"/>
    <cellStyle name="Style 83 4 4 2" xfId="10755" xr:uid="{ED128628-C31C-4040-A505-12EBFDA3D33F}"/>
    <cellStyle name="Style 83 4 4 2 2" xfId="26769" xr:uid="{C4593389-220E-431C-AD54-BBC23CEC042A}"/>
    <cellStyle name="Style 83 4 4 3" xfId="10756" xr:uid="{35DF383B-1060-4509-BFC5-9FBF7B2B0FBE}"/>
    <cellStyle name="Style 83 4 4 3 2" xfId="26770" xr:uid="{3EBAF32C-20DE-412D-B211-3EFF60F1FFA8}"/>
    <cellStyle name="Style 83 4 5" xfId="4802" xr:uid="{9B909B0E-3792-4AA8-8F21-5A90B18F51A3}"/>
    <cellStyle name="Style 83 4 5 2" xfId="10757" xr:uid="{E5512A92-8094-46AF-8F11-2122A55B3937}"/>
    <cellStyle name="Style 83 4 5 2 2" xfId="26771" xr:uid="{DA222C78-5142-48D2-B042-A271EF07384C}"/>
    <cellStyle name="Style 83 4 6" xfId="4794" xr:uid="{B6F939DB-7C61-43FC-B157-DDCF7C0F01FD}"/>
    <cellStyle name="Style 83 4 6 2" xfId="10758" xr:uid="{B551EE21-02C7-4EE2-850F-AFBD3A4941C1}"/>
    <cellStyle name="Style 83 4 6 2 2" xfId="26772" xr:uid="{70668BBB-9A6C-45E2-AABC-2AAB9E779B89}"/>
    <cellStyle name="Style 83 4 7" xfId="10759" xr:uid="{427EF8F2-17F6-41CE-84E2-18064AFBBCCA}"/>
    <cellStyle name="Style 83 4 7 2" xfId="10760" xr:uid="{84E5FD2A-4460-4FC0-A146-81D2187FB497}"/>
    <cellStyle name="Style 83 4 7 2 2" xfId="26773" xr:uid="{B0BDE872-B573-47A7-9935-9E9909907361}"/>
    <cellStyle name="Style 83 4 8" xfId="10761" xr:uid="{AD07F175-CB6D-44FC-8BB7-65F17A4F06B6}"/>
    <cellStyle name="Style 83 4 8 2" xfId="26774" xr:uid="{77ED6802-6DF3-4BA9-8039-5AC39141BA7A}"/>
    <cellStyle name="Style 83 4 9" xfId="10762" xr:uid="{BBD9FE22-B2C9-4D54-92F7-460300161252}"/>
    <cellStyle name="Style 83 4 9 2" xfId="26775" xr:uid="{6B10A7D8-38E2-4596-B279-BFD856E57219}"/>
    <cellStyle name="Style 83 5" xfId="2202" xr:uid="{55DEF832-2276-434D-81C4-4AD94147AC75}"/>
    <cellStyle name="Style 83 5 10" xfId="10763" xr:uid="{C4817BBD-A31B-452F-B6B3-1180560289E2}"/>
    <cellStyle name="Style 83 5 10 2" xfId="26776" xr:uid="{EE3EAC0A-9D39-4C86-9812-66864C3957BE}"/>
    <cellStyle name="Style 83 5 11" xfId="10764" xr:uid="{9B0CB5D9-0255-48E0-8B03-90324611A2A5}"/>
    <cellStyle name="Style 83 5 11 2" xfId="26777" xr:uid="{A8C480B8-FDB6-43F3-B53C-A94CBF3C3BE7}"/>
    <cellStyle name="Style 83 5 12" xfId="10765" xr:uid="{9F8CF447-9CBD-47D0-93D1-F0668FEA7FF2}"/>
    <cellStyle name="Style 83 5 12 2" xfId="26778" xr:uid="{D350B8FC-DF71-4898-ADBE-3F080B83037A}"/>
    <cellStyle name="Style 83 5 13" xfId="10766" xr:uid="{4EDE3CAC-625B-45B0-B7CA-6753F2872B91}"/>
    <cellStyle name="Style 83 5 13 2" xfId="26779" xr:uid="{C7B3695B-EB80-427C-96A5-EE081BA7CC8F}"/>
    <cellStyle name="Style 83 5 14" xfId="10767" xr:uid="{27F7354D-2488-48B1-97BA-298C1321A92B}"/>
    <cellStyle name="Style 83 5 14 2" xfId="26780" xr:uid="{1CF84333-53F1-4C35-B072-A11CE9BCAE6D}"/>
    <cellStyle name="Style 83 5 2" xfId="2203" xr:uid="{A0762868-1883-4EAB-963F-F0D8F4C64111}"/>
    <cellStyle name="Style 83 5 2 10" xfId="10768" xr:uid="{E5D42106-5473-4F27-A824-F2553BF8750E}"/>
    <cellStyle name="Style 83 5 2 10 2" xfId="26781" xr:uid="{1FE700EC-72C8-43FB-8C5E-849CE468336B}"/>
    <cellStyle name="Style 83 5 2 11" xfId="10769" xr:uid="{9B54574F-60BF-4D56-A0A8-C4943FAC62F1}"/>
    <cellStyle name="Style 83 5 2 11 2" xfId="26782" xr:uid="{013DA1BB-B9C0-48BF-BBC6-711964F9EFD2}"/>
    <cellStyle name="Style 83 5 2 12" xfId="10770" xr:uid="{192302C9-6668-424A-AE76-01FA42A1CE7E}"/>
    <cellStyle name="Style 83 5 2 12 2" xfId="26783" xr:uid="{6D70FF7D-AA58-451F-8858-4E9134AFCCD3}"/>
    <cellStyle name="Style 83 5 2 2" xfId="4804" xr:uid="{05D8A9DC-B454-4568-964F-30221596CC0A}"/>
    <cellStyle name="Style 83 5 2 2 2" xfId="10771" xr:uid="{5A4DCF6A-D466-417C-87EA-EF6FEAAE8AFE}"/>
    <cellStyle name="Style 83 5 2 2 2 2" xfId="26784" xr:uid="{3943D3F9-2EBA-45B3-A10A-68D1E88D40B9}"/>
    <cellStyle name="Style 83 5 2 2 3" xfId="10772" xr:uid="{8CE75BAB-C8DF-4CAE-8CE9-5A8C9CC6A732}"/>
    <cellStyle name="Style 83 5 2 2 3 2" xfId="26785" xr:uid="{C0935A3A-5ECB-4794-BA9B-DCEB1898AB20}"/>
    <cellStyle name="Style 83 5 2 3" xfId="10773" xr:uid="{613AE19A-A448-4C54-9D20-7A84F0F0CB75}"/>
    <cellStyle name="Style 83 5 2 3 2" xfId="10774" xr:uid="{22BCF505-E766-4E7B-82DC-65BA5D0E13D3}"/>
    <cellStyle name="Style 83 5 2 3 2 2" xfId="26786" xr:uid="{20BB6D9B-65EC-436F-9502-97DF18F13D24}"/>
    <cellStyle name="Style 83 5 2 4" xfId="10775" xr:uid="{0EF9721D-CCCB-4D7C-98BC-07DB5215FA31}"/>
    <cellStyle name="Style 83 5 2 4 2" xfId="26787" xr:uid="{5D0CA3E9-7A07-4F8F-819B-650445A67681}"/>
    <cellStyle name="Style 83 5 2 5" xfId="10776" xr:uid="{F6AD5D67-14BC-4887-9FAE-BD72C631E525}"/>
    <cellStyle name="Style 83 5 2 5 2" xfId="26788" xr:uid="{B29BCA96-CA87-4524-BE49-DEDACAFF368D}"/>
    <cellStyle name="Style 83 5 2 6" xfId="10777" xr:uid="{D85D9878-BC86-4D91-8CCE-3225030CC21F}"/>
    <cellStyle name="Style 83 5 2 6 2" xfId="26789" xr:uid="{03DFC8A4-5DCD-42C8-B50B-84EE159A0325}"/>
    <cellStyle name="Style 83 5 2 7" xfId="10778" xr:uid="{AAB1AC6E-74C6-4CD5-AA0B-3A03CA09BA50}"/>
    <cellStyle name="Style 83 5 2 7 2" xfId="26790" xr:uid="{AA4B8B10-666E-4A36-AD6F-3DBEE8B3D8B0}"/>
    <cellStyle name="Style 83 5 2 8" xfId="10779" xr:uid="{0CB79585-2E6C-4EDF-88DC-2D7FF14CFAC9}"/>
    <cellStyle name="Style 83 5 2 8 2" xfId="26791" xr:uid="{7DD8EDC0-880C-40A0-95F7-BA9BE0074481}"/>
    <cellStyle name="Style 83 5 2 9" xfId="10780" xr:uid="{7C111B09-5F22-437E-8900-B570C042B10C}"/>
    <cellStyle name="Style 83 5 2 9 2" xfId="26792" xr:uid="{06005DC8-41C4-457D-A0D7-1ADAD7F202F3}"/>
    <cellStyle name="Style 83 5 3" xfId="4803" xr:uid="{24F264F6-EE67-4E26-B744-32201A263910}"/>
    <cellStyle name="Style 83 5 3 2" xfId="10781" xr:uid="{9863B19E-A227-455F-AD75-38E1B5EC89B8}"/>
    <cellStyle name="Style 83 5 3 2 2" xfId="26793" xr:uid="{A851706A-E845-4A71-AF88-0DF7E19E6BAD}"/>
    <cellStyle name="Style 83 5 3 3" xfId="10782" xr:uid="{E016173A-02F7-46B9-B8AE-D753419A2419}"/>
    <cellStyle name="Style 83 5 3 3 2" xfId="26794" xr:uid="{2FBCEB3E-4867-4E9B-968A-FCB37039E968}"/>
    <cellStyle name="Style 83 5 4" xfId="10783" xr:uid="{371736BA-851F-459E-983F-FD63FD480D26}"/>
    <cellStyle name="Style 83 5 4 2" xfId="10784" xr:uid="{C0422AEE-E828-4E4D-BD5A-1B6D0B128F3D}"/>
    <cellStyle name="Style 83 5 4 2 2" xfId="26795" xr:uid="{709FE13F-720C-4033-A8C0-D3BAA70D4F17}"/>
    <cellStyle name="Style 83 5 5" xfId="10785" xr:uid="{7534CD69-41E8-4AAC-8011-3D635B63F9A6}"/>
    <cellStyle name="Style 83 5 5 2" xfId="26796" xr:uid="{852562AD-9C55-42E6-892C-7F312D1D48DB}"/>
    <cellStyle name="Style 83 5 6" xfId="10786" xr:uid="{9DA4C581-F24B-4829-B3A1-BAF3EC3DB7A4}"/>
    <cellStyle name="Style 83 5 6 2" xfId="26797" xr:uid="{5E58948E-4BCA-4B7D-ABEC-F6F3F71C849C}"/>
    <cellStyle name="Style 83 5 7" xfId="10787" xr:uid="{18E3961D-D463-4C26-B6DC-C30953C4A96C}"/>
    <cellStyle name="Style 83 5 7 2" xfId="26798" xr:uid="{B43C2720-4AB8-422A-8273-213A90D3444A}"/>
    <cellStyle name="Style 83 5 8" xfId="10788" xr:uid="{382DA1F6-25ED-43AC-A27D-2C5CEFD3774B}"/>
    <cellStyle name="Style 83 5 8 2" xfId="26799" xr:uid="{13344A33-2A0F-423E-8845-6ABD0F66D6DD}"/>
    <cellStyle name="Style 83 5 9" xfId="10789" xr:uid="{9C3FFC38-5A69-452C-88D8-43D0BEFB4FB7}"/>
    <cellStyle name="Style 83 5 9 2" xfId="26800" xr:uid="{1C5BE42C-833C-46DF-A972-32FF2D100FAC}"/>
    <cellStyle name="Style 83 6" xfId="2204" xr:uid="{E1F41701-D423-4FA6-BFC3-64EEA41A0CB6}"/>
    <cellStyle name="Style 83 6 10" xfId="10790" xr:uid="{C7FFCD82-8ECF-4F2E-B3CD-6B1289ECA8BB}"/>
    <cellStyle name="Style 83 6 10 2" xfId="26801" xr:uid="{2C8F3548-3A71-4942-88C4-AE80A1A3A0EF}"/>
    <cellStyle name="Style 83 6 11" xfId="10791" xr:uid="{85151954-2C41-4FB7-BD9B-A4A09707CDCD}"/>
    <cellStyle name="Style 83 6 11 2" xfId="26802" xr:uid="{E3CCB345-D9CB-4CB0-8740-D9BA1B84FEB3}"/>
    <cellStyle name="Style 83 6 12" xfId="10792" xr:uid="{83BE1192-C140-437E-A5D2-750BA786E321}"/>
    <cellStyle name="Style 83 6 12 2" xfId="26803" xr:uid="{A6A529FC-F332-45D2-A94F-8BFA1C0B56E9}"/>
    <cellStyle name="Style 83 6 13" xfId="10793" xr:uid="{31829191-AE7C-4ADC-A458-21447B2CADF6}"/>
    <cellStyle name="Style 83 6 13 2" xfId="26804" xr:uid="{59C5A36A-6197-4FB5-A4CA-55384A48751C}"/>
    <cellStyle name="Style 83 6 2" xfId="2786" xr:uid="{FAEA42E1-58E4-423E-819F-EB5DD127035D}"/>
    <cellStyle name="Style 83 6 2 2" xfId="4806" xr:uid="{F98C24BD-C913-49E6-B51F-0C373277CCE6}"/>
    <cellStyle name="Style 83 6 2 2 2" xfId="10794" xr:uid="{2CFA2D4D-72C7-4A2D-9157-77AA89BD3E61}"/>
    <cellStyle name="Style 83 6 2 2 2 2" xfId="26805" xr:uid="{75A1C061-F49B-4653-BB4B-5C2C91FB56DC}"/>
    <cellStyle name="Style 83 6 2 2 3" xfId="22533" xr:uid="{9A94DB29-9AC1-4361-9C34-2FB14F11B6D5}"/>
    <cellStyle name="Style 83 6 2 3" xfId="10795" xr:uid="{D629CB3E-63F9-497C-B069-B209B2CE60B4}"/>
    <cellStyle name="Style 83 6 2 3 2" xfId="26806" xr:uid="{D42B576B-2B66-4F92-96D2-7A5CF85DF365}"/>
    <cellStyle name="Style 83 6 3" xfId="4807" xr:uid="{BAC69CB9-92E1-4459-BE7D-7E6D14236576}"/>
    <cellStyle name="Style 83 6 3 2" xfId="10796" xr:uid="{1DAD0492-4245-4A23-BAA0-2FA367D650F5}"/>
    <cellStyle name="Style 83 6 3 2 2" xfId="26807" xr:uid="{07AFF243-AC98-40C7-98A3-AD3B877EC4BA}"/>
    <cellStyle name="Style 83 6 4" xfId="4805" xr:uid="{B558D74E-436A-46A2-8FFE-0B36D65D8349}"/>
    <cellStyle name="Style 83 6 4 2" xfId="10797" xr:uid="{E02D2482-11FA-4934-B779-3FCD42E983FE}"/>
    <cellStyle name="Style 83 6 4 2 2" xfId="26808" xr:uid="{E0F1D0CD-9CC7-432B-AE0F-5CA9E3B5DBA4}"/>
    <cellStyle name="Style 83 6 5" xfId="10798" xr:uid="{96EC377F-9A0A-48C3-94A4-710F118BDCA5}"/>
    <cellStyle name="Style 83 6 5 2" xfId="10799" xr:uid="{11504241-F504-4B04-B33B-A0967C8CCD9C}"/>
    <cellStyle name="Style 83 6 5 2 2" xfId="26809" xr:uid="{F2B1E4C8-DCE9-4AFD-ACFE-98F379384883}"/>
    <cellStyle name="Style 83 6 6" xfId="10800" xr:uid="{3BDFEFBE-64C9-4417-8919-DC2ED21DD032}"/>
    <cellStyle name="Style 83 6 6 2" xfId="26810" xr:uid="{B5619283-DC11-4656-BC94-D661655EBFCB}"/>
    <cellStyle name="Style 83 6 7" xfId="10801" xr:uid="{F029DAC4-273F-41C3-887C-1AC245C8FBBA}"/>
    <cellStyle name="Style 83 6 7 2" xfId="26811" xr:uid="{E2936D4F-0D7F-4410-B461-59C39A760A8F}"/>
    <cellStyle name="Style 83 6 8" xfId="10802" xr:uid="{949900B4-2436-4E20-8A34-668C8EFFD511}"/>
    <cellStyle name="Style 83 6 8 2" xfId="26812" xr:uid="{60FD1BA0-1C3C-41CD-A426-3A0BBC14F6A1}"/>
    <cellStyle name="Style 83 6 9" xfId="10803" xr:uid="{8BC20367-078A-4291-8B6F-1E0BE5EAD52B}"/>
    <cellStyle name="Style 83 6 9 2" xfId="26813" xr:uid="{41E67D38-5466-493C-B3B8-88ED8E12D67F}"/>
    <cellStyle name="Style 83 7" xfId="2785" xr:uid="{487D2319-2761-465A-9BF3-D065B7A00F2B}"/>
    <cellStyle name="Style 83 7 2" xfId="4809" xr:uid="{D78C19BB-E32A-438D-9288-728E812CCFE7}"/>
    <cellStyle name="Style 83 7 2 2" xfId="10804" xr:uid="{3286BE68-9DE5-40DC-9276-596A6E1F13B8}"/>
    <cellStyle name="Style 83 7 2 2 2" xfId="26814" xr:uid="{7AB22F91-9B5B-48FD-9DC8-EA7359DEB52B}"/>
    <cellStyle name="Style 83 7 3" xfId="4810" xr:uid="{DF607033-67A9-41F8-A648-27F6EB6D4B7B}"/>
    <cellStyle name="Style 83 7 4" xfId="4808" xr:uid="{64242835-A0D2-4692-B894-E283578AECC1}"/>
    <cellStyle name="Style 83 7 4 2" xfId="22532" xr:uid="{C4488A45-ED5D-4BA5-9F3A-68A854E3A88D}"/>
    <cellStyle name="Style 83 7 5" xfId="10805" xr:uid="{23D17487-0AAD-472B-ADCC-003EF0FF9602}"/>
    <cellStyle name="Style 83 7 5 2" xfId="26815" xr:uid="{3CD0C3F6-F359-4D82-BFA6-3591CD18ABDF}"/>
    <cellStyle name="Style 83 7 6" xfId="19115" xr:uid="{6D528526-DA26-4332-8FF1-B8962730E70E}"/>
    <cellStyle name="Style 83 8" xfId="4811" xr:uid="{4569CE5A-D575-41B5-A582-FD7F6D04D98E}"/>
    <cellStyle name="Style 83 8 2" xfId="10806" xr:uid="{06C82523-F9AA-4CEA-8CF7-66C13CD82B9D}"/>
    <cellStyle name="Style 83 8 2 2" xfId="26816" xr:uid="{F400C2D0-1037-4335-B354-3481B9C3A1D2}"/>
    <cellStyle name="Style 83 9" xfId="4812" xr:uid="{47EF3C4E-B561-43D4-BA55-34F4758DB471}"/>
    <cellStyle name="Style 83 9 2" xfId="10807" xr:uid="{F93775A7-CE71-4FE5-B121-1F90B8C26F00}"/>
    <cellStyle name="Style 83 9 2 2" xfId="26817" xr:uid="{6FAB631F-692F-48E1-8F06-BF7EC2BF5F77}"/>
    <cellStyle name="Style 83_ADDON" xfId="20534" xr:uid="{988C81DC-6889-45DC-B918-E6ABC1F1F8F5}"/>
    <cellStyle name="Style 84" xfId="2205" xr:uid="{49EE9C80-2DD8-4DB1-86ED-42C4245C7D54}"/>
    <cellStyle name="Style 84 10" xfId="4813" xr:uid="{B88181DD-6650-478B-9CEA-F1A4B0772A43}"/>
    <cellStyle name="Style 84 10 2" xfId="10808" xr:uid="{212C1D08-F6CF-46F3-901F-CEE298F59FAB}"/>
    <cellStyle name="Style 84 10 2 2" xfId="26818" xr:uid="{AB082240-BF28-43AA-AA57-540561A4DD28}"/>
    <cellStyle name="Style 84 11" xfId="10809" xr:uid="{B8D111D3-D955-486A-A6A9-D79A7CE4FCA7}"/>
    <cellStyle name="Style 84 11 2" xfId="10810" xr:uid="{2468E817-2CD2-42F4-AED7-4E5930248B24}"/>
    <cellStyle name="Style 84 11 2 2" xfId="26819" xr:uid="{A22A6425-8252-4059-BE3B-1CA5E96F282C}"/>
    <cellStyle name="Style 84 11 3" xfId="21315" xr:uid="{37948D7C-ED05-4292-8A2E-ED1EEC6A3750}"/>
    <cellStyle name="Style 84 12" xfId="10811" xr:uid="{ED4AE40F-FDA4-47C6-BCAA-0EBFAE457EDF}"/>
    <cellStyle name="Style 84 12 2" xfId="26820" xr:uid="{35212A8E-7388-4506-815F-C4F5481D0C1A}"/>
    <cellStyle name="Style 84 13" xfId="10812" xr:uid="{822E1CEB-AEF8-4D9D-A951-76BAF62E11BE}"/>
    <cellStyle name="Style 84 13 2" xfId="26821" xr:uid="{C77CC641-0972-494C-B7C2-4A6F8E981105}"/>
    <cellStyle name="Style 84 14" xfId="10813" xr:uid="{4EA1D251-D5F0-4ECF-830B-B7F4AD284CCE}"/>
    <cellStyle name="Style 84 14 2" xfId="26822" xr:uid="{B352406E-9C27-45F3-8A32-1D36529F29AF}"/>
    <cellStyle name="Style 84 15" xfId="10814" xr:uid="{171E1B6B-6247-4DFB-AFCA-92DE52EDE79C}"/>
    <cellStyle name="Style 84 15 2" xfId="26823" xr:uid="{882020EE-6E60-4924-B03D-55E711F62D8F}"/>
    <cellStyle name="Style 84 16" xfId="10815" xr:uid="{3927DAEC-06E1-4DC7-9C00-7B379820119D}"/>
    <cellStyle name="Style 84 16 2" xfId="26824" xr:uid="{86205533-0B04-4F70-8DD5-5B9B74A7E3B7}"/>
    <cellStyle name="Style 84 17" xfId="10816" xr:uid="{B78A5A1D-ADFF-472E-B5D9-5181C9CD4BBD}"/>
    <cellStyle name="Style 84 17 2" xfId="26825" xr:uid="{6B7CEDA7-793B-48AB-AEDD-8163F1AA005B}"/>
    <cellStyle name="Style 84 18" xfId="10817" xr:uid="{0560A1E6-494B-4F51-B9B6-4B467F52FCC0}"/>
    <cellStyle name="Style 84 18 2" xfId="26826" xr:uid="{67EB4B68-7D01-40E8-B392-5D552039919C}"/>
    <cellStyle name="Style 84 19" xfId="10818" xr:uid="{18024D20-43E1-4BB5-9466-23022D103688}"/>
    <cellStyle name="Style 84 19 2" xfId="26827" xr:uid="{936BC062-F19A-45B1-86A4-E8119EAC45F8}"/>
    <cellStyle name="Style 84 2" xfId="2206" xr:uid="{43B82CCC-D4C6-4B23-BD04-6799431D7D70}"/>
    <cellStyle name="Style 84 2 10" xfId="10819" xr:uid="{763A3864-210F-4987-9C7A-3D7E8BF7EE5E}"/>
    <cellStyle name="Style 84 2 10 2" xfId="26828" xr:uid="{75C0AB08-9974-4C07-A72D-FA40AF86F24F}"/>
    <cellStyle name="Style 84 2 11" xfId="10820" xr:uid="{2DDF2766-6776-4767-9A7E-87873274BD77}"/>
    <cellStyle name="Style 84 2 11 2" xfId="26829" xr:uid="{A0E31500-8378-4BE8-9DC8-7A6961149745}"/>
    <cellStyle name="Style 84 2 12" xfId="10821" xr:uid="{1E1A9E46-9263-440F-A529-6BCAA10BA323}"/>
    <cellStyle name="Style 84 2 12 2" xfId="26830" xr:uid="{EC987841-B252-49D7-B7F9-65D6A1CB17BA}"/>
    <cellStyle name="Style 84 2 13" xfId="10822" xr:uid="{5248C74D-4731-4F9F-BE40-ACC2E4F84EA4}"/>
    <cellStyle name="Style 84 2 13 2" xfId="26831" xr:uid="{A68D2AFD-B789-43D1-8A95-47CFD9539639}"/>
    <cellStyle name="Style 84 2 14" xfId="10823" xr:uid="{859AB488-02C7-4C8E-9A28-D95460F9FC9C}"/>
    <cellStyle name="Style 84 2 14 2" xfId="26832" xr:uid="{53F1565A-7A2C-462F-B4CE-79912B11266D}"/>
    <cellStyle name="Style 84 2 15" xfId="19117" xr:uid="{6FBD2B1A-24E1-4C30-B40B-5ED36E50B325}"/>
    <cellStyle name="Style 84 2 2" xfId="4815" xr:uid="{A89DFCB5-724A-41FF-9D6C-29C511010DB8}"/>
    <cellStyle name="Style 84 2 2 2" xfId="10824" xr:uid="{2956B32E-776D-4EA3-950F-CB208E472B96}"/>
    <cellStyle name="Style 84 2 2 2 2" xfId="10825" xr:uid="{5899E03F-03C1-4D03-AEB6-CE37F17A9CCE}"/>
    <cellStyle name="Style 84 2 2 2 2 2" xfId="26834" xr:uid="{E15F8B29-17F3-4D3E-84ED-3DFB4159EE96}"/>
    <cellStyle name="Style 84 2 2 2 3" xfId="26833" xr:uid="{AF92127E-03D1-41DE-B25C-8A0D108F703D}"/>
    <cellStyle name="Style 84 2 2 3" xfId="10826" xr:uid="{4F8282E0-9E34-45EA-850A-52582ED2F38C}"/>
    <cellStyle name="Style 84 2 2 3 2" xfId="26835" xr:uid="{874EC17D-B0D1-41D6-AAA3-5375BACECF8A}"/>
    <cellStyle name="Style 84 2 2 4" xfId="10827" xr:uid="{43CD7A2E-4E81-497D-85CE-92B54B72F051}"/>
    <cellStyle name="Style 84 2 2 4 2" xfId="26836" xr:uid="{C19D7750-3494-45D5-9222-84A47E409F0A}"/>
    <cellStyle name="Style 84 2 2 5" xfId="10828" xr:uid="{5753E3A0-5875-4632-8AFF-2B8D23A4C68E}"/>
    <cellStyle name="Style 84 2 2 5 2" xfId="26837" xr:uid="{A3F00CFC-A19B-4D91-901D-DF1CE832B978}"/>
    <cellStyle name="Style 84 2 3" xfId="4814" xr:uid="{349AA4F7-A582-428C-A01F-8857A7DF3705}"/>
    <cellStyle name="Style 84 2 3 2" xfId="10829" xr:uid="{54A46C3D-1E2F-4D86-8608-536F29EC21B0}"/>
    <cellStyle name="Style 84 2 3 2 2" xfId="26838" xr:uid="{2280542E-CE51-4937-9675-1789D270F1B9}"/>
    <cellStyle name="Style 84 2 3 3" xfId="10830" xr:uid="{67048EDF-9372-4774-B6C2-4097C98D40D3}"/>
    <cellStyle name="Style 84 2 3 3 2" xfId="26839" xr:uid="{37D9AABB-5DFD-4A7B-87F6-7E82318871B8}"/>
    <cellStyle name="Style 84 2 4" xfId="10831" xr:uid="{4A5496F5-60A9-441F-A56A-CFBD1C54D728}"/>
    <cellStyle name="Style 84 2 4 2" xfId="26840" xr:uid="{30DA2DF6-E125-4AB3-99DF-09926BB07018}"/>
    <cellStyle name="Style 84 2 5" xfId="10832" xr:uid="{8A2A6387-7E91-4B4D-BE65-8CAAAF7FB12D}"/>
    <cellStyle name="Style 84 2 5 2" xfId="26841" xr:uid="{FE317C87-EBEC-4663-8097-B324D45EAEB0}"/>
    <cellStyle name="Style 84 2 6" xfId="10833" xr:uid="{F99B03D7-2D75-40C1-835F-99FC4FB7B208}"/>
    <cellStyle name="Style 84 2 6 2" xfId="26842" xr:uid="{C44FCE58-7A0A-48C0-AF0F-99C096BF596A}"/>
    <cellStyle name="Style 84 2 7" xfId="10834" xr:uid="{D88934E1-999B-429E-8910-59F965F63543}"/>
    <cellStyle name="Style 84 2 7 2" xfId="26843" xr:uid="{667D6EDD-9C45-472D-A520-6239B3279389}"/>
    <cellStyle name="Style 84 2 8" xfId="10835" xr:uid="{A9F67C08-4068-466C-9802-F9B653BD441E}"/>
    <cellStyle name="Style 84 2 8 2" xfId="26844" xr:uid="{8ACF6EED-56CA-46B1-8650-DEAFE6EB3216}"/>
    <cellStyle name="Style 84 2 9" xfId="10836" xr:uid="{0B5A6F10-CE6E-4A08-8FA9-46499B55B0F7}"/>
    <cellStyle name="Style 84 2 9 2" xfId="26845" xr:uid="{0B93FA98-F54E-4DDA-B02C-93DB89125E9F}"/>
    <cellStyle name="Style 84 20" xfId="19116" xr:uid="{E285E8F1-77D0-49BD-B5C0-BC240CF3C093}"/>
    <cellStyle name="Style 84 3" xfId="2207" xr:uid="{9683A3F6-342D-4C5B-9C3C-98BF6A346D8D}"/>
    <cellStyle name="Style 84 3 10" xfId="10837" xr:uid="{3704EAE5-D2B4-4525-B20A-B17F5F13C754}"/>
    <cellStyle name="Style 84 3 10 2" xfId="26846" xr:uid="{C36A0119-6280-48E6-AA4E-B6D4191186E7}"/>
    <cellStyle name="Style 84 3 11" xfId="10838" xr:uid="{8C20A09A-89AA-48B4-B533-F31E178A9179}"/>
    <cellStyle name="Style 84 3 11 2" xfId="26847" xr:uid="{B52D6CFC-643E-42DB-AC48-59D8EBC7F4B8}"/>
    <cellStyle name="Style 84 3 12" xfId="10839" xr:uid="{45EADE80-5A2F-47A9-BB60-7CB478FE9EEB}"/>
    <cellStyle name="Style 84 3 12 2" xfId="26848" xr:uid="{1FB41D2D-11AD-433A-8D23-82A9D46637D8}"/>
    <cellStyle name="Style 84 3 13" xfId="10840" xr:uid="{7B0657CD-4BF1-4AF9-8078-974997398DD6}"/>
    <cellStyle name="Style 84 3 13 2" xfId="26849" xr:uid="{99AA7F3C-7BFF-432D-95E7-C9FAC56AF952}"/>
    <cellStyle name="Style 84 3 14" xfId="10841" xr:uid="{64ED41B9-77F0-43E4-AE5B-AA05FB97D11F}"/>
    <cellStyle name="Style 84 3 14 2" xfId="26850" xr:uid="{788D0D3B-ED21-4998-9784-AA56E94571BE}"/>
    <cellStyle name="Style 84 3 15" xfId="10842" xr:uid="{78E869E2-7826-466A-9CCD-A19070F0EFAD}"/>
    <cellStyle name="Style 84 3 15 2" xfId="26851" xr:uid="{2C045F25-0619-49FA-96D7-44AC1140C291}"/>
    <cellStyle name="Style 84 3 16" xfId="10843" xr:uid="{E200C4B9-AA22-41FA-B36E-0B4C72D05032}"/>
    <cellStyle name="Style 84 3 16 2" xfId="26852" xr:uid="{64635ACE-34C3-4307-9F6F-A1A1C7A3B010}"/>
    <cellStyle name="Style 84 3 17" xfId="10844" xr:uid="{D3E0C396-F176-406E-8BA8-20600E3BCD2E}"/>
    <cellStyle name="Style 84 3 17 2" xfId="26853" xr:uid="{9967A05C-542D-4FA5-84BE-EEE8CBEE0688}"/>
    <cellStyle name="Style 84 3 18" xfId="19118" xr:uid="{D54DFC76-06DA-4498-A9C6-3EE8241AFA28}"/>
    <cellStyle name="Style 84 3 2" xfId="2208" xr:uid="{714AB315-793F-472C-8840-82506663DF4E}"/>
    <cellStyle name="Style 84 3 2 10" xfId="10845" xr:uid="{71004663-2D30-4F05-A0F0-93AA1401EAE9}"/>
    <cellStyle name="Style 84 3 2 10 2" xfId="26854" xr:uid="{25E398D2-1B6A-4EB4-9E47-88B378FDC79E}"/>
    <cellStyle name="Style 84 3 2 11" xfId="10846" xr:uid="{39F93E15-75E1-4911-AAFE-850FA453B6CA}"/>
    <cellStyle name="Style 84 3 2 11 2" xfId="26855" xr:uid="{5EE7BC79-735F-463C-8BD8-2241622DEE80}"/>
    <cellStyle name="Style 84 3 2 12" xfId="10847" xr:uid="{486B752E-FD2E-4D7E-8B6F-7905438ACD57}"/>
    <cellStyle name="Style 84 3 2 12 2" xfId="26856" xr:uid="{F69E92EE-003D-4DFB-A1A7-5970605628EE}"/>
    <cellStyle name="Style 84 3 2 13" xfId="10848" xr:uid="{3510E0A9-64B3-4158-9838-DF436C164580}"/>
    <cellStyle name="Style 84 3 2 13 2" xfId="26857" xr:uid="{87951CB3-EF67-4F03-9046-6F4C8C135E4A}"/>
    <cellStyle name="Style 84 3 2 14" xfId="19119" xr:uid="{2342189D-5D2E-45B5-A18A-5A6E2E42DC3B}"/>
    <cellStyle name="Style 84 3 2 2" xfId="4818" xr:uid="{86810BF1-3F30-4F2A-BE13-F55F5D8F8D38}"/>
    <cellStyle name="Style 84 3 2 2 2" xfId="10849" xr:uid="{C0F3A04B-0959-498A-AB13-D9DDD26F23F7}"/>
    <cellStyle name="Style 84 3 2 2 2 2" xfId="26858" xr:uid="{AE3F3C5E-84A9-41B2-B10E-896677A6B099}"/>
    <cellStyle name="Style 84 3 2 2 3" xfId="10850" xr:uid="{7B5A1F5A-871F-4E18-BC92-F5A6E17083B0}"/>
    <cellStyle name="Style 84 3 2 2 3 2" xfId="26859" xr:uid="{94C7B639-9D14-492B-81CC-98E389D03817}"/>
    <cellStyle name="Style 84 3 2 3" xfId="4817" xr:uid="{F68BC0B2-2CCD-4570-9C17-E33ABDF2F2C3}"/>
    <cellStyle name="Style 84 3 2 3 2" xfId="10851" xr:uid="{594A9DF3-8840-453C-A6B0-0AA19E313280}"/>
    <cellStyle name="Style 84 3 2 3 2 2" xfId="26860" xr:uid="{B3732B34-D2BF-4B3C-B01B-7605B9C6AC8A}"/>
    <cellStyle name="Style 84 3 2 4" xfId="10852" xr:uid="{2190200C-65B5-4B35-AA99-6A9C6596A177}"/>
    <cellStyle name="Style 84 3 2 4 2" xfId="26861" xr:uid="{8477FA6B-3E38-4070-B690-F8EDD3181C02}"/>
    <cellStyle name="Style 84 3 2 5" xfId="10853" xr:uid="{0F73B6F9-2669-4CD1-91C4-297DCA21C92E}"/>
    <cellStyle name="Style 84 3 2 5 2" xfId="26862" xr:uid="{1F9DB1DD-82E8-4E1E-9F5B-61205B7D4384}"/>
    <cellStyle name="Style 84 3 2 6" xfId="10854" xr:uid="{05CAB1B4-6408-4940-89A9-B4FC9BA980E6}"/>
    <cellStyle name="Style 84 3 2 6 2" xfId="26863" xr:uid="{312264E6-B3AC-46F1-ADAA-286892F8D329}"/>
    <cellStyle name="Style 84 3 2 7" xfId="10855" xr:uid="{B5B767C3-7A7F-4DE4-B44B-B20AD55276C4}"/>
    <cellStyle name="Style 84 3 2 7 2" xfId="26864" xr:uid="{DEC2EACE-7599-445D-9F89-A2F103F00A02}"/>
    <cellStyle name="Style 84 3 2 8" xfId="10856" xr:uid="{D9DF93F9-1824-495B-AFD9-504B55495AB9}"/>
    <cellStyle name="Style 84 3 2 8 2" xfId="26865" xr:uid="{24619083-7A69-4547-B607-0A67A80F971F}"/>
    <cellStyle name="Style 84 3 2 9" xfId="10857" xr:uid="{3B0D3CD3-01C5-4821-BDF0-23CD7090E182}"/>
    <cellStyle name="Style 84 3 2 9 2" xfId="26866" xr:uid="{1AF0860A-F6E6-4EBE-A173-F351C90C45FE}"/>
    <cellStyle name="Style 84 3 3" xfId="2209" xr:uid="{4DEC489A-915B-4F8B-A241-056219BCC46B}"/>
    <cellStyle name="Style 84 3 3 10" xfId="10858" xr:uid="{0C868E36-1FCD-4E55-942D-30F5940265CC}"/>
    <cellStyle name="Style 84 3 3 10 2" xfId="26867" xr:uid="{3B06746A-F380-42D5-BF1C-1080E15B4E2B}"/>
    <cellStyle name="Style 84 3 3 11" xfId="10859" xr:uid="{912C3570-30BA-40A8-B249-15CC64A932B2}"/>
    <cellStyle name="Style 84 3 3 11 2" xfId="26868" xr:uid="{1E2F1FBF-41CD-4104-830F-5E0CDAFA46DB}"/>
    <cellStyle name="Style 84 3 3 12" xfId="10860" xr:uid="{7C78634E-8792-40C1-9E02-A40AB6C5EE59}"/>
    <cellStyle name="Style 84 3 3 12 2" xfId="26869" xr:uid="{03E0B963-10ED-45AA-942C-ED5986E34E7F}"/>
    <cellStyle name="Style 84 3 3 13" xfId="10861" xr:uid="{E2A739B5-B1B5-4D67-963A-7A0AF88A7C95}"/>
    <cellStyle name="Style 84 3 3 13 2" xfId="26870" xr:uid="{4F854784-4E6B-4A6B-B06D-77164EB2F85A}"/>
    <cellStyle name="Style 84 3 3 14" xfId="10862" xr:uid="{65721B3A-D5AD-49C4-A2AE-EED5F1110315}"/>
    <cellStyle name="Style 84 3 3 14 2" xfId="26871" xr:uid="{720D38A0-4DB6-406C-A997-D461DCC8F72E}"/>
    <cellStyle name="Style 84 3 3 15" xfId="10863" xr:uid="{47F8C3E1-DA4B-480D-9BEA-049FBE0F2303}"/>
    <cellStyle name="Style 84 3 3 15 2" xfId="26872" xr:uid="{C53BAACF-E45B-4F85-9B1F-58F3814B8EA1}"/>
    <cellStyle name="Style 84 3 3 16" xfId="19120" xr:uid="{15EF4C45-8223-42F9-A606-55F50C9115A9}"/>
    <cellStyle name="Style 84 3 3 2" xfId="2210" xr:uid="{A8628271-ECA6-46F6-AE13-2CEC54C50F52}"/>
    <cellStyle name="Style 84 3 3 2 10" xfId="10864" xr:uid="{BDBEE50F-0FA0-47C1-BF69-3772D5A20AFE}"/>
    <cellStyle name="Style 84 3 3 2 10 2" xfId="26873" xr:uid="{7B38032A-66AD-4EA5-BB03-78915A7B83BC}"/>
    <cellStyle name="Style 84 3 3 2 11" xfId="10865" xr:uid="{B24000A9-B628-4EBA-BD9C-05F608649C40}"/>
    <cellStyle name="Style 84 3 3 2 11 2" xfId="26874" xr:uid="{273018B5-CA08-43E7-BEFB-E33EC50148F6}"/>
    <cellStyle name="Style 84 3 3 2 12" xfId="10866" xr:uid="{A1398ECA-9D1D-46B5-98E5-C6E21D6689DD}"/>
    <cellStyle name="Style 84 3 3 2 12 2" xfId="26875" xr:uid="{496E1B73-3B01-4193-9B3F-07F141C168D7}"/>
    <cellStyle name="Style 84 3 3 2 13" xfId="10867" xr:uid="{15426893-C22A-4067-A3F9-FBE135E8DF21}"/>
    <cellStyle name="Style 84 3 3 2 13 2" xfId="26876" xr:uid="{79AAF798-34B6-427D-BE5A-B4244BA7118C}"/>
    <cellStyle name="Style 84 3 3 2 14" xfId="19121" xr:uid="{A5E165B7-CC11-41BF-A151-453DD112EDE6}"/>
    <cellStyle name="Style 84 3 3 2 2" xfId="4821" xr:uid="{E5451D9B-733B-4D38-A4A5-F8C94679C88D}"/>
    <cellStyle name="Style 84 3 3 2 2 2" xfId="10868" xr:uid="{F489F668-B1E0-46E9-A977-AE32612BAD2A}"/>
    <cellStyle name="Style 84 3 3 2 2 2 2" xfId="26877" xr:uid="{5D7B4171-ECC8-4265-B6A8-A802624C0345}"/>
    <cellStyle name="Style 84 3 3 2 2 3" xfId="10869" xr:uid="{993E86C8-8DEB-4E40-97A9-3749EA33DAAE}"/>
    <cellStyle name="Style 84 3 3 2 2 3 2" xfId="26878" xr:uid="{503012F1-57FA-4527-97E4-EE348452BEEC}"/>
    <cellStyle name="Style 84 3 3 2 3" xfId="4820" xr:uid="{9445ED7F-CC84-4D5B-BD6F-AD8DB2994338}"/>
    <cellStyle name="Style 84 3 3 2 3 2" xfId="10870" xr:uid="{DAABEA8E-2C5A-4323-999E-DC607B2813C9}"/>
    <cellStyle name="Style 84 3 3 2 3 2 2" xfId="26879" xr:uid="{99E48F7A-DCE9-4153-B9A1-35FEC675CCF9}"/>
    <cellStyle name="Style 84 3 3 2 4" xfId="10871" xr:uid="{A0DE06D1-86FD-4C07-9D3A-9377964A0B6B}"/>
    <cellStyle name="Style 84 3 3 2 4 2" xfId="26880" xr:uid="{1B2DB562-4A55-483F-9101-C8419C09641A}"/>
    <cellStyle name="Style 84 3 3 2 5" xfId="10872" xr:uid="{AA80BF05-E4CA-4FE4-8D1D-8EED9941AFB9}"/>
    <cellStyle name="Style 84 3 3 2 5 2" xfId="26881" xr:uid="{BE53303A-A284-43CB-8F4F-C77D14F8AA78}"/>
    <cellStyle name="Style 84 3 3 2 6" xfId="10873" xr:uid="{E5D2A9D4-3755-4CE7-B5EB-D80EFC723104}"/>
    <cellStyle name="Style 84 3 3 2 6 2" xfId="26882" xr:uid="{089D203E-A66F-4616-97F9-1A8E4B7FEC0A}"/>
    <cellStyle name="Style 84 3 3 2 7" xfId="10874" xr:uid="{AD2F74FD-60DC-42F3-B3F3-CC86C04F940B}"/>
    <cellStyle name="Style 84 3 3 2 7 2" xfId="26883" xr:uid="{A3152DC9-4759-4C79-AEB9-03D8A39EA318}"/>
    <cellStyle name="Style 84 3 3 2 8" xfId="10875" xr:uid="{F637AC5A-D4FA-4BF9-A821-17D12930C23A}"/>
    <cellStyle name="Style 84 3 3 2 8 2" xfId="26884" xr:uid="{A33958AC-17A6-4F3C-9A63-E76EC7B46B66}"/>
    <cellStyle name="Style 84 3 3 2 9" xfId="10876" xr:uid="{03FFA052-3E78-4017-AA03-269FAC40AF79}"/>
    <cellStyle name="Style 84 3 3 2 9 2" xfId="26885" xr:uid="{25C35FD4-3467-44B9-B282-EAB3696F3892}"/>
    <cellStyle name="Style 84 3 3 3" xfId="4822" xr:uid="{139E5862-C120-4867-BBFE-042CC1CEBDD8}"/>
    <cellStyle name="Style 84 3 3 3 2" xfId="4823" xr:uid="{624E3F91-E175-4D96-BA9C-EF5A1C951E4A}"/>
    <cellStyle name="Style 84 3 3 3 2 2" xfId="10877" xr:uid="{8C6AE69E-CFC9-402C-8966-DCAD63523F36}"/>
    <cellStyle name="Style 84 3 3 3 2 2 2" xfId="26886" xr:uid="{F9DACF49-9CB3-452D-93CD-8807DF2B4189}"/>
    <cellStyle name="Style 84 3 3 3 2 3" xfId="10878" xr:uid="{917A0C9C-0647-4072-9873-90260AB80438}"/>
    <cellStyle name="Style 84 3 3 3 2 3 2" xfId="26887" xr:uid="{F5E65193-1298-4A31-9686-056D65923CF3}"/>
    <cellStyle name="Style 84 3 3 3 3" xfId="10879" xr:uid="{C075E980-8B8B-4226-B118-CE718EF65C8E}"/>
    <cellStyle name="Style 84 3 3 3 3 2" xfId="26888" xr:uid="{87F4B5AA-9BF5-477D-9544-1143EB8B46AA}"/>
    <cellStyle name="Style 84 3 3 3 4" xfId="10880" xr:uid="{0846C93D-D466-470D-BB7B-3E297B41E1DD}"/>
    <cellStyle name="Style 84 3 3 3 4 2" xfId="26889" xr:uid="{8818E5FB-CBDD-458A-BF1A-80DC6AF6C3AA}"/>
    <cellStyle name="Style 84 3 3 3 5" xfId="10881" xr:uid="{2EF7CF6C-9124-4C96-B1FC-456590459A9E}"/>
    <cellStyle name="Style 84 3 3 3 5 2" xfId="26890" xr:uid="{746EE593-4E98-4D79-81C1-15A2D2181484}"/>
    <cellStyle name="Style 84 3 3 3 6" xfId="19122" xr:uid="{3D32C88F-3DE6-4EF0-BEA0-BB98CDC9B83B}"/>
    <cellStyle name="Style 84 3 3 4" xfId="4824" xr:uid="{2EA5FB19-74BF-47C1-B233-17B31D4BFFF1}"/>
    <cellStyle name="Style 84 3 3 4 2" xfId="10882" xr:uid="{3A0BFBD2-D302-42F5-9651-B0E8A83A49E4}"/>
    <cellStyle name="Style 84 3 3 4 2 2" xfId="26891" xr:uid="{FD6D78C4-B1CA-4A4A-8A8F-DC5E5CC37610}"/>
    <cellStyle name="Style 84 3 3 4 3" xfId="10883" xr:uid="{362395DF-BEAD-43D0-A1C5-56EEEBC0B488}"/>
    <cellStyle name="Style 84 3 3 4 3 2" xfId="26892" xr:uid="{D6606869-12AB-4662-B9E1-7272B5894D20}"/>
    <cellStyle name="Style 84 3 3 5" xfId="4825" xr:uid="{A01411C2-A7AB-4377-A190-13C5ADD09555}"/>
    <cellStyle name="Style 84 3 3 5 2" xfId="10884" xr:uid="{3FC63EF9-3B15-4A5F-AA88-854AA95C93C1}"/>
    <cellStyle name="Style 84 3 3 5 2 2" xfId="26893" xr:uid="{264CD709-0058-4642-B312-4ADA9D3C47AC}"/>
    <cellStyle name="Style 84 3 3 6" xfId="4819" xr:uid="{D9EE5B10-6DB5-4223-A320-115397B46304}"/>
    <cellStyle name="Style 84 3 3 6 2" xfId="10885" xr:uid="{BD91CC09-BB86-42D4-85A4-E2C3372CA1BB}"/>
    <cellStyle name="Style 84 3 3 6 2 2" xfId="26894" xr:uid="{623FD85F-74DA-4610-B445-3780D05FCA4D}"/>
    <cellStyle name="Style 84 3 3 7" xfId="10886" xr:uid="{77CE8BD9-3366-40D7-8A07-DB288B687BDC}"/>
    <cellStyle name="Style 84 3 3 7 2" xfId="26895" xr:uid="{ABF818AB-5EF6-485A-8AB2-F375C813840E}"/>
    <cellStyle name="Style 84 3 3 8" xfId="10887" xr:uid="{9FE3AB2F-F30E-44BB-B015-30D504C0CFFF}"/>
    <cellStyle name="Style 84 3 3 8 2" xfId="26896" xr:uid="{73049E6F-8123-4CA5-ABCA-D45C4C605964}"/>
    <cellStyle name="Style 84 3 3 9" xfId="10888" xr:uid="{725F9F45-E39A-4307-91C3-7C3AE7C33C69}"/>
    <cellStyle name="Style 84 3 3 9 2" xfId="26897" xr:uid="{F9079FD4-66CA-4FCA-BDFB-1EE6916FB802}"/>
    <cellStyle name="Style 84 3 4" xfId="2211" xr:uid="{9CDDC1A4-2E77-47C6-AB30-72C04CC7C417}"/>
    <cellStyle name="Style 84 3 4 10" xfId="10889" xr:uid="{855A822A-CD64-420E-A066-4A56C8BF03FF}"/>
    <cellStyle name="Style 84 3 4 10 2" xfId="26898" xr:uid="{1C59F220-22A0-4730-B6C2-4542A8F90839}"/>
    <cellStyle name="Style 84 3 4 11" xfId="10890" xr:uid="{A93C9087-144C-432D-9E59-351F2CEE1CDE}"/>
    <cellStyle name="Style 84 3 4 11 2" xfId="26899" xr:uid="{533D01AC-61A6-48CF-970F-CAE718E1065D}"/>
    <cellStyle name="Style 84 3 4 12" xfId="10891" xr:uid="{B1A83A72-3354-4023-8468-78B187E6A079}"/>
    <cellStyle name="Style 84 3 4 12 2" xfId="26900" xr:uid="{AF1C27BB-07A1-4E8D-B99B-210D87133234}"/>
    <cellStyle name="Style 84 3 4 13" xfId="10892" xr:uid="{1F4B7889-05A5-4AEA-A63D-CA934D0B8A5F}"/>
    <cellStyle name="Style 84 3 4 13 2" xfId="26901" xr:uid="{5C306306-3F91-4C0C-9D0F-60018F5A436F}"/>
    <cellStyle name="Style 84 3 4 14" xfId="10893" xr:uid="{5C517330-909C-42F8-A1A9-A1B0BDBA903E}"/>
    <cellStyle name="Style 84 3 4 14 2" xfId="26902" xr:uid="{DA54CA99-B237-49BE-B9BD-261C2C8AEDB5}"/>
    <cellStyle name="Style 84 3 4 15" xfId="19123" xr:uid="{C541DEF8-7170-40D7-8307-2A6BA4711E99}"/>
    <cellStyle name="Style 84 3 4 2" xfId="2212" xr:uid="{8DE19B26-20DC-4B4A-862E-1ABCA04DC774}"/>
    <cellStyle name="Style 84 3 4 2 10" xfId="10894" xr:uid="{6D33E7E1-D279-4886-BD17-7820DEA41D5F}"/>
    <cellStyle name="Style 84 3 4 2 10 2" xfId="26903" xr:uid="{BBD33B80-E44B-4D5E-B8E5-1E4CC6C74672}"/>
    <cellStyle name="Style 84 3 4 2 11" xfId="10895" xr:uid="{3C1A0F92-AC41-4AC8-B7B1-5B46249891ED}"/>
    <cellStyle name="Style 84 3 4 2 11 2" xfId="26904" xr:uid="{07CA4B0D-3973-4D1F-9C9F-DF9D185F7F03}"/>
    <cellStyle name="Style 84 3 4 2 12" xfId="10896" xr:uid="{6A71597B-6780-43D9-81E7-E55EEC3E6E28}"/>
    <cellStyle name="Style 84 3 4 2 12 2" xfId="26905" xr:uid="{98706F11-B6AA-40F7-B94C-92B7FB5278C2}"/>
    <cellStyle name="Style 84 3 4 2 13" xfId="10897" xr:uid="{F2D43B80-1CBB-4F6A-87EF-1AA3EDF15067}"/>
    <cellStyle name="Style 84 3 4 2 13 2" xfId="26906" xr:uid="{169C2FD0-2B38-4B59-BF0D-8AFE3553BD1F}"/>
    <cellStyle name="Style 84 3 4 2 14" xfId="19124" xr:uid="{1B156391-4256-416E-83BF-06DB3890588B}"/>
    <cellStyle name="Style 84 3 4 2 2" xfId="4828" xr:uid="{A586DD5A-C889-4114-A3AD-38956539B635}"/>
    <cellStyle name="Style 84 3 4 2 2 2" xfId="10898" xr:uid="{55CFE896-9965-4100-89CD-FA226C693371}"/>
    <cellStyle name="Style 84 3 4 2 2 2 2" xfId="26907" xr:uid="{004BBEB1-5002-4C18-8B90-563C566F7E80}"/>
    <cellStyle name="Style 84 3 4 2 2 3" xfId="10899" xr:uid="{1157D7A5-4A6F-4101-9395-3411873A694A}"/>
    <cellStyle name="Style 84 3 4 2 2 3 2" xfId="26908" xr:uid="{3728B955-E58D-43F5-98BC-1F2C7DACA63C}"/>
    <cellStyle name="Style 84 3 4 2 3" xfId="4827" xr:uid="{EC257175-7BC0-4A2D-AFB1-F03BF73F2BEF}"/>
    <cellStyle name="Style 84 3 4 2 3 2" xfId="10900" xr:uid="{FEF010A7-E26E-4F06-B0DB-64CE27741833}"/>
    <cellStyle name="Style 84 3 4 2 3 2 2" xfId="26909" xr:uid="{222A5898-29C1-45E9-8247-D7E11EBC92F4}"/>
    <cellStyle name="Style 84 3 4 2 4" xfId="10901" xr:uid="{055B52D6-AF08-47FA-A0B1-3BEA7CFCAD60}"/>
    <cellStyle name="Style 84 3 4 2 4 2" xfId="26910" xr:uid="{EACCCDE9-A983-406B-AC9D-92B1A36C7DF6}"/>
    <cellStyle name="Style 84 3 4 2 5" xfId="10902" xr:uid="{67727010-8932-4211-960D-F9BD82CD8A76}"/>
    <cellStyle name="Style 84 3 4 2 5 2" xfId="26911" xr:uid="{9F18CDEA-50F5-4D9A-A031-9BC612122068}"/>
    <cellStyle name="Style 84 3 4 2 6" xfId="10903" xr:uid="{9B384E57-2970-4762-A915-79D5BE625B6C}"/>
    <cellStyle name="Style 84 3 4 2 6 2" xfId="26912" xr:uid="{D5B29DD1-07B7-437E-B573-B6A7BE0E6826}"/>
    <cellStyle name="Style 84 3 4 2 7" xfId="10904" xr:uid="{8C447BCF-C700-438A-B2DD-F8D097C478FE}"/>
    <cellStyle name="Style 84 3 4 2 7 2" xfId="26913" xr:uid="{9A38D757-DA93-4598-9ADC-15635270BADF}"/>
    <cellStyle name="Style 84 3 4 2 8" xfId="10905" xr:uid="{4B87C5D8-113B-4EF3-8D05-C6C429A45921}"/>
    <cellStyle name="Style 84 3 4 2 8 2" xfId="26914" xr:uid="{080CCA87-AA54-4A3B-A346-E1CB5A00F1E3}"/>
    <cellStyle name="Style 84 3 4 2 9" xfId="10906" xr:uid="{706EAB59-648F-4F59-9D47-FA15084F05DD}"/>
    <cellStyle name="Style 84 3 4 2 9 2" xfId="26915" xr:uid="{EBFE933D-C56A-47CF-B026-FEB2A9A1C97E}"/>
    <cellStyle name="Style 84 3 4 3" xfId="4829" xr:uid="{43E77D39-ED5F-4D78-9108-CF1D7805E41F}"/>
    <cellStyle name="Style 84 3 4 3 2" xfId="10907" xr:uid="{C5BC0A69-2AB5-4AC6-AE78-7877F91FE550}"/>
    <cellStyle name="Style 84 3 4 3 2 2" xfId="26916" xr:uid="{B929BDFF-A198-4C5D-AC75-E5F4521A51A1}"/>
    <cellStyle name="Style 84 3 4 3 3" xfId="10908" xr:uid="{F32DEB8A-2D88-4977-96BF-4FEBC120E62D}"/>
    <cellStyle name="Style 84 3 4 3 3 2" xfId="26917" xr:uid="{343CC040-13E1-48EC-84D2-59210ABF9CEA}"/>
    <cellStyle name="Style 84 3 4 4" xfId="4826" xr:uid="{B8C635C0-DFA6-4B20-954B-0A323BBFB100}"/>
    <cellStyle name="Style 84 3 4 4 2" xfId="10909" xr:uid="{05A7BF70-820F-446A-ACE5-E165DDB5CF84}"/>
    <cellStyle name="Style 84 3 4 4 2 2" xfId="26918" xr:uid="{EC049FF1-29A6-492B-84AF-44C608BD45EF}"/>
    <cellStyle name="Style 84 3 4 5" xfId="10910" xr:uid="{8D8B49A4-A4CC-43F5-A17B-CFD68994D3AC}"/>
    <cellStyle name="Style 84 3 4 5 2" xfId="26919" xr:uid="{65555250-5508-4307-B057-CBF42895C9DC}"/>
    <cellStyle name="Style 84 3 4 6" xfId="10911" xr:uid="{463936C4-904C-44FC-B5D8-48BB0F95BBBC}"/>
    <cellStyle name="Style 84 3 4 6 2" xfId="26920" xr:uid="{FADB42C4-6339-4513-8644-F6AF5F229589}"/>
    <cellStyle name="Style 84 3 4 7" xfId="10912" xr:uid="{0AF0711B-9018-4AEA-9246-5086F05AD226}"/>
    <cellStyle name="Style 84 3 4 7 2" xfId="26921" xr:uid="{E1AD0371-7E8F-4571-A456-B4E801013335}"/>
    <cellStyle name="Style 84 3 4 8" xfId="10913" xr:uid="{76E49A79-06A5-40E5-A823-2B0FC45CED1D}"/>
    <cellStyle name="Style 84 3 4 8 2" xfId="26922" xr:uid="{473C4101-2049-4873-B793-642C97A01CE8}"/>
    <cellStyle name="Style 84 3 4 9" xfId="10914" xr:uid="{8A3B6A34-D2D4-49A0-AA90-10DCB313AF67}"/>
    <cellStyle name="Style 84 3 4 9 2" xfId="26923" xr:uid="{7869E6D3-9EE4-446F-ACA3-43FCA22A61BA}"/>
    <cellStyle name="Style 84 3 5" xfId="4830" xr:uid="{37DAF5B9-ABE2-4E4F-8A57-E5B044763605}"/>
    <cellStyle name="Style 84 3 5 2" xfId="10915" xr:uid="{30F9D6A2-9E7E-4AAA-811D-1229E529887F}"/>
    <cellStyle name="Style 84 3 5 2 2" xfId="10916" xr:uid="{8BC2FA2D-BFD1-4424-BD5B-E0F54CDE205E}"/>
    <cellStyle name="Style 84 3 5 2 2 2" xfId="26925" xr:uid="{B094D3C6-E9F2-4F76-82A2-07B0C63D980A}"/>
    <cellStyle name="Style 84 3 5 2 3" xfId="26924" xr:uid="{1DAC5086-B3CE-479E-924C-FFED6518EE33}"/>
    <cellStyle name="Style 84 3 5 3" xfId="10917" xr:uid="{6323A559-10B0-4191-8408-CF87CB66230B}"/>
    <cellStyle name="Style 84 3 5 3 2" xfId="26926" xr:uid="{B8B9C4AF-D272-424C-820E-484BDE3B3D4B}"/>
    <cellStyle name="Style 84 3 5 4" xfId="10918" xr:uid="{38BF80B9-14A8-469A-A3D4-848D258F73C2}"/>
    <cellStyle name="Style 84 3 5 4 2" xfId="26927" xr:uid="{73B936AF-F33D-416D-95A3-3F7498210DCA}"/>
    <cellStyle name="Style 84 3 5 5" xfId="10919" xr:uid="{4AA266EB-4811-4916-9062-4BF61C1E1E6B}"/>
    <cellStyle name="Style 84 3 5 5 2" xfId="26928" xr:uid="{9336B1FD-9D18-44FD-A605-FFB3494E5312}"/>
    <cellStyle name="Style 84 3 6" xfId="4831" xr:uid="{32C9A387-B5C2-4D0E-9119-EDF5E25721EA}"/>
    <cellStyle name="Style 84 3 6 2" xfId="10920" xr:uid="{3DB21499-FCEC-4B3B-A297-359650CC737B}"/>
    <cellStyle name="Style 84 3 6 2 2" xfId="26929" xr:uid="{718111C8-452A-4E4E-A06A-4CAE3891BD58}"/>
    <cellStyle name="Style 84 3 6 3" xfId="10921" xr:uid="{F377B467-1232-4792-B10A-4C305D6174D6}"/>
    <cellStyle name="Style 84 3 6 3 2" xfId="26930" xr:uid="{EA7513E9-19B0-4478-BACE-1DD759B9EF4A}"/>
    <cellStyle name="Style 84 3 7" xfId="4816" xr:uid="{B4D0D49D-F457-49EA-ACA8-D235F12E06ED}"/>
    <cellStyle name="Style 84 3 7 2" xfId="10922" xr:uid="{262B672B-E287-4972-979F-FA8B608DB947}"/>
    <cellStyle name="Style 84 3 7 2 2" xfId="26931" xr:uid="{64174B32-AD77-495C-91E9-65C0E85D8E20}"/>
    <cellStyle name="Style 84 3 8" xfId="10923" xr:uid="{AE4EA84F-CE71-4EE9-B21C-C30189817D3F}"/>
    <cellStyle name="Style 84 3 8 2" xfId="26932" xr:uid="{448FC9CC-8A11-46BA-9FFC-1A67F0E67620}"/>
    <cellStyle name="Style 84 3 9" xfId="10924" xr:uid="{1C07911C-9A19-47B6-AC86-4100FEEBE232}"/>
    <cellStyle name="Style 84 3 9 2" xfId="26933" xr:uid="{5F3C5561-38E4-4845-BE44-2616B67A36A0}"/>
    <cellStyle name="Style 84 4" xfId="2213" xr:uid="{82701975-7B35-4E55-BCD3-66C9EB2DFD1A}"/>
    <cellStyle name="Style 84 4 10" xfId="10925" xr:uid="{817F82D3-EB0F-4861-B341-5DB4A5CFBFE8}"/>
    <cellStyle name="Style 84 4 10 2" xfId="26934" xr:uid="{208BDC7D-DDB9-40C2-8E19-0CD0928BABA2}"/>
    <cellStyle name="Style 84 4 11" xfId="10926" xr:uid="{EB4EECF2-D2C8-4657-9A67-3B4512EDEA4C}"/>
    <cellStyle name="Style 84 4 11 2" xfId="26935" xr:uid="{057353BC-125E-4221-B5EB-1E7C5DFD902C}"/>
    <cellStyle name="Style 84 4 12" xfId="10927" xr:uid="{85B40079-81FE-42B7-B0D5-2726D49823C5}"/>
    <cellStyle name="Style 84 4 12 2" xfId="26936" xr:uid="{E1AE0506-996A-408B-B3DB-3920647B3836}"/>
    <cellStyle name="Style 84 4 13" xfId="10928" xr:uid="{B5C66F17-BCC4-4FEF-A26A-2B5866FEB9DA}"/>
    <cellStyle name="Style 84 4 13 2" xfId="26937" xr:uid="{9DF9E398-E481-4143-88DD-43EE6CBEF7B6}"/>
    <cellStyle name="Style 84 4 14" xfId="10929" xr:uid="{63F701A3-300C-499A-B8E9-D6BFD0731ECA}"/>
    <cellStyle name="Style 84 4 14 2" xfId="26938" xr:uid="{C9BC61D9-53EF-4F32-9AA5-F107B7A6BF38}"/>
    <cellStyle name="Style 84 4 15" xfId="10930" xr:uid="{51E91824-7C6B-4AF7-B429-1E77DB5851A0}"/>
    <cellStyle name="Style 84 4 15 2" xfId="26939" xr:uid="{A5C5B34E-0795-4E53-82CA-AB5FB9CFB5B5}"/>
    <cellStyle name="Style 84 4 16" xfId="19125" xr:uid="{C5E0953A-6906-4FCB-85AF-4500CC343AF2}"/>
    <cellStyle name="Style 84 4 2" xfId="2214" xr:uid="{A1F03012-D540-4785-B623-0725FFC2A6C6}"/>
    <cellStyle name="Style 84 4 2 10" xfId="10931" xr:uid="{AC0DF465-FB54-4A04-94DC-1B2ED3227AF3}"/>
    <cellStyle name="Style 84 4 2 10 2" xfId="26940" xr:uid="{D9DAC43F-CBAB-4182-9FBA-72063592166E}"/>
    <cellStyle name="Style 84 4 2 11" xfId="10932" xr:uid="{D9A8B8E9-6267-4466-B43A-34FE83DEF1E4}"/>
    <cellStyle name="Style 84 4 2 11 2" xfId="26941" xr:uid="{45AAEC25-C41F-47E3-B0A2-481B733CDD3D}"/>
    <cellStyle name="Style 84 4 2 12" xfId="10933" xr:uid="{1B76B87C-8FD9-4424-8C39-7C47D4C0F174}"/>
    <cellStyle name="Style 84 4 2 12 2" xfId="26942" xr:uid="{784FB927-B70A-4A89-B768-CB7F140FB190}"/>
    <cellStyle name="Style 84 4 2 13" xfId="10934" xr:uid="{4600D57B-87F6-4E08-BFBF-1F19E033C173}"/>
    <cellStyle name="Style 84 4 2 13 2" xfId="26943" xr:uid="{9D21D0CF-9079-4DBE-BE1D-2AB6630488D1}"/>
    <cellStyle name="Style 84 4 2 14" xfId="19126" xr:uid="{3A7C3C93-8477-4AB7-AEDF-705A0F249086}"/>
    <cellStyle name="Style 84 4 2 2" xfId="4834" xr:uid="{C8B16048-685A-4B34-ABB5-4B0C855E4C89}"/>
    <cellStyle name="Style 84 4 2 2 2" xfId="10935" xr:uid="{756EC141-29B0-4DAE-B564-745529774A0A}"/>
    <cellStyle name="Style 84 4 2 2 2 2" xfId="26944" xr:uid="{A4690F55-5F96-401B-876F-AFB29AD94B57}"/>
    <cellStyle name="Style 84 4 2 2 3" xfId="10936" xr:uid="{F353C732-3EB0-4507-B18F-58851E930DA0}"/>
    <cellStyle name="Style 84 4 2 2 3 2" xfId="26945" xr:uid="{BAF6BE3F-23A1-4CFF-9F30-1A66E913D8AF}"/>
    <cellStyle name="Style 84 4 2 3" xfId="4833" xr:uid="{BB3E6916-3C83-420C-8DEC-2369338C4B7B}"/>
    <cellStyle name="Style 84 4 2 3 2" xfId="10937" xr:uid="{1B231983-1AE2-4B59-A217-87E87A15C747}"/>
    <cellStyle name="Style 84 4 2 3 2 2" xfId="26946" xr:uid="{D4D8C4C4-6C88-44DF-8D58-83367B5B9DE7}"/>
    <cellStyle name="Style 84 4 2 4" xfId="10938" xr:uid="{2B39E3A7-5918-4B9C-BF59-6847B1B38247}"/>
    <cellStyle name="Style 84 4 2 4 2" xfId="26947" xr:uid="{2964B45D-663D-4BF1-8D3F-DC2BA2BC3AB3}"/>
    <cellStyle name="Style 84 4 2 5" xfId="10939" xr:uid="{1396B6DB-2619-49DF-8532-D6FA8436DE39}"/>
    <cellStyle name="Style 84 4 2 5 2" xfId="26948" xr:uid="{CE2AD33E-FEF6-4F02-8DAB-C36F55045D3D}"/>
    <cellStyle name="Style 84 4 2 6" xfId="10940" xr:uid="{CE281701-1A5D-4B39-B091-A4C0E33C9418}"/>
    <cellStyle name="Style 84 4 2 6 2" xfId="26949" xr:uid="{FD959A83-E530-4A77-9C72-C67EFAA78DF6}"/>
    <cellStyle name="Style 84 4 2 7" xfId="10941" xr:uid="{B22958C6-4085-4667-BB15-1E4861A614A4}"/>
    <cellStyle name="Style 84 4 2 7 2" xfId="26950" xr:uid="{C5510989-8828-4627-9823-5C500068F9BE}"/>
    <cellStyle name="Style 84 4 2 8" xfId="10942" xr:uid="{3628BF73-2545-447C-826F-3A16775CC410}"/>
    <cellStyle name="Style 84 4 2 8 2" xfId="26951" xr:uid="{33BB78A2-E5A5-4653-830F-29B77FE1AAA5}"/>
    <cellStyle name="Style 84 4 2 9" xfId="10943" xr:uid="{EB713977-54E2-4E67-9823-983A6BEFB9E7}"/>
    <cellStyle name="Style 84 4 2 9 2" xfId="26952" xr:uid="{02090949-C8F7-4CEB-BE32-903534DBFCF3}"/>
    <cellStyle name="Style 84 4 3" xfId="4835" xr:uid="{4DC0CC18-B966-4FE6-9C4B-ED053B9AA691}"/>
    <cellStyle name="Style 84 4 3 2" xfId="4836" xr:uid="{9B4FA55A-A883-4AB6-8559-F7A5D5BD332F}"/>
    <cellStyle name="Style 84 4 3 2 2" xfId="10944" xr:uid="{A84491B8-49D3-4155-9BAE-3C26057B1E03}"/>
    <cellStyle name="Style 84 4 3 2 2 2" xfId="26953" xr:uid="{D9E162D0-E750-4B2B-9C77-0B258264507F}"/>
    <cellStyle name="Style 84 4 3 2 3" xfId="10945" xr:uid="{0E3B2417-E277-4D8D-9960-249EB05DBF4D}"/>
    <cellStyle name="Style 84 4 3 2 3 2" xfId="26954" xr:uid="{0FFEB2CF-8279-4C91-BD1C-8A749C8DFCFF}"/>
    <cellStyle name="Style 84 4 3 3" xfId="10946" xr:uid="{C1265667-EEAE-4217-8970-96F02C589EDC}"/>
    <cellStyle name="Style 84 4 3 3 2" xfId="26955" xr:uid="{AE1D6213-CECA-4CBA-AB33-F67B3A6ABFED}"/>
    <cellStyle name="Style 84 4 3 4" xfId="10947" xr:uid="{54284F83-004C-45C6-BF85-CD6A8D1BBFA9}"/>
    <cellStyle name="Style 84 4 3 4 2" xfId="26956" xr:uid="{2C711141-6A75-4221-9943-5D0B208EFB9E}"/>
    <cellStyle name="Style 84 4 3 5" xfId="10948" xr:uid="{80F7D5C8-676D-418A-BE66-801AB7B62E5A}"/>
    <cellStyle name="Style 84 4 3 5 2" xfId="26957" xr:uid="{CC71DDBA-1043-4438-BFBD-D9907713E04F}"/>
    <cellStyle name="Style 84 4 3 6" xfId="19127" xr:uid="{25B2DAC3-1B47-46B0-A703-137B8F4A23ED}"/>
    <cellStyle name="Style 84 4 4" xfId="4837" xr:uid="{4CDB2026-BFF6-4FAE-8315-C2DBF1E870B4}"/>
    <cellStyle name="Style 84 4 4 2" xfId="10949" xr:uid="{C7DC2627-8B0F-4AF9-A258-00280D841EE4}"/>
    <cellStyle name="Style 84 4 4 2 2" xfId="26958" xr:uid="{1E60C6D9-96FA-4C2F-81DD-3ACC0D85D5FD}"/>
    <cellStyle name="Style 84 4 4 3" xfId="10950" xr:uid="{26F80949-C05E-472A-9915-725C5FBC5712}"/>
    <cellStyle name="Style 84 4 4 3 2" xfId="26959" xr:uid="{4A122FA6-0F29-48E3-90B3-8FCEF682E4CD}"/>
    <cellStyle name="Style 84 4 5" xfId="4838" xr:uid="{1DF5CA10-C7CA-4F23-BCCF-1A3B46BA80A7}"/>
    <cellStyle name="Style 84 4 5 2" xfId="10951" xr:uid="{80C37F26-27CA-4028-9B55-91098FC2B9C5}"/>
    <cellStyle name="Style 84 4 5 2 2" xfId="26960" xr:uid="{E0149BCB-9B5C-4E28-B2C5-164D6305D98F}"/>
    <cellStyle name="Style 84 4 6" xfId="4832" xr:uid="{363F36B8-1D78-4D51-8F23-F3241B462F57}"/>
    <cellStyle name="Style 84 4 6 2" xfId="10952" xr:uid="{A00C3CEE-B1A8-4E38-8122-8C014A317EB7}"/>
    <cellStyle name="Style 84 4 6 2 2" xfId="26961" xr:uid="{07A0F870-D1AB-47AF-B7F6-07BAA8FAC108}"/>
    <cellStyle name="Style 84 4 7" xfId="10953" xr:uid="{558193DF-5099-40FD-9933-6B188269F8D0}"/>
    <cellStyle name="Style 84 4 7 2" xfId="26962" xr:uid="{01B1ECA7-5DB9-40DA-B06A-46DC876D71AF}"/>
    <cellStyle name="Style 84 4 8" xfId="10954" xr:uid="{73E17B32-2211-4FD3-A79C-5AF21296C03F}"/>
    <cellStyle name="Style 84 4 8 2" xfId="26963" xr:uid="{CE3BA1A3-B7C7-45EB-97C0-F00CFE165E17}"/>
    <cellStyle name="Style 84 4 9" xfId="10955" xr:uid="{C0338A4A-EB3C-492D-9DA7-DA41F90B1F46}"/>
    <cellStyle name="Style 84 4 9 2" xfId="26964" xr:uid="{025CE25A-F33F-49FD-97B5-E6692C0CB98A}"/>
    <cellStyle name="Style 84 5" xfId="2215" xr:uid="{08CA3A02-00D4-437E-AD9C-5B7E7857319F}"/>
    <cellStyle name="Style 84 5 10" xfId="10956" xr:uid="{9431445F-C81D-462D-B38E-9BAACD9E103B}"/>
    <cellStyle name="Style 84 5 10 2" xfId="26965" xr:uid="{694FEEEA-A9DE-49EF-B003-EB41A9503516}"/>
    <cellStyle name="Style 84 5 11" xfId="10957" xr:uid="{76188ECF-BD96-4A5A-A476-8832B89357C8}"/>
    <cellStyle name="Style 84 5 11 2" xfId="26966" xr:uid="{84FBF54F-DA4C-4A73-9A95-FC103B740403}"/>
    <cellStyle name="Style 84 5 12" xfId="10958" xr:uid="{D64A1CB6-21BF-49A3-9AC3-5CBDBA1C647E}"/>
    <cellStyle name="Style 84 5 12 2" xfId="26967" xr:uid="{148AC921-F9CA-474A-AEEF-8B34C35BE6CC}"/>
    <cellStyle name="Style 84 5 13" xfId="10959" xr:uid="{905B7B87-00CA-4544-9180-6A30442F8E89}"/>
    <cellStyle name="Style 84 5 13 2" xfId="26968" xr:uid="{EB5C5007-F8E1-4B1C-9993-DF2A1270F140}"/>
    <cellStyle name="Style 84 5 14" xfId="10960" xr:uid="{B1755058-6726-411D-B04A-0E3426D56C17}"/>
    <cellStyle name="Style 84 5 14 2" xfId="26969" xr:uid="{D9B81FC8-ED04-4FE0-AB0C-C405D79630CE}"/>
    <cellStyle name="Style 84 5 15" xfId="19128" xr:uid="{C500F66B-C0D0-433B-8EA0-825F28B38AC6}"/>
    <cellStyle name="Style 84 5 2" xfId="2216" xr:uid="{DF31EC82-8A49-4B18-B2ED-4B3F3D434298}"/>
    <cellStyle name="Style 84 5 2 10" xfId="10961" xr:uid="{49633959-11C7-40BE-B721-C95EAFAE9A4A}"/>
    <cellStyle name="Style 84 5 2 10 2" xfId="26970" xr:uid="{5AD0F756-6488-4E9A-A26B-61ACD4DFE7D0}"/>
    <cellStyle name="Style 84 5 2 11" xfId="10962" xr:uid="{AE0E208E-1D35-4938-B3A9-671A5665AC4B}"/>
    <cellStyle name="Style 84 5 2 11 2" xfId="26971" xr:uid="{BC87A82F-6CEC-47EA-A740-8E84198AEC51}"/>
    <cellStyle name="Style 84 5 2 12" xfId="10963" xr:uid="{D93FFE8F-D4FB-4715-A61A-7FF4DCE662B0}"/>
    <cellStyle name="Style 84 5 2 12 2" xfId="26972" xr:uid="{2F734B39-66B3-4A56-8692-2E08EA226446}"/>
    <cellStyle name="Style 84 5 2 13" xfId="10964" xr:uid="{1F1870D7-D5CC-4126-B62C-D042B66252DF}"/>
    <cellStyle name="Style 84 5 2 13 2" xfId="26973" xr:uid="{326F1F7D-B0A2-4458-9D52-0436DC597F0F}"/>
    <cellStyle name="Style 84 5 2 14" xfId="19129" xr:uid="{E638E228-2810-4206-8DF7-C12FFDD5F67D}"/>
    <cellStyle name="Style 84 5 2 2" xfId="4841" xr:uid="{C8AE1961-D338-4603-93CF-FC5F125B59A8}"/>
    <cellStyle name="Style 84 5 2 2 2" xfId="10965" xr:uid="{FB9C1590-E281-4509-99B4-5065F42CBC4C}"/>
    <cellStyle name="Style 84 5 2 2 2 2" xfId="26974" xr:uid="{FC610095-18A8-4A9F-BC80-23C228CF2826}"/>
    <cellStyle name="Style 84 5 2 2 3" xfId="10966" xr:uid="{30D5C6C6-E344-4080-8000-D0920A73BB1F}"/>
    <cellStyle name="Style 84 5 2 2 3 2" xfId="26975" xr:uid="{A45D3734-918F-414C-870B-E141E2DA9C57}"/>
    <cellStyle name="Style 84 5 2 3" xfId="4840" xr:uid="{3FBC9CCA-513E-439A-9DB7-EDDAD45C557E}"/>
    <cellStyle name="Style 84 5 2 3 2" xfId="10967" xr:uid="{6F7584C3-D164-426F-BBD5-A547C6A7179D}"/>
    <cellStyle name="Style 84 5 2 3 2 2" xfId="26976" xr:uid="{B9901B80-E952-4329-8C03-D3486F031058}"/>
    <cellStyle name="Style 84 5 2 4" xfId="10968" xr:uid="{25A2A5AE-660A-4547-88B7-DBCECA1C97D5}"/>
    <cellStyle name="Style 84 5 2 4 2" xfId="26977" xr:uid="{C5C82AE1-1546-47DF-BE26-576421D0C833}"/>
    <cellStyle name="Style 84 5 2 5" xfId="10969" xr:uid="{48C6F3A1-3232-48B6-B767-54A9003215C5}"/>
    <cellStyle name="Style 84 5 2 5 2" xfId="26978" xr:uid="{DD4A7A51-590F-4B9A-97D7-785A7D5E64EB}"/>
    <cellStyle name="Style 84 5 2 6" xfId="10970" xr:uid="{108EB11B-D319-48FA-A7D1-270C7AE9683D}"/>
    <cellStyle name="Style 84 5 2 6 2" xfId="26979" xr:uid="{D1474A4D-AF2D-4C13-AA08-82013DE66010}"/>
    <cellStyle name="Style 84 5 2 7" xfId="10971" xr:uid="{2F31B15D-C378-40B3-961B-DD938F39C6EA}"/>
    <cellStyle name="Style 84 5 2 7 2" xfId="26980" xr:uid="{CBB6E3E8-5679-4A3C-BDB5-2D021CFEADE4}"/>
    <cellStyle name="Style 84 5 2 8" xfId="10972" xr:uid="{E079C862-08C6-4568-956C-1B12B35F53A7}"/>
    <cellStyle name="Style 84 5 2 8 2" xfId="26981" xr:uid="{2690664C-8552-4174-ABB1-00ADEC29554C}"/>
    <cellStyle name="Style 84 5 2 9" xfId="10973" xr:uid="{71434F3F-65CF-4F8D-AEA4-32A234D96078}"/>
    <cellStyle name="Style 84 5 2 9 2" xfId="26982" xr:uid="{70E598D5-F897-42D9-9203-98A8F7783EAC}"/>
    <cellStyle name="Style 84 5 3" xfId="4842" xr:uid="{E9C180C4-5665-4665-A83C-25FA0F54898C}"/>
    <cellStyle name="Style 84 5 3 2" xfId="10974" xr:uid="{E49DF278-5437-4DDE-B6A9-2DD9CB79FB2D}"/>
    <cellStyle name="Style 84 5 3 2 2" xfId="26983" xr:uid="{CEC488C0-ECDB-48B5-A419-AABBCEAF91A2}"/>
    <cellStyle name="Style 84 5 3 3" xfId="10975" xr:uid="{AB4F72DE-E13A-49C5-B64F-AC902A0EF681}"/>
    <cellStyle name="Style 84 5 3 3 2" xfId="26984" xr:uid="{2485706C-DF88-45DA-B4B7-B2F5CF1E1236}"/>
    <cellStyle name="Style 84 5 4" xfId="4839" xr:uid="{18686564-B5E2-4F65-83E3-B6432F41A296}"/>
    <cellStyle name="Style 84 5 4 2" xfId="10976" xr:uid="{C6CB4C9C-77F1-463A-BFAF-27C29A35C15B}"/>
    <cellStyle name="Style 84 5 4 2 2" xfId="26985" xr:uid="{A98EDEBD-7D05-4DC1-8ADE-082C1A4DDE94}"/>
    <cellStyle name="Style 84 5 5" xfId="10977" xr:uid="{3DD04D93-AB4E-459D-8F61-62004CC6889E}"/>
    <cellStyle name="Style 84 5 5 2" xfId="26986" xr:uid="{79B72670-0241-45CC-AD13-34C9DF59E0DE}"/>
    <cellStyle name="Style 84 5 6" xfId="10978" xr:uid="{FD4D6762-72A9-43D3-B460-3E48E5AD7F4B}"/>
    <cellStyle name="Style 84 5 6 2" xfId="26987" xr:uid="{BC8652D7-A270-4629-9391-6E08A1FDDD5E}"/>
    <cellStyle name="Style 84 5 7" xfId="10979" xr:uid="{32592A5A-C7E3-4533-868B-09426D9E8EB5}"/>
    <cellStyle name="Style 84 5 7 2" xfId="26988" xr:uid="{C0FE2CF3-FD7D-4E61-9AEB-B889007F239B}"/>
    <cellStyle name="Style 84 5 8" xfId="10980" xr:uid="{36A6F07E-3335-483F-8D65-0812CB21A3A7}"/>
    <cellStyle name="Style 84 5 8 2" xfId="26989" xr:uid="{80C78946-E4BF-48D7-ABF1-0E115CFA9609}"/>
    <cellStyle name="Style 84 5 9" xfId="10981" xr:uid="{CBFF7470-AF82-4950-A933-BD5FEEBD0ABA}"/>
    <cellStyle name="Style 84 5 9 2" xfId="26990" xr:uid="{756353E6-AD8C-4B17-B310-09ACC5C210FC}"/>
    <cellStyle name="Style 84 6" xfId="2217" xr:uid="{33EB9D01-F02E-4D86-A801-B43A3545D809}"/>
    <cellStyle name="Style 84 6 10" xfId="10982" xr:uid="{60E1B68F-723B-4DFC-8F1C-A990FD43EB6D}"/>
    <cellStyle name="Style 84 6 10 2" xfId="26991" xr:uid="{F005DF50-2676-4A82-A18F-43D99458ED4B}"/>
    <cellStyle name="Style 84 6 11" xfId="10983" xr:uid="{6DDDA0FF-0B3D-4011-A5D8-702F634B775A}"/>
    <cellStyle name="Style 84 6 11 2" xfId="26992" xr:uid="{6169DF74-4256-473E-BD76-1862B8F5EBB7}"/>
    <cellStyle name="Style 84 6 12" xfId="10984" xr:uid="{F2CBE7B9-00B4-4EA2-B437-F0C63CB179A7}"/>
    <cellStyle name="Style 84 6 12 2" xfId="26993" xr:uid="{ABEE0126-F128-43D9-9856-2E6FA7B7516A}"/>
    <cellStyle name="Style 84 6 13" xfId="10985" xr:uid="{C500EA7F-2EF5-4742-ABB7-0C3B5A4AC9A7}"/>
    <cellStyle name="Style 84 6 13 2" xfId="26994" xr:uid="{A150C710-FBB8-4436-BD57-CEB5EA02A8BD}"/>
    <cellStyle name="Style 84 6 14" xfId="10986" xr:uid="{679AC16E-7E1E-4210-8178-2681D63EBEF3}"/>
    <cellStyle name="Style 84 6 14 2" xfId="26995" xr:uid="{B8DF2EED-C259-4BC9-8E7C-1189EB968901}"/>
    <cellStyle name="Style 84 6 15" xfId="19130" xr:uid="{AD933CC6-69C9-4AEA-A08F-DE689B16C0BC}"/>
    <cellStyle name="Style 84 6 2" xfId="2218" xr:uid="{DA5FA3BB-E4DE-46A0-ADC0-A7E67B2D9CB7}"/>
    <cellStyle name="Style 84 6 2 10" xfId="10987" xr:uid="{05636D6E-AEAB-4A55-9D44-74CC6DEB664E}"/>
    <cellStyle name="Style 84 6 2 10 2" xfId="26996" xr:uid="{3B6EE00E-E701-41B3-A7DA-AB1965C3B1D1}"/>
    <cellStyle name="Style 84 6 2 11" xfId="10988" xr:uid="{FB577E7F-176F-4FC4-B606-A4480FB5D61B}"/>
    <cellStyle name="Style 84 6 2 11 2" xfId="26997" xr:uid="{A6D91B75-36E7-4D77-B2EF-B9D596E48D80}"/>
    <cellStyle name="Style 84 6 2 12" xfId="10989" xr:uid="{658312C6-AE8B-4B14-A885-48FC7F16F43B}"/>
    <cellStyle name="Style 84 6 2 12 2" xfId="26998" xr:uid="{C7342669-AA78-4CE6-AADC-9C6ED87512ED}"/>
    <cellStyle name="Style 84 6 2 2" xfId="4844" xr:uid="{02B8C21D-D97B-4054-9BE1-B577DCCB5460}"/>
    <cellStyle name="Style 84 6 2 2 2" xfId="10990" xr:uid="{70FF17CC-43B1-43D1-A2F3-8E668A3776B6}"/>
    <cellStyle name="Style 84 6 2 2 2 2" xfId="26999" xr:uid="{B6DC84BC-C200-4B11-8C9E-B8062E890733}"/>
    <cellStyle name="Style 84 6 2 2 3" xfId="10991" xr:uid="{1DB41DA5-8F0A-4D67-9BC6-992C80FE9D94}"/>
    <cellStyle name="Style 84 6 2 2 3 2" xfId="27000" xr:uid="{F5E41AF8-6CF5-4BF1-BDCB-E67ABD820ABA}"/>
    <cellStyle name="Style 84 6 2 3" xfId="10992" xr:uid="{238B09F7-3AF5-485B-96F4-A81369525190}"/>
    <cellStyle name="Style 84 6 2 3 2" xfId="27001" xr:uid="{D860DEED-9B70-451C-BE43-135C31A8E49E}"/>
    <cellStyle name="Style 84 6 2 4" xfId="10993" xr:uid="{B90D22F4-E956-4C3A-8E5E-CF2EB6A8AA97}"/>
    <cellStyle name="Style 84 6 2 4 2" xfId="27002" xr:uid="{1579348B-DE96-4D76-9DC8-188321C1800B}"/>
    <cellStyle name="Style 84 6 2 5" xfId="10994" xr:uid="{00F02442-E67E-4873-8D91-B406049F47CF}"/>
    <cellStyle name="Style 84 6 2 5 2" xfId="27003" xr:uid="{9ED2678E-477B-42E8-A0C5-0AA3ECF97BEC}"/>
    <cellStyle name="Style 84 6 2 6" xfId="10995" xr:uid="{50D90F31-C474-4BF8-A456-65337FE41471}"/>
    <cellStyle name="Style 84 6 2 6 2" xfId="27004" xr:uid="{F681AF2F-4D10-4FF1-ADB8-081570728962}"/>
    <cellStyle name="Style 84 6 2 7" xfId="10996" xr:uid="{F6F08330-8FA6-4A48-A1D3-8E35DD734B60}"/>
    <cellStyle name="Style 84 6 2 7 2" xfId="27005" xr:uid="{01FC849E-565D-4DCF-A7A3-828B2F24D93C}"/>
    <cellStyle name="Style 84 6 2 8" xfId="10997" xr:uid="{C8455081-5078-4696-9DCC-228FF18C9CD1}"/>
    <cellStyle name="Style 84 6 2 8 2" xfId="27006" xr:uid="{A07B02C4-094E-473C-974B-0961958BDEA8}"/>
    <cellStyle name="Style 84 6 2 9" xfId="10998" xr:uid="{6245B694-91F9-46A5-9826-881D9CA775FF}"/>
    <cellStyle name="Style 84 6 2 9 2" xfId="27007" xr:uid="{7149C307-8ADC-4FF6-B6DE-BDE79AF806BC}"/>
    <cellStyle name="Style 84 6 3" xfId="2788" xr:uid="{7F701C7C-EEFF-47D6-A9A7-424832C3DAC9}"/>
    <cellStyle name="Style 84 6 3 2" xfId="4845" xr:uid="{84B3658B-484C-4405-8B07-90C1EDE8C6E0}"/>
    <cellStyle name="Style 84 6 3 2 2" xfId="10999" xr:uid="{A7911BBC-BE78-41CB-A286-0E0DB67D2532}"/>
    <cellStyle name="Style 84 6 3 2 2 2" xfId="27008" xr:uid="{4B8F5A2B-F396-49F4-9344-48C5DA4CA36A}"/>
    <cellStyle name="Style 84 6 3 2 3" xfId="22535" xr:uid="{2A6256CC-1C1F-4635-9851-90636F3FE192}"/>
    <cellStyle name="Style 84 6 3 3" xfId="11000" xr:uid="{4E992BDC-728A-414E-9A14-1723D63A7A08}"/>
    <cellStyle name="Style 84 6 3 3 2" xfId="27009" xr:uid="{C8BED352-7FE4-450F-BEBF-0344148B319B}"/>
    <cellStyle name="Style 84 6 4" xfId="4843" xr:uid="{A383388F-D834-463B-873D-A13AF48C6C8E}"/>
    <cellStyle name="Style 84 6 4 2" xfId="11001" xr:uid="{16FAFC48-BD4C-401C-A2DC-102A4485FE41}"/>
    <cellStyle name="Style 84 6 4 2 2" xfId="27010" xr:uid="{5D913028-8BE2-4EB2-994B-452AF5F2F130}"/>
    <cellStyle name="Style 84 6 5" xfId="11002" xr:uid="{F1ED9271-4E80-4E48-A04B-35D785B98DE0}"/>
    <cellStyle name="Style 84 6 5 2" xfId="27011" xr:uid="{FF73A6BD-40E0-4BDA-9614-9E273A083832}"/>
    <cellStyle name="Style 84 6 6" xfId="11003" xr:uid="{5D17F2FC-6CA2-4564-9EB0-1C182147E26F}"/>
    <cellStyle name="Style 84 6 6 2" xfId="27012" xr:uid="{5951A122-954C-41B5-8B07-3833B9DE4607}"/>
    <cellStyle name="Style 84 6 7" xfId="11004" xr:uid="{5FB84913-0B7D-42BB-9D34-F8C97D8E4CF7}"/>
    <cellStyle name="Style 84 6 7 2" xfId="27013" xr:uid="{8025A4F8-0686-4F3B-B19D-3325D203C392}"/>
    <cellStyle name="Style 84 6 8" xfId="11005" xr:uid="{41D7FEF1-733E-4B6C-A5E3-25CBB57C2817}"/>
    <cellStyle name="Style 84 6 8 2" xfId="27014" xr:uid="{060A3AA6-1EFE-454E-ADB6-0E0A27199F4D}"/>
    <cellStyle name="Style 84 6 9" xfId="11006" xr:uid="{28137807-7BF0-45F9-AFD9-64F12D8131AB}"/>
    <cellStyle name="Style 84 6 9 2" xfId="27015" xr:uid="{88B1750A-F962-416B-9DF0-5A42A1EFBD97}"/>
    <cellStyle name="Style 84 7" xfId="2787" xr:uid="{AD8A3D00-41EA-4FDC-9186-357B37269B74}"/>
    <cellStyle name="Style 84 7 2" xfId="4847" xr:uid="{E21C6086-14CD-4882-A50F-B33900E093B4}"/>
    <cellStyle name="Style 84 7 2 2" xfId="11007" xr:uid="{C9F5BA52-ACBC-4275-A678-B9D6884E543F}"/>
    <cellStyle name="Style 84 7 2 2 2" xfId="27016" xr:uid="{A9D4F5B7-C431-4D9B-AAC2-FA3E7B41DD60}"/>
    <cellStyle name="Style 84 7 3" xfId="4848" xr:uid="{A1D4AB6C-96AC-4231-BF9D-E1F9027E2E18}"/>
    <cellStyle name="Style 84 7 4" xfId="4846" xr:uid="{527A1F68-C066-4C8E-ADC5-8CB9223E641D}"/>
    <cellStyle name="Style 84 7 4 2" xfId="22534" xr:uid="{9BF6C921-27CF-492E-9794-2F6BD601DD9C}"/>
    <cellStyle name="Style 84 7 5" xfId="11008" xr:uid="{B6FB3B44-1337-4653-8B72-5DFE1BE2D077}"/>
    <cellStyle name="Style 84 7 5 2" xfId="27017" xr:uid="{F1088711-6549-4D38-ADC1-E9BA782A28F2}"/>
    <cellStyle name="Style 84 7 6" xfId="19131" xr:uid="{2148D76A-858A-4EBE-BF00-23C927A252D1}"/>
    <cellStyle name="Style 84 8" xfId="4849" xr:uid="{45ED1A07-909B-49A6-B6BF-ADAD191B9048}"/>
    <cellStyle name="Style 84 8 2" xfId="11009" xr:uid="{AC42AB88-E754-4B96-9B00-0B51B82DB141}"/>
    <cellStyle name="Style 84 8 2 2" xfId="27018" xr:uid="{83B8B6E6-10BB-4AAC-BA95-47FE5E83609E}"/>
    <cellStyle name="Style 84 9" xfId="4850" xr:uid="{E362B6A8-D05F-4D9A-B849-16F459815D9C}"/>
    <cellStyle name="Style 84 9 2" xfId="11010" xr:uid="{7EA6A2F0-90BB-4B68-91DB-037642EFA2C4}"/>
    <cellStyle name="Style 84 9 2 2" xfId="27019" xr:uid="{8916432C-C578-4252-9466-EEA1B434B97D}"/>
    <cellStyle name="Style 84_ADDON" xfId="20501" xr:uid="{F876DA2A-0472-43EC-8EC5-A80F0D0FCBB5}"/>
    <cellStyle name="Style 85" xfId="2219" xr:uid="{C3E654FB-0301-47E5-83AA-1E0C44DBD3B6}"/>
    <cellStyle name="Style 85 10" xfId="2220" xr:uid="{447353AD-7D77-4705-9724-6EF3707CC1E8}"/>
    <cellStyle name="Style 85 10 10" xfId="11011" xr:uid="{C673FC75-DA93-40E4-9A40-E73EC2028B75}"/>
    <cellStyle name="Style 85 10 10 2" xfId="27020" xr:uid="{64DA7631-3BE6-4A25-97B3-CBB34100ED82}"/>
    <cellStyle name="Style 85 10 11" xfId="11012" xr:uid="{C4A3B5B2-E55F-4E06-9844-63491808941D}"/>
    <cellStyle name="Style 85 10 11 2" xfId="27021" xr:uid="{EF9A6C24-F8F5-4E84-97AA-70B749F5ADCF}"/>
    <cellStyle name="Style 85 10 12" xfId="11013" xr:uid="{0FECC8A1-4B81-4A43-8167-FE8670E44140}"/>
    <cellStyle name="Style 85 10 12 2" xfId="27022" xr:uid="{9ACACC21-E64C-43F0-8341-739FC2D9D169}"/>
    <cellStyle name="Style 85 10 13" xfId="11014" xr:uid="{B9024E62-F4AA-435D-ADB1-61B270105AED}"/>
    <cellStyle name="Style 85 10 13 2" xfId="27023" xr:uid="{29013154-2DD8-4CD9-8994-6FD3FEB96797}"/>
    <cellStyle name="Style 85 10 14" xfId="11015" xr:uid="{EF92FDC3-A9BA-418E-A336-51D5E51C7D6C}"/>
    <cellStyle name="Style 85 10 14 2" xfId="27024" xr:uid="{8894937B-869B-4607-8DF9-2C2B9E1F0F40}"/>
    <cellStyle name="Style 85 10 15" xfId="19133" xr:uid="{58E19E84-62BD-4D80-96DF-783BB549E04C}"/>
    <cellStyle name="Style 85 10 2" xfId="2221" xr:uid="{F24EA8CB-7EE7-4E34-B755-37F752DDAA0B}"/>
    <cellStyle name="Style 85 10 2 10" xfId="11016" xr:uid="{1D42DB0B-CF56-4E2F-97DF-A13193241C40}"/>
    <cellStyle name="Style 85 10 2 10 2" xfId="27025" xr:uid="{FD3A0203-3C91-4658-A943-2FD1E96E4863}"/>
    <cellStyle name="Style 85 10 2 11" xfId="11017" xr:uid="{9BECEFFA-A8CD-49F6-972F-194EEEBF1E9E}"/>
    <cellStyle name="Style 85 10 2 11 2" xfId="27026" xr:uid="{3CD29AE1-4691-44A7-BEE5-ECF7F137B5AC}"/>
    <cellStyle name="Style 85 10 2 12" xfId="11018" xr:uid="{92A10CB7-17E2-4012-BC83-85BE4DB0166C}"/>
    <cellStyle name="Style 85 10 2 12 2" xfId="27027" xr:uid="{B2DB5A54-D4D9-478F-B4C8-AE8B42B86760}"/>
    <cellStyle name="Style 85 10 2 2" xfId="4853" xr:uid="{B2BEDCC2-DE65-4397-956D-BFB045D932DA}"/>
    <cellStyle name="Style 85 10 2 2 2" xfId="11019" xr:uid="{81A00952-8FEB-4D9C-82D6-073D79132AF9}"/>
    <cellStyle name="Style 85 10 2 2 2 2" xfId="27028" xr:uid="{4AFEFBD7-D2DF-48EE-ADC6-6EFD49E0C5B5}"/>
    <cellStyle name="Style 85 10 2 2 3" xfId="11020" xr:uid="{7FAA338E-C51C-4817-9B0C-8FE7D1F78BFC}"/>
    <cellStyle name="Style 85 10 2 2 3 2" xfId="27029" xr:uid="{726C1445-BD8D-451E-B636-270F7C8EF274}"/>
    <cellStyle name="Style 85 10 2 3" xfId="11021" xr:uid="{CC72AAEE-56C8-4B5B-947B-676E7F5AFF49}"/>
    <cellStyle name="Style 85 10 2 3 2" xfId="11022" xr:uid="{57FEB63A-5826-4C46-9CC3-4435A1DE7676}"/>
    <cellStyle name="Style 85 10 2 3 2 2" xfId="27030" xr:uid="{3777FC68-8536-49B9-ACB4-F1E650BF6C40}"/>
    <cellStyle name="Style 85 10 2 3 3" xfId="22307" xr:uid="{BA55D321-C6F5-4600-9DAC-397E4E8A463F}"/>
    <cellStyle name="Style 85 10 2 4" xfId="11023" xr:uid="{CE4CA4C6-9D3E-4BEB-8D1B-FB4F8371227F}"/>
    <cellStyle name="Style 85 10 2 4 2" xfId="27031" xr:uid="{AB9C971B-928D-49DD-BEE0-FFFC82C07604}"/>
    <cellStyle name="Style 85 10 2 5" xfId="11024" xr:uid="{D8308E5E-9C68-43D5-8837-45FDB1B3E099}"/>
    <cellStyle name="Style 85 10 2 5 2" xfId="27032" xr:uid="{A3D4CFAD-719E-464B-AF5D-610C74733383}"/>
    <cellStyle name="Style 85 10 2 6" xfId="11025" xr:uid="{0B4A542B-E444-4DEC-ACFC-D20CDA126396}"/>
    <cellStyle name="Style 85 10 2 6 2" xfId="27033" xr:uid="{452287D6-D87E-4E5B-83BE-8431B09B8F6E}"/>
    <cellStyle name="Style 85 10 2 7" xfId="11026" xr:uid="{806BFDC6-2ABC-4857-AED3-9A6C5B8466C7}"/>
    <cellStyle name="Style 85 10 2 7 2" xfId="27034" xr:uid="{7C5A6A3C-3DFD-42D7-995E-DA1E98155427}"/>
    <cellStyle name="Style 85 10 2 8" xfId="11027" xr:uid="{05EE1B06-F7B2-4A20-911E-6BE82DEB0A29}"/>
    <cellStyle name="Style 85 10 2 8 2" xfId="27035" xr:uid="{5357F1A0-DDAD-4097-9D02-32F3736980A8}"/>
    <cellStyle name="Style 85 10 2 9" xfId="11028" xr:uid="{79F59368-36FF-41FC-900D-447D645C42F0}"/>
    <cellStyle name="Style 85 10 2 9 2" xfId="27036" xr:uid="{F4BA8D55-6C52-4F9E-A447-B587C3CC1726}"/>
    <cellStyle name="Style 85 10 3" xfId="2789" xr:uid="{93640A70-F399-449F-B99F-8D5EA1DDC978}"/>
    <cellStyle name="Style 85 10 3 2" xfId="4854" xr:uid="{6F8B7761-E757-4AE2-9A9B-447EC9727022}"/>
    <cellStyle name="Style 85 10 3 2 2" xfId="11029" xr:uid="{DB63291A-560D-4527-A517-C99088ED71F3}"/>
    <cellStyle name="Style 85 10 3 2 2 2" xfId="27037" xr:uid="{A11B6E0E-EDC7-4F6B-B11C-3B5CBC5FC70F}"/>
    <cellStyle name="Style 85 10 3 2 3" xfId="22536" xr:uid="{BF5B39F8-E6D0-43D3-8F52-99A8E40C6E7B}"/>
    <cellStyle name="Style 85 10 3 3" xfId="11030" xr:uid="{D8F8786A-6872-44BE-9281-1A74588AE77B}"/>
    <cellStyle name="Style 85 10 3 3 2" xfId="27038" xr:uid="{D32803B6-6100-48D9-A9A3-1AC3716D192A}"/>
    <cellStyle name="Style 85 10 4" xfId="4852" xr:uid="{09D6F8A0-E3E2-4952-874A-C5EBBE8C5D70}"/>
    <cellStyle name="Style 85 10 4 2" xfId="11031" xr:uid="{448FF8D3-C103-463E-A7CC-F030D392367D}"/>
    <cellStyle name="Style 85 10 4 2 2" xfId="27039" xr:uid="{4476BFAA-58DF-4C4A-8594-0E63294BFC85}"/>
    <cellStyle name="Style 85 10 5" xfId="11032" xr:uid="{AA1B145C-3E24-4369-8A11-07ACE14A60CB}"/>
    <cellStyle name="Style 85 10 5 2" xfId="11033" xr:uid="{93F37C57-158A-442C-B536-E6D9FE88C3B6}"/>
    <cellStyle name="Style 85 10 5 2 2" xfId="27040" xr:uid="{51FFA87B-C794-42FE-AA43-E731FDB397BF}"/>
    <cellStyle name="Style 85 10 5 3" xfId="22306" xr:uid="{85DDD001-5DC4-4ACA-BECC-44B5156FE95C}"/>
    <cellStyle name="Style 85 10 6" xfId="11034" xr:uid="{13255A3E-17BB-4074-953A-7E095398F030}"/>
    <cellStyle name="Style 85 10 6 2" xfId="27041" xr:uid="{F7F6EF7F-E309-479B-B645-3B20017BC6FC}"/>
    <cellStyle name="Style 85 10 7" xfId="11035" xr:uid="{3919015C-4505-4080-82F8-6BE598EA4F40}"/>
    <cellStyle name="Style 85 10 7 2" xfId="27042" xr:uid="{5AE54F9E-E18A-4F89-BAE5-8F873BFBE487}"/>
    <cellStyle name="Style 85 10 8" xfId="11036" xr:uid="{F1FD9BBC-F266-480C-B030-610343A4FB1E}"/>
    <cellStyle name="Style 85 10 8 2" xfId="27043" xr:uid="{CA824664-E556-4D4D-A7C7-D9C41A481397}"/>
    <cellStyle name="Style 85 10 9" xfId="11037" xr:uid="{D9DC69CA-64A4-4062-B7B6-7C7195C2C34C}"/>
    <cellStyle name="Style 85 10 9 2" xfId="27044" xr:uid="{8B1AF291-C142-4289-BE72-A70E8FE54EAB}"/>
    <cellStyle name="Style 85 11" xfId="2222" xr:uid="{4C25CC80-F075-4220-89E9-C82E1E78BF19}"/>
    <cellStyle name="Style 85 11 10" xfId="11038" xr:uid="{28B8275B-F95F-4CFF-B791-98C85CC1305B}"/>
    <cellStyle name="Style 85 11 10 2" xfId="27045" xr:uid="{6E1F7003-268C-4EDB-9EBC-50CB04AA7C42}"/>
    <cellStyle name="Style 85 11 11" xfId="11039" xr:uid="{2CB5207E-D9B6-40A1-8811-962F3D45CA8E}"/>
    <cellStyle name="Style 85 11 11 2" xfId="27046" xr:uid="{0A67A1E8-F4E7-4265-AC3D-21BED6B90968}"/>
    <cellStyle name="Style 85 11 12" xfId="11040" xr:uid="{9860AE48-58F1-4A98-ABAA-B26475C0F991}"/>
    <cellStyle name="Style 85 11 12 2" xfId="27047" xr:uid="{18032021-B2D5-4453-A286-1BDC2BBB5B3B}"/>
    <cellStyle name="Style 85 11 13" xfId="11041" xr:uid="{D6D263DA-83CE-4001-84EB-90B1F72534D4}"/>
    <cellStyle name="Style 85 11 13 2" xfId="27048" xr:uid="{B0CE8C86-84F6-4F10-830D-44AEEC6F054A}"/>
    <cellStyle name="Style 85 11 14" xfId="11042" xr:uid="{C7B066F6-D491-47DD-A0A4-58F57BB66D8E}"/>
    <cellStyle name="Style 85 11 14 2" xfId="27049" xr:uid="{557337D0-E289-47BE-A849-06D1934A9565}"/>
    <cellStyle name="Style 85 11 15" xfId="19134" xr:uid="{8DEDBD60-AC53-4F01-A661-0EB12CF84C92}"/>
    <cellStyle name="Style 85 11 2" xfId="2223" xr:uid="{0103D3A4-1F5F-44F0-AC8B-2A2A43ACF4A4}"/>
    <cellStyle name="Style 85 11 2 10" xfId="11043" xr:uid="{6824B778-CA78-4EBB-9A5C-08F3830FD48D}"/>
    <cellStyle name="Style 85 11 2 10 2" xfId="27050" xr:uid="{3D07A65F-AFE0-448F-BBD7-EF9F3E6848EC}"/>
    <cellStyle name="Style 85 11 2 11" xfId="11044" xr:uid="{8C787730-2F89-4A74-A549-6367A2CE9CF2}"/>
    <cellStyle name="Style 85 11 2 11 2" xfId="27051" xr:uid="{65A22443-FC76-423D-A97C-9843D55435C4}"/>
    <cellStyle name="Style 85 11 2 12" xfId="11045" xr:uid="{8441D9C7-C1F3-48D0-9051-8AAFD279D28B}"/>
    <cellStyle name="Style 85 11 2 12 2" xfId="27052" xr:uid="{CCDEEFF3-B3A4-4504-9353-E2223FC13A86}"/>
    <cellStyle name="Style 85 11 2 2" xfId="4856" xr:uid="{AA417E12-2944-473D-AF12-B537E1555660}"/>
    <cellStyle name="Style 85 11 2 2 2" xfId="11046" xr:uid="{951ADBDE-00F3-41E0-ABFF-7F7CA457DBE8}"/>
    <cellStyle name="Style 85 11 2 2 2 2" xfId="27053" xr:uid="{9D343C8D-43D4-4A60-B3FE-0191CCCE1F2D}"/>
    <cellStyle name="Style 85 11 2 2 3" xfId="11047" xr:uid="{1BB9B17C-9A0C-4E92-BEFF-274AE3695067}"/>
    <cellStyle name="Style 85 11 2 2 3 2" xfId="27054" xr:uid="{AB6C191C-123E-4D34-8BEC-894B0F0F5C3B}"/>
    <cellStyle name="Style 85 11 2 3" xfId="11048" xr:uid="{2252FD0B-DC2B-407A-8E78-084EF527F7C5}"/>
    <cellStyle name="Style 85 11 2 3 2" xfId="11049" xr:uid="{BF92BBC5-3260-40DD-984F-9F196B852C96}"/>
    <cellStyle name="Style 85 11 2 3 2 2" xfId="27055" xr:uid="{3AA009F1-F7FC-4851-A6E3-6A9E060F27FF}"/>
    <cellStyle name="Style 85 11 2 3 3" xfId="22309" xr:uid="{AD6025DC-303D-4DE5-A06E-2E3F032126C4}"/>
    <cellStyle name="Style 85 11 2 4" xfId="11050" xr:uid="{60C20B1F-2CFB-472C-B690-47C576C1162E}"/>
    <cellStyle name="Style 85 11 2 4 2" xfId="27056" xr:uid="{1E8B7CE1-2548-4CBF-825C-75582C1BD819}"/>
    <cellStyle name="Style 85 11 2 5" xfId="11051" xr:uid="{7625E247-E70E-4A80-9D2D-950A91AC0054}"/>
    <cellStyle name="Style 85 11 2 5 2" xfId="27057" xr:uid="{2950E5D5-6AC4-487D-BC9C-05DF3AACCC2A}"/>
    <cellStyle name="Style 85 11 2 6" xfId="11052" xr:uid="{9F5364C3-8CC5-40B9-8C8E-B3349EBEE074}"/>
    <cellStyle name="Style 85 11 2 6 2" xfId="27058" xr:uid="{2454E207-2AF6-4E4D-863A-B3F10DC4649C}"/>
    <cellStyle name="Style 85 11 2 7" xfId="11053" xr:uid="{49DB4CBB-6C95-4D96-AF44-67763066E385}"/>
    <cellStyle name="Style 85 11 2 7 2" xfId="27059" xr:uid="{5AE50DD0-B7FB-4E01-8529-B9734D30FBD0}"/>
    <cellStyle name="Style 85 11 2 8" xfId="11054" xr:uid="{BA4559F5-522A-4589-9AA7-8EE3E55E1CA1}"/>
    <cellStyle name="Style 85 11 2 8 2" xfId="27060" xr:uid="{6A1B967F-C973-40F6-926A-1F1353F65C30}"/>
    <cellStyle name="Style 85 11 2 9" xfId="11055" xr:uid="{8B8E0420-6ECC-490A-9716-6A12F8DC46C1}"/>
    <cellStyle name="Style 85 11 2 9 2" xfId="27061" xr:uid="{ED874A9C-57A7-47AF-8A02-133F5236DB24}"/>
    <cellStyle name="Style 85 11 3" xfId="4857" xr:uid="{96D58C54-FB14-42DC-A9AA-3894BF9290E1}"/>
    <cellStyle name="Style 85 11 3 2" xfId="11056" xr:uid="{67D65430-18B5-41B3-B6DA-FFB192D92245}"/>
    <cellStyle name="Style 85 11 3 2 2" xfId="27062" xr:uid="{75BA3E5A-1D00-4E89-9C4D-52C007DB38D8}"/>
    <cellStyle name="Style 85 11 3 3" xfId="11057" xr:uid="{D9C02E8D-9C45-49A9-9C62-8CE3E999C6E1}"/>
    <cellStyle name="Style 85 11 3 3 2" xfId="27063" xr:uid="{5E39F641-34D7-4D5F-ADBF-FD8379CEC499}"/>
    <cellStyle name="Style 85 11 4" xfId="4855" xr:uid="{7F645C90-D72F-45A3-9B14-812D55896E2F}"/>
    <cellStyle name="Style 85 11 4 2" xfId="11058" xr:uid="{05D7B3FE-07FE-4D39-AC12-AA353F9E9610}"/>
    <cellStyle name="Style 85 11 4 2 2" xfId="27064" xr:uid="{CD2BEA5E-5C97-443A-A27B-758210505701}"/>
    <cellStyle name="Style 85 11 5" xfId="11059" xr:uid="{155D49A2-C01D-477D-846D-2C11E419E6DB}"/>
    <cellStyle name="Style 85 11 5 2" xfId="11060" xr:uid="{0449320C-BE56-4F70-B160-7EF590273898}"/>
    <cellStyle name="Style 85 11 5 2 2" xfId="27065" xr:uid="{4BF04ED6-5A6D-4CBB-9EF4-82BC72CECA60}"/>
    <cellStyle name="Style 85 11 5 3" xfId="22308" xr:uid="{CE2A8838-33BD-471E-9E4E-421DA4870AB2}"/>
    <cellStyle name="Style 85 11 6" xfId="11061" xr:uid="{D5A12610-25EF-43AC-B7B8-3946C39BEFFD}"/>
    <cellStyle name="Style 85 11 6 2" xfId="27066" xr:uid="{3F72E1A5-BC08-470B-9307-7D3CF84B9E5F}"/>
    <cellStyle name="Style 85 11 7" xfId="11062" xr:uid="{66D3C66A-69F0-4844-923F-EB9B81FB722D}"/>
    <cellStyle name="Style 85 11 7 2" xfId="27067" xr:uid="{CDCF85F1-4613-49B6-AAFB-9D46CAC41B73}"/>
    <cellStyle name="Style 85 11 8" xfId="11063" xr:uid="{F0447419-3C2B-4DCC-8B07-4D68A123F4E6}"/>
    <cellStyle name="Style 85 11 8 2" xfId="27068" xr:uid="{3333117C-6C75-423E-AD99-3655E3CC864C}"/>
    <cellStyle name="Style 85 11 9" xfId="11064" xr:uid="{28DF9C6A-C5CE-49F8-8F11-A353D4828652}"/>
    <cellStyle name="Style 85 11 9 2" xfId="27069" xr:uid="{1C15E9AC-7DB2-41BD-BF71-BEA3C9B295CE}"/>
    <cellStyle name="Style 85 12" xfId="2224" xr:uid="{2E739471-AAF8-41DB-929F-3122C38CC092}"/>
    <cellStyle name="Style 85 12 10" xfId="11065" xr:uid="{C946378B-8B67-4BE9-9E2E-AC2DA17828FD}"/>
    <cellStyle name="Style 85 12 10 2" xfId="27070" xr:uid="{5C6119EC-9D39-4A4C-BBCE-575D31241C81}"/>
    <cellStyle name="Style 85 12 11" xfId="11066" xr:uid="{DA80C97E-832A-4551-8574-957EC5B1697C}"/>
    <cellStyle name="Style 85 12 11 2" xfId="27071" xr:uid="{69D87C27-AA97-4737-9197-70463A254200}"/>
    <cellStyle name="Style 85 12 12" xfId="11067" xr:uid="{03896243-ECB7-4F97-9652-A874CBA5C93D}"/>
    <cellStyle name="Style 85 12 12 2" xfId="27072" xr:uid="{CDDEB77F-1757-48A4-98A5-C972D5D44DC0}"/>
    <cellStyle name="Style 85 12 13" xfId="11068" xr:uid="{766D490E-02A5-4363-8021-4765EB492E3F}"/>
    <cellStyle name="Style 85 12 13 2" xfId="27073" xr:uid="{4E2AB209-BAD9-4C2F-950D-3672262AC94D}"/>
    <cellStyle name="Style 85 12 2" xfId="4858" xr:uid="{68BAA252-2864-4AE0-929B-B270FEBB07BD}"/>
    <cellStyle name="Style 85 12 2 10" xfId="11069" xr:uid="{94C4C719-F291-44CF-BEDB-A5FC6DAD4CF5}"/>
    <cellStyle name="Style 85 12 2 10 2" xfId="27074" xr:uid="{5E915958-0D02-40E5-BA17-CA65BDCAA148}"/>
    <cellStyle name="Style 85 12 2 11" xfId="11070" xr:uid="{DB15DC78-D119-441F-A78D-029A31E7E0C8}"/>
    <cellStyle name="Style 85 12 2 11 2" xfId="27075" xr:uid="{0B489AF5-963E-42D6-BA47-FE02A270ED9E}"/>
    <cellStyle name="Style 85 12 2 2" xfId="11071" xr:uid="{BE9F6FDF-EB8C-4C3F-A9CF-B7FBB06121D1}"/>
    <cellStyle name="Style 85 12 2 2 2" xfId="27076" xr:uid="{6BD20609-980C-4408-9D5B-C6DBB832D5C0}"/>
    <cellStyle name="Style 85 12 2 3" xfId="11072" xr:uid="{347C4AF1-953E-4F93-8D53-2B92B181D0CA}"/>
    <cellStyle name="Style 85 12 2 3 2" xfId="27077" xr:uid="{F6183535-C0B0-426D-9956-DC63A81EC459}"/>
    <cellStyle name="Style 85 12 2 4" xfId="11073" xr:uid="{6FA81541-F27E-4040-BCAB-CC9C01A2DF7B}"/>
    <cellStyle name="Style 85 12 2 4 2" xfId="27078" xr:uid="{BBAF2059-229D-471F-9255-9F17609357F6}"/>
    <cellStyle name="Style 85 12 2 5" xfId="11074" xr:uid="{C507E43D-C3A3-4C8B-B981-E94088B7450F}"/>
    <cellStyle name="Style 85 12 2 5 2" xfId="27079" xr:uid="{7A36944C-EC33-4404-9691-DDDE27E0AF5D}"/>
    <cellStyle name="Style 85 12 2 6" xfId="11075" xr:uid="{8215FE05-E5E7-424E-A049-3FF79A32069D}"/>
    <cellStyle name="Style 85 12 2 6 2" xfId="27080" xr:uid="{6033304F-4D03-45AC-B82F-08268385D8AF}"/>
    <cellStyle name="Style 85 12 2 7" xfId="11076" xr:uid="{DADA4BE5-AA4B-4D3C-A33D-6182D283A607}"/>
    <cellStyle name="Style 85 12 2 7 2" xfId="27081" xr:uid="{D5DD3A57-1872-44D5-9A14-EEFC39B2E171}"/>
    <cellStyle name="Style 85 12 2 8" xfId="11077" xr:uid="{D019A27E-502B-4D3E-A3B6-FB5CE6B9C88D}"/>
    <cellStyle name="Style 85 12 2 8 2" xfId="27082" xr:uid="{C5FBDD02-522F-4AAB-8A9F-4D93F918B637}"/>
    <cellStyle name="Style 85 12 2 9" xfId="11078" xr:uid="{91B014BB-0376-43C0-A751-07F0C430B485}"/>
    <cellStyle name="Style 85 12 2 9 2" xfId="27083" xr:uid="{BB140086-FB09-4800-B7DD-33D3A5C68228}"/>
    <cellStyle name="Style 85 12 3" xfId="11079" xr:uid="{73414EFF-11A2-4AC8-8841-6819880FCDCF}"/>
    <cellStyle name="Style 85 12 3 10" xfId="22310" xr:uid="{FB320F15-7865-4B1D-9753-3B52D9E797F3}"/>
    <cellStyle name="Style 85 12 3 2" xfId="11080" xr:uid="{9041CC9B-2AB3-4792-9540-9CFC6D03F3CB}"/>
    <cellStyle name="Style 85 12 3 2 2" xfId="27084" xr:uid="{B235E165-DFDC-4799-AA97-3976EF0CB532}"/>
    <cellStyle name="Style 85 12 3 3" xfId="11081" xr:uid="{6A79419B-8CFA-4707-9941-A041D134CA78}"/>
    <cellStyle name="Style 85 12 3 3 2" xfId="27085" xr:uid="{7261EF50-2A9A-4F1B-A95F-0403898C50C3}"/>
    <cellStyle name="Style 85 12 3 4" xfId="11082" xr:uid="{D583F480-58C9-4855-828C-8CBCC55AC145}"/>
    <cellStyle name="Style 85 12 3 4 2" xfId="27086" xr:uid="{2A176F14-19F2-4F62-AE9D-E0D269EE97BD}"/>
    <cellStyle name="Style 85 12 3 5" xfId="11083" xr:uid="{7F12B104-638A-45BC-8ADA-B07FEF1B7A13}"/>
    <cellStyle name="Style 85 12 3 5 2" xfId="27087" xr:uid="{BA49491F-379F-4C3C-AA12-F79DE6B6E4FC}"/>
    <cellStyle name="Style 85 12 3 6" xfId="11084" xr:uid="{3BE5F3EB-8F62-4A18-ABCB-388E0B8F3AC5}"/>
    <cellStyle name="Style 85 12 3 6 2" xfId="27088" xr:uid="{7FA5E37B-6046-481A-BDFF-574D960165E4}"/>
    <cellStyle name="Style 85 12 3 7" xfId="11085" xr:uid="{A56A67D7-93F0-41DD-815E-1C592555BEA0}"/>
    <cellStyle name="Style 85 12 3 7 2" xfId="27089" xr:uid="{A2379628-0C76-42D2-9F4A-EC1D9C2A1DA7}"/>
    <cellStyle name="Style 85 12 3 8" xfId="11086" xr:uid="{91E4E994-6758-4AD2-8A19-E933CF6DA681}"/>
    <cellStyle name="Style 85 12 3 8 2" xfId="27090" xr:uid="{367F84E1-0258-476D-A7B0-F2080C88113D}"/>
    <cellStyle name="Style 85 12 3 9" xfId="11087" xr:uid="{6AFB976F-A0F4-4668-B935-D340D3AF5CF5}"/>
    <cellStyle name="Style 85 12 3 9 2" xfId="27091" xr:uid="{825CB45D-DA56-418A-9527-85E9388FE873}"/>
    <cellStyle name="Style 85 12 4" xfId="11088" xr:uid="{4CC7D66C-1F84-4B8B-B220-C3227E2FEDE1}"/>
    <cellStyle name="Style 85 12 4 2" xfId="11089" xr:uid="{C8E15C76-4C9E-4993-B4D8-F3C363954CC8}"/>
    <cellStyle name="Style 85 12 4 2 2" xfId="27093" xr:uid="{1CD3C410-6309-46D5-9ECD-5DCDCBD855AA}"/>
    <cellStyle name="Style 85 12 4 3" xfId="11090" xr:uid="{5EB7FB37-A8D3-4421-B789-79173923BB91}"/>
    <cellStyle name="Style 85 12 4 3 2" xfId="27094" xr:uid="{9A267521-079C-43B4-96BF-F91D19B14323}"/>
    <cellStyle name="Style 85 12 4 4" xfId="11091" xr:uid="{9A844CCF-564E-48C9-86B0-8E5D00DAB9B1}"/>
    <cellStyle name="Style 85 12 4 4 2" xfId="27095" xr:uid="{80C76D2D-9039-4B27-A319-C8DA74AC9A44}"/>
    <cellStyle name="Style 85 12 4 5" xfId="11092" xr:uid="{4EB41228-EACF-4553-B41D-5111AB0B4608}"/>
    <cellStyle name="Style 85 12 4 5 2" xfId="27096" xr:uid="{70A7C1D9-053A-41BC-8A5F-D108405C0DA0}"/>
    <cellStyle name="Style 85 12 4 6" xfId="11093" xr:uid="{1553ACC2-F34D-4DE8-9717-A1116CD909CB}"/>
    <cellStyle name="Style 85 12 4 6 2" xfId="27097" xr:uid="{5A6EAFE3-E816-4B85-A306-62A857F0BD77}"/>
    <cellStyle name="Style 85 12 4 7" xfId="27092" xr:uid="{55D3BDBD-D862-4C5C-A8E7-78D5CB66CF31}"/>
    <cellStyle name="Style 85 12 5" xfId="11094" xr:uid="{B34B383F-B4E2-4028-B5DD-6547AA9E6127}"/>
    <cellStyle name="Style 85 12 5 2" xfId="27098" xr:uid="{E1072AA0-C212-4B1F-990F-2A6C6EBA49EA}"/>
    <cellStyle name="Style 85 12 6" xfId="11095" xr:uid="{D1948D1F-0595-494B-988E-6C7B3AD64ED6}"/>
    <cellStyle name="Style 85 12 6 2" xfId="27099" xr:uid="{A1F88CCA-63C7-4487-B4E1-91C6962A342B}"/>
    <cellStyle name="Style 85 12 7" xfId="11096" xr:uid="{705335E5-EE2B-4CB8-8C34-0AB055A84602}"/>
    <cellStyle name="Style 85 12 7 2" xfId="27100" xr:uid="{20516E14-9F57-412A-A849-E2454D7FF260}"/>
    <cellStyle name="Style 85 12 8" xfId="11097" xr:uid="{EEBC69E4-9A44-4DE7-B4CF-563A7E2FC25C}"/>
    <cellStyle name="Style 85 12 8 2" xfId="27101" xr:uid="{CB1A5101-DF63-46A1-8232-40425E3F795F}"/>
    <cellStyle name="Style 85 12 9" xfId="11098" xr:uid="{4732413B-AD25-495B-822A-D8E3EA9C4149}"/>
    <cellStyle name="Style 85 12 9 2" xfId="27102" xr:uid="{CF55136D-0D97-4D3B-8229-A81902508BDB}"/>
    <cellStyle name="Style 85 13" xfId="4859" xr:uid="{54D32E7C-501E-468B-8395-F3E3109832F0}"/>
    <cellStyle name="Style 85 13 10" xfId="11099" xr:uid="{986BE2E2-A813-497D-9E5F-4D88F968C356}"/>
    <cellStyle name="Style 85 13 10 2" xfId="27103" xr:uid="{408F81AD-57BB-43C5-AE0B-F6EE3745654E}"/>
    <cellStyle name="Style 85 13 11" xfId="11100" xr:uid="{B4A0541F-C63B-4EDB-BE5E-74B48A1196A1}"/>
    <cellStyle name="Style 85 13 11 2" xfId="27104" xr:uid="{E361984E-7647-4FCD-9210-A6FA6FF9D895}"/>
    <cellStyle name="Style 85 13 2" xfId="11101" xr:uid="{6DDEF8E0-5F1E-4417-BD4B-EFBB40B47558}"/>
    <cellStyle name="Style 85 13 2 2" xfId="27105" xr:uid="{8254ED65-6BC8-454C-A310-28BCBB3C0604}"/>
    <cellStyle name="Style 85 13 3" xfId="11102" xr:uid="{A1687965-9FAC-4CCD-99C2-9B05CA32FC7C}"/>
    <cellStyle name="Style 85 13 3 2" xfId="27106" xr:uid="{03245563-7418-415D-A98F-20D5563B57BF}"/>
    <cellStyle name="Style 85 13 4" xfId="11103" xr:uid="{41947676-F84F-452B-8374-FEF146D70DB5}"/>
    <cellStyle name="Style 85 13 4 2" xfId="27107" xr:uid="{2C747448-AE63-4403-B743-2E7A987A39EE}"/>
    <cellStyle name="Style 85 13 5" xfId="11104" xr:uid="{1B409C66-DF94-47F5-84F1-CE26F6132ACD}"/>
    <cellStyle name="Style 85 13 5 2" xfId="27108" xr:uid="{C8FE38D9-BA97-400E-93EA-5C3FEE319E31}"/>
    <cellStyle name="Style 85 13 6" xfId="11105" xr:uid="{7715398C-AA19-4F9B-B3D5-9F1738E9E789}"/>
    <cellStyle name="Style 85 13 6 2" xfId="27109" xr:uid="{ED693783-7D17-432C-A63E-61848F69A903}"/>
    <cellStyle name="Style 85 13 7" xfId="11106" xr:uid="{D44821C6-23EC-4F2C-B1A9-3BFB83B1860E}"/>
    <cellStyle name="Style 85 13 7 2" xfId="27110" xr:uid="{F2FBC880-DE55-4E15-AF70-B7DD37676260}"/>
    <cellStyle name="Style 85 13 8" xfId="11107" xr:uid="{65DBA276-7E7F-412E-A0BA-5DA7229E217F}"/>
    <cellStyle name="Style 85 13 8 2" xfId="27111" xr:uid="{441B22D3-33FA-43D7-A5B4-4FFAD3BDF058}"/>
    <cellStyle name="Style 85 13 9" xfId="11108" xr:uid="{660A916A-F5C3-42A4-B7B5-C85EB14AC339}"/>
    <cellStyle name="Style 85 13 9 2" xfId="27112" xr:uid="{B5B25FAA-2949-461D-A252-F481468BBBE6}"/>
    <cellStyle name="Style 85 14" xfId="4851" xr:uid="{91C3A716-E8EE-4B7C-9581-35F4F3099BE9}"/>
    <cellStyle name="Style 85 14 2" xfId="11109" xr:uid="{DECBE1EF-46D0-49B2-8C52-AEE9CF951043}"/>
    <cellStyle name="Style 85 14 2 2" xfId="27113" xr:uid="{02B9047F-866B-4D92-BFCF-DA2C2374BCDB}"/>
    <cellStyle name="Style 85 14 3" xfId="11110" xr:uid="{7E7A017C-CA47-4196-8C9E-217DCF0E54B2}"/>
    <cellStyle name="Style 85 14 3 2" xfId="27114" xr:uid="{E560CAD4-A378-4660-B2B3-025C361FB9B4}"/>
    <cellStyle name="Style 85 14 4" xfId="11111" xr:uid="{C92A5CBB-8AB7-480B-9B47-E292EA4AF4C2}"/>
    <cellStyle name="Style 85 14 4 2" xfId="27115" xr:uid="{44D47E98-CB9E-4E45-97F1-EECFDB5042E6}"/>
    <cellStyle name="Style 85 14 5" xfId="11112" xr:uid="{E936883B-294C-49D8-B2A8-D8C62F5DAE08}"/>
    <cellStyle name="Style 85 14 5 2" xfId="27116" xr:uid="{0190A9E9-F657-48F0-B01E-F67955ACFE88}"/>
    <cellStyle name="Style 85 14 6" xfId="11113" xr:uid="{9385082D-71E8-4A12-8B4E-6F9F566FF86B}"/>
    <cellStyle name="Style 85 14 6 2" xfId="27117" xr:uid="{5A44E047-8EAA-4D49-B49A-B837AB905145}"/>
    <cellStyle name="Style 85 14 7" xfId="11114" xr:uid="{724B2E8E-5B88-4EDB-84C8-08F1ED1FECB8}"/>
    <cellStyle name="Style 85 14 7 2" xfId="27118" xr:uid="{060F750A-25EC-4FE9-AA9C-CFDCBEE52377}"/>
    <cellStyle name="Style 85 14 8" xfId="11115" xr:uid="{71D761E7-4600-4E35-87A1-22913E6C74FD}"/>
    <cellStyle name="Style 85 14 8 2" xfId="27119" xr:uid="{54A8F5CF-201F-473D-899E-B8624E1A55E3}"/>
    <cellStyle name="Style 85 14 9" xfId="11116" xr:uid="{DA76A201-434E-4220-BC90-45053649843D}"/>
    <cellStyle name="Style 85 14 9 2" xfId="27120" xr:uid="{85B2D3F7-8DAC-40AD-90C3-E70A4CE97DF1}"/>
    <cellStyle name="Style 85 15" xfId="11117" xr:uid="{2D483929-2622-47DD-99BF-128FCBADC753}"/>
    <cellStyle name="Style 85 15 2" xfId="11118" xr:uid="{0ECB802A-9E74-49F0-A791-D116583F0434}"/>
    <cellStyle name="Style 85 15 2 2" xfId="27121" xr:uid="{58CE4A3E-5229-48E5-A59B-E51B1E725B11}"/>
    <cellStyle name="Style 85 15 3" xfId="11119" xr:uid="{7FCA22DA-A862-4741-967B-37AC240B408C}"/>
    <cellStyle name="Style 85 15 3 2" xfId="27122" xr:uid="{56E45195-BB40-43DB-8A6C-031752F2691B}"/>
    <cellStyle name="Style 85 15 4" xfId="11120" xr:uid="{06BE69A3-C2DF-4824-A6EB-776BF5E4513A}"/>
    <cellStyle name="Style 85 15 4 2" xfId="27123" xr:uid="{A44BCEF3-CCFD-4021-8724-5BECBC5C776E}"/>
    <cellStyle name="Style 85 15 5" xfId="11121" xr:uid="{170C171C-AC9C-4301-8988-B4A1526E082D}"/>
    <cellStyle name="Style 85 15 5 2" xfId="27124" xr:uid="{283BDA72-5C90-451D-AD88-4E1B9652FEA0}"/>
    <cellStyle name="Style 85 15 6" xfId="11122" xr:uid="{5CB22A79-F42F-4B26-9D5A-09DF74A10563}"/>
    <cellStyle name="Style 85 15 6 2" xfId="27125" xr:uid="{EA8B1471-EE5C-4A1F-BDA5-6D5BF36EBE1A}"/>
    <cellStyle name="Style 85 15 7" xfId="11123" xr:uid="{2D51882D-69B9-45B2-AD2D-229FFF030508}"/>
    <cellStyle name="Style 85 15 7 2" xfId="27126" xr:uid="{25EF434D-030A-4E42-8124-F0F520BC6818}"/>
    <cellStyle name="Style 85 15 8" xfId="21316" xr:uid="{841577CE-C57F-478D-90E7-944C0C17988F}"/>
    <cellStyle name="Style 85 16" xfId="11124" xr:uid="{61B5E5C6-BD7B-4660-805C-D86A52E5CAED}"/>
    <cellStyle name="Style 85 16 2" xfId="27127" xr:uid="{DCD68EFD-9F05-487B-AE38-08722F22DD2B}"/>
    <cellStyle name="Style 85 17" xfId="11125" xr:uid="{AF474388-9460-4F13-90EC-4596B0C68528}"/>
    <cellStyle name="Style 85 17 2" xfId="27128" xr:uid="{A0A0282F-9992-404D-B27E-283C8A96C79A}"/>
    <cellStyle name="Style 85 18" xfId="11126" xr:uid="{19B64454-0AE0-4060-9BC6-822896E8ADE1}"/>
    <cellStyle name="Style 85 18 2" xfId="27129" xr:uid="{54486DB7-B9F3-4EF6-AFDF-BCA9402A3CE0}"/>
    <cellStyle name="Style 85 19" xfId="11127" xr:uid="{4A81CCFC-D391-4F1D-BE85-DA0F597CAEBA}"/>
    <cellStyle name="Style 85 19 2" xfId="27130" xr:uid="{DD4445B3-B6AC-4757-B86B-BE350140F3D4}"/>
    <cellStyle name="Style 85 2" xfId="2225" xr:uid="{A8EDBA10-95BB-43CC-A597-468F4AEB9ECA}"/>
    <cellStyle name="Style 85 2 10" xfId="11128" xr:uid="{019C9261-3DF3-404E-816D-AE54860DC796}"/>
    <cellStyle name="Style 85 2 10 2" xfId="27131" xr:uid="{B269CF7D-E6E3-4138-BF6F-5AEB5EDF5240}"/>
    <cellStyle name="Style 85 2 11" xfId="11129" xr:uid="{B222EEDA-BA97-4D1E-9049-0045CE17AF5D}"/>
    <cellStyle name="Style 85 2 11 2" xfId="27132" xr:uid="{4EECED2A-E9E0-47EE-9432-1A07F3F07263}"/>
    <cellStyle name="Style 85 2 12" xfId="11130" xr:uid="{3F34678E-F584-4944-88F3-5F746011F0A5}"/>
    <cellStyle name="Style 85 2 12 2" xfId="27133" xr:uid="{DEE2315C-328C-4A72-A7EC-7591E7FC83BD}"/>
    <cellStyle name="Style 85 2 13" xfId="11131" xr:uid="{8256F0D8-8931-49BF-A413-35C7E967D5D1}"/>
    <cellStyle name="Style 85 2 13 2" xfId="27134" xr:uid="{09BF3FE6-FA62-4C21-8144-25E9022EC92E}"/>
    <cellStyle name="Style 85 2 14" xfId="19135" xr:uid="{31B79EF0-1891-444F-A435-DD6AE2DD18AA}"/>
    <cellStyle name="Style 85 2 2" xfId="4861" xr:uid="{B5607D67-49B5-43BC-BC43-B96F0A03E118}"/>
    <cellStyle name="Style 85 2 2 2" xfId="11132" xr:uid="{675A03AD-C42E-4981-9BDB-A6AD039857FF}"/>
    <cellStyle name="Style 85 2 2 2 2" xfId="27135" xr:uid="{06BACF18-EE4B-4868-84FC-7F92E36AEB8D}"/>
    <cellStyle name="Style 85 2 2 3" xfId="11133" xr:uid="{4EB082D4-E662-4820-863D-4181AFE45366}"/>
    <cellStyle name="Style 85 2 2 3 2" xfId="27136" xr:uid="{CDAE9BC6-B829-4EF5-80D9-3E85D9AE26CE}"/>
    <cellStyle name="Style 85 2 3" xfId="4860" xr:uid="{D638A2D2-0522-4B61-827B-28557F3BD993}"/>
    <cellStyle name="Style 85 2 3 2" xfId="11134" xr:uid="{B606A955-BE50-4915-AC78-41E4718D9AA1}"/>
    <cellStyle name="Style 85 2 3 2 2" xfId="27137" xr:uid="{2E075102-FAE8-4D4D-B3E4-346710B4351A}"/>
    <cellStyle name="Style 85 2 4" xfId="2965" xr:uid="{6086CCCE-AA51-4195-B42D-FE0348E350EE}"/>
    <cellStyle name="Style 85 2 4 2" xfId="11135" xr:uid="{0E8181AB-7052-4FA3-81C0-64F8C8A26C8D}"/>
    <cellStyle name="Style 85 2 4 2 2" xfId="27138" xr:uid="{C64AEE70-1AEE-4455-80C7-88E355EBB99F}"/>
    <cellStyle name="Style 85 2 4 3" xfId="21317" xr:uid="{43C59616-46B9-494D-BA90-EC8AE5B7E776}"/>
    <cellStyle name="Style 85 2 5" xfId="11136" xr:uid="{A3F12463-7D87-4A03-A380-D0878377D01C}"/>
    <cellStyle name="Style 85 2 5 2" xfId="27139" xr:uid="{B12A7D8F-706B-462B-BD78-056E88E2A72E}"/>
    <cellStyle name="Style 85 2 6" xfId="11137" xr:uid="{CDDD7942-D323-4A0B-ACE9-AE5A0E1AAF11}"/>
    <cellStyle name="Style 85 2 6 2" xfId="27140" xr:uid="{BEAAC065-7028-48B2-AB0B-785517D0FF20}"/>
    <cellStyle name="Style 85 2 7" xfId="11138" xr:uid="{78DF9FE4-AF84-4CC2-A72C-618049AB8B44}"/>
    <cellStyle name="Style 85 2 7 2" xfId="27141" xr:uid="{BB6515C5-493D-417B-9A63-DAD2B382E0B1}"/>
    <cellStyle name="Style 85 2 8" xfId="11139" xr:uid="{601FF810-7FAC-42DE-8C59-8F80F72034FC}"/>
    <cellStyle name="Style 85 2 8 2" xfId="27142" xr:uid="{216F9618-773F-4038-A343-AC1792D9AAED}"/>
    <cellStyle name="Style 85 2 9" xfId="11140" xr:uid="{E1C6EDF9-CD1C-442E-B0A6-602D56E841C7}"/>
    <cellStyle name="Style 85 2 9 2" xfId="27143" xr:uid="{8834DBF4-6203-4437-BEC0-28289E34F1E4}"/>
    <cellStyle name="Style 85 20" xfId="11141" xr:uid="{C278DAB3-D04D-4D5B-9FE1-DEC533FDA06E}"/>
    <cellStyle name="Style 85 20 2" xfId="27144" xr:uid="{EA96D82F-CA04-499B-947E-D1FD8D132938}"/>
    <cellStyle name="Style 85 21" xfId="11142" xr:uid="{6D81DB45-B967-4737-BB89-5EA6E7508CD7}"/>
    <cellStyle name="Style 85 21 2" xfId="27145" xr:uid="{5182946E-F664-4737-8EE3-5A8A63BFA902}"/>
    <cellStyle name="Style 85 22" xfId="11143" xr:uid="{42D4672C-65A9-41D7-9D8E-E6FD5A9ED270}"/>
    <cellStyle name="Style 85 22 2" xfId="27146" xr:uid="{6CAC5E1C-B63D-43B4-A4ED-2EAE1034C401}"/>
    <cellStyle name="Style 85 23" xfId="11144" xr:uid="{6C1C1D35-1D8A-4ED7-AF58-123216061D33}"/>
    <cellStyle name="Style 85 23 2" xfId="27147" xr:uid="{7EA22B26-C94D-4E17-874C-053DD251A037}"/>
    <cellStyle name="Style 85 24" xfId="11145" xr:uid="{8AE99D1C-010E-40B7-8E0F-9AC62EAFB06F}"/>
    <cellStyle name="Style 85 24 2" xfId="27148" xr:uid="{C72A7B24-0808-4EAF-A198-B0270BAF14C0}"/>
    <cellStyle name="Style 85 25" xfId="11146" xr:uid="{832BF06B-F825-4C6D-B908-A16F08F7DD48}"/>
    <cellStyle name="Style 85 25 2" xfId="27149" xr:uid="{B772F36F-EFF3-4CEC-A812-17D798E29BE2}"/>
    <cellStyle name="Style 85 26" xfId="19132" xr:uid="{0AD932B1-ED3E-4158-92F5-94B66DFBE5DD}"/>
    <cellStyle name="Style 85 3" xfId="2226" xr:uid="{11367D46-B1E3-455D-AB57-6E864ACDF497}"/>
    <cellStyle name="Style 85 3 10" xfId="11147" xr:uid="{D011016A-1521-409A-8AAE-CC65172C3009}"/>
    <cellStyle name="Style 85 3 10 2" xfId="27150" xr:uid="{1FD127A7-3846-4DFF-A918-BA3FFCB5F346}"/>
    <cellStyle name="Style 85 3 11" xfId="11148" xr:uid="{3206DDED-F91F-4E2D-844A-9803E11452F0}"/>
    <cellStyle name="Style 85 3 11 2" xfId="27151" xr:uid="{55C3ABBE-2FD9-4F42-8AAB-186247B61D85}"/>
    <cellStyle name="Style 85 3 12" xfId="11149" xr:uid="{CBD5EB78-72C8-46BA-9164-B03B126E5FE8}"/>
    <cellStyle name="Style 85 3 12 2" xfId="27152" xr:uid="{BCDA152C-51DE-4B48-B776-B5D32A8331DE}"/>
    <cellStyle name="Style 85 3 13" xfId="11150" xr:uid="{48932334-42D5-4A8C-833F-2F2ED824B867}"/>
    <cellStyle name="Style 85 3 13 2" xfId="27153" xr:uid="{76F2BE8D-D371-4F31-AAFD-805B5B3C1ABA}"/>
    <cellStyle name="Style 85 3 14" xfId="11151" xr:uid="{BDFA31E4-45AA-4C9E-B8FA-0D200E3873F9}"/>
    <cellStyle name="Style 85 3 14 2" xfId="27154" xr:uid="{A70FE144-1D33-40EE-B6F7-0F28F16266C6}"/>
    <cellStyle name="Style 85 3 15" xfId="11152" xr:uid="{11AAFEF0-8B96-4A68-A1B5-F5FF69CA239C}"/>
    <cellStyle name="Style 85 3 15 2" xfId="27155" xr:uid="{DAAD2224-4907-4E3E-A834-397EC350AB77}"/>
    <cellStyle name="Style 85 3 16" xfId="11153" xr:uid="{5BFBCF61-5591-4952-8B41-B3882005BEE0}"/>
    <cellStyle name="Style 85 3 16 2" xfId="27156" xr:uid="{342D0ABF-3692-45F6-9196-FF41CFB03151}"/>
    <cellStyle name="Style 85 3 17" xfId="11154" xr:uid="{D92C7D30-CE7A-4F4B-9126-A2D864DAA56E}"/>
    <cellStyle name="Style 85 3 17 2" xfId="27157" xr:uid="{1DDD92BC-85D2-46E0-96DD-DF5A252C462A}"/>
    <cellStyle name="Style 85 3 18" xfId="19136" xr:uid="{9911AFF4-D5B5-4390-B49F-B6C5BEAA7CD5}"/>
    <cellStyle name="Style 85 3 2" xfId="2227" xr:uid="{B430D7EA-0F6B-4573-A8DF-4780CAEB73AC}"/>
    <cellStyle name="Style 85 3 2 10" xfId="11155" xr:uid="{E9D55CD2-3875-4DD7-A38F-05E765E267A7}"/>
    <cellStyle name="Style 85 3 2 10 2" xfId="27158" xr:uid="{748100FC-960A-425B-8818-E94E9BC9A264}"/>
    <cellStyle name="Style 85 3 2 11" xfId="11156" xr:uid="{AB97AC98-14B1-4E3E-98EB-66703244346D}"/>
    <cellStyle name="Style 85 3 2 11 2" xfId="27159" xr:uid="{8173BA78-DDA5-4FC2-92B7-6389CE64D2A7}"/>
    <cellStyle name="Style 85 3 2 12" xfId="11157" xr:uid="{6F0D4506-952B-4A62-B842-F106E3A52C82}"/>
    <cellStyle name="Style 85 3 2 12 2" xfId="27160" xr:uid="{3AB7E246-E8EC-4895-A0C3-8E85D42FD2EC}"/>
    <cellStyle name="Style 85 3 2 13" xfId="11158" xr:uid="{02EF70CE-7AF8-42ED-B6F9-E6C74A288284}"/>
    <cellStyle name="Style 85 3 2 13 2" xfId="27161" xr:uid="{78940DCC-E1D2-40CE-B495-29EC1F888386}"/>
    <cellStyle name="Style 85 3 2 14" xfId="11159" xr:uid="{54D303D7-706E-4E4B-BDBE-098768E245FB}"/>
    <cellStyle name="Style 85 3 2 14 2" xfId="27162" xr:uid="{2503E579-6E5E-469D-9D1C-620D441ED068}"/>
    <cellStyle name="Style 85 3 2 15" xfId="19137" xr:uid="{F6E64664-461E-40B1-8F27-2790D987F195}"/>
    <cellStyle name="Style 85 3 2 2" xfId="2228" xr:uid="{BBCCE24D-3DD2-4406-85A1-304B7DBFC68C}"/>
    <cellStyle name="Style 85 3 2 2 10" xfId="11160" xr:uid="{30151A6A-74C2-4A56-8549-548BA4A0B60E}"/>
    <cellStyle name="Style 85 3 2 2 10 2" xfId="27163" xr:uid="{381E9EA9-DB41-4414-B5D7-BDEFA064FEE9}"/>
    <cellStyle name="Style 85 3 2 2 11" xfId="11161" xr:uid="{7FD0AF16-DF05-47D1-8C54-B68956F07F67}"/>
    <cellStyle name="Style 85 3 2 2 11 2" xfId="27164" xr:uid="{5C352EAE-7E6C-4177-A48E-C24286C9DB54}"/>
    <cellStyle name="Style 85 3 2 2 12" xfId="11162" xr:uid="{37CACDA9-B892-40B9-84C0-A18A736A9F77}"/>
    <cellStyle name="Style 85 3 2 2 12 2" xfId="27165" xr:uid="{C4D09A8A-1CEB-435E-8747-08AF513501DB}"/>
    <cellStyle name="Style 85 3 2 2 13" xfId="11163" xr:uid="{C12615FF-C60A-43CE-ADBB-51543E84DEA2}"/>
    <cellStyle name="Style 85 3 2 2 13 2" xfId="27166" xr:uid="{2554F46E-3030-4CB7-BF22-EF16FBDE62E4}"/>
    <cellStyle name="Style 85 3 2 2 14" xfId="19138" xr:uid="{0FB9ACB3-9D52-46E5-A163-6F0B1D510953}"/>
    <cellStyle name="Style 85 3 2 2 2" xfId="4865" xr:uid="{D1BE6722-95A1-4E77-B8B3-CA2E654F9B00}"/>
    <cellStyle name="Style 85 3 2 2 2 2" xfId="11164" xr:uid="{C769270E-DF10-493D-A16E-AB6A6BE018DE}"/>
    <cellStyle name="Style 85 3 2 2 2 2 2" xfId="27167" xr:uid="{A149D415-1F34-422A-9FB0-7AF960E45CDF}"/>
    <cellStyle name="Style 85 3 2 2 2 3" xfId="11165" xr:uid="{79856E36-DFC3-4D35-90FD-5234F273FF0F}"/>
    <cellStyle name="Style 85 3 2 2 2 3 2" xfId="27168" xr:uid="{07AE95E9-DFDF-488D-9046-A85A8202AAD2}"/>
    <cellStyle name="Style 85 3 2 2 3" xfId="4864" xr:uid="{799F4041-14AA-4880-A6B3-7AFAC99A63A9}"/>
    <cellStyle name="Style 85 3 2 2 3 2" xfId="11166" xr:uid="{C7D97150-86B4-4652-9BAF-D32D88659CAD}"/>
    <cellStyle name="Style 85 3 2 2 3 2 2" xfId="27169" xr:uid="{6236E496-D381-4BD5-8C08-04E022C79453}"/>
    <cellStyle name="Style 85 3 2 2 4" xfId="11167" xr:uid="{1B6BE7F0-BE89-46BC-9AA6-C05BCD6006CB}"/>
    <cellStyle name="Style 85 3 2 2 4 2" xfId="11168" xr:uid="{97652AAC-28CA-42B4-B83A-5582197F744D}"/>
    <cellStyle name="Style 85 3 2 2 4 2 2" xfId="27170" xr:uid="{D0122D1E-4FDC-4090-9EF2-F6B28F37ED1B}"/>
    <cellStyle name="Style 85 3 2 2 4 3" xfId="22311" xr:uid="{48ECF7C2-8FCD-46BA-9208-6A7986E41619}"/>
    <cellStyle name="Style 85 3 2 2 5" xfId="11169" xr:uid="{B57F1355-0FBD-48A2-9EBB-2A33E2A7BA67}"/>
    <cellStyle name="Style 85 3 2 2 5 2" xfId="27171" xr:uid="{4BF2CFB7-A7BF-4B87-AB9C-60EE3835A818}"/>
    <cellStyle name="Style 85 3 2 2 6" xfId="11170" xr:uid="{82A47A0E-91F2-4598-AD6C-644F694F586B}"/>
    <cellStyle name="Style 85 3 2 2 6 2" xfId="27172" xr:uid="{C53F5EC1-ACA5-4A08-A75F-717222203E2F}"/>
    <cellStyle name="Style 85 3 2 2 7" xfId="11171" xr:uid="{AEEE2FCA-B0FC-4512-96EF-7768936A9238}"/>
    <cellStyle name="Style 85 3 2 2 7 2" xfId="27173" xr:uid="{21874804-39A9-41B7-9A01-081D72C9B859}"/>
    <cellStyle name="Style 85 3 2 2 8" xfId="11172" xr:uid="{4C27F45C-2C5C-4061-A852-4276938A4C42}"/>
    <cellStyle name="Style 85 3 2 2 8 2" xfId="27174" xr:uid="{E327C6ED-6874-4058-BDEB-2C547A8DDE19}"/>
    <cellStyle name="Style 85 3 2 2 9" xfId="11173" xr:uid="{7E5D655F-9CAE-4F04-8AD6-CD60B5955EFA}"/>
    <cellStyle name="Style 85 3 2 2 9 2" xfId="27175" xr:uid="{61AC0468-ACFB-424D-B4A2-8BDFC05F25AB}"/>
    <cellStyle name="Style 85 3 2 3" xfId="4866" xr:uid="{D2036E87-AFBA-49A1-97B6-8C80F1324655}"/>
    <cellStyle name="Style 85 3 2 3 2" xfId="11174" xr:uid="{80BF638E-D813-4560-967F-18489CD38E11}"/>
    <cellStyle name="Style 85 3 2 3 2 2" xfId="27176" xr:uid="{7FAADC3F-FE49-40D7-9499-755B5A4796D4}"/>
    <cellStyle name="Style 85 3 2 3 3" xfId="11175" xr:uid="{F0D1D217-12A0-4773-85B9-9BC29FB4BC86}"/>
    <cellStyle name="Style 85 3 2 3 3 2" xfId="27177" xr:uid="{741E1164-15A8-444E-9F3B-67F7FE5201ED}"/>
    <cellStyle name="Style 85 3 2 4" xfId="4863" xr:uid="{66AEA827-9C2C-4A1E-ADBC-23330E82E380}"/>
    <cellStyle name="Style 85 3 2 4 2" xfId="11176" xr:uid="{43C57422-74F9-4D61-8CD3-D783DCCC2D1D}"/>
    <cellStyle name="Style 85 3 2 4 2 2" xfId="27178" xr:uid="{51FB3EC2-A438-4A03-A01F-898F31D22EB1}"/>
    <cellStyle name="Style 85 3 2 5" xfId="2967" xr:uid="{38BDE078-BC0D-413A-90CE-1F1B48504CC6}"/>
    <cellStyle name="Style 85 3 2 5 2" xfId="11177" xr:uid="{249B8E7D-3B39-4028-8AEB-58CBB991A499}"/>
    <cellStyle name="Style 85 3 2 5 2 2" xfId="27179" xr:uid="{15E2FC77-B10F-4A3F-9297-A82CDBD6E506}"/>
    <cellStyle name="Style 85 3 2 5 3" xfId="21319" xr:uid="{C1D0EFED-8445-4CEF-8254-14A53ECF500C}"/>
    <cellStyle name="Style 85 3 2 6" xfId="11178" xr:uid="{4C14336D-F6EB-4584-AD0A-FA86B5D7A333}"/>
    <cellStyle name="Style 85 3 2 6 2" xfId="27180" xr:uid="{A13C6BA8-0F51-42D9-9FB0-58E4252A989A}"/>
    <cellStyle name="Style 85 3 2 7" xfId="11179" xr:uid="{A2300B80-A45B-4CB7-A248-C81028629E35}"/>
    <cellStyle name="Style 85 3 2 7 2" xfId="27181" xr:uid="{412640DF-F522-4493-B835-C68C576BF39F}"/>
    <cellStyle name="Style 85 3 2 8" xfId="11180" xr:uid="{B32A2B13-79E5-45DF-856D-A07694357893}"/>
    <cellStyle name="Style 85 3 2 8 2" xfId="27182" xr:uid="{4D59BADD-82D0-4B5F-A40D-77BCEBCFBFF8}"/>
    <cellStyle name="Style 85 3 2 9" xfId="11181" xr:uid="{817ACB83-B268-4880-8A8A-CA88DF5999D3}"/>
    <cellStyle name="Style 85 3 2 9 2" xfId="27183" xr:uid="{0BE34570-4F1D-42DB-9FF8-9FC6205310ED}"/>
    <cellStyle name="Style 85 3 3" xfId="2229" xr:uid="{AB6E583E-068C-48E0-B931-9F8FC4BF98DC}"/>
    <cellStyle name="Style 85 3 3 10" xfId="11182" xr:uid="{990428C2-266B-4F0F-B006-A89574246F3C}"/>
    <cellStyle name="Style 85 3 3 10 2" xfId="27184" xr:uid="{21B23F33-F802-4D9D-8837-4A74D7456FCA}"/>
    <cellStyle name="Style 85 3 3 11" xfId="11183" xr:uid="{772045D9-29CF-4199-96A8-412DEEE482BD}"/>
    <cellStyle name="Style 85 3 3 11 2" xfId="27185" xr:uid="{C64C4C95-D433-4123-B429-F5FE88B8DB9C}"/>
    <cellStyle name="Style 85 3 3 12" xfId="11184" xr:uid="{C961A409-15D0-4156-BBEA-21DA296CA4F5}"/>
    <cellStyle name="Style 85 3 3 12 2" xfId="27186" xr:uid="{949C886B-5CD2-4650-A9D1-49CB52D3B761}"/>
    <cellStyle name="Style 85 3 3 13" xfId="11185" xr:uid="{05293B64-CB20-4146-A766-C3D3BA614D3F}"/>
    <cellStyle name="Style 85 3 3 13 2" xfId="27187" xr:uid="{80CB5AB1-5030-439B-B417-44FCA50BBB8F}"/>
    <cellStyle name="Style 85 3 3 14" xfId="11186" xr:uid="{0CC1AE7F-7E3C-449D-AAE4-078EE12F91C9}"/>
    <cellStyle name="Style 85 3 3 14 2" xfId="27188" xr:uid="{82BC3886-8067-4B83-B091-42264DF969BF}"/>
    <cellStyle name="Style 85 3 3 15" xfId="11187" xr:uid="{E6DFC4D1-FFC1-4A23-A31F-19BF835B1896}"/>
    <cellStyle name="Style 85 3 3 15 2" xfId="27189" xr:uid="{A038A11C-3895-4AA3-8585-E214E487ADCA}"/>
    <cellStyle name="Style 85 3 3 16" xfId="11188" xr:uid="{8462F508-F900-4439-ABB7-D4E80C0DC439}"/>
    <cellStyle name="Style 85 3 3 16 2" xfId="27190" xr:uid="{810D09AB-24C5-4279-B336-ECB196E1D7FA}"/>
    <cellStyle name="Style 85 3 3 17" xfId="11189" xr:uid="{CC0216C5-0339-4A82-A979-89D2432AD7DC}"/>
    <cellStyle name="Style 85 3 3 17 2" xfId="27191" xr:uid="{88CC50D4-F819-4B17-9DB2-821D498426D5}"/>
    <cellStyle name="Style 85 3 3 18" xfId="19139" xr:uid="{0F617E64-522C-47A2-AEEC-F9CCF8CFD6FF}"/>
    <cellStyle name="Style 85 3 3 2" xfId="2230" xr:uid="{F7F2AC93-A222-4A78-BAEB-A5EF5EB69B71}"/>
    <cellStyle name="Style 85 3 3 2 10" xfId="11190" xr:uid="{8EC9C8D5-A5B1-4585-B42B-F7441B6D2556}"/>
    <cellStyle name="Style 85 3 3 2 10 2" xfId="27192" xr:uid="{62C6FC01-548A-4C75-87C0-8B80A9BA0EF4}"/>
    <cellStyle name="Style 85 3 3 2 11" xfId="11191" xr:uid="{234A297A-2159-4521-A6EC-7003DE738117}"/>
    <cellStyle name="Style 85 3 3 2 11 2" xfId="27193" xr:uid="{18F4717A-ED26-4FC1-9195-8F8BB8E65727}"/>
    <cellStyle name="Style 85 3 3 2 12" xfId="11192" xr:uid="{1B26BD91-3DD4-4AE4-901F-FCD01DEFB3CB}"/>
    <cellStyle name="Style 85 3 3 2 12 2" xfId="27194" xr:uid="{BFBCFA47-4D49-4631-8A92-792D235CCC54}"/>
    <cellStyle name="Style 85 3 3 2 13" xfId="11193" xr:uid="{F229244A-0337-439E-B705-917651E1FAB3}"/>
    <cellStyle name="Style 85 3 3 2 13 2" xfId="27195" xr:uid="{A590F8E9-7913-49B6-B377-FFCFBED2B639}"/>
    <cellStyle name="Style 85 3 3 2 14" xfId="19140" xr:uid="{1D63C7F8-91F7-4D7E-8F9D-C527A1390D1B}"/>
    <cellStyle name="Style 85 3 3 2 2" xfId="4869" xr:uid="{7846EA83-833C-4349-9A50-CC672314ED54}"/>
    <cellStyle name="Style 85 3 3 2 2 2" xfId="11194" xr:uid="{B4E082FB-6A4E-4253-BC74-EC520B38FD72}"/>
    <cellStyle name="Style 85 3 3 2 2 2 2" xfId="27196" xr:uid="{0DEF0B4B-5A10-4CB8-9986-5D1971874088}"/>
    <cellStyle name="Style 85 3 3 2 2 3" xfId="11195" xr:uid="{5247B627-8D68-453C-A06B-9E06CCA71E33}"/>
    <cellStyle name="Style 85 3 3 2 2 3 2" xfId="27197" xr:uid="{878E467F-9C39-48AA-BCDC-1FE298899D31}"/>
    <cellStyle name="Style 85 3 3 2 3" xfId="4868" xr:uid="{997D57C8-D1D5-4686-97EE-E45B3B0AB016}"/>
    <cellStyle name="Style 85 3 3 2 3 2" xfId="11196" xr:uid="{A30388B5-4E10-4606-BFB4-ACB4255B37E5}"/>
    <cellStyle name="Style 85 3 3 2 3 2 2" xfId="27198" xr:uid="{C698DC23-FC0C-4D6E-A05C-E47EC5F0FBAC}"/>
    <cellStyle name="Style 85 3 3 2 4" xfId="11197" xr:uid="{6C88E35E-3733-499B-B67D-00FEA18C84D3}"/>
    <cellStyle name="Style 85 3 3 2 4 2" xfId="11198" xr:uid="{AF3C19D1-496E-404B-AAE7-F27B989D7D6F}"/>
    <cellStyle name="Style 85 3 3 2 4 2 2" xfId="27199" xr:uid="{D3F9B29F-885F-49F7-93D0-53C7D5ACB6B5}"/>
    <cellStyle name="Style 85 3 3 2 4 3" xfId="22313" xr:uid="{3315F905-EBD3-44AF-948B-5D51F25BE44E}"/>
    <cellStyle name="Style 85 3 3 2 5" xfId="11199" xr:uid="{D7683C53-1AFB-46AC-9A41-00F0428290D5}"/>
    <cellStyle name="Style 85 3 3 2 5 2" xfId="27200" xr:uid="{93B4C05F-93E2-48B3-A686-F4A08C563333}"/>
    <cellStyle name="Style 85 3 3 2 6" xfId="11200" xr:uid="{A482EED7-62E5-4633-A1BB-0396E83D20E8}"/>
    <cellStyle name="Style 85 3 3 2 6 2" xfId="27201" xr:uid="{3A944F5C-9AFA-4A1B-A102-CFA98568E0AE}"/>
    <cellStyle name="Style 85 3 3 2 7" xfId="11201" xr:uid="{55826FD5-4385-4FEB-A6CB-76F159B2027F}"/>
    <cellStyle name="Style 85 3 3 2 7 2" xfId="27202" xr:uid="{EFF09DE1-E0B9-496E-8341-2C8F283C0BBC}"/>
    <cellStyle name="Style 85 3 3 2 8" xfId="11202" xr:uid="{8E73FA0A-65F5-4DD7-BEE5-8741BA4C6420}"/>
    <cellStyle name="Style 85 3 3 2 8 2" xfId="27203" xr:uid="{329EC738-1227-4426-84D0-5EE13AB1E35A}"/>
    <cellStyle name="Style 85 3 3 2 9" xfId="11203" xr:uid="{A6DE8757-CFCD-47B0-BBB4-74544CB35149}"/>
    <cellStyle name="Style 85 3 3 2 9 2" xfId="27204" xr:uid="{59F52EBD-2F90-4F43-A29D-C14C4ECD3B7E}"/>
    <cellStyle name="Style 85 3 3 3" xfId="2231" xr:uid="{51659AB5-84F5-4F7D-AEB3-C85C8AF7114C}"/>
    <cellStyle name="Style 85 3 3 3 10" xfId="11204" xr:uid="{2C7A0C07-AE69-4612-ABF8-2BFCB03B1B35}"/>
    <cellStyle name="Style 85 3 3 3 10 2" xfId="27205" xr:uid="{8BBD1083-D74E-4C6E-92D4-02B571AB1FE9}"/>
    <cellStyle name="Style 85 3 3 3 11" xfId="11205" xr:uid="{744A8940-7688-463B-8581-E78D65D3294C}"/>
    <cellStyle name="Style 85 3 3 3 11 2" xfId="27206" xr:uid="{61BBCCE9-780A-4B11-B23C-62A9D24760F3}"/>
    <cellStyle name="Style 85 3 3 3 12" xfId="11206" xr:uid="{771DFC30-3C26-4BB7-B933-5E9037513149}"/>
    <cellStyle name="Style 85 3 3 3 12 2" xfId="27207" xr:uid="{6A2CD7C4-DAA5-4EBD-AAD6-A0A1F7210613}"/>
    <cellStyle name="Style 85 3 3 3 13" xfId="11207" xr:uid="{ADE9DDC3-EAD8-4E03-82E1-7C2D11617255}"/>
    <cellStyle name="Style 85 3 3 3 13 2" xfId="27208" xr:uid="{4141F62A-DAFA-4331-8E31-323FC02C1692}"/>
    <cellStyle name="Style 85 3 3 3 14" xfId="11208" xr:uid="{F620984A-2B59-48E5-8065-983133ABE6C1}"/>
    <cellStyle name="Style 85 3 3 3 14 2" xfId="27209" xr:uid="{325DEA6A-9A58-4BA1-9148-CC12C5AC1179}"/>
    <cellStyle name="Style 85 3 3 3 15" xfId="11209" xr:uid="{8B4150F2-A983-4C1C-BF6B-8E66BF7FC55F}"/>
    <cellStyle name="Style 85 3 3 3 15 2" xfId="27210" xr:uid="{5B16A56F-0D3C-48B1-858F-7C5D4FFAB59E}"/>
    <cellStyle name="Style 85 3 3 3 16" xfId="19141" xr:uid="{FA7DE1B8-1BD7-4030-BF42-BD9AD6C3D48A}"/>
    <cellStyle name="Style 85 3 3 3 2" xfId="2232" xr:uid="{D4D800DC-2151-434B-ACF2-8F3A0CE80463}"/>
    <cellStyle name="Style 85 3 3 3 2 10" xfId="11210" xr:uid="{63D920F8-18D1-4503-B4CA-25183C30351F}"/>
    <cellStyle name="Style 85 3 3 3 2 10 2" xfId="27211" xr:uid="{BB355D97-54A9-4C2F-A198-2D8699F26397}"/>
    <cellStyle name="Style 85 3 3 3 2 11" xfId="11211" xr:uid="{07D3F7C6-B2ED-4275-ADCD-4AF3A7175AAD}"/>
    <cellStyle name="Style 85 3 3 3 2 11 2" xfId="27212" xr:uid="{867132AC-E13B-4E45-82A3-A4478BD917D2}"/>
    <cellStyle name="Style 85 3 3 3 2 12" xfId="11212" xr:uid="{5C566D5D-F5EF-46D1-B2C9-4BAE7B3140AC}"/>
    <cellStyle name="Style 85 3 3 3 2 12 2" xfId="27213" xr:uid="{D87C01B0-1589-4755-BB72-514FB1F943FC}"/>
    <cellStyle name="Style 85 3 3 3 2 13" xfId="11213" xr:uid="{F73D895D-8D3F-418B-AF09-462B8C8F0210}"/>
    <cellStyle name="Style 85 3 3 3 2 13 2" xfId="27214" xr:uid="{A854D430-ADA2-4C43-83E1-D59AFCD872CF}"/>
    <cellStyle name="Style 85 3 3 3 2 14" xfId="19142" xr:uid="{994235F0-0DEF-4708-B1C7-29C4697380BE}"/>
    <cellStyle name="Style 85 3 3 3 2 2" xfId="4872" xr:uid="{77562087-DACA-4CE3-9A20-82380F4CEA05}"/>
    <cellStyle name="Style 85 3 3 3 2 2 2" xfId="11214" xr:uid="{C328108D-50B3-460C-A8ED-D04C94FE8F03}"/>
    <cellStyle name="Style 85 3 3 3 2 2 2 2" xfId="27215" xr:uid="{7FC94ECC-1F6E-4CE8-AE33-2D87002C0BBB}"/>
    <cellStyle name="Style 85 3 3 3 2 2 3" xfId="11215" xr:uid="{E83C195F-D539-483F-8E5E-C309183CD724}"/>
    <cellStyle name="Style 85 3 3 3 2 2 3 2" xfId="27216" xr:uid="{B5DA2ED2-E178-4C37-B70E-6FB21D427BF8}"/>
    <cellStyle name="Style 85 3 3 3 2 3" xfId="4871" xr:uid="{74D85D11-9004-43D7-A536-F4BCD4F27CB5}"/>
    <cellStyle name="Style 85 3 3 3 2 3 2" xfId="11216" xr:uid="{431C2DB0-0B8D-44F6-9C41-F078D6D0B12D}"/>
    <cellStyle name="Style 85 3 3 3 2 3 2 2" xfId="27217" xr:uid="{C83B863B-7905-4317-87AC-3E3D510F0C01}"/>
    <cellStyle name="Style 85 3 3 3 2 4" xfId="11217" xr:uid="{408892DC-FA57-4BC3-8D76-FA9AEC6130DE}"/>
    <cellStyle name="Style 85 3 3 3 2 4 2" xfId="11218" xr:uid="{C54C0D49-2A6C-44B8-B689-80A3A9610EAA}"/>
    <cellStyle name="Style 85 3 3 3 2 4 2 2" xfId="27218" xr:uid="{F42847F8-BC4D-4E74-A0B4-B1571BEBDDC9}"/>
    <cellStyle name="Style 85 3 3 3 2 4 3" xfId="22315" xr:uid="{A3A9F875-A934-4306-9CF4-370303327015}"/>
    <cellStyle name="Style 85 3 3 3 2 5" xfId="11219" xr:uid="{5F6A5F6B-CB58-4B6A-AE6C-00F0D9363F6E}"/>
    <cellStyle name="Style 85 3 3 3 2 5 2" xfId="27219" xr:uid="{4849FC7C-DBB4-4304-AE73-BCABCF58A6B9}"/>
    <cellStyle name="Style 85 3 3 3 2 6" xfId="11220" xr:uid="{749EF1B9-8D6C-439F-8C49-A65113B24FD7}"/>
    <cellStyle name="Style 85 3 3 3 2 6 2" xfId="27220" xr:uid="{866F57E4-0D97-4D8B-A5F3-A3143AB7788E}"/>
    <cellStyle name="Style 85 3 3 3 2 7" xfId="11221" xr:uid="{446E2953-5358-4C94-B647-223A9429AAE7}"/>
    <cellStyle name="Style 85 3 3 3 2 7 2" xfId="27221" xr:uid="{32A7D6E7-4D74-4369-BBA1-6F44FFC34346}"/>
    <cellStyle name="Style 85 3 3 3 2 8" xfId="11222" xr:uid="{8100A796-5B98-4F7D-B654-FB9A8C416EAF}"/>
    <cellStyle name="Style 85 3 3 3 2 8 2" xfId="27222" xr:uid="{901F651A-DA49-4E01-B1BE-F2E19DCB4411}"/>
    <cellStyle name="Style 85 3 3 3 2 9" xfId="11223" xr:uid="{18D9DBFD-C1A2-41E3-AC5F-F79B1FEED394}"/>
    <cellStyle name="Style 85 3 3 3 2 9 2" xfId="27223" xr:uid="{71E8AFB5-945F-4B6F-9946-6F07E8E9B80A}"/>
    <cellStyle name="Style 85 3 3 3 3" xfId="4873" xr:uid="{5DF49F56-1542-4F03-95A2-23CB36E585DD}"/>
    <cellStyle name="Style 85 3 3 3 3 2" xfId="4874" xr:uid="{C2540887-83D4-41E0-8408-20604F9D67E8}"/>
    <cellStyle name="Style 85 3 3 3 3 2 2" xfId="11224" xr:uid="{55318243-0EEA-4535-BE5E-A0B2CBE98F1B}"/>
    <cellStyle name="Style 85 3 3 3 3 2 2 2" xfId="27224" xr:uid="{44508A23-57B1-402D-8B34-9C83C002EC89}"/>
    <cellStyle name="Style 85 3 3 3 3 2 3" xfId="11225" xr:uid="{8865D91B-73F3-43E5-BFCB-FC0BCD31EA2A}"/>
    <cellStyle name="Style 85 3 3 3 3 2 3 2" xfId="27225" xr:uid="{C411FBFC-F2E3-441B-BC78-B71DDA242783}"/>
    <cellStyle name="Style 85 3 3 3 3 3" xfId="11226" xr:uid="{C88CED5D-2894-4759-B523-60361FAF1CF8}"/>
    <cellStyle name="Style 85 3 3 3 3 3 2" xfId="27226" xr:uid="{0C8FA758-0CC6-4B8E-B40A-D7876DE13FAC}"/>
    <cellStyle name="Style 85 3 3 3 3 4" xfId="11227" xr:uid="{DE4A5C91-7BDA-49F5-8F22-25F48982A906}"/>
    <cellStyle name="Style 85 3 3 3 3 4 2" xfId="27227" xr:uid="{259B44EE-C87F-4674-B7B5-144CE9C70E0B}"/>
    <cellStyle name="Style 85 3 3 3 3 5" xfId="11228" xr:uid="{A6183842-FE9C-44A5-92A6-5F0B36E5E061}"/>
    <cellStyle name="Style 85 3 3 3 3 5 2" xfId="27228" xr:uid="{992C95B1-CB77-4F9A-A96E-218941A302C2}"/>
    <cellStyle name="Style 85 3 3 3 3 6" xfId="19143" xr:uid="{79C525D1-BA69-4246-B2EB-567E6BCFAB77}"/>
    <cellStyle name="Style 85 3 3 3 4" xfId="4875" xr:uid="{32436AB8-5907-40CA-BFE2-43F89810E9A1}"/>
    <cellStyle name="Style 85 3 3 3 4 2" xfId="11229" xr:uid="{DB09748D-0C00-410E-8166-C25A127CD5BE}"/>
    <cellStyle name="Style 85 3 3 3 4 2 2" xfId="27229" xr:uid="{1CFA86AE-8CEF-4AE4-AE66-78211B9FB85B}"/>
    <cellStyle name="Style 85 3 3 3 4 3" xfId="11230" xr:uid="{35F45F48-0FDB-4147-928A-76D41CFD97CD}"/>
    <cellStyle name="Style 85 3 3 3 4 3 2" xfId="27230" xr:uid="{2E51109F-BA08-4E4E-A967-87D2E1FC74EA}"/>
    <cellStyle name="Style 85 3 3 3 5" xfId="4876" xr:uid="{AF749901-E097-408B-BB70-A258347859D4}"/>
    <cellStyle name="Style 85 3 3 3 5 2" xfId="11231" xr:uid="{1CB4F3D0-E2E8-4F62-9AB6-3B21DF44195B}"/>
    <cellStyle name="Style 85 3 3 3 5 2 2" xfId="27231" xr:uid="{91BC6614-90E7-4D5D-B349-DA5C8DF64B54}"/>
    <cellStyle name="Style 85 3 3 3 6" xfId="4870" xr:uid="{6DC8D58F-7869-4A1C-9F51-DFD9C47708B9}"/>
    <cellStyle name="Style 85 3 3 3 6 2" xfId="11232" xr:uid="{9F15B456-46F6-4EEE-A5DC-71166A3CFA67}"/>
    <cellStyle name="Style 85 3 3 3 6 2 2" xfId="27232" xr:uid="{417E894C-3A28-4B88-BF6B-EFBB6A1E25F5}"/>
    <cellStyle name="Style 85 3 3 3 7" xfId="11233" xr:uid="{22B3FB99-1B76-4F7C-9351-81C1DC4B54A3}"/>
    <cellStyle name="Style 85 3 3 3 7 2" xfId="11234" xr:uid="{BA940819-AA18-4C43-BC97-994CAC7BEC5F}"/>
    <cellStyle name="Style 85 3 3 3 7 2 2" xfId="27233" xr:uid="{BF2736D0-D685-4C70-A23D-38F07985DFAA}"/>
    <cellStyle name="Style 85 3 3 3 7 3" xfId="22314" xr:uid="{2CAE307D-8E50-4386-8B55-78707E96C58C}"/>
    <cellStyle name="Style 85 3 3 3 8" xfId="11235" xr:uid="{56C2F580-8A28-45F7-9E0E-E7066A31800B}"/>
    <cellStyle name="Style 85 3 3 3 8 2" xfId="27234" xr:uid="{70D2BDE7-542D-4E76-8201-FEBE804866EF}"/>
    <cellStyle name="Style 85 3 3 3 9" xfId="11236" xr:uid="{5248193D-0BF5-4873-A041-EA83617E8960}"/>
    <cellStyle name="Style 85 3 3 3 9 2" xfId="27235" xr:uid="{EAD017E1-38E0-465A-AA2F-F4228797526E}"/>
    <cellStyle name="Style 85 3 3 4" xfId="2233" xr:uid="{44EAC3F3-E4B3-485A-9AF7-5AB43F272B4F}"/>
    <cellStyle name="Style 85 3 3 4 10" xfId="11237" xr:uid="{136C1F41-377F-4462-8175-05EFB34B315B}"/>
    <cellStyle name="Style 85 3 3 4 10 2" xfId="27236" xr:uid="{689E3C56-B0C5-4E02-B6E6-F1FF7796AE54}"/>
    <cellStyle name="Style 85 3 3 4 11" xfId="11238" xr:uid="{6B143F0A-11D3-4828-8BCA-046D947B6C18}"/>
    <cellStyle name="Style 85 3 3 4 11 2" xfId="27237" xr:uid="{6C5E5CBE-116C-4B6D-814D-74E985EBF4B7}"/>
    <cellStyle name="Style 85 3 3 4 12" xfId="11239" xr:uid="{D4C056BA-A4E1-47F1-B870-B2FAF8DFFA2B}"/>
    <cellStyle name="Style 85 3 3 4 12 2" xfId="27238" xr:uid="{EDACFCBD-56EC-4C21-8959-BDCCFF08296A}"/>
    <cellStyle name="Style 85 3 3 4 13" xfId="11240" xr:uid="{591AB43D-DF70-4B5D-8DF7-29829434D6CF}"/>
    <cellStyle name="Style 85 3 3 4 13 2" xfId="27239" xr:uid="{A739679F-A5F0-4FF7-A4C6-84B5E9B83B42}"/>
    <cellStyle name="Style 85 3 3 4 14" xfId="11241" xr:uid="{0BA33B09-54A9-4CFF-8FF8-8984BEAD1A83}"/>
    <cellStyle name="Style 85 3 3 4 14 2" xfId="27240" xr:uid="{1EDE835B-1611-4695-9884-6E49EA397DFA}"/>
    <cellStyle name="Style 85 3 3 4 15" xfId="19144" xr:uid="{DD693F5D-C5C8-49FC-9C00-75107E14B42A}"/>
    <cellStyle name="Style 85 3 3 4 2" xfId="2234" xr:uid="{338FE62C-D29F-46C9-A68E-D21FBD15B051}"/>
    <cellStyle name="Style 85 3 3 4 2 10" xfId="11242" xr:uid="{884E8149-E7F6-490B-89DB-9E53F77BB1C0}"/>
    <cellStyle name="Style 85 3 3 4 2 10 2" xfId="27241" xr:uid="{964F80FE-6F54-40E9-B578-7C315E030998}"/>
    <cellStyle name="Style 85 3 3 4 2 11" xfId="11243" xr:uid="{D9DF8E64-73DB-4ACD-9BDC-1FE7EE748308}"/>
    <cellStyle name="Style 85 3 3 4 2 11 2" xfId="27242" xr:uid="{734F2C6E-1690-425B-8696-40C938650AB8}"/>
    <cellStyle name="Style 85 3 3 4 2 12" xfId="11244" xr:uid="{5BE9DFB4-037A-410F-BB6A-10E55B486030}"/>
    <cellStyle name="Style 85 3 3 4 2 12 2" xfId="27243" xr:uid="{8E5AE478-6618-44FF-9B61-29E6DE861BA1}"/>
    <cellStyle name="Style 85 3 3 4 2 13" xfId="11245" xr:uid="{31798489-EF0E-453F-9F1C-C21DD5D78383}"/>
    <cellStyle name="Style 85 3 3 4 2 13 2" xfId="27244" xr:uid="{77CB43E9-2F06-40C3-B40A-0A7111D5BCAD}"/>
    <cellStyle name="Style 85 3 3 4 2 14" xfId="19145" xr:uid="{9B4B957C-001F-4708-ACD6-DE9D0210F61B}"/>
    <cellStyle name="Style 85 3 3 4 2 2" xfId="4879" xr:uid="{F0AB8883-BE54-4A60-BBDB-F6F93ABE4A86}"/>
    <cellStyle name="Style 85 3 3 4 2 2 2" xfId="11246" xr:uid="{D5516F5E-1EB1-441D-A293-EC143394869F}"/>
    <cellStyle name="Style 85 3 3 4 2 2 2 2" xfId="27245" xr:uid="{68C50531-91B6-43B4-9045-862773283D5E}"/>
    <cellStyle name="Style 85 3 3 4 2 2 3" xfId="11247" xr:uid="{FE3D5868-25AA-4BF9-A407-146D38A94970}"/>
    <cellStyle name="Style 85 3 3 4 2 2 3 2" xfId="27246" xr:uid="{84103B6F-DB90-48DE-A386-7CE13CF07EDC}"/>
    <cellStyle name="Style 85 3 3 4 2 3" xfId="4878" xr:uid="{B0BFF5E3-36C8-4858-8457-0771FD245C4C}"/>
    <cellStyle name="Style 85 3 3 4 2 3 2" xfId="11248" xr:uid="{8FF2B028-9DE4-46FA-A76E-4C8AD447C954}"/>
    <cellStyle name="Style 85 3 3 4 2 3 2 2" xfId="27247" xr:uid="{D7AD17DE-5D04-409F-9407-992DC821EF31}"/>
    <cellStyle name="Style 85 3 3 4 2 4" xfId="11249" xr:uid="{32BEC779-BD3C-4B92-ADBA-6B62AEE7A2FB}"/>
    <cellStyle name="Style 85 3 3 4 2 4 2" xfId="11250" xr:uid="{3A2F4C08-FF63-4A60-BFA9-5434D4543648}"/>
    <cellStyle name="Style 85 3 3 4 2 4 2 2" xfId="27248" xr:uid="{36A51F47-4E80-483F-BCE3-F45B5CBBF382}"/>
    <cellStyle name="Style 85 3 3 4 2 4 3" xfId="22317" xr:uid="{D9BFD54F-C9E1-4F26-B8B7-9443C9BA5A96}"/>
    <cellStyle name="Style 85 3 3 4 2 5" xfId="11251" xr:uid="{A5E3C85D-44E8-4BDB-B721-173A101CB7E0}"/>
    <cellStyle name="Style 85 3 3 4 2 5 2" xfId="27249" xr:uid="{58BA7AF8-37ED-4091-9B17-B5E68548EA20}"/>
    <cellStyle name="Style 85 3 3 4 2 6" xfId="11252" xr:uid="{79806649-464D-4973-9CF4-68BC15C4C5F5}"/>
    <cellStyle name="Style 85 3 3 4 2 6 2" xfId="27250" xr:uid="{4A541899-1507-4CBA-9F61-80B9AD38027A}"/>
    <cellStyle name="Style 85 3 3 4 2 7" xfId="11253" xr:uid="{3DDE92CB-968F-48C5-BAB1-9357845634DD}"/>
    <cellStyle name="Style 85 3 3 4 2 7 2" xfId="27251" xr:uid="{184FE2EA-6B89-4A8F-8B59-34F238768427}"/>
    <cellStyle name="Style 85 3 3 4 2 8" xfId="11254" xr:uid="{6D44E884-98B2-40B9-9167-AE350B293D16}"/>
    <cellStyle name="Style 85 3 3 4 2 8 2" xfId="27252" xr:uid="{D5DC5CD9-74B0-4155-A27C-36F59DB922EF}"/>
    <cellStyle name="Style 85 3 3 4 2 9" xfId="11255" xr:uid="{2232265C-D3A8-4075-B3F5-ED0792523B15}"/>
    <cellStyle name="Style 85 3 3 4 2 9 2" xfId="27253" xr:uid="{CA548C8E-82E3-4ECF-AD6F-23F1870E434D}"/>
    <cellStyle name="Style 85 3 3 4 3" xfId="4880" xr:uid="{81BFEA84-AF8D-4092-BA08-727C4D54C1AF}"/>
    <cellStyle name="Style 85 3 3 4 3 2" xfId="11256" xr:uid="{C873FC3A-33E0-483E-91C0-4EABCBA2A3B7}"/>
    <cellStyle name="Style 85 3 3 4 3 2 2" xfId="27254" xr:uid="{A0017883-E162-4BDA-9050-4250DE3AEBBB}"/>
    <cellStyle name="Style 85 3 3 4 3 3" xfId="11257" xr:uid="{9158DC9E-9C4E-47E4-A000-57AC418C13F6}"/>
    <cellStyle name="Style 85 3 3 4 3 3 2" xfId="27255" xr:uid="{E4F9788D-E64C-4560-B6AF-0958B4C4B3CE}"/>
    <cellStyle name="Style 85 3 3 4 4" xfId="4877" xr:uid="{047BFC34-3EDC-44D3-A564-E305456780E8}"/>
    <cellStyle name="Style 85 3 3 4 4 2" xfId="11258" xr:uid="{893B2CAF-590D-421B-B982-80A29D5286B3}"/>
    <cellStyle name="Style 85 3 3 4 4 2 2" xfId="27256" xr:uid="{F8AC4FA3-F704-4432-B3A2-6AF63B151520}"/>
    <cellStyle name="Style 85 3 3 4 5" xfId="11259" xr:uid="{B3B1DAA0-702C-462C-82BD-B4178388B251}"/>
    <cellStyle name="Style 85 3 3 4 5 2" xfId="11260" xr:uid="{AEADFD16-C25F-4410-BA3D-965856431F97}"/>
    <cellStyle name="Style 85 3 3 4 5 2 2" xfId="27257" xr:uid="{CFC0E41E-D183-4DC3-8C3B-47D04407CD67}"/>
    <cellStyle name="Style 85 3 3 4 5 3" xfId="22316" xr:uid="{DB2B275E-CDA3-480D-9806-5EAF06E5FB53}"/>
    <cellStyle name="Style 85 3 3 4 6" xfId="11261" xr:uid="{109FF997-E002-43DE-890F-9CF258BF3CDF}"/>
    <cellStyle name="Style 85 3 3 4 6 2" xfId="27258" xr:uid="{80658DDF-9E67-4B7A-851E-26F72A1B11DD}"/>
    <cellStyle name="Style 85 3 3 4 7" xfId="11262" xr:uid="{AAEED5CB-530A-463A-8CE6-5C06CEE19E01}"/>
    <cellStyle name="Style 85 3 3 4 7 2" xfId="27259" xr:uid="{4CD97DFF-12C8-4790-B525-B2B03F815C72}"/>
    <cellStyle name="Style 85 3 3 4 8" xfId="11263" xr:uid="{187A4184-C83C-4679-B681-D80C971B098E}"/>
    <cellStyle name="Style 85 3 3 4 8 2" xfId="27260" xr:uid="{49E38A40-91CE-4B1A-91FE-9E178BFA5A59}"/>
    <cellStyle name="Style 85 3 3 4 9" xfId="11264" xr:uid="{23E8995E-1202-4A3A-B553-138F44724066}"/>
    <cellStyle name="Style 85 3 3 4 9 2" xfId="27261" xr:uid="{80B3A54B-34CB-4059-8A8B-32B7FDF9C629}"/>
    <cellStyle name="Style 85 3 3 5" xfId="4881" xr:uid="{2898ABB1-D316-4496-93DF-9CD081A1D0FB}"/>
    <cellStyle name="Style 85 3 3 5 2" xfId="11265" xr:uid="{D339FD32-6234-4358-9170-B1B1585B4465}"/>
    <cellStyle name="Style 85 3 3 5 2 2" xfId="11266" xr:uid="{28AD253D-91BA-4EFF-8CEA-E6777A2EE757}"/>
    <cellStyle name="Style 85 3 3 5 2 2 2" xfId="27263" xr:uid="{19409BB5-A2E4-44B5-986B-74213D243F68}"/>
    <cellStyle name="Style 85 3 3 5 2 3" xfId="27262" xr:uid="{6E210474-768B-44A3-91A0-54B6A32E1A05}"/>
    <cellStyle name="Style 85 3 3 5 3" xfId="11267" xr:uid="{AB62010C-803E-4DEE-B73C-CC7C93E8024C}"/>
    <cellStyle name="Style 85 3 3 5 3 2" xfId="27264" xr:uid="{DD6ECD13-5C93-4CF0-BD60-54A9D7331143}"/>
    <cellStyle name="Style 85 3 3 5 4" xfId="11268" xr:uid="{5A3C866C-E596-4A93-9215-D135CCAE5A61}"/>
    <cellStyle name="Style 85 3 3 5 4 2" xfId="27265" xr:uid="{4726BC7D-65A1-495D-B3B7-84CE3B522EA7}"/>
    <cellStyle name="Style 85 3 3 5 5" xfId="11269" xr:uid="{C85F7DA7-E55F-411E-8F46-9C60B6736357}"/>
    <cellStyle name="Style 85 3 3 5 5 2" xfId="27266" xr:uid="{038B796E-82BF-4D17-9052-551689DB82D7}"/>
    <cellStyle name="Style 85 3 3 6" xfId="4882" xr:uid="{CD0DF2D7-3295-4EBF-8969-0A0923DA1346}"/>
    <cellStyle name="Style 85 3 3 6 2" xfId="11270" xr:uid="{ED7E660B-A8F4-4085-8086-62464429A69A}"/>
    <cellStyle name="Style 85 3 3 6 2 2" xfId="27267" xr:uid="{43F7906E-C6E2-477D-AA65-5D25A92C4A1F}"/>
    <cellStyle name="Style 85 3 3 6 3" xfId="11271" xr:uid="{766E4C30-FBA2-4275-AE6B-FEFC5C495319}"/>
    <cellStyle name="Style 85 3 3 6 3 2" xfId="27268" xr:uid="{20CD4A0C-E779-4584-8747-62A6D99977D7}"/>
    <cellStyle name="Style 85 3 3 7" xfId="4867" xr:uid="{B50F08DE-B5C4-4031-848E-5F69C4271632}"/>
    <cellStyle name="Style 85 3 3 7 2" xfId="11272" xr:uid="{E22905A7-6772-40A9-896F-708D5668D33B}"/>
    <cellStyle name="Style 85 3 3 7 2 2" xfId="27269" xr:uid="{4BD78254-7DBD-42BD-985C-9BDE34B291C6}"/>
    <cellStyle name="Style 85 3 3 8" xfId="11273" xr:uid="{A9DFFDFF-BEB2-4EBC-BBB7-4276A1F39F81}"/>
    <cellStyle name="Style 85 3 3 8 2" xfId="11274" xr:uid="{E133ECB5-C111-4D50-BD7C-AF8BE0AD24EE}"/>
    <cellStyle name="Style 85 3 3 8 2 2" xfId="27270" xr:uid="{82E58F74-0C36-453B-9177-6B10CFE60DF3}"/>
    <cellStyle name="Style 85 3 3 8 3" xfId="22312" xr:uid="{C1C3F0F4-124F-4BD3-90FD-753ED8F24582}"/>
    <cellStyle name="Style 85 3 3 9" xfId="11275" xr:uid="{02777499-EB12-4344-8939-D85A99D24AB9}"/>
    <cellStyle name="Style 85 3 3 9 2" xfId="27271" xr:uid="{B3F2EDAE-9C18-492D-9BD7-AEC5DA9DF2B7}"/>
    <cellStyle name="Style 85 3 4" xfId="2235" xr:uid="{45E25BFE-750E-49CC-A37E-70FD9EE41E63}"/>
    <cellStyle name="Style 85 3 4 10" xfId="11276" xr:uid="{9368562A-23D7-49BB-A5FB-978E964FA9BE}"/>
    <cellStyle name="Style 85 3 4 10 2" xfId="27272" xr:uid="{548C8B89-0941-4B2D-93F8-B3C3CBF33ED2}"/>
    <cellStyle name="Style 85 3 4 11" xfId="11277" xr:uid="{E5FC989D-7946-40F6-ABC2-90117EA84ACC}"/>
    <cellStyle name="Style 85 3 4 11 2" xfId="27273" xr:uid="{54A22A39-5F63-4EFF-9524-D39ADBAA35E0}"/>
    <cellStyle name="Style 85 3 4 12" xfId="11278" xr:uid="{7EBB0E8A-DB77-4F57-9D85-81582D20F6AF}"/>
    <cellStyle name="Style 85 3 4 12 2" xfId="27274" xr:uid="{B8864359-5B13-49C2-B8DE-B896FB49BB9E}"/>
    <cellStyle name="Style 85 3 4 13" xfId="11279" xr:uid="{D72E2488-BDF2-4609-B44C-785AE808EA6E}"/>
    <cellStyle name="Style 85 3 4 13 2" xfId="27275" xr:uid="{AA500909-574D-4410-B431-C754A96A8573}"/>
    <cellStyle name="Style 85 3 4 14" xfId="19146" xr:uid="{39EB8203-DE6D-47CE-8BC3-A7A58B802733}"/>
    <cellStyle name="Style 85 3 4 2" xfId="4884" xr:uid="{699C88EB-0C4D-4571-AC0A-F11F78DEBEAE}"/>
    <cellStyle name="Style 85 3 4 2 2" xfId="4885" xr:uid="{F8E4D319-F6A8-4427-8750-CFC58161D1E0}"/>
    <cellStyle name="Style 85 3 4 2 2 2" xfId="11280" xr:uid="{025D9544-6B6F-459B-96D3-8E2A03D2C390}"/>
    <cellStyle name="Style 85 3 4 2 2 2 2" xfId="27276" xr:uid="{6FD43C6F-C8D6-4D71-A8D5-B126396DA4ED}"/>
    <cellStyle name="Style 85 3 4 2 3" xfId="11281" xr:uid="{7C6756F0-5FEE-4CE4-AEE5-0D579B800ADF}"/>
    <cellStyle name="Style 85 3 4 2 3 2" xfId="27277" xr:uid="{F96FC40C-9C23-4C82-90CF-57F45A8C9BE8}"/>
    <cellStyle name="Style 85 3 4 2 4" xfId="19147" xr:uid="{08B3145D-7E47-4474-8447-EED6EA4019B5}"/>
    <cellStyle name="Style 85 3 4 3" xfId="4886" xr:uid="{0B53396B-6F4D-4734-88ED-3006EDC27EAA}"/>
    <cellStyle name="Style 85 3 4 3 2" xfId="11282" xr:uid="{B2A0302E-B62B-41DA-9678-C0B9CF102450}"/>
    <cellStyle name="Style 85 3 4 3 2 2" xfId="27278" xr:uid="{F2C46EE9-9B47-4692-957C-4DBBA423D7C4}"/>
    <cellStyle name="Style 85 3 4 4" xfId="4887" xr:uid="{D2AE30C7-A861-47A5-8F47-56C84B01E1FC}"/>
    <cellStyle name="Style 85 3 4 4 2" xfId="11283" xr:uid="{2FF36F98-E8DB-4DF2-876C-F938AE887454}"/>
    <cellStyle name="Style 85 3 4 4 2 2" xfId="27279" xr:uid="{F4A80781-7317-42B1-ACAA-FFDFB81AEB3F}"/>
    <cellStyle name="Style 85 3 4 5" xfId="4883" xr:uid="{0D0D1025-4105-4C1C-AFC4-A63B821CDC28}"/>
    <cellStyle name="Style 85 3 4 5 2" xfId="11284" xr:uid="{6C78455B-818A-4DE5-A6D5-434E820BA8E7}"/>
    <cellStyle name="Style 85 3 4 5 2 2" xfId="27280" xr:uid="{A3EFA366-C6EE-4145-B331-A13F834F8B3D}"/>
    <cellStyle name="Style 85 3 4 6" xfId="11285" xr:uid="{A2C31E77-58F8-4B28-8A2D-C9D433EE6166}"/>
    <cellStyle name="Style 85 3 4 6 2" xfId="11286" xr:uid="{A7AAF4A5-7F6C-46D7-ADA3-BB5CDFEC3E89}"/>
    <cellStyle name="Style 85 3 4 6 2 2" xfId="27281" xr:uid="{C7D2460A-F835-43C6-90F3-EF5429867FD5}"/>
    <cellStyle name="Style 85 3 4 6 3" xfId="22318" xr:uid="{572C8165-CFFD-4F0D-8407-9CE5D5188773}"/>
    <cellStyle name="Style 85 3 4 7" xfId="11287" xr:uid="{3162E1E1-A79D-4862-B873-281BC05F615F}"/>
    <cellStyle name="Style 85 3 4 7 2" xfId="27282" xr:uid="{07DA9A27-12C9-446D-9698-31EBFFF463C3}"/>
    <cellStyle name="Style 85 3 4 8" xfId="11288" xr:uid="{B37BFB8A-AD51-4913-BEAC-BF5E8E86F919}"/>
    <cellStyle name="Style 85 3 4 8 2" xfId="27283" xr:uid="{60866FB8-387A-4159-84E9-171B68B2D24F}"/>
    <cellStyle name="Style 85 3 4 9" xfId="11289" xr:uid="{CA0C1EE9-15C6-4B76-98C3-6A7D66922980}"/>
    <cellStyle name="Style 85 3 4 9 2" xfId="27284" xr:uid="{BCDEE272-36C6-4554-A1D1-596673BC10F4}"/>
    <cellStyle name="Style 85 3 5" xfId="4888" xr:uid="{432F071D-1874-42D5-87B1-AC713242399C}"/>
    <cellStyle name="Style 85 3 5 2" xfId="4889" xr:uid="{828F6EE4-996E-4F6F-A633-AFCF9CD07761}"/>
    <cellStyle name="Style 85 3 5 2 2" xfId="11290" xr:uid="{E68DE4CE-ABEA-467B-9863-64EECA1ADDC8}"/>
    <cellStyle name="Style 85 3 5 2 2 2" xfId="27285" xr:uid="{EA565C44-9E90-4987-A7B3-D7A65263040B}"/>
    <cellStyle name="Style 85 3 5 3" xfId="11291" xr:uid="{361BCD0E-13FC-46E7-9D67-F1B86F9C89A9}"/>
    <cellStyle name="Style 85 3 5 4" xfId="11292" xr:uid="{A94DFEDA-076A-4036-8EF2-9A2EDC77AF16}"/>
    <cellStyle name="Style 85 3 5 4 2" xfId="27286" xr:uid="{4BF04EDE-0CC3-4C61-9CB6-BFF9DE48DEC4}"/>
    <cellStyle name="Style 85 3 5 5" xfId="19148" xr:uid="{F3CDDD0A-FF4F-4689-BE67-8AFEB0D1F684}"/>
    <cellStyle name="Style 85 3 6" xfId="4890" xr:uid="{1928D495-F330-4C5D-9B17-6F17FD89E189}"/>
    <cellStyle name="Style 85 3 6 2" xfId="11293" xr:uid="{0EBC18C5-039B-41C2-8670-F74117BC52B5}"/>
    <cellStyle name="Style 85 3 6 2 2" xfId="27287" xr:uid="{B1596876-D861-4B3A-972E-921DF9CADFED}"/>
    <cellStyle name="Style 85 3 7" xfId="4862" xr:uid="{DC513694-0F34-4DFC-91FD-015D28C33CEB}"/>
    <cellStyle name="Style 85 3 7 2" xfId="11294" xr:uid="{A800484D-7C5B-4AA5-A4B7-CE059EC0E351}"/>
    <cellStyle name="Style 85 3 7 2 2" xfId="27288" xr:uid="{A8ABB67C-A1F8-41BF-93A6-33C8BA5488A9}"/>
    <cellStyle name="Style 85 3 8" xfId="2966" xr:uid="{E1DEB0C8-5C2A-41CC-A4D4-BE7AE36F9326}"/>
    <cellStyle name="Style 85 3 8 2" xfId="11295" xr:uid="{A7CC8ECA-6A81-4E7F-BFB4-45CA7ADC79C1}"/>
    <cellStyle name="Style 85 3 8 2 2" xfId="27289" xr:uid="{B8341E42-FA47-4F82-8CA5-3FED29F3BAB3}"/>
    <cellStyle name="Style 85 3 8 3" xfId="21318" xr:uid="{07F3B79D-FC74-4FD9-8FF6-F34A9D66097B}"/>
    <cellStyle name="Style 85 3 9" xfId="11296" xr:uid="{C811CBA6-9408-4A1A-BB44-602C2F81E72D}"/>
    <cellStyle name="Style 85 3 9 2" xfId="27290" xr:uid="{F6167C00-3B0D-4ED2-9C96-523A7A1D39A9}"/>
    <cellStyle name="Style 85 4" xfId="2236" xr:uid="{B7CF21F4-152D-4969-81BB-7EAA446F31FD}"/>
    <cellStyle name="Style 85 4 10" xfId="11297" xr:uid="{A54EBFC9-DBD8-47A5-9254-03C5AE5A2AA7}"/>
    <cellStyle name="Style 85 4 10 2" xfId="27291" xr:uid="{FA6CDAF6-87DD-4534-BA02-01D047B6DDFD}"/>
    <cellStyle name="Style 85 4 11" xfId="11298" xr:uid="{B5BA5E23-3BE5-471E-9F75-1F0EEFFCB20D}"/>
    <cellStyle name="Style 85 4 11 2" xfId="27292" xr:uid="{A01280B6-CEC5-4D92-B941-CFC713BA5F68}"/>
    <cellStyle name="Style 85 4 12" xfId="11299" xr:uid="{87BA4632-F6AE-4237-8FAD-CFC28CCDC786}"/>
    <cellStyle name="Style 85 4 12 2" xfId="27293" xr:uid="{2F6F369E-EB7C-4FF8-9910-034CE05296BD}"/>
    <cellStyle name="Style 85 4 13" xfId="11300" xr:uid="{5FDE3CF3-2E72-4833-A97C-0B0E254F1476}"/>
    <cellStyle name="Style 85 4 13 2" xfId="27294" xr:uid="{ACA194B8-F6F1-4447-A506-363C4981CB97}"/>
    <cellStyle name="Style 85 4 14" xfId="11301" xr:uid="{C7F6147A-BAB4-468A-87AE-21F48A128041}"/>
    <cellStyle name="Style 85 4 14 2" xfId="27295" xr:uid="{D07535ED-26C0-419C-BD6E-24CABCBCFF3E}"/>
    <cellStyle name="Style 85 4 15" xfId="11302" xr:uid="{5BBD5617-DB2D-4338-B8A2-F0A9319D7AB2}"/>
    <cellStyle name="Style 85 4 15 2" xfId="27296" xr:uid="{00B166F5-F33F-4E71-B547-4CF6AE99696D}"/>
    <cellStyle name="Style 85 4 16" xfId="11303" xr:uid="{CD3EAA78-C07B-48D7-8B97-29AFFA5B1107}"/>
    <cellStyle name="Style 85 4 16 2" xfId="27297" xr:uid="{BA9CDC66-43AE-45BF-A816-BC15BA64C919}"/>
    <cellStyle name="Style 85 4 17" xfId="19149" xr:uid="{11E152E7-FE07-4843-A593-F883D8E69E95}"/>
    <cellStyle name="Style 85 4 2" xfId="2237" xr:uid="{66A0A322-3AF6-4193-92B4-C38F37F5DFF5}"/>
    <cellStyle name="Style 85 4 2 10" xfId="11304" xr:uid="{BBE3219C-71EF-43FA-8A54-DAD688D8B07D}"/>
    <cellStyle name="Style 85 4 2 10 2" xfId="27298" xr:uid="{5A47C5FE-8F52-401A-8A5D-EDD179F8082B}"/>
    <cellStyle name="Style 85 4 2 11" xfId="11305" xr:uid="{923C675E-0E77-4A7B-8541-36E430725175}"/>
    <cellStyle name="Style 85 4 2 11 2" xfId="27299" xr:uid="{B1B905C2-23FD-4A26-9473-7614562648E8}"/>
    <cellStyle name="Style 85 4 2 12" xfId="11306" xr:uid="{22A4CC7B-2E7E-4230-911E-A5EDD0EBC31F}"/>
    <cellStyle name="Style 85 4 2 12 2" xfId="27300" xr:uid="{9A5F1BEF-B373-4BAB-9DD6-D6C36A6C9C6F}"/>
    <cellStyle name="Style 85 4 2 13" xfId="11307" xr:uid="{5B226993-A9ED-4D3D-A0DA-9972CFA82F2E}"/>
    <cellStyle name="Style 85 4 2 13 2" xfId="27301" xr:uid="{258FFA97-3A79-4C72-B283-E676A427CED3}"/>
    <cellStyle name="Style 85 4 2 14" xfId="11308" xr:uid="{A2A955CF-5D20-4297-B117-23CDEEBF18B5}"/>
    <cellStyle name="Style 85 4 2 14 2" xfId="27302" xr:uid="{B5B2F3D3-D11F-4C0C-B6F2-6F82E5F508CA}"/>
    <cellStyle name="Style 85 4 2 15" xfId="11309" xr:uid="{E89667DA-2D24-4372-9992-8E778B0DBC2C}"/>
    <cellStyle name="Style 85 4 2 15 2" xfId="27303" xr:uid="{178FC00A-8E61-4518-86E7-4319788A5DE7}"/>
    <cellStyle name="Style 85 4 2 16" xfId="11310" xr:uid="{BAF6E9FF-9CCE-49B5-BFAC-A7103D2DDF1E}"/>
    <cellStyle name="Style 85 4 2 16 2" xfId="27304" xr:uid="{223699A4-6E4D-4AD1-8570-C52521A035C8}"/>
    <cellStyle name="Style 85 4 2 17" xfId="11311" xr:uid="{93BF7808-BC31-4458-896B-68574E62ECE4}"/>
    <cellStyle name="Style 85 4 2 17 2" xfId="27305" xr:uid="{A73C2707-C7F7-4133-9440-B8307B679A13}"/>
    <cellStyle name="Style 85 4 2 18" xfId="19150" xr:uid="{7319E9EB-DDCC-475F-AFE7-80B03FB43834}"/>
    <cellStyle name="Style 85 4 2 2" xfId="2238" xr:uid="{4BEF3A74-A709-4539-945B-785D1735595B}"/>
    <cellStyle name="Style 85 4 2 2 10" xfId="11312" xr:uid="{DD6E584F-B70D-4925-9665-EA7D6BC10EF8}"/>
    <cellStyle name="Style 85 4 2 2 10 2" xfId="27306" xr:uid="{CE1D245C-FE57-424C-B710-93DC3A919B99}"/>
    <cellStyle name="Style 85 4 2 2 11" xfId="11313" xr:uid="{9A67D11C-34CC-4575-AB6F-0DEDA109D04A}"/>
    <cellStyle name="Style 85 4 2 2 11 2" xfId="27307" xr:uid="{CD16E65D-80A8-45C2-BAA4-D0EA2E5CA672}"/>
    <cellStyle name="Style 85 4 2 2 12" xfId="11314" xr:uid="{91F85AD8-5C14-458F-B1A6-551EA34B8127}"/>
    <cellStyle name="Style 85 4 2 2 12 2" xfId="27308" xr:uid="{53DC7AFA-0285-41E8-A518-C61D589B4EC1}"/>
    <cellStyle name="Style 85 4 2 2 13" xfId="11315" xr:uid="{7F3BB372-A02B-47CE-B959-620B02FBC9DC}"/>
    <cellStyle name="Style 85 4 2 2 13 2" xfId="27309" xr:uid="{CA7D38A9-7ED8-498C-82D1-47E32782B947}"/>
    <cellStyle name="Style 85 4 2 2 14" xfId="19151" xr:uid="{62F2B7F9-3299-4C5E-8EBF-137D04E5307D}"/>
    <cellStyle name="Style 85 4 2 2 2" xfId="4894" xr:uid="{69933A81-EDA6-4B39-829F-4E5B951055E7}"/>
    <cellStyle name="Style 85 4 2 2 2 2" xfId="11316" xr:uid="{15B66260-5FD7-4632-877D-661EEC37CED3}"/>
    <cellStyle name="Style 85 4 2 2 2 2 2" xfId="27310" xr:uid="{FA3B93E4-D142-40ED-A278-05A017A22E42}"/>
    <cellStyle name="Style 85 4 2 2 2 3" xfId="11317" xr:uid="{F360E37C-6EDC-4F4F-BADB-8CCD4EF43453}"/>
    <cellStyle name="Style 85 4 2 2 2 3 2" xfId="27311" xr:uid="{EBD6FC75-40F2-4BA8-849E-0052CC7918F5}"/>
    <cellStyle name="Style 85 4 2 2 3" xfId="4893" xr:uid="{891BA75B-FE43-4FD4-A183-29CECB237317}"/>
    <cellStyle name="Style 85 4 2 2 3 2" xfId="11318" xr:uid="{B9905631-079D-425A-AFF2-52919473AB58}"/>
    <cellStyle name="Style 85 4 2 2 3 2 2" xfId="27312" xr:uid="{79C9BDD3-B060-4D3B-A308-A2CF31DAF787}"/>
    <cellStyle name="Style 85 4 2 2 4" xfId="11319" xr:uid="{8BAAB681-2ADE-4AA7-ADCA-0CEE8A28A2FB}"/>
    <cellStyle name="Style 85 4 2 2 4 2" xfId="11320" xr:uid="{632EBB1D-F260-494D-A034-25CB95DD3489}"/>
    <cellStyle name="Style 85 4 2 2 4 2 2" xfId="27313" xr:uid="{F0C7287E-1041-4C9F-834F-E7C8A588845E}"/>
    <cellStyle name="Style 85 4 2 2 4 3" xfId="22321" xr:uid="{EF7AA306-CA77-4DE9-804F-66A8E4C22F0C}"/>
    <cellStyle name="Style 85 4 2 2 5" xfId="11321" xr:uid="{7D82AD4C-01C8-4BCD-9BE1-9B711D25C795}"/>
    <cellStyle name="Style 85 4 2 2 5 2" xfId="27314" xr:uid="{61771678-2789-4318-8477-161EECFE7627}"/>
    <cellStyle name="Style 85 4 2 2 6" xfId="11322" xr:uid="{ED5BD39D-0EC0-4A28-BC7F-150CF925D44E}"/>
    <cellStyle name="Style 85 4 2 2 6 2" xfId="27315" xr:uid="{D47EFD6E-A233-480B-9A86-FA37B662DACB}"/>
    <cellStyle name="Style 85 4 2 2 7" xfId="11323" xr:uid="{FDBD1DF9-44F5-4538-B034-261714577C0A}"/>
    <cellStyle name="Style 85 4 2 2 7 2" xfId="27316" xr:uid="{CC31E3E3-91E9-4D12-85BF-09D604AD1244}"/>
    <cellStyle name="Style 85 4 2 2 8" xfId="11324" xr:uid="{E62C6CEC-2D44-4CD7-AAE9-AD1A73476570}"/>
    <cellStyle name="Style 85 4 2 2 8 2" xfId="27317" xr:uid="{0A873613-E210-45C0-A5E0-D79FC1063160}"/>
    <cellStyle name="Style 85 4 2 2 9" xfId="11325" xr:uid="{C84ECE4C-EC7A-48E3-A6CB-E7CDC6131611}"/>
    <cellStyle name="Style 85 4 2 2 9 2" xfId="27318" xr:uid="{3BDCFBA2-5AD4-48D9-81CD-8A58F5ACB636}"/>
    <cellStyle name="Style 85 4 2 3" xfId="2239" xr:uid="{930C27CC-F457-470D-AABA-64008DA4CAF3}"/>
    <cellStyle name="Style 85 4 2 3 10" xfId="11326" xr:uid="{EF531399-4E4A-438A-BE42-989500BFEFE0}"/>
    <cellStyle name="Style 85 4 2 3 10 2" xfId="27319" xr:uid="{2D98B4F4-CA29-45A9-B897-EE3899FB4F85}"/>
    <cellStyle name="Style 85 4 2 3 11" xfId="11327" xr:uid="{D5BBD4BC-0FE9-400D-8C9F-F977B02D613F}"/>
    <cellStyle name="Style 85 4 2 3 11 2" xfId="27320" xr:uid="{BB4CE4D4-4D67-4A59-B4AF-6CFAF125F1AF}"/>
    <cellStyle name="Style 85 4 2 3 12" xfId="11328" xr:uid="{F968D6DE-F0A0-4080-B0B0-3C9457C319AB}"/>
    <cellStyle name="Style 85 4 2 3 12 2" xfId="27321" xr:uid="{C4CDC207-88E3-4B14-A1FA-D07E77278E80}"/>
    <cellStyle name="Style 85 4 2 3 13" xfId="11329" xr:uid="{DC14CE56-39B2-4BF2-A024-427E5F748496}"/>
    <cellStyle name="Style 85 4 2 3 13 2" xfId="27322" xr:uid="{FFFBE4F5-73B8-4305-AB53-0F6AB2FCB43D}"/>
    <cellStyle name="Style 85 4 2 3 14" xfId="11330" xr:uid="{2CD5723B-9383-45CC-B860-4102C0D6D875}"/>
    <cellStyle name="Style 85 4 2 3 14 2" xfId="27323" xr:uid="{87DE4095-D3E9-407B-BE69-465A02D15A82}"/>
    <cellStyle name="Style 85 4 2 3 15" xfId="11331" xr:uid="{41EA88DB-1D99-4AB2-88B0-0E7C7EDDE7AC}"/>
    <cellStyle name="Style 85 4 2 3 15 2" xfId="27324" xr:uid="{F87842D6-772B-4861-9057-5826CD45B229}"/>
    <cellStyle name="Style 85 4 2 3 16" xfId="19152" xr:uid="{84B22918-8746-4277-AB50-AFFBE99BBD32}"/>
    <cellStyle name="Style 85 4 2 3 2" xfId="2240" xr:uid="{66FCD518-B1DC-4BA0-B5A1-3BA79F5E088E}"/>
    <cellStyle name="Style 85 4 2 3 2 10" xfId="11332" xr:uid="{2E145A16-AA92-4D4F-A5D4-01900A1AEC21}"/>
    <cellStyle name="Style 85 4 2 3 2 10 2" xfId="27325" xr:uid="{885E1063-148F-4237-8634-3AB95518E2DF}"/>
    <cellStyle name="Style 85 4 2 3 2 11" xfId="11333" xr:uid="{55ED7FDA-5DF4-4D45-84A2-8721F922493E}"/>
    <cellStyle name="Style 85 4 2 3 2 11 2" xfId="27326" xr:uid="{404F9FD2-EC01-4B31-B0BF-832C422D1492}"/>
    <cellStyle name="Style 85 4 2 3 2 12" xfId="11334" xr:uid="{10FF8096-82C8-4375-883D-F65064991E78}"/>
    <cellStyle name="Style 85 4 2 3 2 12 2" xfId="27327" xr:uid="{71443286-321A-4F62-8A38-0991F7496783}"/>
    <cellStyle name="Style 85 4 2 3 2 13" xfId="11335" xr:uid="{C204912D-BE28-4018-B63F-862249E22F26}"/>
    <cellStyle name="Style 85 4 2 3 2 13 2" xfId="27328" xr:uid="{C50BEB11-F4E0-4CA0-9748-15E0B1BB5182}"/>
    <cellStyle name="Style 85 4 2 3 2 14" xfId="19153" xr:uid="{A07F22E2-FDAA-4913-89F8-135C2056F113}"/>
    <cellStyle name="Style 85 4 2 3 2 2" xfId="4897" xr:uid="{45B69C3B-8F23-4756-9168-AAAE9C19CEA7}"/>
    <cellStyle name="Style 85 4 2 3 2 2 2" xfId="11336" xr:uid="{59E7E770-BF93-4C8C-AD50-1C4AAFE6C639}"/>
    <cellStyle name="Style 85 4 2 3 2 2 2 2" xfId="27329" xr:uid="{8E6BD421-7B23-4C05-B807-C409DA138A5B}"/>
    <cellStyle name="Style 85 4 2 3 2 2 3" xfId="11337" xr:uid="{699F81DE-2B97-496B-AC67-85292195D61E}"/>
    <cellStyle name="Style 85 4 2 3 2 2 3 2" xfId="27330" xr:uid="{CB047BE3-7392-4AB5-8B46-656C5D97327B}"/>
    <cellStyle name="Style 85 4 2 3 2 3" xfId="4896" xr:uid="{93CBAD9E-752D-465E-91A1-74909ECEFBDA}"/>
    <cellStyle name="Style 85 4 2 3 2 3 2" xfId="11338" xr:uid="{E4E53433-34DF-45C3-968A-471E8F8DD6B1}"/>
    <cellStyle name="Style 85 4 2 3 2 3 2 2" xfId="27331" xr:uid="{95FBAD89-0940-498C-BEB6-67C6F96600BC}"/>
    <cellStyle name="Style 85 4 2 3 2 4" xfId="11339" xr:uid="{AF069C09-56A2-4DFB-BCCB-F537A42770F2}"/>
    <cellStyle name="Style 85 4 2 3 2 4 2" xfId="11340" xr:uid="{EBA455E3-20AF-41DD-B9B4-26AFE8C6A38D}"/>
    <cellStyle name="Style 85 4 2 3 2 4 2 2" xfId="27332" xr:uid="{66A79B73-39EE-4F01-A96F-3EE2DD02122D}"/>
    <cellStyle name="Style 85 4 2 3 2 4 3" xfId="22323" xr:uid="{5A33436F-6AC7-4CC3-BA9D-80FB1841B42A}"/>
    <cellStyle name="Style 85 4 2 3 2 5" xfId="11341" xr:uid="{C163F4AE-E785-44C4-B2DE-A0B9CBE18092}"/>
    <cellStyle name="Style 85 4 2 3 2 5 2" xfId="27333" xr:uid="{4AD845BF-A038-4147-99F1-3C35DA77F017}"/>
    <cellStyle name="Style 85 4 2 3 2 6" xfId="11342" xr:uid="{93DA325E-2B53-4F2A-982D-A720B71E0D47}"/>
    <cellStyle name="Style 85 4 2 3 2 6 2" xfId="27334" xr:uid="{B7CE3EE5-98B6-47EF-8844-629C4CE92704}"/>
    <cellStyle name="Style 85 4 2 3 2 7" xfId="11343" xr:uid="{C288B1FE-F8BF-4E95-833F-98869CA262A2}"/>
    <cellStyle name="Style 85 4 2 3 2 7 2" xfId="27335" xr:uid="{935B54EF-92D2-4531-8DB8-ED921885E419}"/>
    <cellStyle name="Style 85 4 2 3 2 8" xfId="11344" xr:uid="{4E10DF79-4388-4945-B4C2-D6CF2DF31798}"/>
    <cellStyle name="Style 85 4 2 3 2 8 2" xfId="27336" xr:uid="{8A6462E9-A638-4CE5-8395-84C385ADF8A7}"/>
    <cellStyle name="Style 85 4 2 3 2 9" xfId="11345" xr:uid="{8DF9526F-F21A-48B3-9C75-2BDC33491AFA}"/>
    <cellStyle name="Style 85 4 2 3 2 9 2" xfId="27337" xr:uid="{67684A2A-0E93-44FB-BB80-CB72B70DAFD0}"/>
    <cellStyle name="Style 85 4 2 3 3" xfId="4898" xr:uid="{1DA29134-0820-4DFA-B5E6-722D2CD273AC}"/>
    <cellStyle name="Style 85 4 2 3 3 2" xfId="4899" xr:uid="{BAED60F2-E63D-4145-8BAE-48C2C9006E96}"/>
    <cellStyle name="Style 85 4 2 3 3 2 2" xfId="11346" xr:uid="{30D61EBF-C059-4FD4-A805-42D4297DF9A5}"/>
    <cellStyle name="Style 85 4 2 3 3 2 2 2" xfId="27338" xr:uid="{16BA2C7A-B871-4EB6-90B8-CA2DABB7B180}"/>
    <cellStyle name="Style 85 4 2 3 3 2 3" xfId="11347" xr:uid="{1CDEEC8E-A51E-4DAF-B78B-C577FAA565E1}"/>
    <cellStyle name="Style 85 4 2 3 3 2 3 2" xfId="27339" xr:uid="{4BF17051-B341-4F34-A153-45EB4046CCEE}"/>
    <cellStyle name="Style 85 4 2 3 3 3" xfId="11348" xr:uid="{FBD56B22-AAB7-439D-B6AF-774DDAAA390A}"/>
    <cellStyle name="Style 85 4 2 3 3 3 2" xfId="27340" xr:uid="{038D2852-6EFC-4548-A23E-151CBC8D4AD5}"/>
    <cellStyle name="Style 85 4 2 3 3 4" xfId="11349" xr:uid="{3E620638-A0BF-4070-906E-2CB18EB4D906}"/>
    <cellStyle name="Style 85 4 2 3 3 4 2" xfId="27341" xr:uid="{D5875C1C-0730-4B79-B0AC-1E183A1BE592}"/>
    <cellStyle name="Style 85 4 2 3 3 5" xfId="11350" xr:uid="{BA71C5BF-4363-411F-961F-7352CB6E08CC}"/>
    <cellStyle name="Style 85 4 2 3 3 5 2" xfId="27342" xr:uid="{CF0D9277-610C-412B-AFB0-BE805F3656C1}"/>
    <cellStyle name="Style 85 4 2 3 3 6" xfId="19154" xr:uid="{D77A7E3E-24C8-4ACD-BDEB-EC3CCE324643}"/>
    <cellStyle name="Style 85 4 2 3 4" xfId="4900" xr:uid="{7CF6B792-B31F-4A9D-A2D0-7F90F36474E8}"/>
    <cellStyle name="Style 85 4 2 3 4 2" xfId="11351" xr:uid="{FD741695-F3D5-431B-B2E2-330F1CD3C690}"/>
    <cellStyle name="Style 85 4 2 3 4 2 2" xfId="27343" xr:uid="{8B70ED17-6F0D-4C54-966F-DEE40A45EB27}"/>
    <cellStyle name="Style 85 4 2 3 4 3" xfId="11352" xr:uid="{CA291B54-2DF9-4F22-B36B-9739A0DE02BF}"/>
    <cellStyle name="Style 85 4 2 3 4 3 2" xfId="27344" xr:uid="{793EFE17-4E55-4F4F-B057-5A4CBE0D5FB7}"/>
    <cellStyle name="Style 85 4 2 3 5" xfId="4901" xr:uid="{00340C79-E2B2-4752-A5D9-1C34E0C22F62}"/>
    <cellStyle name="Style 85 4 2 3 5 2" xfId="11353" xr:uid="{7A12B399-FB32-43C0-839F-2AB3B282C9E3}"/>
    <cellStyle name="Style 85 4 2 3 5 2 2" xfId="27345" xr:uid="{C8C021C5-09D8-4EE0-B9D1-DBC0615B14E9}"/>
    <cellStyle name="Style 85 4 2 3 6" xfId="4895" xr:uid="{11466030-BA72-4460-A10B-BAAD3BC56901}"/>
    <cellStyle name="Style 85 4 2 3 6 2" xfId="11354" xr:uid="{10C7A818-ACE7-49B1-9EE6-22E6C256AE03}"/>
    <cellStyle name="Style 85 4 2 3 6 2 2" xfId="27346" xr:uid="{8E63DE0D-FF59-40E2-B003-88D586EEFC7F}"/>
    <cellStyle name="Style 85 4 2 3 7" xfId="11355" xr:uid="{E154A4F8-969D-4C88-A700-1DFA876C63AF}"/>
    <cellStyle name="Style 85 4 2 3 7 2" xfId="11356" xr:uid="{20F346E0-1F4E-4516-BA8E-11A9ED4F649C}"/>
    <cellStyle name="Style 85 4 2 3 7 2 2" xfId="27347" xr:uid="{23BE343C-FD65-4165-A591-F7C49E1AE624}"/>
    <cellStyle name="Style 85 4 2 3 7 3" xfId="22322" xr:uid="{2333A9A6-EE9E-4D72-B3F2-956A7EC7B74A}"/>
    <cellStyle name="Style 85 4 2 3 8" xfId="11357" xr:uid="{0D0CF307-AB67-488D-A660-EADA2D890AD4}"/>
    <cellStyle name="Style 85 4 2 3 8 2" xfId="27348" xr:uid="{D689A1B6-06BB-484B-9845-CF9899E9898F}"/>
    <cellStyle name="Style 85 4 2 3 9" xfId="11358" xr:uid="{3ABDCA1F-D14C-4AB7-BCA8-5296487F9C99}"/>
    <cellStyle name="Style 85 4 2 3 9 2" xfId="27349" xr:uid="{F37E12C2-351D-4AF3-A3D6-C22CB6400B99}"/>
    <cellStyle name="Style 85 4 2 4" xfId="2241" xr:uid="{C594DF76-43AC-41D4-9BE5-C1F04BA0EFCD}"/>
    <cellStyle name="Style 85 4 2 4 10" xfId="11359" xr:uid="{4E9EA356-7311-4B47-B566-F1FF0011EF1B}"/>
    <cellStyle name="Style 85 4 2 4 10 2" xfId="27350" xr:uid="{D91F3B4F-A36E-4E06-88FF-DF536AE3D447}"/>
    <cellStyle name="Style 85 4 2 4 11" xfId="11360" xr:uid="{A446BA27-3CB5-42EE-8164-AC836D0E1457}"/>
    <cellStyle name="Style 85 4 2 4 11 2" xfId="27351" xr:uid="{EA211783-2535-4FE3-BBE6-F0DCF2B0BAAD}"/>
    <cellStyle name="Style 85 4 2 4 12" xfId="11361" xr:uid="{3AF20E85-EBAE-48C9-A524-46766047FA4E}"/>
    <cellStyle name="Style 85 4 2 4 12 2" xfId="27352" xr:uid="{9C213732-6F6D-4FE1-8D57-4EA5C9E3B22E}"/>
    <cellStyle name="Style 85 4 2 4 13" xfId="11362" xr:uid="{A121A7A2-C6C2-4611-9000-3F6EBE1F06AC}"/>
    <cellStyle name="Style 85 4 2 4 13 2" xfId="27353" xr:uid="{75680C34-7152-4BF8-BCC4-0A5172BBF1BB}"/>
    <cellStyle name="Style 85 4 2 4 14" xfId="11363" xr:uid="{8C38D07F-71ED-4C43-A933-7A389C23AAEC}"/>
    <cellStyle name="Style 85 4 2 4 14 2" xfId="27354" xr:uid="{A9223D35-99DC-491C-B80B-6F7BF5226C16}"/>
    <cellStyle name="Style 85 4 2 4 15" xfId="19155" xr:uid="{E393921A-5A57-446B-8210-397EDEF7C8E9}"/>
    <cellStyle name="Style 85 4 2 4 2" xfId="2242" xr:uid="{0C1609DF-1DC7-470C-BFE9-1B52C9762CDD}"/>
    <cellStyle name="Style 85 4 2 4 2 10" xfId="11364" xr:uid="{AB5524C6-7A9B-4743-94E9-E71278E0128D}"/>
    <cellStyle name="Style 85 4 2 4 2 10 2" xfId="27355" xr:uid="{BCE9DFB3-EE48-4EE9-B49C-CD52DB23CB71}"/>
    <cellStyle name="Style 85 4 2 4 2 11" xfId="11365" xr:uid="{6FBB545C-CD90-4B42-BDD6-024D83919888}"/>
    <cellStyle name="Style 85 4 2 4 2 11 2" xfId="27356" xr:uid="{9A307EED-1DCA-4C8B-AAAC-8083C3DCE658}"/>
    <cellStyle name="Style 85 4 2 4 2 12" xfId="11366" xr:uid="{743DEA85-FDC1-4A43-B756-5AC4ECCFC08D}"/>
    <cellStyle name="Style 85 4 2 4 2 12 2" xfId="27357" xr:uid="{AEA780EA-C735-42B2-A4DF-BA7963E6816A}"/>
    <cellStyle name="Style 85 4 2 4 2 13" xfId="11367" xr:uid="{D81D4C98-B3E1-4FF8-9E3A-DC14AB132F13}"/>
    <cellStyle name="Style 85 4 2 4 2 13 2" xfId="27358" xr:uid="{00D65DB9-BF84-46AD-A775-832A1543C852}"/>
    <cellStyle name="Style 85 4 2 4 2 14" xfId="19156" xr:uid="{7C65FB3B-06AC-49AC-9D54-D7E1E42F5C32}"/>
    <cellStyle name="Style 85 4 2 4 2 2" xfId="4904" xr:uid="{71E911B5-8852-41AE-86A9-03CA9399A080}"/>
    <cellStyle name="Style 85 4 2 4 2 2 2" xfId="11368" xr:uid="{C366AFBF-2FE4-4329-99C7-59A1ED057A62}"/>
    <cellStyle name="Style 85 4 2 4 2 2 2 2" xfId="27359" xr:uid="{53E141D1-545E-42C5-BEA4-ADBFDDBE2A40}"/>
    <cellStyle name="Style 85 4 2 4 2 2 3" xfId="11369" xr:uid="{EF36362B-1930-495B-BCAC-3B808F2B152A}"/>
    <cellStyle name="Style 85 4 2 4 2 2 3 2" xfId="27360" xr:uid="{A99D1C72-B348-496D-BA37-E142B17925A8}"/>
    <cellStyle name="Style 85 4 2 4 2 3" xfId="4903" xr:uid="{80D1E690-F060-4CFD-BD5F-E32B494E19D4}"/>
    <cellStyle name="Style 85 4 2 4 2 3 2" xfId="11370" xr:uid="{CE63AD63-67A2-4483-B6C9-9385AE7B3519}"/>
    <cellStyle name="Style 85 4 2 4 2 3 2 2" xfId="27361" xr:uid="{93AAFDD0-B9B6-4B3F-9D8E-4014D3E88CDA}"/>
    <cellStyle name="Style 85 4 2 4 2 4" xfId="11371" xr:uid="{EC333386-A0C6-458F-86E5-982DEB43ADEC}"/>
    <cellStyle name="Style 85 4 2 4 2 4 2" xfId="11372" xr:uid="{B89D3BF1-D183-44AF-8E77-8C18C1344948}"/>
    <cellStyle name="Style 85 4 2 4 2 4 2 2" xfId="27362" xr:uid="{0816CFB9-04DA-490A-96B7-18C22871FD52}"/>
    <cellStyle name="Style 85 4 2 4 2 4 3" xfId="22325" xr:uid="{0195450C-86FF-4EF0-98F4-3F463E6B0C32}"/>
    <cellStyle name="Style 85 4 2 4 2 5" xfId="11373" xr:uid="{771DB3C5-1CA4-4E50-B918-E0C23130F719}"/>
    <cellStyle name="Style 85 4 2 4 2 5 2" xfId="27363" xr:uid="{2573B91E-1B46-4DFA-907A-22CBB38516FB}"/>
    <cellStyle name="Style 85 4 2 4 2 6" xfId="11374" xr:uid="{51168653-980D-4632-A233-0252C408FC27}"/>
    <cellStyle name="Style 85 4 2 4 2 6 2" xfId="27364" xr:uid="{1DAC47CC-C4F2-4B14-832A-B56F9E726B14}"/>
    <cellStyle name="Style 85 4 2 4 2 7" xfId="11375" xr:uid="{86DC113B-4B74-424F-8549-0671AC43A22B}"/>
    <cellStyle name="Style 85 4 2 4 2 7 2" xfId="27365" xr:uid="{B72A7C5E-F212-434E-9AEE-13B13B77D7A7}"/>
    <cellStyle name="Style 85 4 2 4 2 8" xfId="11376" xr:uid="{0ED1AA39-B38E-459C-8B28-A4C45CE9D9CE}"/>
    <cellStyle name="Style 85 4 2 4 2 8 2" xfId="27366" xr:uid="{089FF068-E8E9-4F7F-A265-A5C2DFCE47B4}"/>
    <cellStyle name="Style 85 4 2 4 2 9" xfId="11377" xr:uid="{54F326C3-4F26-41DB-B346-8B9CDBEA4ED1}"/>
    <cellStyle name="Style 85 4 2 4 2 9 2" xfId="27367" xr:uid="{20933D4A-C612-448A-9B87-00DF27A50701}"/>
    <cellStyle name="Style 85 4 2 4 3" xfId="4905" xr:uid="{5099D79B-2229-4E01-9728-8496CA983E33}"/>
    <cellStyle name="Style 85 4 2 4 3 2" xfId="11378" xr:uid="{805A1F72-11C4-40C2-ACED-861C2CFF40E8}"/>
    <cellStyle name="Style 85 4 2 4 3 2 2" xfId="27368" xr:uid="{38FFC0B4-45C8-4FE5-AFC2-D0497DE6661C}"/>
    <cellStyle name="Style 85 4 2 4 3 3" xfId="11379" xr:uid="{69E6F073-C536-4D1A-81D8-580671A002FF}"/>
    <cellStyle name="Style 85 4 2 4 3 3 2" xfId="27369" xr:uid="{D99245A2-029C-45E9-8F98-0EB3DBA0A2F3}"/>
    <cellStyle name="Style 85 4 2 4 4" xfId="4902" xr:uid="{9936FCDC-3BA7-4E13-BC2C-E98A5E3E3222}"/>
    <cellStyle name="Style 85 4 2 4 4 2" xfId="11380" xr:uid="{490DBD32-6098-4C2E-9F4B-3D0D5642A4E4}"/>
    <cellStyle name="Style 85 4 2 4 4 2 2" xfId="27370" xr:uid="{27AF8AF0-0508-43B4-8042-0BE83D8889D3}"/>
    <cellStyle name="Style 85 4 2 4 5" xfId="11381" xr:uid="{03DB95D1-629E-4F75-B1A8-ED0B1CF89FEC}"/>
    <cellStyle name="Style 85 4 2 4 5 2" xfId="11382" xr:uid="{AF0ED20E-9C4B-416B-99BA-FE1DE82B4057}"/>
    <cellStyle name="Style 85 4 2 4 5 2 2" xfId="27371" xr:uid="{4177C0BA-A40E-44DC-AF2D-34804B2A2DCF}"/>
    <cellStyle name="Style 85 4 2 4 5 3" xfId="22324" xr:uid="{221DE148-71D7-4E88-A053-CABAFDC0A71F}"/>
    <cellStyle name="Style 85 4 2 4 6" xfId="11383" xr:uid="{812FAC47-0D24-4B21-A199-F19406CB4092}"/>
    <cellStyle name="Style 85 4 2 4 6 2" xfId="27372" xr:uid="{82B33454-FEBD-41FA-8F73-24B366D13D80}"/>
    <cellStyle name="Style 85 4 2 4 7" xfId="11384" xr:uid="{EE4F83C8-50A0-4FDE-A6D8-47D856A3F449}"/>
    <cellStyle name="Style 85 4 2 4 7 2" xfId="27373" xr:uid="{431F649B-3B6C-408B-BA80-76EC656A2231}"/>
    <cellStyle name="Style 85 4 2 4 8" xfId="11385" xr:uid="{F67A2D76-B828-4947-BA27-53651C8FA83C}"/>
    <cellStyle name="Style 85 4 2 4 8 2" xfId="27374" xr:uid="{9C71A987-4BCD-4C77-8826-5120EDAC87A2}"/>
    <cellStyle name="Style 85 4 2 4 9" xfId="11386" xr:uid="{0D15B5F7-7604-4772-9918-FFA511F5B029}"/>
    <cellStyle name="Style 85 4 2 4 9 2" xfId="27375" xr:uid="{85AD5DBC-7317-4179-99D6-69A33C286A60}"/>
    <cellStyle name="Style 85 4 2 5" xfId="4906" xr:uid="{C737235A-1576-4C51-8DC0-53FB2227DE52}"/>
    <cellStyle name="Style 85 4 2 5 2" xfId="11387" xr:uid="{1CFC0351-3E21-4521-8A35-9CA24A3558B5}"/>
    <cellStyle name="Style 85 4 2 5 2 2" xfId="11388" xr:uid="{842DBC81-9B32-44B3-B6AC-CFCC083B0C46}"/>
    <cellStyle name="Style 85 4 2 5 2 2 2" xfId="27377" xr:uid="{B54BD3D1-7AA7-405A-8A02-A83BA483DDB8}"/>
    <cellStyle name="Style 85 4 2 5 2 3" xfId="27376" xr:uid="{91C7F8A5-D33A-4BA8-AB7B-F0717E6A91DC}"/>
    <cellStyle name="Style 85 4 2 5 3" xfId="11389" xr:uid="{6DD12608-A84C-4126-9F37-5FF39F87F3F6}"/>
    <cellStyle name="Style 85 4 2 5 3 2" xfId="27378" xr:uid="{68E00AA5-6D11-4622-AF54-BE25E54E08CF}"/>
    <cellStyle name="Style 85 4 2 5 4" xfId="11390" xr:uid="{B0222C87-ADA5-4572-B43D-94EEACE6CCD7}"/>
    <cellStyle name="Style 85 4 2 5 4 2" xfId="27379" xr:uid="{3166BF9D-7D2B-4D0B-846F-D1B8DEFAD731}"/>
    <cellStyle name="Style 85 4 2 5 5" xfId="11391" xr:uid="{15F9BD99-C763-4CCD-ADAF-9C9D9A593D53}"/>
    <cellStyle name="Style 85 4 2 5 5 2" xfId="27380" xr:uid="{936A0515-8B8F-43E1-805D-D928F7CA07F8}"/>
    <cellStyle name="Style 85 4 2 6" xfId="4907" xr:uid="{622B7B5C-B750-4E24-B7CA-0C4CCC8E4906}"/>
    <cellStyle name="Style 85 4 2 6 2" xfId="11392" xr:uid="{DB435D01-423A-4ED8-8024-C57CBAD3B11E}"/>
    <cellStyle name="Style 85 4 2 6 2 2" xfId="27381" xr:uid="{CBAD199D-1FA9-4BDA-8205-44CBD912D29C}"/>
    <cellStyle name="Style 85 4 2 6 3" xfId="11393" xr:uid="{CB56A7A3-5260-408F-9A1A-49943FE94EFA}"/>
    <cellStyle name="Style 85 4 2 6 3 2" xfId="27382" xr:uid="{69FDA690-0A27-479E-ACB3-3F350D3713D6}"/>
    <cellStyle name="Style 85 4 2 7" xfId="4892" xr:uid="{CC8E8818-0CF1-47DF-A8FD-F6EA08EEE8CF}"/>
    <cellStyle name="Style 85 4 2 7 2" xfId="11394" xr:uid="{B59510BA-5BA2-4631-83C9-0E1F5877CEE6}"/>
    <cellStyle name="Style 85 4 2 7 2 2" xfId="27383" xr:uid="{65C5E426-E8F9-4934-A977-8E87D32EE415}"/>
    <cellStyle name="Style 85 4 2 8" xfId="11395" xr:uid="{BB738710-5161-407D-875E-D09E4F28F3AE}"/>
    <cellStyle name="Style 85 4 2 8 2" xfId="11396" xr:uid="{A87A742C-352A-4A6F-ABB3-D015966C2D16}"/>
    <cellStyle name="Style 85 4 2 8 2 2" xfId="27384" xr:uid="{DA9CD214-6755-4B7C-B692-BD1EB26351DB}"/>
    <cellStyle name="Style 85 4 2 8 3" xfId="22320" xr:uid="{78E630F9-E545-4AF9-B63A-95D9C87B37D5}"/>
    <cellStyle name="Style 85 4 2 9" xfId="11397" xr:uid="{6D6A8EC5-F03C-45B8-9422-C48C00632A2E}"/>
    <cellStyle name="Style 85 4 2 9 2" xfId="27385" xr:uid="{A48E1DF8-A890-4B3F-800E-D2C04A4A3FEA}"/>
    <cellStyle name="Style 85 4 3" xfId="2243" xr:uid="{FFA8A035-5520-4098-8EC1-C9437116DF08}"/>
    <cellStyle name="Style 85 4 3 10" xfId="11398" xr:uid="{7823E475-2264-49D4-8F70-8D5D376562F7}"/>
    <cellStyle name="Style 85 4 3 10 2" xfId="27386" xr:uid="{989D5E7D-8D3F-4428-9BCD-91F0025B5B88}"/>
    <cellStyle name="Style 85 4 3 11" xfId="11399" xr:uid="{67271EF0-263E-4E52-AE4A-8F22DBF3B2C0}"/>
    <cellStyle name="Style 85 4 3 11 2" xfId="27387" xr:uid="{015A133D-1C65-4A77-9696-4A4A06B2A8D6}"/>
    <cellStyle name="Style 85 4 3 12" xfId="11400" xr:uid="{6FB6C7B7-68A4-4038-A105-E5D6CC658783}"/>
    <cellStyle name="Style 85 4 3 12 2" xfId="27388" xr:uid="{4E0BD7A2-6311-4A9C-BE9A-065B4282F412}"/>
    <cellStyle name="Style 85 4 3 13" xfId="11401" xr:uid="{0604EDCF-85B7-402B-AC44-C2EB0786CAAF}"/>
    <cellStyle name="Style 85 4 3 13 2" xfId="27389" xr:uid="{83F7716E-A1F9-420B-8CBF-BB21065FE1AA}"/>
    <cellStyle name="Style 85 4 3 14" xfId="19157" xr:uid="{DCCE0289-EA7E-46F5-8D6D-8625068F335E}"/>
    <cellStyle name="Style 85 4 3 2" xfId="4909" xr:uid="{24342C48-79BF-4C77-B7E4-8553889C2DF3}"/>
    <cellStyle name="Style 85 4 3 2 2" xfId="11402" xr:uid="{580943C6-B148-41C4-9EB1-A0C9AADDA91C}"/>
    <cellStyle name="Style 85 4 3 2 2 2" xfId="27390" xr:uid="{620E74B0-C198-4F37-9A6D-8D17C7EAF923}"/>
    <cellStyle name="Style 85 4 3 2 3" xfId="11403" xr:uid="{CD4C9A32-5430-44DD-A7E0-883D2F1C4849}"/>
    <cellStyle name="Style 85 4 3 2 3 2" xfId="27391" xr:uid="{B88452AC-2F6F-4663-AF6B-87ACD88395E4}"/>
    <cellStyle name="Style 85 4 3 3" xfId="4908" xr:uid="{1D70D544-9674-44C2-9D98-AE3549EAC0BB}"/>
    <cellStyle name="Style 85 4 3 3 2" xfId="11404" xr:uid="{066D5887-7C6F-409B-B96B-420B42A702BE}"/>
    <cellStyle name="Style 85 4 3 3 2 2" xfId="27392" xr:uid="{8F13A329-06FF-46AB-B631-4CAEB226D45E}"/>
    <cellStyle name="Style 85 4 3 4" xfId="11405" xr:uid="{C1BEC4C8-1F4A-47D1-B4B1-B620181CFA9D}"/>
    <cellStyle name="Style 85 4 3 4 2" xfId="11406" xr:uid="{3794DE85-EE90-409E-9CFF-57845D4DD6F5}"/>
    <cellStyle name="Style 85 4 3 4 2 2" xfId="27393" xr:uid="{BDEEF7AC-1810-4907-BE1C-77B429E5BC3C}"/>
    <cellStyle name="Style 85 4 3 4 3" xfId="22326" xr:uid="{E3BFD402-8172-4055-B105-6D6021310A4E}"/>
    <cellStyle name="Style 85 4 3 5" xfId="11407" xr:uid="{043F5B20-CE3B-44F6-9AEE-F386366A2587}"/>
    <cellStyle name="Style 85 4 3 5 2" xfId="27394" xr:uid="{3DC29FBA-2781-4291-8B05-75CEC06FC800}"/>
    <cellStyle name="Style 85 4 3 6" xfId="11408" xr:uid="{37FFC280-9527-4D44-A82F-8BD612470C1E}"/>
    <cellStyle name="Style 85 4 3 6 2" xfId="27395" xr:uid="{D0AEAAB3-2C75-4D6D-86C1-6C6DFD438A1F}"/>
    <cellStyle name="Style 85 4 3 7" xfId="11409" xr:uid="{A8841F7D-333C-4BC9-A26D-6157DA3DF776}"/>
    <cellStyle name="Style 85 4 3 7 2" xfId="27396" xr:uid="{6E0CDCEB-E3D1-4D3C-B611-FDE27F0E00A0}"/>
    <cellStyle name="Style 85 4 3 8" xfId="11410" xr:uid="{572A93F2-C134-4B1B-AFE2-4C59A4D75B77}"/>
    <cellStyle name="Style 85 4 3 8 2" xfId="27397" xr:uid="{551D391A-FB5B-423D-8985-5FFB3588FC64}"/>
    <cellStyle name="Style 85 4 3 9" xfId="11411" xr:uid="{513B6577-79A4-4065-88AF-F7679D823B5D}"/>
    <cellStyle name="Style 85 4 3 9 2" xfId="27398" xr:uid="{13C09AB0-9884-4ED6-A19D-5E28EA44D36D}"/>
    <cellStyle name="Style 85 4 4" xfId="4910" xr:uid="{E81A8593-B916-4251-A908-19E62B0CBAAD}"/>
    <cellStyle name="Style 85 4 4 2" xfId="4911" xr:uid="{2747A0D6-5F22-4699-AA79-CD8B5D986EC7}"/>
    <cellStyle name="Style 85 4 4 2 2" xfId="11412" xr:uid="{1822CF8D-59B8-4C6E-ABDE-5229A7BFEA9C}"/>
    <cellStyle name="Style 85 4 4 2 2 2" xfId="27399" xr:uid="{FC743993-9C57-4263-A31A-E843C9FDB901}"/>
    <cellStyle name="Style 85 4 4 2 3" xfId="11413" xr:uid="{DCA94A2E-DF0E-4D62-9041-855604F35893}"/>
    <cellStyle name="Style 85 4 4 2 3 2" xfId="27400" xr:uid="{3F0CB84F-3EC5-4F94-901A-4302DD781665}"/>
    <cellStyle name="Style 85 4 4 3" xfId="4912" xr:uid="{63983EFC-80DA-4AAB-8BDD-E9F2130A51DB}"/>
    <cellStyle name="Style 85 4 4 3 2" xfId="11414" xr:uid="{00B21E15-FF8B-4EE3-ABCD-7A1F2754969E}"/>
    <cellStyle name="Style 85 4 4 3 2 2" xfId="27401" xr:uid="{CB6E6A34-8EFD-440F-A24B-2DB7E998265B}"/>
    <cellStyle name="Style 85 4 4 4" xfId="11415" xr:uid="{353F2D21-AB50-465A-9A61-541C9A9BED9F}"/>
    <cellStyle name="Style 85 4 4 4 2" xfId="27402" xr:uid="{171EFCC6-A1ED-48DE-9177-78D5A241A617}"/>
    <cellStyle name="Style 85 4 4 5" xfId="11416" xr:uid="{20EA8618-1E58-45C6-8513-9175A9867108}"/>
    <cellStyle name="Style 85 4 4 5 2" xfId="27403" xr:uid="{373E737E-6EC1-4BA1-8134-558A58578540}"/>
    <cellStyle name="Style 85 4 4 6" xfId="19158" xr:uid="{26BB7D37-0A59-4C50-BD3C-68638C996225}"/>
    <cellStyle name="Style 85 4 5" xfId="4913" xr:uid="{9347F071-DAA3-48F2-B62F-AC2A3FF2A3EF}"/>
    <cellStyle name="Style 85 4 5 2" xfId="11417" xr:uid="{5E1CC228-FD88-4BCE-A1C2-AE3C69872C17}"/>
    <cellStyle name="Style 85 4 5 2 2" xfId="27404" xr:uid="{775C3075-EC80-41E4-A4AA-A3D16D3C6BCB}"/>
    <cellStyle name="Style 85 4 5 3" xfId="11418" xr:uid="{EE78CDD4-64CC-4695-8893-5669B2685D55}"/>
    <cellStyle name="Style 85 4 5 3 2" xfId="27405" xr:uid="{D8C7BC0B-C475-423D-8248-3603B6BB7000}"/>
    <cellStyle name="Style 85 4 6" xfId="4891" xr:uid="{2D011DA6-7E51-47A4-9248-3322616D68DA}"/>
    <cellStyle name="Style 85 4 6 2" xfId="11419" xr:uid="{D0A96B98-9527-4DF8-9DAC-2D902CF0262A}"/>
    <cellStyle name="Style 85 4 6 2 2" xfId="27406" xr:uid="{88FF7180-E86E-47F0-BCA7-D2885739F922}"/>
    <cellStyle name="Style 85 4 7" xfId="2968" xr:uid="{68FC97B7-F420-46FB-973E-D1CCFDF157F0}"/>
    <cellStyle name="Style 85 4 7 2" xfId="11420" xr:uid="{4590E7A1-11F5-4444-8489-D661EA1D227D}"/>
    <cellStyle name="Style 85 4 7 2 2" xfId="27407" xr:uid="{11FBEE20-52FD-4774-9437-5459F49024E0}"/>
    <cellStyle name="Style 85 4 7 3" xfId="21320" xr:uid="{9B3AB225-781B-4572-9810-20A395CD764C}"/>
    <cellStyle name="Style 85 4 8" xfId="11421" xr:uid="{888C9F23-BAA8-4AA9-BEA5-E609C56886CF}"/>
    <cellStyle name="Style 85 4 8 2" xfId="11422" xr:uid="{9A217812-94C1-48B6-95F0-267A2846439E}"/>
    <cellStyle name="Style 85 4 8 2 2" xfId="27408" xr:uid="{9C696184-FDA5-4BF4-AAA8-1939A6CF21F8}"/>
    <cellStyle name="Style 85 4 8 3" xfId="22319" xr:uid="{7ABDACE5-12A4-40CB-BCB7-A34D0FCD09E1}"/>
    <cellStyle name="Style 85 4 9" xfId="11423" xr:uid="{24BE1023-204E-4B1D-98A9-A73A373E09C5}"/>
    <cellStyle name="Style 85 4 9 2" xfId="27409" xr:uid="{64392CC5-A359-4D7C-B070-9504CA362FE3}"/>
    <cellStyle name="Style 85 5" xfId="2244" xr:uid="{C7C03365-525B-4F04-829C-00EAB07611C4}"/>
    <cellStyle name="Style 85 5 10" xfId="11424" xr:uid="{44805D02-134F-42AF-883D-35B9F842CCCA}"/>
    <cellStyle name="Style 85 5 10 2" xfId="27410" xr:uid="{99256F43-9763-416A-9A53-9BDB47BD4F34}"/>
    <cellStyle name="Style 85 5 11" xfId="11425" xr:uid="{E3AE840D-B064-491F-AA09-2524ADE08DE7}"/>
    <cellStyle name="Style 85 5 11 2" xfId="27411" xr:uid="{6ED5A757-0006-4860-9FAD-B9C110C87512}"/>
    <cellStyle name="Style 85 5 12" xfId="11426" xr:uid="{DC5E5BFE-F5D2-45BB-B8AE-30981EC6505E}"/>
    <cellStyle name="Style 85 5 12 2" xfId="27412" xr:uid="{9334672F-AFBD-41BA-A043-A431C55654A0}"/>
    <cellStyle name="Style 85 5 13" xfId="11427" xr:uid="{E79FFC12-2903-4ADD-A4C3-ED06E865157C}"/>
    <cellStyle name="Style 85 5 13 2" xfId="27413" xr:uid="{C83F2BBC-66B7-47C1-9352-254710D86BFC}"/>
    <cellStyle name="Style 85 5 14" xfId="11428" xr:uid="{403BB7C1-EC7D-4110-8226-E9CF5B3DE35C}"/>
    <cellStyle name="Style 85 5 14 2" xfId="27414" xr:uid="{DB5CA5DC-1CE3-4F35-9B22-6FBB162A6E85}"/>
    <cellStyle name="Style 85 5 15" xfId="11429" xr:uid="{4517A913-BC28-4F7B-9216-05ABC0152839}"/>
    <cellStyle name="Style 85 5 15 2" xfId="27415" xr:uid="{DF6DB79B-85CB-4E1E-BBC1-2A0F88475BD1}"/>
    <cellStyle name="Style 85 5 16" xfId="11430" xr:uid="{7DCF50FD-BB8B-4710-8835-BDA7B2E95FE2}"/>
    <cellStyle name="Style 85 5 16 2" xfId="27416" xr:uid="{BCFBDD59-F63F-4627-A972-15E6309EE63F}"/>
    <cellStyle name="Style 85 5 17" xfId="19159" xr:uid="{B097BC98-5E9E-46D4-9A03-5FBA1C7861CE}"/>
    <cellStyle name="Style 85 5 2" xfId="2245" xr:uid="{DD85F52F-174D-4A03-9E73-BBA07CC56AF3}"/>
    <cellStyle name="Style 85 5 2 10" xfId="11431" xr:uid="{5E6A66E5-416B-4DDA-AFB9-0F9ACF73CF82}"/>
    <cellStyle name="Style 85 5 2 10 2" xfId="27417" xr:uid="{98A0B574-34A4-46D8-819B-1706D9F10B27}"/>
    <cellStyle name="Style 85 5 2 11" xfId="11432" xr:uid="{582F5F50-58E8-403B-9486-CB770C6A4F26}"/>
    <cellStyle name="Style 85 5 2 11 2" xfId="27418" xr:uid="{DF78886F-F321-4F0F-B1FC-23BFF77EBDE2}"/>
    <cellStyle name="Style 85 5 2 12" xfId="11433" xr:uid="{C648EED8-5CF5-40E5-B88E-15F32FE33B5E}"/>
    <cellStyle name="Style 85 5 2 12 2" xfId="27419" xr:uid="{10135792-5F4D-4ED3-B745-65E4DE00EF9E}"/>
    <cellStyle name="Style 85 5 2 13" xfId="11434" xr:uid="{06A9C19A-CB4B-48FD-9A05-490453F56416}"/>
    <cellStyle name="Style 85 5 2 13 2" xfId="27420" xr:uid="{6C629883-500E-4B59-B9B4-887852CCF53C}"/>
    <cellStyle name="Style 85 5 2 14" xfId="11435" xr:uid="{712A336E-0877-424B-8843-9E198B445313}"/>
    <cellStyle name="Style 85 5 2 14 2" xfId="27421" xr:uid="{8E4E855C-2427-4646-BFE6-11CC10EADC8D}"/>
    <cellStyle name="Style 85 5 2 15" xfId="11436" xr:uid="{35DDEF15-2E7E-4976-AD33-724D8413C199}"/>
    <cellStyle name="Style 85 5 2 15 2" xfId="27422" xr:uid="{A29CA187-AABE-4392-A542-2E695F08E2DA}"/>
    <cellStyle name="Style 85 5 2 16" xfId="11437" xr:uid="{19ECE6F2-9CEA-4B21-996B-17C9C735C316}"/>
    <cellStyle name="Style 85 5 2 16 2" xfId="27423" xr:uid="{D576974E-B608-43F2-AACE-3776B224D1EA}"/>
    <cellStyle name="Style 85 5 2 17" xfId="19160" xr:uid="{9BE0B156-0AC6-4558-A4EE-E319B039FB18}"/>
    <cellStyle name="Style 85 5 2 2" xfId="2246" xr:uid="{7C04650A-EFD0-4FB7-9B0D-B758FED5B226}"/>
    <cellStyle name="Style 85 5 2 2 10" xfId="11438" xr:uid="{D8B9F60C-0C9D-4B1F-8826-E4940D311D48}"/>
    <cellStyle name="Style 85 5 2 2 10 2" xfId="27424" xr:uid="{3DA3633B-0010-4836-926E-A481EC7F91E1}"/>
    <cellStyle name="Style 85 5 2 2 11" xfId="11439" xr:uid="{12F0572C-B125-497E-8113-D33357C80F07}"/>
    <cellStyle name="Style 85 5 2 2 11 2" xfId="27425" xr:uid="{1A5C17C9-835D-493B-B2E6-07DC44661F81}"/>
    <cellStyle name="Style 85 5 2 2 12" xfId="11440" xr:uid="{C7F730AC-B926-4492-9A67-83E281A937D1}"/>
    <cellStyle name="Style 85 5 2 2 12 2" xfId="27426" xr:uid="{479F497C-6537-4059-9799-FA9A9F35285A}"/>
    <cellStyle name="Style 85 5 2 2 13" xfId="11441" xr:uid="{1CD08B4B-055B-4D6A-9A75-788C89FE17A7}"/>
    <cellStyle name="Style 85 5 2 2 13 2" xfId="27427" xr:uid="{3C7327EC-A3AF-4C01-8400-77E0714EC3E2}"/>
    <cellStyle name="Style 85 5 2 2 14" xfId="19161" xr:uid="{A61B1240-CCBE-4083-B583-F1B72645080F}"/>
    <cellStyle name="Style 85 5 2 2 2" xfId="4917" xr:uid="{10530987-9079-4877-8F0B-42F160C98A67}"/>
    <cellStyle name="Style 85 5 2 2 2 2" xfId="11442" xr:uid="{E856078F-59FF-410C-88AF-2423B369E75D}"/>
    <cellStyle name="Style 85 5 2 2 2 2 2" xfId="27428" xr:uid="{CBFD339E-707B-455D-ACBE-937F3FFA8BDB}"/>
    <cellStyle name="Style 85 5 2 2 2 3" xfId="11443" xr:uid="{A4A8A41B-734C-4CEC-A181-23DC44689453}"/>
    <cellStyle name="Style 85 5 2 2 2 3 2" xfId="27429" xr:uid="{1F45C7D8-E623-4B43-B71E-2489DC02FC38}"/>
    <cellStyle name="Style 85 5 2 2 3" xfId="4916" xr:uid="{957FD3BB-9C4A-4041-9076-0453D84032C5}"/>
    <cellStyle name="Style 85 5 2 2 3 2" xfId="11444" xr:uid="{1F3247EB-0B37-4193-9013-F241A318762C}"/>
    <cellStyle name="Style 85 5 2 2 3 2 2" xfId="27430" xr:uid="{6319070E-9E9F-4906-8CA6-FB29F7D5351E}"/>
    <cellStyle name="Style 85 5 2 2 4" xfId="11445" xr:uid="{0CB687A4-82A4-4552-A44F-91BC8B1BCC26}"/>
    <cellStyle name="Style 85 5 2 2 4 2" xfId="11446" xr:uid="{016009E0-E052-4CB0-8B76-F757EEDFA327}"/>
    <cellStyle name="Style 85 5 2 2 4 2 2" xfId="27431" xr:uid="{8C05CB24-12ED-4390-BF66-547CF43BC9BD}"/>
    <cellStyle name="Style 85 5 2 2 4 3" xfId="22329" xr:uid="{00F8A6C1-6EED-4E13-BEFE-25B5059C8FB5}"/>
    <cellStyle name="Style 85 5 2 2 5" xfId="11447" xr:uid="{1E3704C0-F9BA-4E4A-A992-3241A9BBA6BF}"/>
    <cellStyle name="Style 85 5 2 2 5 2" xfId="27432" xr:uid="{A004E5A9-B8F3-49CE-967C-7668B81F9C67}"/>
    <cellStyle name="Style 85 5 2 2 6" xfId="11448" xr:uid="{4A499A96-0AC8-4D45-B074-7EE14A43CC90}"/>
    <cellStyle name="Style 85 5 2 2 6 2" xfId="27433" xr:uid="{ED91972D-2108-468F-9701-9738F096EB1F}"/>
    <cellStyle name="Style 85 5 2 2 7" xfId="11449" xr:uid="{AEE0D9EB-D65C-4FD0-956E-0B340EB56898}"/>
    <cellStyle name="Style 85 5 2 2 7 2" xfId="27434" xr:uid="{C675CE4E-6D8C-443F-A6EB-FB6C02C5CF41}"/>
    <cellStyle name="Style 85 5 2 2 8" xfId="11450" xr:uid="{5508A2E1-049C-46EC-BA4B-5C29403343C2}"/>
    <cellStyle name="Style 85 5 2 2 8 2" xfId="27435" xr:uid="{DF121F0A-2FF4-4E45-944F-9E61A8D2ED2F}"/>
    <cellStyle name="Style 85 5 2 2 9" xfId="11451" xr:uid="{A7A3D151-56B6-42F8-BA09-5B6487EC6EB9}"/>
    <cellStyle name="Style 85 5 2 2 9 2" xfId="27436" xr:uid="{30D6A971-3855-46EE-A77D-75E858FF0799}"/>
    <cellStyle name="Style 85 5 2 3" xfId="2247" xr:uid="{9859924D-E012-4281-9682-A03851ED84F2}"/>
    <cellStyle name="Style 85 5 2 3 10" xfId="11452" xr:uid="{65592490-939B-4C62-9406-EB7C61A6F787}"/>
    <cellStyle name="Style 85 5 2 3 10 2" xfId="27437" xr:uid="{08BD59E7-0977-4AFC-A51B-DA5DA69FA40E}"/>
    <cellStyle name="Style 85 5 2 3 11" xfId="11453" xr:uid="{C79D6006-803E-4388-A8B9-5A8ACBCA2504}"/>
    <cellStyle name="Style 85 5 2 3 11 2" xfId="27438" xr:uid="{28F95C8B-9A54-47B2-9E7B-4F9837310441}"/>
    <cellStyle name="Style 85 5 2 3 12" xfId="11454" xr:uid="{FCFC0196-EACC-4274-A033-F0F7DF8D56C6}"/>
    <cellStyle name="Style 85 5 2 3 12 2" xfId="27439" xr:uid="{468552B0-1960-4D39-95F7-F6F6F0006170}"/>
    <cellStyle name="Style 85 5 2 3 13" xfId="11455" xr:uid="{D365273B-4163-4A8D-B529-A722BBA9D8C7}"/>
    <cellStyle name="Style 85 5 2 3 13 2" xfId="27440" xr:uid="{721B7A06-8836-4436-BC13-24EC62A39DF6}"/>
    <cellStyle name="Style 85 5 2 3 14" xfId="11456" xr:uid="{E84A7213-F2B2-4EA7-8321-4CF3350FDF52}"/>
    <cellStyle name="Style 85 5 2 3 14 2" xfId="27441" xr:uid="{8218548B-F582-4CEF-8C9F-57A5DB153B78}"/>
    <cellStyle name="Style 85 5 2 3 15" xfId="11457" xr:uid="{45955C67-C0A6-4CA6-A7FE-39E5F63FDE92}"/>
    <cellStyle name="Style 85 5 2 3 15 2" xfId="27442" xr:uid="{FCE574ED-28BC-4B34-ADCB-5013546EFEE5}"/>
    <cellStyle name="Style 85 5 2 3 16" xfId="19162" xr:uid="{F2684A0E-FA56-4C21-84A7-D4666C38F76F}"/>
    <cellStyle name="Style 85 5 2 3 2" xfId="2248" xr:uid="{0F2B4D3C-EFFB-4F35-8116-669AD7D64883}"/>
    <cellStyle name="Style 85 5 2 3 2 10" xfId="11458" xr:uid="{01E71E92-E783-464E-AE41-7B1A609A3C00}"/>
    <cellStyle name="Style 85 5 2 3 2 10 2" xfId="27443" xr:uid="{78035EBC-1A76-43CC-9D0D-AE8797413215}"/>
    <cellStyle name="Style 85 5 2 3 2 11" xfId="11459" xr:uid="{07528713-91EE-453C-934D-797FA622ACFA}"/>
    <cellStyle name="Style 85 5 2 3 2 11 2" xfId="27444" xr:uid="{239D88C4-0AF6-4704-BE26-0E96BBDAEA59}"/>
    <cellStyle name="Style 85 5 2 3 2 12" xfId="11460" xr:uid="{86903B30-E92F-48C8-8494-DADB48585F70}"/>
    <cellStyle name="Style 85 5 2 3 2 12 2" xfId="27445" xr:uid="{75DFAFD8-2206-4CAC-BBC3-0B27251FDF89}"/>
    <cellStyle name="Style 85 5 2 3 2 13" xfId="11461" xr:uid="{2D4D79C2-AB8E-4DD3-8013-52655AE1568F}"/>
    <cellStyle name="Style 85 5 2 3 2 13 2" xfId="27446" xr:uid="{F0731A15-7B63-49D5-9757-8563F4CB9168}"/>
    <cellStyle name="Style 85 5 2 3 2 14" xfId="19163" xr:uid="{7854BE79-E9F4-4621-B16A-1CE7B5184729}"/>
    <cellStyle name="Style 85 5 2 3 2 2" xfId="4920" xr:uid="{7706C336-2631-4947-8549-2CD84E093155}"/>
    <cellStyle name="Style 85 5 2 3 2 2 2" xfId="11462" xr:uid="{7D9F3A9C-E708-49E0-9651-40C8CB72861A}"/>
    <cellStyle name="Style 85 5 2 3 2 2 2 2" xfId="27447" xr:uid="{0CD4F852-09C8-4319-B194-9049636C353B}"/>
    <cellStyle name="Style 85 5 2 3 2 2 3" xfId="11463" xr:uid="{883AA645-A64F-444B-9CFC-C69C1DE9654F}"/>
    <cellStyle name="Style 85 5 2 3 2 2 3 2" xfId="27448" xr:uid="{5242FE09-B2F7-486E-B31F-4193C4BBB1F3}"/>
    <cellStyle name="Style 85 5 2 3 2 3" xfId="4919" xr:uid="{4A8957B8-A45A-4A6D-B3D1-238177928663}"/>
    <cellStyle name="Style 85 5 2 3 2 3 2" xfId="11464" xr:uid="{15E99FE6-528C-47BA-96BA-49C29127C7B8}"/>
    <cellStyle name="Style 85 5 2 3 2 3 2 2" xfId="27449" xr:uid="{2F32134D-EB5D-483B-871C-0609CBD4C266}"/>
    <cellStyle name="Style 85 5 2 3 2 4" xfId="11465" xr:uid="{4DA07A0E-0589-46C3-953F-CCB856AB528B}"/>
    <cellStyle name="Style 85 5 2 3 2 4 2" xfId="11466" xr:uid="{1F1B884F-2E71-4C72-BD2F-BB7BEC2B2415}"/>
    <cellStyle name="Style 85 5 2 3 2 4 2 2" xfId="27450" xr:uid="{ED922949-58FF-4B7A-8BA2-712B9772E777}"/>
    <cellStyle name="Style 85 5 2 3 2 4 3" xfId="22331" xr:uid="{467765B1-F835-4F42-B8EE-253B3868CA3D}"/>
    <cellStyle name="Style 85 5 2 3 2 5" xfId="11467" xr:uid="{802D70D4-8359-4893-8704-5A1594BA467F}"/>
    <cellStyle name="Style 85 5 2 3 2 5 2" xfId="27451" xr:uid="{EC723A64-C66A-425F-9245-CE8ECE4437CD}"/>
    <cellStyle name="Style 85 5 2 3 2 6" xfId="11468" xr:uid="{9B8F81E1-BBA0-4D99-82C6-20F611CCE6D3}"/>
    <cellStyle name="Style 85 5 2 3 2 6 2" xfId="27452" xr:uid="{D550DF4E-69C6-4651-A3B8-AEA65A290360}"/>
    <cellStyle name="Style 85 5 2 3 2 7" xfId="11469" xr:uid="{8006B7FA-FA9D-4C38-9A8B-48BCD0F0119B}"/>
    <cellStyle name="Style 85 5 2 3 2 7 2" xfId="27453" xr:uid="{798B179B-9354-4D69-AD08-142F1C96A182}"/>
    <cellStyle name="Style 85 5 2 3 2 8" xfId="11470" xr:uid="{A03F6E39-96B2-4C02-B81B-ACB99675DF88}"/>
    <cellStyle name="Style 85 5 2 3 2 8 2" xfId="27454" xr:uid="{388AC088-D163-461B-AC53-1F478BA8B1C7}"/>
    <cellStyle name="Style 85 5 2 3 2 9" xfId="11471" xr:uid="{610EDC58-2EFE-48D6-9BCE-7DA5FC140313}"/>
    <cellStyle name="Style 85 5 2 3 2 9 2" xfId="27455" xr:uid="{F2B3F20F-6048-407D-AD67-713AF3D7560B}"/>
    <cellStyle name="Style 85 5 2 3 3" xfId="4921" xr:uid="{1CCDB35F-72D9-4631-8948-BC068BC11454}"/>
    <cellStyle name="Style 85 5 2 3 3 2" xfId="4922" xr:uid="{6A6F8911-CB98-4DFC-8EDA-D45BBF768A62}"/>
    <cellStyle name="Style 85 5 2 3 3 2 2" xfId="11472" xr:uid="{BB2A267F-78A6-4675-ACD7-C291187BB929}"/>
    <cellStyle name="Style 85 5 2 3 3 2 2 2" xfId="27456" xr:uid="{08FDED3A-5E32-4724-BACF-D5D390B89B6B}"/>
    <cellStyle name="Style 85 5 2 3 3 2 3" xfId="11473" xr:uid="{C88D03DF-2371-4DD1-9561-4B73C49B0596}"/>
    <cellStyle name="Style 85 5 2 3 3 2 3 2" xfId="27457" xr:uid="{73CFF7FD-7909-4261-BCE9-51C586DA4D31}"/>
    <cellStyle name="Style 85 5 2 3 3 3" xfId="11474" xr:uid="{8869CD8D-DCBC-484A-8BDE-B400864ECF91}"/>
    <cellStyle name="Style 85 5 2 3 3 3 2" xfId="27458" xr:uid="{4D5F6F97-D540-4516-AE22-0BA32BFB840D}"/>
    <cellStyle name="Style 85 5 2 3 3 4" xfId="11475" xr:uid="{C3180A36-3600-4F47-873C-BC4D5D9F94C9}"/>
    <cellStyle name="Style 85 5 2 3 3 4 2" xfId="27459" xr:uid="{EC65A3A0-116B-4C4B-9415-7FC1E10C1034}"/>
    <cellStyle name="Style 85 5 2 3 3 5" xfId="11476" xr:uid="{D944604F-FF21-4AD7-827F-C6CA6F0AF104}"/>
    <cellStyle name="Style 85 5 2 3 3 5 2" xfId="27460" xr:uid="{0EA385E3-B82B-4E07-8ED5-9D67DEA5E537}"/>
    <cellStyle name="Style 85 5 2 3 3 6" xfId="19164" xr:uid="{D23F7A1E-12B6-4A4B-8295-C1AEC5C4EC2F}"/>
    <cellStyle name="Style 85 5 2 3 4" xfId="4923" xr:uid="{8B2357DE-0A83-4C67-A48E-743298B51043}"/>
    <cellStyle name="Style 85 5 2 3 4 2" xfId="11477" xr:uid="{8F122BA2-C9AA-4422-8DD3-CDD4B31D7148}"/>
    <cellStyle name="Style 85 5 2 3 4 2 2" xfId="27461" xr:uid="{2E365C3D-A947-45B6-A71A-A29CD9D1A6FE}"/>
    <cellStyle name="Style 85 5 2 3 4 3" xfId="11478" xr:uid="{573BEDB6-0E7C-4414-AA90-14DC25921931}"/>
    <cellStyle name="Style 85 5 2 3 4 3 2" xfId="27462" xr:uid="{FF7F607A-2497-48D6-99AE-5646E7C20C3D}"/>
    <cellStyle name="Style 85 5 2 3 5" xfId="4924" xr:uid="{37E7D3CA-AE9A-4A0B-976C-1F20A694BF26}"/>
    <cellStyle name="Style 85 5 2 3 5 2" xfId="11479" xr:uid="{8F5C96FC-5EB1-4A48-B48B-05BFB120657F}"/>
    <cellStyle name="Style 85 5 2 3 5 2 2" xfId="27463" xr:uid="{692DE733-967B-4FC7-88BC-D266A46CA45F}"/>
    <cellStyle name="Style 85 5 2 3 6" xfId="4918" xr:uid="{017F3629-5CA7-4B73-B60D-2B7407C6AB62}"/>
    <cellStyle name="Style 85 5 2 3 6 2" xfId="11480" xr:uid="{0C32AE58-D9C2-43A0-9E54-AE8919BE8888}"/>
    <cellStyle name="Style 85 5 2 3 6 2 2" xfId="27464" xr:uid="{73E7DB96-65F5-4394-AFDD-DF07CA27AAA2}"/>
    <cellStyle name="Style 85 5 2 3 7" xfId="11481" xr:uid="{08DB74A3-B272-4BC0-9AC5-9E661BE1FCCD}"/>
    <cellStyle name="Style 85 5 2 3 7 2" xfId="11482" xr:uid="{3377C253-3BFD-4A9D-B9B4-728DF5BA22BB}"/>
    <cellStyle name="Style 85 5 2 3 7 2 2" xfId="27465" xr:uid="{AA6650AA-2C37-402D-A3C1-9D01E0432B8D}"/>
    <cellStyle name="Style 85 5 2 3 7 3" xfId="22330" xr:uid="{85B42659-64F3-4A67-9283-D1C07E9D9E83}"/>
    <cellStyle name="Style 85 5 2 3 8" xfId="11483" xr:uid="{3DB12932-9F5D-4BEB-A99C-CBBC0F26F6EF}"/>
    <cellStyle name="Style 85 5 2 3 8 2" xfId="27466" xr:uid="{1B70FAED-8D19-4E2B-A2DE-021613AC1953}"/>
    <cellStyle name="Style 85 5 2 3 9" xfId="11484" xr:uid="{D2BEE671-E6EB-4812-B49C-1E87287DB740}"/>
    <cellStyle name="Style 85 5 2 3 9 2" xfId="27467" xr:uid="{5857F3CF-A9E3-46A6-9B7B-AC0625566312}"/>
    <cellStyle name="Style 85 5 2 4" xfId="2249" xr:uid="{DFAF0E2F-F699-4789-84DF-D6F24ED4697D}"/>
    <cellStyle name="Style 85 5 2 4 10" xfId="11485" xr:uid="{F2F0487A-5E2A-4767-9829-550EF054FA2B}"/>
    <cellStyle name="Style 85 5 2 4 10 2" xfId="27468" xr:uid="{94DA35FE-1185-4E52-82A5-73C78978A4F3}"/>
    <cellStyle name="Style 85 5 2 4 11" xfId="11486" xr:uid="{F54A9337-B129-45AE-863A-1D38A7C58913}"/>
    <cellStyle name="Style 85 5 2 4 11 2" xfId="27469" xr:uid="{8853D0BD-3EAF-4EF8-8CAC-30A239BB7982}"/>
    <cellStyle name="Style 85 5 2 4 12" xfId="11487" xr:uid="{23B15288-C829-463C-B9D6-6BEF3BC5E9DF}"/>
    <cellStyle name="Style 85 5 2 4 12 2" xfId="27470" xr:uid="{990C98B8-4B4F-4E0A-9217-A4C1D5B8C3AF}"/>
    <cellStyle name="Style 85 5 2 4 13" xfId="11488" xr:uid="{A508CCA5-46E9-4A82-80F0-A527B2E1C7DA}"/>
    <cellStyle name="Style 85 5 2 4 13 2" xfId="27471" xr:uid="{368DA4B3-0178-418C-891D-47939F897DF1}"/>
    <cellStyle name="Style 85 5 2 4 14" xfId="11489" xr:uid="{5D3BE6DD-D80C-4F02-B355-1B91078E19EE}"/>
    <cellStyle name="Style 85 5 2 4 14 2" xfId="27472" xr:uid="{E2C72E69-14DB-4854-9C9A-18346A2DCFC5}"/>
    <cellStyle name="Style 85 5 2 4 15" xfId="19165" xr:uid="{03F6D33B-92C7-4B40-847D-3217414E0628}"/>
    <cellStyle name="Style 85 5 2 4 2" xfId="2250" xr:uid="{9EA0214E-1AAD-4DF7-AB9C-D898180DF6CE}"/>
    <cellStyle name="Style 85 5 2 4 2 10" xfId="11490" xr:uid="{8ABB4564-04E0-46C7-AFE7-33D384E09ABC}"/>
    <cellStyle name="Style 85 5 2 4 2 10 2" xfId="27473" xr:uid="{45D9ABAF-FC27-4053-8F7D-808364E0B7D7}"/>
    <cellStyle name="Style 85 5 2 4 2 11" xfId="11491" xr:uid="{1B137A56-D7F7-4E2D-BD28-77A7D8BDDFD4}"/>
    <cellStyle name="Style 85 5 2 4 2 11 2" xfId="27474" xr:uid="{4F6EA324-38C5-45CF-B688-F54E23AFBC8C}"/>
    <cellStyle name="Style 85 5 2 4 2 12" xfId="11492" xr:uid="{64B0CF0A-9F02-4982-A126-6E1858C07617}"/>
    <cellStyle name="Style 85 5 2 4 2 12 2" xfId="27475" xr:uid="{8A560B94-3B22-4AA2-9A9C-A36F59B5F1F7}"/>
    <cellStyle name="Style 85 5 2 4 2 13" xfId="11493" xr:uid="{276D1057-0803-4A57-AC70-9FE0B375E9D8}"/>
    <cellStyle name="Style 85 5 2 4 2 13 2" xfId="27476" xr:uid="{EC012B56-962F-4703-823F-3E61DDA61656}"/>
    <cellStyle name="Style 85 5 2 4 2 14" xfId="19166" xr:uid="{EC5AC9ED-3D27-4C51-B8A4-38A702830285}"/>
    <cellStyle name="Style 85 5 2 4 2 2" xfId="4927" xr:uid="{8FF34CD8-AA70-4104-A93D-0FFE5A2475DE}"/>
    <cellStyle name="Style 85 5 2 4 2 2 2" xfId="11494" xr:uid="{694480D4-EF92-4966-B3A4-63C02D498C49}"/>
    <cellStyle name="Style 85 5 2 4 2 2 2 2" xfId="27477" xr:uid="{CA34EAE2-14A2-4A6B-A329-5DDD7F43CAE9}"/>
    <cellStyle name="Style 85 5 2 4 2 2 3" xfId="11495" xr:uid="{1714EA53-FDB6-4AC6-8277-DCEF2AD3F68C}"/>
    <cellStyle name="Style 85 5 2 4 2 2 3 2" xfId="27478" xr:uid="{DBF1347D-514B-4C20-A406-AD4317155952}"/>
    <cellStyle name="Style 85 5 2 4 2 3" xfId="4926" xr:uid="{66B8C098-D916-40E1-B330-6E0C395205DF}"/>
    <cellStyle name="Style 85 5 2 4 2 3 2" xfId="11496" xr:uid="{8DB6B76D-4EFA-4F5A-B205-7ED93C0D0D6F}"/>
    <cellStyle name="Style 85 5 2 4 2 3 2 2" xfId="27479" xr:uid="{D83CBE9B-347C-497A-A601-956D60F758DF}"/>
    <cellStyle name="Style 85 5 2 4 2 4" xfId="11497" xr:uid="{825CD08B-135A-43D4-84C6-87687E9EB3DA}"/>
    <cellStyle name="Style 85 5 2 4 2 4 2" xfId="11498" xr:uid="{DAC69D40-BC90-4A0E-82F3-11C3A8E5C955}"/>
    <cellStyle name="Style 85 5 2 4 2 4 2 2" xfId="27480" xr:uid="{365568A5-B25A-479B-B85E-3B3FF83D1B0B}"/>
    <cellStyle name="Style 85 5 2 4 2 4 3" xfId="22333" xr:uid="{C84FC8E3-5359-4CE3-BF31-55416542351F}"/>
    <cellStyle name="Style 85 5 2 4 2 5" xfId="11499" xr:uid="{1EED58BA-805A-4B69-A0BC-7C72C852C834}"/>
    <cellStyle name="Style 85 5 2 4 2 5 2" xfId="27481" xr:uid="{7470179B-0827-4440-A32F-5CAC1FE92EBD}"/>
    <cellStyle name="Style 85 5 2 4 2 6" xfId="11500" xr:uid="{B8F48158-987C-48C9-9DA1-2217B8939375}"/>
    <cellStyle name="Style 85 5 2 4 2 6 2" xfId="27482" xr:uid="{AF94A81E-6BE4-4576-AD0D-88364D3A04C3}"/>
    <cellStyle name="Style 85 5 2 4 2 7" xfId="11501" xr:uid="{159B4BA4-B19D-4C87-B180-D03568671AEB}"/>
    <cellStyle name="Style 85 5 2 4 2 7 2" xfId="27483" xr:uid="{CE2F2344-1653-4FE1-B9DE-4B62CA7D443D}"/>
    <cellStyle name="Style 85 5 2 4 2 8" xfId="11502" xr:uid="{A3891813-2FF6-45DC-9256-5F5CA0165D1B}"/>
    <cellStyle name="Style 85 5 2 4 2 8 2" xfId="27484" xr:uid="{979BBCE4-317F-4C06-BED8-F4DFBCF229F3}"/>
    <cellStyle name="Style 85 5 2 4 2 9" xfId="11503" xr:uid="{0F5477D1-33FB-4EA9-A7EF-3CA04260FC38}"/>
    <cellStyle name="Style 85 5 2 4 2 9 2" xfId="27485" xr:uid="{8DA498AE-2087-45E3-8351-07556A725B3C}"/>
    <cellStyle name="Style 85 5 2 4 3" xfId="4928" xr:uid="{A017F53E-A02D-442F-AE9A-2AB4C626E10A}"/>
    <cellStyle name="Style 85 5 2 4 3 2" xfId="11504" xr:uid="{DB76D34F-1A7C-47CA-A654-06C366A63B94}"/>
    <cellStyle name="Style 85 5 2 4 3 2 2" xfId="27486" xr:uid="{68E7CA0D-CD0A-46E1-BC8A-1DB6BE1BB81B}"/>
    <cellStyle name="Style 85 5 2 4 3 3" xfId="11505" xr:uid="{22683BC8-BD05-4A1B-B220-D61709A8957B}"/>
    <cellStyle name="Style 85 5 2 4 3 3 2" xfId="27487" xr:uid="{A0F0E5C6-F720-451E-BE6F-929E716FC82D}"/>
    <cellStyle name="Style 85 5 2 4 4" xfId="4925" xr:uid="{C7E5DDF4-66C0-4D50-9F33-8AC02F9E1511}"/>
    <cellStyle name="Style 85 5 2 4 4 2" xfId="11506" xr:uid="{FE11199F-099E-4C52-8716-1B9B7D18A5F0}"/>
    <cellStyle name="Style 85 5 2 4 4 2 2" xfId="27488" xr:uid="{4EC5109B-3499-4911-AC9A-60F80CED886E}"/>
    <cellStyle name="Style 85 5 2 4 5" xfId="11507" xr:uid="{295C66BD-E0CB-4402-A66E-91C383663723}"/>
    <cellStyle name="Style 85 5 2 4 5 2" xfId="11508" xr:uid="{3BD314BA-0D88-41AF-BE03-4E46E2C931D8}"/>
    <cellStyle name="Style 85 5 2 4 5 2 2" xfId="27489" xr:uid="{812E94AD-73E4-4825-B116-57E3CC439B2F}"/>
    <cellStyle name="Style 85 5 2 4 5 3" xfId="22332" xr:uid="{260A6FEA-8EA5-4E77-B1F9-301FFD7B78E5}"/>
    <cellStyle name="Style 85 5 2 4 6" xfId="11509" xr:uid="{4E191E48-7C5C-4856-B35E-FCEE0970485D}"/>
    <cellStyle name="Style 85 5 2 4 6 2" xfId="27490" xr:uid="{73E18847-3CE9-4277-B685-EDED72441D4B}"/>
    <cellStyle name="Style 85 5 2 4 7" xfId="11510" xr:uid="{FA015AB2-B13F-499E-9AA3-AC6DC615FAB0}"/>
    <cellStyle name="Style 85 5 2 4 7 2" xfId="27491" xr:uid="{67E8D2FA-CC51-4511-A3BB-AF7AA2589BA7}"/>
    <cellStyle name="Style 85 5 2 4 8" xfId="11511" xr:uid="{9E1B2145-80AF-498D-AA42-711D3EAB2298}"/>
    <cellStyle name="Style 85 5 2 4 8 2" xfId="27492" xr:uid="{83FE1338-5407-4750-8205-55FA9E6F929B}"/>
    <cellStyle name="Style 85 5 2 4 9" xfId="11512" xr:uid="{6CE9419A-16E4-4321-9632-6F31BFB442FD}"/>
    <cellStyle name="Style 85 5 2 4 9 2" xfId="27493" xr:uid="{C2B26FD5-0E07-40C5-AD2B-F88DB5D533ED}"/>
    <cellStyle name="Style 85 5 2 5" xfId="4929" xr:uid="{1B12C426-A03B-4FCB-8711-D98253B1CA3A}"/>
    <cellStyle name="Style 85 5 2 5 2" xfId="11513" xr:uid="{27E5A2D4-BC1F-4C3B-8247-E725297B2B3E}"/>
    <cellStyle name="Style 85 5 2 5 2 2" xfId="27494" xr:uid="{497C89CF-BECA-4CB0-BB5F-C0ABED9FD015}"/>
    <cellStyle name="Style 85 5 2 5 3" xfId="11514" xr:uid="{3E794A4C-63E1-4F47-87E5-9CB983C12737}"/>
    <cellStyle name="Style 85 5 2 5 3 2" xfId="27495" xr:uid="{35A011ED-464B-46BE-90FA-FA3011298FCA}"/>
    <cellStyle name="Style 85 5 2 6" xfId="4930" xr:uid="{A855DCD9-8F96-4D7B-A480-750EEE6C585C}"/>
    <cellStyle name="Style 85 5 2 6 2" xfId="11515" xr:uid="{6840F321-8782-4AFA-AE02-5877D340916D}"/>
    <cellStyle name="Style 85 5 2 6 2 2" xfId="27496" xr:uid="{853D00CF-BCC7-452C-A01D-BC90B90AEAF3}"/>
    <cellStyle name="Style 85 5 2 7" xfId="4915" xr:uid="{68F0701C-B438-476F-B111-C41B715DA66C}"/>
    <cellStyle name="Style 85 5 2 7 2" xfId="11516" xr:uid="{929693DA-14A3-4927-8B86-287833133EF5}"/>
    <cellStyle name="Style 85 5 2 7 2 2" xfId="27497" xr:uid="{EE17BDB9-5E10-4BA6-A485-6EC17A14F73F}"/>
    <cellStyle name="Style 85 5 2 8" xfId="11517" xr:uid="{3AC7A493-BC7B-4F69-AE5C-2855A56A649F}"/>
    <cellStyle name="Style 85 5 2 8 2" xfId="11518" xr:uid="{DE8A16AD-75E3-4F39-9F32-C0A58D977AB9}"/>
    <cellStyle name="Style 85 5 2 8 2 2" xfId="27498" xr:uid="{8A47D207-FD53-4A12-A134-9300837CAB7E}"/>
    <cellStyle name="Style 85 5 2 8 3" xfId="22328" xr:uid="{5E660555-FAF0-4CBB-AE6D-991556F956D5}"/>
    <cellStyle name="Style 85 5 2 9" xfId="11519" xr:uid="{5E595C9A-E732-4B13-9E66-730BA31FACF8}"/>
    <cellStyle name="Style 85 5 2 9 2" xfId="27499" xr:uid="{D082B2C5-8C84-412A-95FE-D4E1BB7894CD}"/>
    <cellStyle name="Style 85 5 3" xfId="2251" xr:uid="{9D09729E-311F-4A95-8FB3-C63327B03DBE}"/>
    <cellStyle name="Style 85 5 3 10" xfId="11520" xr:uid="{063D4595-192E-4DC2-948F-9449B6E3C3F0}"/>
    <cellStyle name="Style 85 5 3 10 2" xfId="27500" xr:uid="{0F955A76-83FF-481C-A875-F3A5C3764A98}"/>
    <cellStyle name="Style 85 5 3 11" xfId="11521" xr:uid="{E2686665-2506-41D6-8B85-CA7E3AD6A56C}"/>
    <cellStyle name="Style 85 5 3 11 2" xfId="27501" xr:uid="{1FE11222-F567-483F-B9C2-65E7BF5C43DA}"/>
    <cellStyle name="Style 85 5 3 12" xfId="11522" xr:uid="{3E48E82E-3B11-4163-BCCA-ADC14D06AE90}"/>
    <cellStyle name="Style 85 5 3 12 2" xfId="27502" xr:uid="{83208CF7-DF8F-4945-9731-C5042436ADBB}"/>
    <cellStyle name="Style 85 5 3 13" xfId="11523" xr:uid="{C8DC9940-A994-464C-AD18-B26518D88457}"/>
    <cellStyle name="Style 85 5 3 13 2" xfId="27503" xr:uid="{F609AE73-D503-47D8-917A-E4EFDE15290A}"/>
    <cellStyle name="Style 85 5 3 14" xfId="19167" xr:uid="{5F5B51C7-5D90-4F4F-968D-2D6AB0AF40B3}"/>
    <cellStyle name="Style 85 5 3 2" xfId="4932" xr:uid="{9B27C2DE-C81D-4DC9-A75F-F514D0E41D6D}"/>
    <cellStyle name="Style 85 5 3 2 2" xfId="11524" xr:uid="{D5B20835-BDB6-493A-9F26-4CF4426B65D6}"/>
    <cellStyle name="Style 85 5 3 2 2 2" xfId="27504" xr:uid="{06C07BAF-1D23-4F6C-B9E0-F51C3C581CA0}"/>
    <cellStyle name="Style 85 5 3 2 3" xfId="11525" xr:uid="{3D5B61B1-FD0D-48D0-8AEB-7D806FAFC525}"/>
    <cellStyle name="Style 85 5 3 2 3 2" xfId="27505" xr:uid="{0BF8E158-7597-40AC-B72C-3DF69273AED1}"/>
    <cellStyle name="Style 85 5 3 3" xfId="4931" xr:uid="{A5E28B94-0D0C-4C8F-842B-F2AA2895FF6D}"/>
    <cellStyle name="Style 85 5 3 3 2" xfId="11526" xr:uid="{1FAFDAAC-978A-4058-B98B-69DDC749CE24}"/>
    <cellStyle name="Style 85 5 3 3 2 2" xfId="27506" xr:uid="{5C964A9A-5D7E-44E6-AC0E-05171AD3E194}"/>
    <cellStyle name="Style 85 5 3 4" xfId="11527" xr:uid="{982E0C23-EE76-4734-BA40-4806D2A9E6F2}"/>
    <cellStyle name="Style 85 5 3 4 2" xfId="11528" xr:uid="{5248D0D9-64AD-489E-AD76-BC5E7E1B42BB}"/>
    <cellStyle name="Style 85 5 3 4 2 2" xfId="27507" xr:uid="{194D64D1-4635-4F23-A093-3DA483285485}"/>
    <cellStyle name="Style 85 5 3 4 3" xfId="22334" xr:uid="{781D0141-B759-4827-A1FC-C4E5F37BD129}"/>
    <cellStyle name="Style 85 5 3 5" xfId="11529" xr:uid="{46D8DF61-073D-46BD-8320-21ADAECA4ADF}"/>
    <cellStyle name="Style 85 5 3 5 2" xfId="27508" xr:uid="{DEE0AB30-BCC1-48A4-820B-07680F98CFE2}"/>
    <cellStyle name="Style 85 5 3 6" xfId="11530" xr:uid="{6193D18C-2BB2-462A-AED4-AA7331F05CAB}"/>
    <cellStyle name="Style 85 5 3 6 2" xfId="27509" xr:uid="{851794F7-B3B4-4EE0-938B-6770FA5E7A49}"/>
    <cellStyle name="Style 85 5 3 7" xfId="11531" xr:uid="{7D4409E8-2303-4455-9C0B-CF808FDF8F50}"/>
    <cellStyle name="Style 85 5 3 7 2" xfId="27510" xr:uid="{6CCE9323-32B5-4BB0-8B11-61C2AC14E675}"/>
    <cellStyle name="Style 85 5 3 8" xfId="11532" xr:uid="{5AAA09FE-B839-4D3F-844A-5C443EBC3E3C}"/>
    <cellStyle name="Style 85 5 3 8 2" xfId="27511" xr:uid="{FE144BE0-309C-47C9-B515-7941015F9C21}"/>
    <cellStyle name="Style 85 5 3 9" xfId="11533" xr:uid="{731A6ABA-18A9-4EE8-A9C5-3550FA278884}"/>
    <cellStyle name="Style 85 5 3 9 2" xfId="27512" xr:uid="{A523AF5B-9E54-43D0-9356-F7935A07E274}"/>
    <cellStyle name="Style 85 5 4" xfId="4933" xr:uid="{B5243BD2-3AD0-4810-9921-F3820C3561B9}"/>
    <cellStyle name="Style 85 5 4 2" xfId="4934" xr:uid="{8C891C17-49F3-4884-8895-6C568D5FEC6D}"/>
    <cellStyle name="Style 85 5 4 2 2" xfId="11534" xr:uid="{870589DC-D59B-418D-8F38-D2AEBEF93626}"/>
    <cellStyle name="Style 85 5 4 2 2 2" xfId="27513" xr:uid="{F323AD27-CDC8-4BE7-BECE-642A20E92825}"/>
    <cellStyle name="Style 85 5 4 2 3" xfId="11535" xr:uid="{5075414C-239C-4B49-82B4-028109E574DE}"/>
    <cellStyle name="Style 85 5 4 2 3 2" xfId="27514" xr:uid="{83792D09-B76C-4E1C-A86B-3D8ADA3ED10C}"/>
    <cellStyle name="Style 85 5 4 3" xfId="4935" xr:uid="{13BB6593-0E82-42F9-A99B-10F27B6A920A}"/>
    <cellStyle name="Style 85 5 4 3 2" xfId="11536" xr:uid="{1D0D07ED-2026-438C-A016-111BB444B5BC}"/>
    <cellStyle name="Style 85 5 4 3 2 2" xfId="27515" xr:uid="{D48B9FAF-3009-47F4-BD07-D93F0F35BCC6}"/>
    <cellStyle name="Style 85 5 4 4" xfId="11537" xr:uid="{F5835E68-AFE6-417D-BB0A-8BAC0D0885E9}"/>
    <cellStyle name="Style 85 5 4 4 2" xfId="27516" xr:uid="{A86A1424-A6CE-40AD-85F4-69C88946A9B7}"/>
    <cellStyle name="Style 85 5 4 5" xfId="11538" xr:uid="{52C3CE39-C0A6-426C-BDF4-309CB2A123D4}"/>
    <cellStyle name="Style 85 5 4 5 2" xfId="27517" xr:uid="{B3CF46B9-D69D-40AF-905E-CE743EFF55EF}"/>
    <cellStyle name="Style 85 5 4 6" xfId="19168" xr:uid="{613E5FF6-7812-4863-983E-A4C1BAA63DCF}"/>
    <cellStyle name="Style 85 5 5" xfId="4936" xr:uid="{7123EE6A-D766-48D9-84EB-4A7F8B403AFB}"/>
    <cellStyle name="Style 85 5 5 2" xfId="11539" xr:uid="{7E9128DF-7CF4-4CB8-A439-3B6144DD739A}"/>
    <cellStyle name="Style 85 5 5 2 2" xfId="27518" xr:uid="{98081758-0F10-4E4E-80C8-FE2147957E80}"/>
    <cellStyle name="Style 85 5 5 3" xfId="11540" xr:uid="{3F285001-4B98-40D6-AF36-DCD55CE61723}"/>
    <cellStyle name="Style 85 5 5 3 2" xfId="27519" xr:uid="{1F3E1A5A-DF52-425E-A7CA-9E4A8E664E34}"/>
    <cellStyle name="Style 85 5 6" xfId="4914" xr:uid="{F59CB74F-DAF7-4DF5-BB1A-466B2C7C7BF1}"/>
    <cellStyle name="Style 85 5 6 2" xfId="11541" xr:uid="{0D339C79-092E-4713-9837-8CA9D5D0D1DF}"/>
    <cellStyle name="Style 85 5 6 2 2" xfId="27520" xr:uid="{8F80EEAD-45DA-4226-9A71-AC654F9C4850}"/>
    <cellStyle name="Style 85 5 7" xfId="2969" xr:uid="{0988B148-5B63-47B9-9C07-630022BE0FB4}"/>
    <cellStyle name="Style 85 5 7 2" xfId="11542" xr:uid="{3EBC767F-02C8-42AE-B3D1-1BD8CCF8DB9C}"/>
    <cellStyle name="Style 85 5 7 2 2" xfId="27521" xr:uid="{5D465A7C-A989-41F2-9133-2D1B10BEA4C9}"/>
    <cellStyle name="Style 85 5 7 3" xfId="21321" xr:uid="{76B8ECCD-B71D-49A8-9CD5-861988C89731}"/>
    <cellStyle name="Style 85 5 8" xfId="11543" xr:uid="{461DDA44-FDAC-4625-A541-55F6CEAC5465}"/>
    <cellStyle name="Style 85 5 8 2" xfId="11544" xr:uid="{506DE1C1-FD88-424B-8E56-B18BB7C6AA44}"/>
    <cellStyle name="Style 85 5 8 2 2" xfId="27522" xr:uid="{4EC89C54-5E54-4E7A-AF9E-EBDDC7E7256F}"/>
    <cellStyle name="Style 85 5 8 3" xfId="22327" xr:uid="{AC5345B1-A8AB-4FFC-998D-0328235107CA}"/>
    <cellStyle name="Style 85 5 9" xfId="11545" xr:uid="{12EF5458-B15F-4030-9990-C612F0F67CDA}"/>
    <cellStyle name="Style 85 5 9 2" xfId="27523" xr:uid="{08F6D692-6871-4479-9082-70193E05F9D9}"/>
    <cellStyle name="Style 85 6" xfId="2252" xr:uid="{F8FE0598-4F4B-4AFE-A465-D0521D157615}"/>
    <cellStyle name="Style 85 6 10" xfId="11546" xr:uid="{E7EC958D-0D0C-40EB-A0CB-CE6AB0A2D2D7}"/>
    <cellStyle name="Style 85 6 10 2" xfId="27524" xr:uid="{D3D4AB39-008B-4078-81B9-05C6337D748E}"/>
    <cellStyle name="Style 85 6 11" xfId="11547" xr:uid="{A2CC2963-E3C7-4070-B27A-1CA0B616975D}"/>
    <cellStyle name="Style 85 6 11 2" xfId="27525" xr:uid="{863E7706-1E3C-4BB8-B36C-CDBC5846DD14}"/>
    <cellStyle name="Style 85 6 12" xfId="11548" xr:uid="{A9D28875-04E0-418D-8594-49BB7FB4050C}"/>
    <cellStyle name="Style 85 6 12 2" xfId="27526" xr:uid="{A128650D-DC71-4F77-AC40-A0FE10DC50E7}"/>
    <cellStyle name="Style 85 6 13" xfId="11549" xr:uid="{C390B1F4-0FEB-4800-A983-EF6B1B211A81}"/>
    <cellStyle name="Style 85 6 13 2" xfId="27527" xr:uid="{5DA12C82-1FDC-479F-BBB6-7CD5F0577874}"/>
    <cellStyle name="Style 85 6 14" xfId="11550" xr:uid="{2F72075D-B6BB-4A9E-811F-5110B792E369}"/>
    <cellStyle name="Style 85 6 14 2" xfId="27528" xr:uid="{C8B3B20E-6826-466E-99F6-7633301EEE7B}"/>
    <cellStyle name="Style 85 6 15" xfId="11551" xr:uid="{4AE473A3-5F1B-45D7-A284-BC3BF5D975C1}"/>
    <cellStyle name="Style 85 6 15 2" xfId="27529" xr:uid="{EA8B0B91-6D30-4F82-8789-C98F66596B46}"/>
    <cellStyle name="Style 85 6 16" xfId="11552" xr:uid="{28E865EE-C70F-47EB-A74F-A93765256261}"/>
    <cellStyle name="Style 85 6 16 2" xfId="27530" xr:uid="{016959FA-DE85-4094-AAE4-822F5E43CCA2}"/>
    <cellStyle name="Style 85 6 17" xfId="11553" xr:uid="{1A6C5D8D-B9B7-42DD-BC76-31519545FEA5}"/>
    <cellStyle name="Style 85 6 17 2" xfId="27531" xr:uid="{98B693E5-69AC-4FC1-865A-B4387589AC86}"/>
    <cellStyle name="Style 85 6 18" xfId="19169" xr:uid="{F7BC6556-0EDA-4451-B72F-6C1AAF444ABE}"/>
    <cellStyle name="Style 85 6 2" xfId="2253" xr:uid="{479233B1-6343-492F-9E7C-3F565C7287D3}"/>
    <cellStyle name="Style 85 6 2 10" xfId="11554" xr:uid="{0B1E4021-634C-44CA-AC9E-A9784FD97D55}"/>
    <cellStyle name="Style 85 6 2 10 2" xfId="27532" xr:uid="{6EA3837D-E330-4BA4-91BA-891F2ABE142F}"/>
    <cellStyle name="Style 85 6 2 11" xfId="11555" xr:uid="{C344FA82-7B85-43B4-BC7A-6A325B707E73}"/>
    <cellStyle name="Style 85 6 2 11 2" xfId="27533" xr:uid="{BB489B95-B2A4-4B26-83E2-37D1DA7A146D}"/>
    <cellStyle name="Style 85 6 2 12" xfId="11556" xr:uid="{D36CC6A5-8043-460A-A72C-A9FBF26D3521}"/>
    <cellStyle name="Style 85 6 2 12 2" xfId="27534" xr:uid="{7608018E-16CE-4855-A6F5-927892B63CBA}"/>
    <cellStyle name="Style 85 6 2 13" xfId="11557" xr:uid="{BCF89308-EA41-45B1-B4C4-31C10A529FB3}"/>
    <cellStyle name="Style 85 6 2 13 2" xfId="27535" xr:uid="{DDBF2915-FB96-49B6-8942-FADB30CF8199}"/>
    <cellStyle name="Style 85 6 2 14" xfId="19170" xr:uid="{CAD141E0-8B56-4B2E-BA87-7D3BBC411652}"/>
    <cellStyle name="Style 85 6 2 2" xfId="4939" xr:uid="{A7E7220B-4243-44D5-8FCE-E89933473AFD}"/>
    <cellStyle name="Style 85 6 2 2 2" xfId="11558" xr:uid="{79548229-EC6C-4935-B1F4-B0BB5C08EC7C}"/>
    <cellStyle name="Style 85 6 2 2 2 2" xfId="27536" xr:uid="{D5331DF9-A18C-40A9-8FCB-1233BA789421}"/>
    <cellStyle name="Style 85 6 2 2 3" xfId="11559" xr:uid="{7B35834B-6B01-4631-9C70-E2D441434972}"/>
    <cellStyle name="Style 85 6 2 2 3 2" xfId="27537" xr:uid="{0854995D-CC56-4450-BD31-28A5B6C6FF02}"/>
    <cellStyle name="Style 85 6 2 3" xfId="4938" xr:uid="{24336B10-2C3F-407B-869F-1037C70819AE}"/>
    <cellStyle name="Style 85 6 2 3 2" xfId="11560" xr:uid="{D0EF121A-8F4F-4498-BC46-1529DE128C48}"/>
    <cellStyle name="Style 85 6 2 3 2 2" xfId="27538" xr:uid="{76C4F77E-33D0-4681-B163-8722537CC44A}"/>
    <cellStyle name="Style 85 6 2 4" xfId="11561" xr:uid="{336A33D6-6758-4693-B99C-7F05BE8529A5}"/>
    <cellStyle name="Style 85 6 2 4 2" xfId="11562" xr:uid="{762BDF7E-D3F7-4075-A43E-31BA972DDCC5}"/>
    <cellStyle name="Style 85 6 2 4 2 2" xfId="27539" xr:uid="{590EEA9C-F2EE-45C7-8107-5669C723BFDF}"/>
    <cellStyle name="Style 85 6 2 4 3" xfId="22336" xr:uid="{C6E75422-A8F1-45E0-A7AA-1974421BBDD3}"/>
    <cellStyle name="Style 85 6 2 5" xfId="11563" xr:uid="{838DB9CE-6A6F-4AAD-A5AD-8C08F3EE2E27}"/>
    <cellStyle name="Style 85 6 2 5 2" xfId="27540" xr:uid="{4C259B6B-0051-4770-B894-E9A8AA91F3F7}"/>
    <cellStyle name="Style 85 6 2 6" xfId="11564" xr:uid="{D61EBE88-95AB-4099-84DF-2381C9E3F4F2}"/>
    <cellStyle name="Style 85 6 2 6 2" xfId="27541" xr:uid="{D7381DD1-4658-40A3-921D-0A755DD610A4}"/>
    <cellStyle name="Style 85 6 2 7" xfId="11565" xr:uid="{408A732B-65AC-4B05-AA0D-D0CB6C16133A}"/>
    <cellStyle name="Style 85 6 2 7 2" xfId="27542" xr:uid="{47501332-4952-4A93-8A26-64A83676EC93}"/>
    <cellStyle name="Style 85 6 2 8" xfId="11566" xr:uid="{D193F1A7-654E-4356-98FF-B2069BED1732}"/>
    <cellStyle name="Style 85 6 2 8 2" xfId="27543" xr:uid="{03F91BC7-4A68-411D-BD06-A7958E7D2085}"/>
    <cellStyle name="Style 85 6 2 9" xfId="11567" xr:uid="{6ECD5BF4-546D-494A-97F2-B43F0C98EB28}"/>
    <cellStyle name="Style 85 6 2 9 2" xfId="27544" xr:uid="{7CF40332-2354-436F-B397-8C4A85384263}"/>
    <cellStyle name="Style 85 6 3" xfId="2254" xr:uid="{DDCC27DF-94D8-466A-9B50-3B92115022F6}"/>
    <cellStyle name="Style 85 6 3 10" xfId="11568" xr:uid="{457DB04F-241B-4799-B96C-D8180D558099}"/>
    <cellStyle name="Style 85 6 3 10 2" xfId="27545" xr:uid="{37C6B93D-16E9-42D8-B7E5-AB5F38A629CD}"/>
    <cellStyle name="Style 85 6 3 11" xfId="11569" xr:uid="{6250C4B0-2EA5-4720-B598-FA86C7382908}"/>
    <cellStyle name="Style 85 6 3 11 2" xfId="27546" xr:uid="{8678C0B7-075A-4762-B818-C31AF49811FD}"/>
    <cellStyle name="Style 85 6 3 12" xfId="11570" xr:uid="{1E907E1E-D7D0-4FAA-BE19-BCAEB5EAEA31}"/>
    <cellStyle name="Style 85 6 3 12 2" xfId="27547" xr:uid="{E813186B-7B53-48B2-B018-2253115969DF}"/>
    <cellStyle name="Style 85 6 3 13" xfId="11571" xr:uid="{93432C0B-4123-4AD3-97FD-C52132C3F031}"/>
    <cellStyle name="Style 85 6 3 13 2" xfId="27548" xr:uid="{21835017-9076-46E1-92F2-0491ADD9371E}"/>
    <cellStyle name="Style 85 6 3 14" xfId="11572" xr:uid="{F0F01E41-2263-4C4F-9BC8-8CA63B30524F}"/>
    <cellStyle name="Style 85 6 3 14 2" xfId="27549" xr:uid="{EB7FDB35-1770-46F1-AD48-38A3AD20744F}"/>
    <cellStyle name="Style 85 6 3 15" xfId="11573" xr:uid="{0206FE3B-4D33-4E8D-BB84-D03153596F71}"/>
    <cellStyle name="Style 85 6 3 15 2" xfId="27550" xr:uid="{1A2D1ABD-80A5-4420-9D4D-A7BEA26CCD73}"/>
    <cellStyle name="Style 85 6 3 16" xfId="19171" xr:uid="{B7817945-401E-412A-9E4D-DDA22AC34078}"/>
    <cellStyle name="Style 85 6 3 2" xfId="2255" xr:uid="{501ED285-B5AF-4612-B493-B1774A060FD9}"/>
    <cellStyle name="Style 85 6 3 2 10" xfId="11574" xr:uid="{86746DA5-53F8-4FD0-BC30-3B7FBEC2047A}"/>
    <cellStyle name="Style 85 6 3 2 10 2" xfId="27551" xr:uid="{EC0BE9AD-E0D7-42C2-9AC3-498A0BF6A3A3}"/>
    <cellStyle name="Style 85 6 3 2 11" xfId="11575" xr:uid="{346DA1B0-92FE-4346-99C6-D79C2C58DA66}"/>
    <cellStyle name="Style 85 6 3 2 11 2" xfId="27552" xr:uid="{93AEB90F-24CC-462F-A832-47808460E4D5}"/>
    <cellStyle name="Style 85 6 3 2 12" xfId="11576" xr:uid="{4A5F5000-2C44-40F9-9085-D5DBC111021D}"/>
    <cellStyle name="Style 85 6 3 2 12 2" xfId="27553" xr:uid="{2D5052E6-0929-4C94-83BC-DF686F620BA6}"/>
    <cellStyle name="Style 85 6 3 2 13" xfId="11577" xr:uid="{707D6563-10EA-4842-97D4-E17EB778F2E5}"/>
    <cellStyle name="Style 85 6 3 2 13 2" xfId="27554" xr:uid="{511CB766-58D6-4C20-9725-547F9F8FCA42}"/>
    <cellStyle name="Style 85 6 3 2 14" xfId="19172" xr:uid="{1F34B1A7-5586-49D4-B702-28A0C222E1CE}"/>
    <cellStyle name="Style 85 6 3 2 2" xfId="4942" xr:uid="{8018D120-07AE-4C8E-BDD2-1C25AE45DF88}"/>
    <cellStyle name="Style 85 6 3 2 2 2" xfId="11578" xr:uid="{A40B5DAC-DB3D-4B27-958E-3029DE93C7E7}"/>
    <cellStyle name="Style 85 6 3 2 2 2 2" xfId="27555" xr:uid="{0058735B-D249-459C-B687-AD15AA84A2FB}"/>
    <cellStyle name="Style 85 6 3 2 2 3" xfId="11579" xr:uid="{69424BE0-A248-403A-9227-7379B6EDD6C4}"/>
    <cellStyle name="Style 85 6 3 2 2 3 2" xfId="27556" xr:uid="{BCE59C59-2C36-46FE-9A71-E173FF0DD591}"/>
    <cellStyle name="Style 85 6 3 2 3" xfId="4941" xr:uid="{779EA5FD-9326-4E4E-91B4-96AC2929FD5F}"/>
    <cellStyle name="Style 85 6 3 2 3 2" xfId="11580" xr:uid="{0F619AD2-6D23-4DDD-B7F2-84D19B391835}"/>
    <cellStyle name="Style 85 6 3 2 3 2 2" xfId="27557" xr:uid="{6C4F5DD3-D16C-477E-B4DB-6778719D58C4}"/>
    <cellStyle name="Style 85 6 3 2 4" xfId="11581" xr:uid="{D685588D-F925-467C-8850-7950AADEFF93}"/>
    <cellStyle name="Style 85 6 3 2 4 2" xfId="11582" xr:uid="{711FDEB6-6FF6-4161-B244-D078CE70EDBA}"/>
    <cellStyle name="Style 85 6 3 2 4 2 2" xfId="27558" xr:uid="{3A35B481-26F3-43C4-A1B9-439A95BE9B5F}"/>
    <cellStyle name="Style 85 6 3 2 4 3" xfId="22338" xr:uid="{1408C6AB-57B7-480C-9394-EF6717A0D436}"/>
    <cellStyle name="Style 85 6 3 2 5" xfId="11583" xr:uid="{170BF1D1-6827-4198-97F4-6EDD7A5C7827}"/>
    <cellStyle name="Style 85 6 3 2 5 2" xfId="27559" xr:uid="{439FCBE9-AA04-4B4E-BE67-4714AC9B5665}"/>
    <cellStyle name="Style 85 6 3 2 6" xfId="11584" xr:uid="{0FF4D379-9B18-4EB9-B634-00E609680D45}"/>
    <cellStyle name="Style 85 6 3 2 6 2" xfId="27560" xr:uid="{26F80D74-D1CE-4BB3-B41A-D6095F5DEAF8}"/>
    <cellStyle name="Style 85 6 3 2 7" xfId="11585" xr:uid="{5AB00FFE-E71F-48D7-90FB-FDA1794E061B}"/>
    <cellStyle name="Style 85 6 3 2 7 2" xfId="27561" xr:uid="{B246E1A5-6689-438D-80E2-F9AE4B763594}"/>
    <cellStyle name="Style 85 6 3 2 8" xfId="11586" xr:uid="{2C5AECB8-EC43-4F0B-A188-6531FB9FEA03}"/>
    <cellStyle name="Style 85 6 3 2 8 2" xfId="27562" xr:uid="{28F316E6-AFB2-437A-85BF-46CE07E1948E}"/>
    <cellStyle name="Style 85 6 3 2 9" xfId="11587" xr:uid="{8A3BD89A-DDA9-4137-B85D-93E4523844AE}"/>
    <cellStyle name="Style 85 6 3 2 9 2" xfId="27563" xr:uid="{13D44064-4626-43D1-A0EB-48DAC80C9C15}"/>
    <cellStyle name="Style 85 6 3 3" xfId="4943" xr:uid="{2CFE8905-7397-4CDD-BE7E-0DED1E7C2C74}"/>
    <cellStyle name="Style 85 6 3 3 2" xfId="4944" xr:uid="{9263EF34-FACA-44F5-8895-7903988FC78B}"/>
    <cellStyle name="Style 85 6 3 3 2 2" xfId="11588" xr:uid="{4011F517-7CB5-4985-834D-1D4E5A2B3E3E}"/>
    <cellStyle name="Style 85 6 3 3 2 2 2" xfId="27564" xr:uid="{1F79F431-570D-4DA5-81D4-317EA44561B5}"/>
    <cellStyle name="Style 85 6 3 3 2 3" xfId="11589" xr:uid="{C8B75901-F4BB-4375-A215-550835ACD0B4}"/>
    <cellStyle name="Style 85 6 3 3 2 3 2" xfId="27565" xr:uid="{2F645C85-A79C-45D0-A40D-DE4EEADE9F2E}"/>
    <cellStyle name="Style 85 6 3 3 3" xfId="11590" xr:uid="{CA848C00-43C2-48C1-8F3B-0D0EEE2FBBB7}"/>
    <cellStyle name="Style 85 6 3 3 3 2" xfId="27566" xr:uid="{C53C0569-A655-49A5-8BCE-CE3040B3B5A3}"/>
    <cellStyle name="Style 85 6 3 3 4" xfId="11591" xr:uid="{656F2A93-EAB0-47C6-B79A-EB71F146DB1F}"/>
    <cellStyle name="Style 85 6 3 3 4 2" xfId="27567" xr:uid="{CAA8070E-CA23-4E07-ACCF-8662BA906FB7}"/>
    <cellStyle name="Style 85 6 3 3 5" xfId="11592" xr:uid="{6D173A8A-9633-4180-BD86-872F2CFB348E}"/>
    <cellStyle name="Style 85 6 3 3 5 2" xfId="27568" xr:uid="{68A952A3-0B82-4C1C-857B-3939F5B1ACEC}"/>
    <cellStyle name="Style 85 6 3 3 6" xfId="19173" xr:uid="{60C899D1-7064-47B8-9BAF-E7489AEB6428}"/>
    <cellStyle name="Style 85 6 3 4" xfId="4945" xr:uid="{EF767805-60CC-4AEE-B054-A98112795B9B}"/>
    <cellStyle name="Style 85 6 3 4 2" xfId="11593" xr:uid="{01CFD9B2-A7EC-4FD9-BE57-0EEC65B7346C}"/>
    <cellStyle name="Style 85 6 3 4 2 2" xfId="27569" xr:uid="{4857BE0A-8A76-41FD-B6C1-7CD8E8402442}"/>
    <cellStyle name="Style 85 6 3 4 3" xfId="11594" xr:uid="{BE9237AB-E248-458A-B1DB-29A1241EA594}"/>
    <cellStyle name="Style 85 6 3 4 3 2" xfId="27570" xr:uid="{2EC51F41-FFE8-4378-8988-15D96949157B}"/>
    <cellStyle name="Style 85 6 3 5" xfId="4946" xr:uid="{25B6433D-D293-429F-9973-92EAA1DDBC86}"/>
    <cellStyle name="Style 85 6 3 5 2" xfId="11595" xr:uid="{65C4D1F6-26AB-4958-9032-E2C5B588DCAA}"/>
    <cellStyle name="Style 85 6 3 5 2 2" xfId="27571" xr:uid="{8A21D2D7-54CA-4180-9366-58083F87B845}"/>
    <cellStyle name="Style 85 6 3 6" xfId="4940" xr:uid="{2E15EF50-24EC-4491-B36E-BE7738BF4E50}"/>
    <cellStyle name="Style 85 6 3 6 2" xfId="11596" xr:uid="{2405095B-6216-4DF9-AFF8-EC24AF6BBFF9}"/>
    <cellStyle name="Style 85 6 3 6 2 2" xfId="27572" xr:uid="{B81EDB95-9548-4715-86C1-105406DE4315}"/>
    <cellStyle name="Style 85 6 3 7" xfId="11597" xr:uid="{9510D75B-9405-4BD3-97F1-6490FC958F6B}"/>
    <cellStyle name="Style 85 6 3 7 2" xfId="11598" xr:uid="{863B0290-D7F4-4C3C-87B4-62194C07D243}"/>
    <cellStyle name="Style 85 6 3 7 2 2" xfId="27573" xr:uid="{CC060148-5928-424C-9863-FED94DE0805A}"/>
    <cellStyle name="Style 85 6 3 7 3" xfId="22337" xr:uid="{8A2D24EF-196A-4250-A173-D6C9BE2D3E80}"/>
    <cellStyle name="Style 85 6 3 8" xfId="11599" xr:uid="{2360D462-561C-4BA0-8CC8-1A5467C65F45}"/>
    <cellStyle name="Style 85 6 3 8 2" xfId="27574" xr:uid="{6AF42A7B-F38A-44D4-A001-44D0C5C285CD}"/>
    <cellStyle name="Style 85 6 3 9" xfId="11600" xr:uid="{A2AD6FC6-5251-4737-8C06-5597353396AD}"/>
    <cellStyle name="Style 85 6 3 9 2" xfId="27575" xr:uid="{371C6798-B063-4D58-80B1-CE4BA707E2C3}"/>
    <cellStyle name="Style 85 6 4" xfId="2256" xr:uid="{E5A0B6E8-5740-4887-9E3D-5CD473443F73}"/>
    <cellStyle name="Style 85 6 4 10" xfId="11601" xr:uid="{5537A7D2-0777-4458-8222-688E1C779A06}"/>
    <cellStyle name="Style 85 6 4 10 2" xfId="27576" xr:uid="{3505CEF9-1C2E-4442-89AF-6143C624DA77}"/>
    <cellStyle name="Style 85 6 4 11" xfId="11602" xr:uid="{99C3CE48-DAFB-4C18-8A14-E99D35B0E8D6}"/>
    <cellStyle name="Style 85 6 4 11 2" xfId="27577" xr:uid="{54CCC920-A531-4EDF-95B5-EBB400D4FA31}"/>
    <cellStyle name="Style 85 6 4 12" xfId="11603" xr:uid="{FB57F2BC-225E-48A9-A46D-BFDC888EB216}"/>
    <cellStyle name="Style 85 6 4 12 2" xfId="27578" xr:uid="{EA6FDA97-B1AD-4C1E-B36F-13DA08E1FDBF}"/>
    <cellStyle name="Style 85 6 4 13" xfId="11604" xr:uid="{399EF3F9-728F-455C-9F26-5696A8FACB98}"/>
    <cellStyle name="Style 85 6 4 13 2" xfId="27579" xr:uid="{E7B8B58C-DC99-4F57-A8B9-5497CC383BF5}"/>
    <cellStyle name="Style 85 6 4 14" xfId="11605" xr:uid="{DBAF9AF5-A026-4157-98F3-C38022A8D4DA}"/>
    <cellStyle name="Style 85 6 4 14 2" xfId="27580" xr:uid="{3F5679F8-55FF-4AEC-B23E-A94993F48725}"/>
    <cellStyle name="Style 85 6 4 15" xfId="19174" xr:uid="{80C5F825-D4B6-4386-8164-693F7CE2CC6B}"/>
    <cellStyle name="Style 85 6 4 2" xfId="2257" xr:uid="{8BE13545-A0A2-48BB-B180-B7A82757FD4E}"/>
    <cellStyle name="Style 85 6 4 2 10" xfId="11606" xr:uid="{40BFDEC0-A689-4CA0-BE0E-3C8DE5DAC191}"/>
    <cellStyle name="Style 85 6 4 2 10 2" xfId="27581" xr:uid="{0EF4BF4A-B8FF-40F1-927E-7B62C3D5A3F3}"/>
    <cellStyle name="Style 85 6 4 2 11" xfId="11607" xr:uid="{2DE48B25-E922-460A-A924-03B7A25C118A}"/>
    <cellStyle name="Style 85 6 4 2 11 2" xfId="27582" xr:uid="{1063850D-6D03-40C4-93B0-F47454F98391}"/>
    <cellStyle name="Style 85 6 4 2 12" xfId="11608" xr:uid="{A6AF0AF6-CD9D-4AF8-B474-6E12A6CDA54E}"/>
    <cellStyle name="Style 85 6 4 2 12 2" xfId="27583" xr:uid="{715B6B02-D83C-4B0F-B8DC-7BB80E6B760F}"/>
    <cellStyle name="Style 85 6 4 2 13" xfId="11609" xr:uid="{463EE707-5172-47FC-B24D-1AFBFFD928D8}"/>
    <cellStyle name="Style 85 6 4 2 13 2" xfId="27584" xr:uid="{07AEBD16-F18B-4807-AB8A-620799564702}"/>
    <cellStyle name="Style 85 6 4 2 14" xfId="19175" xr:uid="{12011E9D-B354-4830-A049-F81A5CA32272}"/>
    <cellStyle name="Style 85 6 4 2 2" xfId="4949" xr:uid="{8E899612-5794-4AAE-B538-1AACB033C62D}"/>
    <cellStyle name="Style 85 6 4 2 2 2" xfId="11610" xr:uid="{856B9660-C929-471F-9AC3-3AC3A2401D01}"/>
    <cellStyle name="Style 85 6 4 2 2 2 2" xfId="27585" xr:uid="{270331A2-6763-476B-9181-08F6DDEB4835}"/>
    <cellStyle name="Style 85 6 4 2 2 3" xfId="11611" xr:uid="{ED491368-24CF-426C-BDFB-F34C88BCB6EE}"/>
    <cellStyle name="Style 85 6 4 2 2 3 2" xfId="27586" xr:uid="{2285978F-C526-4EA8-B1BC-379AF68B133F}"/>
    <cellStyle name="Style 85 6 4 2 3" xfId="4948" xr:uid="{5D6B1188-BA8D-48F6-A590-9BED5A02431B}"/>
    <cellStyle name="Style 85 6 4 2 3 2 2" xfId="27587" xr:uid="{78A31830-4174-45A4-947C-7014A901502C}"/>
    <cellStyle name="Style 85 6 4 2 4" xfId="11612" xr:uid="{68738815-9A05-4725-A019-7571A0D9D684}"/>
    <cellStyle name="Style 85 6 4 2 4 2" xfId="11613" xr:uid="{A557E652-E16A-4DAA-BBBF-0A3394ECB809}"/>
    <cellStyle name="Style 85 6 4 2 4 2 2" xfId="27588" xr:uid="{4DA8425E-FB33-40C9-8A40-4D2108921045}"/>
    <cellStyle name="Style 85 6 4 2 5" xfId="11614" xr:uid="{ADA041B5-9B5C-440E-969D-E56FF58D1BE3}"/>
    <cellStyle name="Style 85 6 4 2 5 2" xfId="27589" xr:uid="{0BFFD69B-68D9-4609-9D4D-C4E5BEB34464}"/>
    <cellStyle name="Style 85 6 4 2 6" xfId="11615" xr:uid="{81E93116-026A-48BA-AABE-EC03E9811A13}"/>
    <cellStyle name="Style 85 6 4 2 7" xfId="11616" xr:uid="{529BA5A5-18EB-409A-9490-C482FF54E68B}"/>
    <cellStyle name="Style 85 6 4 2 7 2" xfId="27590" xr:uid="{89090547-74D4-4CA5-957E-6C457BBFD1E1}"/>
    <cellStyle name="Style 85 6 4 2 8" xfId="11617" xr:uid="{14796F89-F378-4133-92EC-80C8E8FAE746}"/>
    <cellStyle name="Style 85 6 4 2 8 2" xfId="27591" xr:uid="{41B286F8-36D3-48D4-ACF8-55EAF6B10EA0}"/>
    <cellStyle name="Style 85 6 4 2 9" xfId="11618" xr:uid="{975711C9-9B9D-4078-B2EF-7D8ADA6C2141}"/>
    <cellStyle name="Style 85 6 4 2 9 2" xfId="27592" xr:uid="{0EB29F33-BFFD-478E-8C8F-1543FFABA88E}"/>
    <cellStyle name="Style 85 6 4 3" xfId="4950" xr:uid="{E49C1425-9CBE-4C82-A1D1-EF8D058A632F}"/>
    <cellStyle name="Style 85 6 4 3 2" xfId="11619" xr:uid="{F294DA89-242B-4E36-8501-0924C4584680}"/>
    <cellStyle name="Style 85 6 4 3 2 2" xfId="27593" xr:uid="{77CA3884-1B50-4C0C-AC00-0A9BC6CC57A3}"/>
    <cellStyle name="Style 85 6 4 3 3" xfId="11620" xr:uid="{11CFEFBB-26D0-4C89-AE01-88BED2D576F0}"/>
    <cellStyle name="Style 85 6 4 3 3 2" xfId="27594" xr:uid="{89967E29-C34D-45B7-B739-85BE689D32C5}"/>
    <cellStyle name="Style 85 6 4 4" xfId="4947" xr:uid="{C1EC2665-1CBD-4F55-8EF7-888B3395C8DC}"/>
    <cellStyle name="Style 85 6 4 4 2" xfId="11621" xr:uid="{F18BDC30-D780-4926-97B0-A3D823483F60}"/>
    <cellStyle name="Style 85 6 4 4 2 2" xfId="27595" xr:uid="{D0D26DD7-9794-403E-A770-0322008E3C4B}"/>
    <cellStyle name="Style 85 6 4 5" xfId="11622" xr:uid="{E3785EE4-223F-4768-99F1-EEF6152DC65E}"/>
    <cellStyle name="Style 85 6 4 5 2" xfId="11623" xr:uid="{7DD06CB1-2E47-44C0-BF10-64338F209C15}"/>
    <cellStyle name="Style 85 6 4 5 2 2" xfId="27596" xr:uid="{E2251336-5E31-4DFA-8C08-F68386FB0327}"/>
    <cellStyle name="Style 85 6 4 6" xfId="11624" xr:uid="{32E49881-5FAF-4525-83FA-5AE212494FB1}"/>
    <cellStyle name="Style 85 6 4 6 2" xfId="27597" xr:uid="{2C8E5E46-AC57-440B-9A38-BAAD023384CA}"/>
    <cellStyle name="Style 85 6 4 7" xfId="11625" xr:uid="{A8869656-3932-41F0-8F52-1F2A6ED7D6D1}"/>
    <cellStyle name="Style 85 6 4 7 2" xfId="27598" xr:uid="{06C4A629-F7FB-4FEB-9CE0-824B068349E8}"/>
    <cellStyle name="Style 85 6 4 8" xfId="11626" xr:uid="{56D617A1-0F92-45AA-AEA0-A0CF2ACB0E2B}"/>
    <cellStyle name="Style 85 6 4 8 2" xfId="27599" xr:uid="{D6DB150D-E875-4B47-BDDF-BACC3F330BE4}"/>
    <cellStyle name="Style 85 6 4 9" xfId="11627" xr:uid="{24BA9BCA-5591-4996-A37B-E4980DC6EB8E}"/>
    <cellStyle name="Style 85 6 4 9 2" xfId="27600" xr:uid="{578F0A11-FB52-4540-A7BA-764E864365D9}"/>
    <cellStyle name="Style 85 6 5" xfId="4951" xr:uid="{EB49862D-AC54-45B0-80B7-B7E37C756A3E}"/>
    <cellStyle name="Style 85 6 5 2" xfId="11628" xr:uid="{BE0DB649-87F4-42BE-8FBF-1D0B51005339}"/>
    <cellStyle name="Style 85 6 5 2 2" xfId="11629" xr:uid="{2A0426F7-8EC9-4974-BF1B-9E1850008F29}"/>
    <cellStyle name="Style 85 6 5 2 2 2" xfId="27602" xr:uid="{46A07978-C73D-4DA3-A52D-E63012BEA339}"/>
    <cellStyle name="Style 85 6 5 2 3" xfId="27601" xr:uid="{403D6374-C9FE-464E-8783-446BF602098C}"/>
    <cellStyle name="Style 85 6 5 3" xfId="11630" xr:uid="{3A7FBBE2-FE37-487A-9EBE-DA13298920EA}"/>
    <cellStyle name="Style 85 6 5 3 2" xfId="27603" xr:uid="{DB0AE95F-2414-44C4-9B30-C613DCBA9C98}"/>
    <cellStyle name="Style 85 6 5 4" xfId="11631" xr:uid="{2D5DFCEE-F22D-4436-B4B2-4D7BC23D02D5}"/>
    <cellStyle name="Style 85 6 5 4 2" xfId="27604" xr:uid="{E704C50C-3BF4-4BCD-A351-DC59FA735A5D}"/>
    <cellStyle name="Style 85 6 5 5 2" xfId="27605" xr:uid="{27E2C842-6D5E-4793-8B2B-968A3878EAD5}"/>
    <cellStyle name="Style 85 6 6" xfId="4952" xr:uid="{D9AA40CD-0043-43E2-A6D5-4AEDEF8EE3CD}"/>
    <cellStyle name="Style 85 6 6 2" xfId="11632" xr:uid="{A840D86A-529A-4645-BC2C-D903DA8E0DF3}"/>
    <cellStyle name="Style 85 6 6 2 2" xfId="27606" xr:uid="{F72A961B-021D-468D-AD85-B35106A22938}"/>
    <cellStyle name="Style 85 6 6 3" xfId="11633" xr:uid="{D3058DDE-76C8-428C-94B7-29A93AC52F6B}"/>
    <cellStyle name="Style 85 6 6 3 2" xfId="27607" xr:uid="{78A33FED-0CB8-4811-B762-8E73997EB705}"/>
    <cellStyle name="Style 85 6 7" xfId="4937" xr:uid="{5A8E5EF0-6A73-4771-AF1B-BC636F2106C6}"/>
    <cellStyle name="Style 85 6 7 2" xfId="11634" xr:uid="{F9A6E600-1D55-4B2F-9263-781298B78956}"/>
    <cellStyle name="Style 85 6 7 2 2" xfId="27608" xr:uid="{A91ABD7C-DCF4-40D2-9CAB-A13D4B7B7DB3}"/>
    <cellStyle name="Style 85 6 8" xfId="11635" xr:uid="{A5B8BADE-FD48-4E7F-B5E2-293438BE1314}"/>
    <cellStyle name="Style 85 6 8 2" xfId="11636" xr:uid="{2A41AFC5-05DF-4973-92DC-89F23FF1EB8C}"/>
    <cellStyle name="Style 85 6 8 2 2" xfId="27609" xr:uid="{231EA51B-4E9A-49D9-8F26-3297317E7966}"/>
    <cellStyle name="Style 85 6 8 3" xfId="22335" xr:uid="{A31BD949-CDF2-4E63-8DB5-E2E7492E63D7}"/>
    <cellStyle name="Style 85 6 9" xfId="11637" xr:uid="{3AE438E2-92BB-451C-AFEA-32B0607EC338}"/>
    <cellStyle name="Style 85 6 9 2" xfId="27610" xr:uid="{C196A2CE-4DF9-41C6-B903-F5F0AECA8853}"/>
    <cellStyle name="Style 85 7 10" xfId="11638" xr:uid="{CD3804D4-1B53-4345-B19A-B29DC748C621}"/>
    <cellStyle name="Style 85 7 10 2" xfId="27611" xr:uid="{29121ADB-F38B-436C-9D62-E8C98144B15C}"/>
    <cellStyle name="Style 85 7 11" xfId="11639" xr:uid="{1661D518-614E-4BE8-8F40-2E92E6384B46}"/>
    <cellStyle name="Style 85 7 11 2" xfId="27612" xr:uid="{06EBC93A-A429-49B1-9DAA-22534851F909}"/>
    <cellStyle name="Style 85 7 12" xfId="11640" xr:uid="{52306A15-E61C-41CB-8678-395770B60EC4}"/>
    <cellStyle name="Style 85 7 12 2" xfId="27613" xr:uid="{63ED0108-DFB9-4D13-BBF0-196C98596A52}"/>
    <cellStyle name="Style 85 7 13" xfId="11641" xr:uid="{2273FA4C-D362-449F-9688-D785D62123B4}"/>
    <cellStyle name="Style 85 7 13 2" xfId="27614" xr:uid="{F96EB69D-946C-4FF8-829D-5BFA6766AAF5}"/>
    <cellStyle name="Style 85 7 14" xfId="11642" xr:uid="{70744975-7FAB-4304-91AD-C68476C1BB7C}"/>
    <cellStyle name="Style 85 7 14 2" xfId="27615" xr:uid="{66F55991-9005-48C0-ACF3-912F34F31265}"/>
    <cellStyle name="Style 85 7 15" xfId="11643" xr:uid="{D7BA4917-AC08-41F3-A78F-6B66A5B64FE0}"/>
    <cellStyle name="Style 85 7 15 2" xfId="27616" xr:uid="{EB00F48D-FFFA-4174-867A-6A5BC6DDA723}"/>
    <cellStyle name="Style 85 7 16" xfId="19176" xr:uid="{B81251F6-51A0-4FCC-82F7-0A98A297759B}"/>
    <cellStyle name="Style 85 7 2 10" xfId="11644" xr:uid="{67761801-A27C-4D1C-9882-9F7CDED292E8}"/>
    <cellStyle name="Style 85 7 2 10 2" xfId="27617" xr:uid="{DD3BC689-503C-4CB6-8092-1F01A8EECCCF}"/>
    <cellStyle name="Style 85 7 2 11" xfId="11645" xr:uid="{4B8D353D-B903-4AA7-889E-1D8BC3D89A62}"/>
    <cellStyle name="Style 85 7 2 11 2" xfId="27618" xr:uid="{3A11813B-2400-4915-A7E8-8987998947E2}"/>
    <cellStyle name="Style 85 7 2 12" xfId="11646" xr:uid="{3D5E6CF9-CF93-4DE8-B2F8-7AC6DD33BE51}"/>
    <cellStyle name="Style 85 7 2 12 2" xfId="27619" xr:uid="{3F9E5A9D-551E-4B4E-97C7-B6FB36530B43}"/>
    <cellStyle name="Style 85 7 2 13" xfId="11647" xr:uid="{F19C9E4D-CC32-47A4-AC80-4848C0C31D12}"/>
    <cellStyle name="Style 85 7 2 13 2" xfId="27620" xr:uid="{F87FCEFD-1AB8-434D-991E-8CEDE79D2D00}"/>
    <cellStyle name="Style 85 7 2 14" xfId="19177" xr:uid="{66782E67-26D8-40C3-80EB-863D0F270B3F}"/>
    <cellStyle name="Style 85 7 2 2" xfId="4955" xr:uid="{08C35DF5-2CDB-468B-981B-D4F24E23F8D1}"/>
    <cellStyle name="Style 85 7 2 2 2" xfId="11648" xr:uid="{A49C8533-F801-4ED8-AC70-62F3ECDA3C82}"/>
    <cellStyle name="Style 85 7 2 2 3" xfId="11649" xr:uid="{BBE81879-23EC-4DD1-A708-C5697A18EE73}"/>
    <cellStyle name="Style 85 7 2 2 3 2" xfId="27621" xr:uid="{C59B6D47-6DD1-4987-8976-278850CBAD91}"/>
    <cellStyle name="Style 85 7 2 3" xfId="4954" xr:uid="{1B0F5EF8-5799-4636-9AF7-E1B68D0CBF9E}"/>
    <cellStyle name="Style 85 7 2 3 2" xfId="11650" xr:uid="{DB04BC2B-035E-4240-B397-43D7878CE8D3}"/>
    <cellStyle name="Style 85 7 2 3 2 2" xfId="27622" xr:uid="{E55AB92D-4E0B-49C4-A053-2A6A06831183}"/>
    <cellStyle name="Style 85 7 2 4" xfId="11651" xr:uid="{BB79D598-0D85-42FE-B726-B880D0C0317B}"/>
    <cellStyle name="Style 85 7 2 4 2" xfId="11652" xr:uid="{74C03162-DE1E-4EAC-B4EF-BA1970DF57E7}"/>
    <cellStyle name="Style 85 7 2 4 2 2" xfId="27623" xr:uid="{31351E70-DF1A-4DFA-9C2D-ABB8A2777167}"/>
    <cellStyle name="Style 85 7 2 4 3" xfId="22340" xr:uid="{D3AC17CF-F409-4EC0-8438-AF89B2727EC6}"/>
    <cellStyle name="Style 85 7 2 5" xfId="11653" xr:uid="{1F2CBDB7-AB6B-45C1-B5B6-9958F7ED58C6}"/>
    <cellStyle name="Style 85 7 2 5 2" xfId="27624" xr:uid="{D42830B6-A1FD-41CC-90F2-CC3DC570B86A}"/>
    <cellStyle name="Style 85 7 2 6" xfId="11654" xr:uid="{D222CED7-B023-4D5A-B973-F74A9EFBFB77}"/>
    <cellStyle name="Style 85 7 2 7" xfId="11655" xr:uid="{A4A6C461-557E-4F2F-B661-53D2CB3B9623}"/>
    <cellStyle name="Style 85 7 2 7 2" xfId="27625" xr:uid="{E3AEEE9E-6739-4C70-94A6-DD103427502E}"/>
    <cellStyle name="Style 85 7 2 8" xfId="11656" xr:uid="{BD90E69F-1CAD-4FAC-A18D-D21C60F65D23}"/>
    <cellStyle name="Style 85 7 2 8 2" xfId="27626" xr:uid="{6A1C5FDD-C120-4E91-B1FE-77E315BF751B}"/>
    <cellStyle name="Style 85 7 2 9" xfId="11657" xr:uid="{D030504E-6AF0-4CCD-AB28-0DD340053750}"/>
    <cellStyle name="Style 85 7 2 9 2" xfId="27627" xr:uid="{F6C58A20-B0DD-4B36-B0EA-B971CF250FCC}"/>
    <cellStyle name="Style 85 7 3" xfId="4956" xr:uid="{D0DFF363-0E02-4868-BDB9-5325D2E1AA12}"/>
    <cellStyle name="Style 85 7 3 2" xfId="4957" xr:uid="{92C5F28C-6848-4F18-B9B1-4DC5839E1747}"/>
    <cellStyle name="Style 85 7 3 2 2" xfId="11658" xr:uid="{9D4FA2C5-A6DE-43EE-AFCB-C3ACA7702A61}"/>
    <cellStyle name="Style 85 7 3 2 2 2" xfId="27628" xr:uid="{87686092-48E8-4D52-8485-9FDF788C9A1E}"/>
    <cellStyle name="Style 85 7 3 2 3" xfId="11659" xr:uid="{4B07669B-64AF-43F1-BAD3-BEA9224DE841}"/>
    <cellStyle name="Style 85 7 3 2 3 2" xfId="27629" xr:uid="{FAED503D-D086-455F-9D50-3F582D78E00C}"/>
    <cellStyle name="Style 85 7 3 3" xfId="11660" xr:uid="{A23B3C3B-B50C-498C-A438-109892619F39}"/>
    <cellStyle name="Style 85 7 3 3 2" xfId="27630" xr:uid="{327E5AB0-8532-4D34-8FFA-0B5742F5E8C2}"/>
    <cellStyle name="Style 85 7 3 4" xfId="11661" xr:uid="{BEB8F5AD-5279-4C89-B69F-8194ED86039A}"/>
    <cellStyle name="Style 85 7 3 4 2" xfId="27631" xr:uid="{ED4BE8F7-DC94-4B38-ADCE-7016DE635B5A}"/>
    <cellStyle name="Style 85 7 3 5" xfId="11662" xr:uid="{969323DB-CBE1-4095-B040-61675132FC8F}"/>
    <cellStyle name="Style 85 7 3 5 2" xfId="27632" xr:uid="{83DC4667-FFE4-40C6-8871-E68CF90FA04C}"/>
    <cellStyle name="Style 85 7 3 6" xfId="19178" xr:uid="{23982CB6-F44F-4E43-84FF-CF60FE0E8910}"/>
    <cellStyle name="Style 85 7 4" xfId="4958" xr:uid="{E0BD0802-A832-450B-9B77-DF1302D4B5CC}"/>
    <cellStyle name="Style 85 7 4 2 2" xfId="27633" xr:uid="{2D7C44AB-F4CB-4922-809F-74A6B26D42C2}"/>
    <cellStyle name="Style 85 7 4 3" xfId="11663" xr:uid="{67D16B3C-E21D-4D31-80C8-537C1AE9DF68}"/>
    <cellStyle name="Style 85 7 4 3 2" xfId="27634" xr:uid="{FF4A5036-E8B0-4962-B92D-2FBA539AC06F}"/>
    <cellStyle name="Style 85 7 5" xfId="4959" xr:uid="{0037DFB7-4394-4B9F-BB7F-46FA098AA8D9}"/>
    <cellStyle name="Style 85 7 5 2" xfId="11664" xr:uid="{F771A619-132D-4AE3-811C-31503B4DCB0D}"/>
    <cellStyle name="Style 85 7 5 2 2" xfId="27635" xr:uid="{DD497B00-1ED8-4B2B-BF8C-8FA566F001D7}"/>
    <cellStyle name="Style 85 7 6" xfId="4953" xr:uid="{DF096C76-B35F-4024-BE18-4BEE93DACC9B}"/>
    <cellStyle name="Style 85 7 6 2" xfId="11665" xr:uid="{2C74D6C1-E8BA-4CC0-8D05-D5CB6BD0976C}"/>
    <cellStyle name="Style 85 7 6 2 2" xfId="27636" xr:uid="{3116D20C-A7CB-4068-9F28-769874E18A84}"/>
    <cellStyle name="Style 85 7 7" xfId="11666" xr:uid="{689B636C-9676-4598-96F2-30697E75B56D}"/>
    <cellStyle name="Style 85 7 7 2" xfId="11667" xr:uid="{60A801EA-A513-47F7-A3A8-D5C65A1F5382}"/>
    <cellStyle name="Style 85 7 7 2 2" xfId="27637" xr:uid="{98F8ABC0-BD81-4B43-A97D-4C258A3104CE}"/>
    <cellStyle name="Style 85 7 7 3" xfId="22339" xr:uid="{82710074-3A8A-4B0D-955B-B9C0BC9FA482}"/>
    <cellStyle name="Style 85 7 8 2" xfId="27638" xr:uid="{DB2B2DD8-5988-4292-B2CC-6182D7A4D950}"/>
    <cellStyle name="Style 85 7 9" xfId="11668" xr:uid="{E8804EEC-DDEC-4537-9EB0-4FB9D0C8BD3E}"/>
    <cellStyle name="Style 85 7 9 2" xfId="27639" xr:uid="{095F9F6C-AD42-40A5-8231-100DD7452980}"/>
    <cellStyle name="Style 85 8" xfId="2258" xr:uid="{AEB50F73-DFB5-41CA-B273-C2C626684BFB}"/>
    <cellStyle name="Style 85 8 10" xfId="11669" xr:uid="{043AE0B5-1BC6-4581-AE22-A41E893B43F6}"/>
    <cellStyle name="Style 85 8 10 2" xfId="27640" xr:uid="{A6E49203-1E49-4596-9382-06E6A9B12914}"/>
    <cellStyle name="Style 85 8 11" xfId="11670" xr:uid="{CC115440-5157-4028-83FB-A622F64C51A8}"/>
    <cellStyle name="Style 85 8 11 2" xfId="27641" xr:uid="{0A6694CD-C8F0-4DC0-86A6-61205CD924F1}"/>
    <cellStyle name="Style 85 8 12" xfId="11671" xr:uid="{0E1A8EE7-D0AE-4012-A8D1-A603DF5802EC}"/>
    <cellStyle name="Style 85 8 12 2" xfId="27642" xr:uid="{17676C64-91DE-4C9D-83A3-F7A50B9BBB54}"/>
    <cellStyle name="Style 85 8 13" xfId="11672" xr:uid="{C187CC5F-59D5-469B-9CAF-A3FDD0F405BD}"/>
    <cellStyle name="Style 85 8 13 2" xfId="27643" xr:uid="{0E6B6A06-7D6A-4AE6-A23B-1F07F701CD31}"/>
    <cellStyle name="Style 85 8 14 2" xfId="27644" xr:uid="{524D8F75-AD92-4DC9-9D5E-B73D532D8410}"/>
    <cellStyle name="Style 85 8 15" xfId="19179" xr:uid="{40F099DD-92E5-412D-9979-DD0E2A32A979}"/>
    <cellStyle name="Style 85 8 2" xfId="2259" xr:uid="{42FD6588-9AC0-4CDB-8BA3-0A4E85A3DC16}"/>
    <cellStyle name="Style 85 8 2 10" xfId="11673" xr:uid="{B79A1FF9-6EF0-4C35-B0F2-D689DBE2B7D8}"/>
    <cellStyle name="Style 85 8 2 10 2" xfId="27645" xr:uid="{4E9E442C-03A0-44F0-95B3-4C79DD5C3993}"/>
    <cellStyle name="Style 85 8 2 11" xfId="11674" xr:uid="{B2C539B3-6C35-4D22-A8D1-55AA2926BB9A}"/>
    <cellStyle name="Style 85 8 2 11 2" xfId="27646" xr:uid="{BFBC62E0-F723-41B5-82B5-4DF1DB326B7D}"/>
    <cellStyle name="Style 85 8 2 12" xfId="11675" xr:uid="{0434122C-58DD-4B73-88C6-E58566CF777F}"/>
    <cellStyle name="Style 85 8 2 12 2" xfId="27647" xr:uid="{53263FC7-F0E6-4320-9EEB-D45839BF37F0}"/>
    <cellStyle name="Style 85 8 2 13" xfId="11676" xr:uid="{32134824-6CFC-470A-A2F2-682EE5DAE283}"/>
    <cellStyle name="Style 85 8 2 13 2" xfId="27648" xr:uid="{DB1E8148-0A8D-43AD-B428-B41BF0272190}"/>
    <cellStyle name="Style 85 8 2 14" xfId="19180" xr:uid="{93CE1328-B549-4E93-9867-23169E927D93}"/>
    <cellStyle name="Style 85 8 2 2" xfId="4962" xr:uid="{E1B61F4A-F09D-4C54-99C2-6D82714B8788}"/>
    <cellStyle name="Style 85 8 2 2 2" xfId="11677" xr:uid="{1F7D15C5-1C77-4457-8C2B-8B50D4B46EF9}"/>
    <cellStyle name="Style 85 8 2 2 2 2" xfId="27649" xr:uid="{6A6A0C81-1C58-4D68-A3C7-BD7203EA00C2}"/>
    <cellStyle name="Style 85 8 2 2 3" xfId="11678" xr:uid="{2666A6D8-900A-4AD0-BDF1-B1EA97F3CF80}"/>
    <cellStyle name="Style 85 8 2 2 3 2" xfId="27650" xr:uid="{CFC05401-0DA2-4C9A-A668-947B5FDA1A81}"/>
    <cellStyle name="Style 85 8 2 3" xfId="4961" xr:uid="{5CA77D1B-7E63-4A69-A792-409F347C906D}"/>
    <cellStyle name="Style 85 8 2 3 2" xfId="11679" xr:uid="{0DB1F888-A5A1-43B3-ABC7-FCDF66B12219}"/>
    <cellStyle name="Style 85 8 2 3 2 2" xfId="27651" xr:uid="{5268B50F-935B-451F-83AD-C6B449574BA6}"/>
    <cellStyle name="Style 85 8 2 4 2" xfId="11680" xr:uid="{5C6A0A00-3A04-42EA-BEB6-65F97CE5E740}"/>
    <cellStyle name="Style 85 8 2 4 2 2" xfId="27652" xr:uid="{50CA7760-1553-4856-876D-2EBB21B7612B}"/>
    <cellStyle name="Style 85 8 2 4 3" xfId="22342" xr:uid="{D02DE4B7-0005-4F82-999B-E9D82EC05CC6}"/>
    <cellStyle name="Style 85 8 2 5" xfId="11681" xr:uid="{784F9CDA-386A-44A9-8A59-6309A10AD7DD}"/>
    <cellStyle name="Style 85 8 2 5 2" xfId="27653" xr:uid="{D096EEEE-7D0C-4B03-8AC8-E31AE55D851D}"/>
    <cellStyle name="Style 85 8 2 6" xfId="11682" xr:uid="{1C63CA78-F492-4484-91FC-864A669BC0CE}"/>
    <cellStyle name="Style 85 8 2 6 2" xfId="27654" xr:uid="{A5A3D56A-13EF-4809-BDA5-2008A0E76D77}"/>
    <cellStyle name="Style 85 8 2 7" xfId="11683" xr:uid="{F3B73E67-D916-4A4B-8F43-774025F65EEE}"/>
    <cellStyle name="Style 85 8 2 7 2" xfId="27655" xr:uid="{7587A101-B13A-4F05-BCC1-4C4B53C66CB4}"/>
    <cellStyle name="Style 85 8 2 8" xfId="11684" xr:uid="{9DD60B80-BFF6-4B29-8B78-ABEA8DE484B0}"/>
    <cellStyle name="Style 85 8 2 8 2" xfId="27656" xr:uid="{0ED1B6B3-0E7C-4A32-B574-1669899E1839}"/>
    <cellStyle name="Style 85 8 2 9 2" xfId="27657" xr:uid="{5B41FD15-2E03-4429-A5C8-657384B825CC}"/>
    <cellStyle name="Style 85 8 3" xfId="4963" xr:uid="{53518A01-B697-4512-9771-9AF7F8BFC559}"/>
    <cellStyle name="Style 85 8 3 2" xfId="4964" xr:uid="{C8F92C32-824D-49D3-B0BF-504FD679A4F6}"/>
    <cellStyle name="Style 85 8 3 2 2" xfId="11685" xr:uid="{B5CD59CC-AE73-425E-814E-3A8985DAA260}"/>
    <cellStyle name="Style 85 8 3 2 2 2" xfId="27658" xr:uid="{A4488410-6BC0-4CFD-867E-A7DC7D49DA0F}"/>
    <cellStyle name="Style 85 8 3 3" xfId="11686" xr:uid="{2D9328A6-3FA5-4E96-B43E-56C70898F06A}"/>
    <cellStyle name="Style 85 8 3 3 2" xfId="27659" xr:uid="{4DB4A7E3-2C80-4837-9710-A66FB0EA8ACC}"/>
    <cellStyle name="Style 85 8 3 4" xfId="19181" xr:uid="{E74223A4-A9F6-432A-AED5-CC76B18B7EDB}"/>
    <cellStyle name="Style 85 8 4" xfId="4965" xr:uid="{6A9AC724-A5A8-4EC9-BCD0-72E9B6529153}"/>
    <cellStyle name="Style 85 8 4 2" xfId="11687" xr:uid="{CAAD3404-194D-4351-A5F8-DF7E962E5F47}"/>
    <cellStyle name="Style 85 8 4 2 2" xfId="27660" xr:uid="{6318A1E7-EE1E-4E35-BED0-99EF185593F1}"/>
    <cellStyle name="Style 85 8 5 2" xfId="11688" xr:uid="{82085AAB-7ED4-4C22-87B0-24704A886376}"/>
    <cellStyle name="Style 85 8 5 2 2" xfId="27661" xr:uid="{F8FCDF45-8C4D-4D00-B63B-24DA7C336C1A}"/>
    <cellStyle name="Style 85 8 6" xfId="4960" xr:uid="{8AA1A3D2-6F92-447C-9D42-67D8547E0A43}"/>
    <cellStyle name="Style 85 8 6 2" xfId="11689" xr:uid="{0CD91CE1-12C3-4697-821A-395231E819BD}"/>
    <cellStyle name="Style 85 8 6 2 2" xfId="27662" xr:uid="{17698CD0-227C-4CC4-A170-DF878E25D67F}"/>
    <cellStyle name="Style 85 8 7" xfId="11690" xr:uid="{CB9F2FFC-FA8E-4CB6-B862-CC04D0A1CC25}"/>
    <cellStyle name="Style 85 8 7 2" xfId="11691" xr:uid="{25B32068-1F49-422C-8ECB-3208727B269E}"/>
    <cellStyle name="Style 85 8 7 2 2" xfId="27663" xr:uid="{976CC17C-4F32-473B-869C-6D39748EB513}"/>
    <cellStyle name="Style 85 8 7 3" xfId="22341" xr:uid="{E71D4F15-894E-49AB-A43E-B018A340CF5D}"/>
    <cellStyle name="Style 85 8 8" xfId="11692" xr:uid="{607F67B1-217E-4627-B4D5-CE63A40299CD}"/>
    <cellStyle name="Style 85 8 8 2" xfId="27664" xr:uid="{B4523EBC-A3AC-4708-AC96-36C7AEA11B3F}"/>
    <cellStyle name="Style 85 8 9" xfId="11693" xr:uid="{87ED640E-0247-4D22-9100-0470EB8D7E86}"/>
    <cellStyle name="Style 85 9" xfId="2260" xr:uid="{64892325-2017-43A9-9A55-8784210DE8E0}"/>
    <cellStyle name="Style 85 9 10" xfId="11694" xr:uid="{11F2B4FE-9EE3-4E1A-AE2B-750C99B34124}"/>
    <cellStyle name="Style 85 9 10 2" xfId="27665" xr:uid="{FEEF9034-64C5-4444-A74C-DE375A49162E}"/>
    <cellStyle name="Style 85 9 11" xfId="11695" xr:uid="{F818FA2D-6B54-44A1-8FBA-3FCF592437DC}"/>
    <cellStyle name="Style 85 9 11 2" xfId="27666" xr:uid="{796CB055-21C2-4C89-B596-1A4415559E36}"/>
    <cellStyle name="Style 85 9 12" xfId="11696" xr:uid="{D692A7FE-EF2B-4A14-B753-21C791EDD72C}"/>
    <cellStyle name="Style 85 9 12 2" xfId="27667" xr:uid="{1A8E2939-2428-4343-BDC2-9E2C9D7478AD}"/>
    <cellStyle name="Style 85 9 13" xfId="11697" xr:uid="{31C34EF4-4CD8-4085-81D0-00E8CD4FCB65}"/>
    <cellStyle name="Style 85 9 13 2" xfId="27668" xr:uid="{B25B640C-A52B-4EB3-90BB-322653AE5C3A}"/>
    <cellStyle name="Style 85 9 14" xfId="11698" xr:uid="{AFEF70F3-0BD3-4595-AB60-C249D83FD703}"/>
    <cellStyle name="Style 85 9 14 2" xfId="27669" xr:uid="{A0C5ACF2-4FE7-4927-B214-D3BF5DE6E1A8}"/>
    <cellStyle name="Style 85 9 15" xfId="19182" xr:uid="{AF894716-72AB-4BE0-A9CB-D9656A63B9E7}"/>
    <cellStyle name="Style 85 9 2" xfId="2261" xr:uid="{A2E317A9-2581-4CC0-9E65-C34978D56FEC}"/>
    <cellStyle name="Style 85 9 2 10" xfId="11699" xr:uid="{218A025F-A239-4A52-BBF1-CED867ED36CA}"/>
    <cellStyle name="Style 85 9 2 10 2" xfId="27670" xr:uid="{15A7B731-46D1-4DA9-BB0D-2B7D581CA468}"/>
    <cellStyle name="Style 85 9 2 11" xfId="11700" xr:uid="{13165FBC-3F2F-419D-B72A-DDC02279FAC4}"/>
    <cellStyle name="Style 85 9 2 11 2" xfId="27671" xr:uid="{DE3C4B08-B071-4895-93A1-C06BA434DACA}"/>
    <cellStyle name="Style 85 9 2 12" xfId="11701" xr:uid="{5048A2DB-A309-4E76-991E-7F818A6C7D5D}"/>
    <cellStyle name="Style 85 9 2 12 2" xfId="27672" xr:uid="{59B91C2E-1C61-4497-BF05-C66D13E9DFB2}"/>
    <cellStyle name="Style 85 9 2 2" xfId="4966" xr:uid="{216D4F23-BF0C-4E6F-B761-071BDA084BC2}"/>
    <cellStyle name="Style 85 9 2 2 2 2" xfId="27673" xr:uid="{A97139C7-1E57-4E85-ABC8-13A6080C2EA2}"/>
    <cellStyle name="Style 85 9 2 2 3" xfId="11702" xr:uid="{AD0AF209-A872-4C51-ABB2-6C1D1174571A}"/>
    <cellStyle name="Style 85 9 2 2 3 2" xfId="27674" xr:uid="{5E438E5A-EA63-4B5E-8150-C63794015DFE}"/>
    <cellStyle name="Style 85 9 2 3" xfId="11703" xr:uid="{8C94FD59-3836-4D68-850D-02DAAEC0AE38}"/>
    <cellStyle name="Style 85 9 2 3 2" xfId="11704" xr:uid="{E95C0F27-2624-4440-B625-26B5D324864C}"/>
    <cellStyle name="Style 85 9 2 3 2 2" xfId="27675" xr:uid="{ADE2CD1D-3D59-46AC-92D4-B06706064A03}"/>
    <cellStyle name="Style 85 9 2 3 3" xfId="22344" xr:uid="{1777DCF5-E089-4AC5-A782-DAB1AC1375ED}"/>
    <cellStyle name="Style 85 9 2 4" xfId="11705" xr:uid="{FD94959E-A676-41E6-9BBA-21C4A34B992C}"/>
    <cellStyle name="Style 85 9 2 4 2" xfId="27676" xr:uid="{836B467E-567D-4AA2-A903-0390729207BF}"/>
    <cellStyle name="Style 85 9 2 5" xfId="11706" xr:uid="{A2BF6347-4A5E-4224-852B-6A87039082D8}"/>
    <cellStyle name="Style 85 9 2 5 2" xfId="27677" xr:uid="{6EFE8D4C-1A60-4614-889D-FF2D43A147F4}"/>
    <cellStyle name="Style 85 9 2 6" xfId="11707" xr:uid="{E5B788F8-70C8-4971-B939-B51BE9D33541}"/>
    <cellStyle name="Style 85 9 2 6 2" xfId="27678" xr:uid="{C93290D6-BA31-4167-9A86-849728B00CD7}"/>
    <cellStyle name="Style 85 9 2 7 2" xfId="27679" xr:uid="{AE3B13D1-5C64-41EB-AAE0-D150CF1BE3A9}"/>
    <cellStyle name="Style 85 9 2 8" xfId="11708" xr:uid="{67CF1A9D-3933-43DE-92C4-2AE35A5EB0F2}"/>
    <cellStyle name="Style 85 9 2 8 2" xfId="27680" xr:uid="{6C08B744-DA44-40F0-9A0E-8A9D622322DB}"/>
    <cellStyle name="Style 85 9 2 9" xfId="11709" xr:uid="{B16EAF30-EEDF-4523-AFE8-3DE2F3BB6822}"/>
    <cellStyle name="Style 85 9 2 9 2" xfId="27681" xr:uid="{D3B79045-2556-4F6C-8F3E-DDA696969305}"/>
    <cellStyle name="Style 85 9 3" xfId="2790" xr:uid="{06E2F09D-B9FB-4999-A5D5-1D04C858A733}"/>
    <cellStyle name="Style 85 9 3 2" xfId="4967" xr:uid="{5BC01A21-1BDD-4358-AF86-B76143C9CA84}"/>
    <cellStyle name="Style 85 9 3 2 2" xfId="11710" xr:uid="{BC04A63E-2F89-406F-948B-0F085197AAAD}"/>
    <cellStyle name="Style 85 9 3 2 2 2" xfId="27682" xr:uid="{A4ECE1D6-FF69-495B-A60B-39E48B4EF227}"/>
    <cellStyle name="Style 85 9 3 2 3" xfId="22537" xr:uid="{526BB021-D908-4226-A9F3-C9F2FF67FF41}"/>
    <cellStyle name="Style 85 9 3 3" xfId="11711" xr:uid="{69D92362-DDCF-4142-AD19-A34AFF7E4E57}"/>
    <cellStyle name="Style 85 9 3 3 2" xfId="27683" xr:uid="{CDEC3F8A-05D0-448D-BB7B-81C367AC204B}"/>
    <cellStyle name="Style 85 9 4 2" xfId="11712" xr:uid="{9ECD2B44-B52C-405D-A327-135093D83D3F}"/>
    <cellStyle name="Style 85 9 4 2 2" xfId="27684" xr:uid="{75B4FD03-209E-4E1D-B460-BAA6C9EFE972}"/>
    <cellStyle name="Style 85 9 5" xfId="11713" xr:uid="{3F3788BC-A3C4-4C97-82FA-BBB2C8FA50E0}"/>
    <cellStyle name="Style 85 9 5 2" xfId="11714" xr:uid="{C9C352F5-8CBB-4961-B0A4-539BEBAE90C7}"/>
    <cellStyle name="Style 85 9 5 2 2" xfId="27685" xr:uid="{15CDD546-65DE-41B3-BBF3-DA0EE3BDED2F}"/>
    <cellStyle name="Style 85 9 5 3" xfId="22343" xr:uid="{6EFBD882-8115-4139-A90F-DC076A2DCF2B}"/>
    <cellStyle name="Style 85 9 6" xfId="11715" xr:uid="{1BA70F4C-3432-4708-9285-219C7BBEC966}"/>
    <cellStyle name="Style 85 9 6 2" xfId="27686" xr:uid="{07DC9DB6-3394-4F97-98CD-AD28C87FE0BD}"/>
    <cellStyle name="Style 85 9 7" xfId="11716" xr:uid="{29763EFB-6B19-49B7-BFA7-3E19EB46AAB7}"/>
    <cellStyle name="Style 85 9 7 2" xfId="27687" xr:uid="{97D54E9E-43D2-4278-9B42-D31AA52E0626}"/>
    <cellStyle name="Style 85 9 8" xfId="11717" xr:uid="{D9B38F23-3641-479D-A1E9-D99A20D9E5B4}"/>
    <cellStyle name="Style 85 9 8 2" xfId="27688" xr:uid="{A70E8B9B-0B67-458B-97EE-FC8F4C3BD05E}"/>
    <cellStyle name="Style 85 9 9" xfId="11718" xr:uid="{7EF1D3D6-1D70-4B81-8141-5023B21FFF0F}"/>
    <cellStyle name="Style 85 9 9 2" xfId="27689" xr:uid="{F2CAB5E8-DCE7-4EAF-A9A5-70B483F5BBDB}"/>
    <cellStyle name="Style 85_ADDON" xfId="20535" xr:uid="{8C5CE68D-9365-4926-9531-6ACD17F79521}"/>
    <cellStyle name="Style 86" xfId="2262" xr:uid="{61D593DA-170D-4274-95E5-1F1FEBD89ACF}"/>
    <cellStyle name="Style 86 10" xfId="4968" xr:uid="{C5CF1362-8CA0-44F7-8A34-8F1933F1C851}"/>
    <cellStyle name="Style 86 10 2" xfId="11719" xr:uid="{988F42C5-43F3-41A9-B4CB-A804D8EF136A}"/>
    <cellStyle name="Style 86 10 2 2" xfId="27690" xr:uid="{10B6D707-095A-4E0B-8C33-F1848EA97326}"/>
    <cellStyle name="Style 86 11" xfId="11720" xr:uid="{6C26D29B-BCD3-424D-89FF-B4142B5E28F2}"/>
    <cellStyle name="Style 86 11 2 2" xfId="27691" xr:uid="{DB1B4630-1AC0-4848-A0DE-A3AEEDE8D223}"/>
    <cellStyle name="Style 86 11 3" xfId="21322" xr:uid="{0BD027C9-FA57-43FF-A22A-13E89A5665BF}"/>
    <cellStyle name="Style 86 12" xfId="11721" xr:uid="{92068E88-FEA8-4400-9E04-71E469CB34CC}"/>
    <cellStyle name="Style 86 12 2" xfId="27692" xr:uid="{FAA53349-3DE4-4A98-883F-CE50EB171F24}"/>
    <cellStyle name="Style 86 13" xfId="11722" xr:uid="{A124E5FB-01F5-4891-AA69-395DBBBC55F9}"/>
    <cellStyle name="Style 86 13 2" xfId="27693" xr:uid="{85A1C11E-5C35-4FD7-B33D-64D6C42E0DFE}"/>
    <cellStyle name="Style 86 14" xfId="11723" xr:uid="{E9CAAEA8-1962-4049-8C2D-A866FFF3AFB9}"/>
    <cellStyle name="Style 86 14 2" xfId="27694" xr:uid="{E67A3D33-5210-43EF-A231-FD3788CC1C66}"/>
    <cellStyle name="Style 86 15" xfId="11724" xr:uid="{4BB562DA-3120-413F-8E3D-DB19C76B80D4}"/>
    <cellStyle name="Style 86 16" xfId="11725" xr:uid="{49644B71-C9CE-4035-8598-FFDAF4662B6D}"/>
    <cellStyle name="Style 86 16 2" xfId="27695" xr:uid="{3C9C9338-9986-4001-9279-618A5D62390B}"/>
    <cellStyle name="Style 86 17" xfId="11726" xr:uid="{373FE63D-D01F-4166-B433-9EE162FEE5F8}"/>
    <cellStyle name="Style 86 17 2" xfId="27696" xr:uid="{EE8208D1-8C12-4CFE-A573-82F5A0F0FD32}"/>
    <cellStyle name="Style 86 18" xfId="11727" xr:uid="{9B37B5B2-A707-448B-891C-8B96A2FBDD73}"/>
    <cellStyle name="Style 86 18 2" xfId="27697" xr:uid="{D20D6455-1C0A-41EA-918E-27142A2D5E71}"/>
    <cellStyle name="Style 86 19" xfId="11728" xr:uid="{CB4A3D3F-4BF2-4187-9A00-1945697ACF88}"/>
    <cellStyle name="Style 86 19 2" xfId="27698" xr:uid="{216C56C1-5BBF-415F-9FD9-159FF7B3CAF7}"/>
    <cellStyle name="Style 86 2" xfId="2263" xr:uid="{2F1232E5-F464-4D3F-81A9-E661C863FD51}"/>
    <cellStyle name="Style 86 2 10" xfId="11729" xr:uid="{AA610BBF-39AD-44BC-9B7E-326F2F71C96B}"/>
    <cellStyle name="Style 86 2 10 2" xfId="27699" xr:uid="{D09F1BB7-0BE8-49CF-98CE-9FD6C5BAAA54}"/>
    <cellStyle name="Style 86 2 11" xfId="11730" xr:uid="{5ABD3876-DF7F-40C9-93B5-807697E3DD5D}"/>
    <cellStyle name="Style 86 2 11 2" xfId="27700" xr:uid="{D1EAF3CE-2481-4609-BA51-F25076F4AC33}"/>
    <cellStyle name="Style 86 2 12 2" xfId="27701" xr:uid="{6933AC78-18C5-45BC-8CC7-0D3C809FA22E}"/>
    <cellStyle name="Style 86 2 13" xfId="11731" xr:uid="{7EF94F7C-21E6-4F9D-8CF1-6BFA6EB52365}"/>
    <cellStyle name="Style 86 2 13 2" xfId="27702" xr:uid="{BF4306C5-2D9E-44FC-A349-26E368D40304}"/>
    <cellStyle name="Style 86 2 14" xfId="11732" xr:uid="{CAB42E0B-F859-4BE2-BD03-1F24900A830A}"/>
    <cellStyle name="Style 86 2 14 2" xfId="27703" xr:uid="{28CC29C0-6CF0-4688-9B0C-9AD4A6DA1587}"/>
    <cellStyle name="Style 86 2 15" xfId="11733" xr:uid="{2F054D1B-6B25-4365-B366-FD158FE70C0C}"/>
    <cellStyle name="Style 86 2 15 2" xfId="27704" xr:uid="{3C0913F3-6E2A-4EAA-B2C6-827888340F12}"/>
    <cellStyle name="Style 86 2 16" xfId="11734" xr:uid="{BCF97027-5011-4079-B7F8-75EA8DDD132C}"/>
    <cellStyle name="Style 86 2 16 2" xfId="27705" xr:uid="{22BE60E7-2EE8-4F9C-AFB7-D74C203538D7}"/>
    <cellStyle name="Style 86 2 17" xfId="11735" xr:uid="{27181E08-CB6E-467B-AC8F-AD667C48D2CE}"/>
    <cellStyle name="Style 86 2 17 2" xfId="27706" xr:uid="{8617E4B2-8A7C-4AA8-BF1B-F9B720BCAE3E}"/>
    <cellStyle name="Style 86 2 2 10" xfId="11736" xr:uid="{93C6EFBD-76F7-4434-BF08-CBE59DF1032C}"/>
    <cellStyle name="Style 86 2 2 10 2" xfId="27707" xr:uid="{8355992C-0957-492B-A6EA-796983598F32}"/>
    <cellStyle name="Style 86 2 2 11" xfId="11737" xr:uid="{DA08C679-453A-47ED-BB57-D16586A57CDA}"/>
    <cellStyle name="Style 86 2 2 11 2" xfId="27708" xr:uid="{BD3F4358-AB45-474E-BA4F-3FBF0F2FFC15}"/>
    <cellStyle name="Style 86 2 2 12" xfId="11738" xr:uid="{3A0C9F20-D82B-40EE-8CBD-BFD298B57A08}"/>
    <cellStyle name="Style 86 2 2 12 2" xfId="27709" xr:uid="{F38CCED2-06BB-4283-836F-8B7E581D1B37}"/>
    <cellStyle name="Style 86 2 2 13" xfId="11739" xr:uid="{DBC6C2CF-2AB2-4B00-B941-4AEA61D9FC67}"/>
    <cellStyle name="Style 86 2 2 13 2" xfId="27710" xr:uid="{8746E546-58B1-4842-ADCF-456039F2AE6D}"/>
    <cellStyle name="Style 86 2 2 14" xfId="11740" xr:uid="{5CF0D22E-874C-43E6-9D47-C56FC1B0E49F}"/>
    <cellStyle name="Style 86 2 2 14 2" xfId="27711" xr:uid="{4D5CE9B8-8000-4CEB-9D83-4F8538ABC864}"/>
    <cellStyle name="Style 86 2 2 15" xfId="11741" xr:uid="{10F017C1-3B9A-4D90-9501-095F854B4242}"/>
    <cellStyle name="Style 86 2 2 15 2" xfId="27712" xr:uid="{BF73001F-5FF2-44B8-98E0-D4F6D65AA3BE}"/>
    <cellStyle name="Style 86 2 2 16 2" xfId="27713" xr:uid="{D922E026-4F98-4AAF-B48C-9FA70D6B12F8}"/>
    <cellStyle name="Style 86 2 2 2" xfId="2264" xr:uid="{95A0B081-097B-450D-82EA-D80A2BCE6442}"/>
    <cellStyle name="Style 86 2 2 2 10" xfId="11742" xr:uid="{7FB0DA23-6D1B-4C3B-9228-52730077FC6E}"/>
    <cellStyle name="Style 86 2 2 2 10 2" xfId="27714" xr:uid="{B5DB7EB5-B58D-4230-AD57-5BD9ADE4543D}"/>
    <cellStyle name="Style 86 2 2 2 11" xfId="11743" xr:uid="{9A87F75E-C5B8-4846-8C3C-03F2AAAA1779}"/>
    <cellStyle name="Style 86 2 2 2 11 2" xfId="27715" xr:uid="{EE88C890-E2A4-4E0A-A972-A34CE037B920}"/>
    <cellStyle name="Style 86 2 2 2 12" xfId="11744" xr:uid="{10F0464F-701B-4DD3-B0E7-99928215168D}"/>
    <cellStyle name="Style 86 2 2 2 12 2" xfId="27716" xr:uid="{1A7A241B-3B74-4E77-A2E6-B0345093DA00}"/>
    <cellStyle name="Style 86 2 2 2 13" xfId="11745" xr:uid="{721969A2-B0DE-4CEF-82F3-0E1EC932C54F}"/>
    <cellStyle name="Style 86 2 2 2 13 2" xfId="27717" xr:uid="{E044140A-DF7C-4359-970C-2EB1F40B856C}"/>
    <cellStyle name="Style 86 2 2 2 14" xfId="11746" xr:uid="{55059ABB-54BF-40B9-9D11-8D75D050E3DD}"/>
    <cellStyle name="Style 86 2 2 2 14 2" xfId="27718" xr:uid="{4D865986-4686-4758-A0AE-B15256F83B2C}"/>
    <cellStyle name="Style 86 2 2 2 15" xfId="11747" xr:uid="{E263F55C-ADB6-482D-AE38-9C127C59B244}"/>
    <cellStyle name="Style 86 2 2 2 15 2" xfId="27719" xr:uid="{2058F231-400C-48C2-8DF8-7EE2D752C7CB}"/>
    <cellStyle name="Style 86 2 2 2 2" xfId="2265" xr:uid="{B49FC457-C34F-4E00-9229-1FF4E6177121}"/>
    <cellStyle name="Style 86 2 2 2 2 10" xfId="11748" xr:uid="{F5FEF4E4-5F88-492A-95BC-DDCDDD56B885}"/>
    <cellStyle name="Style 86 2 2 2 2 10 2" xfId="27720" xr:uid="{C7C4F63E-D1F9-4E62-BDD9-28D08505F9DA}"/>
    <cellStyle name="Style 86 2 2 2 2 11" xfId="11749" xr:uid="{4BBC09B3-0C2D-4C4A-A0BE-5C80AE0C583C}"/>
    <cellStyle name="Style 86 2 2 2 2 11 2" xfId="27721" xr:uid="{4F1173C0-74FA-4541-A512-5DFB12157571}"/>
    <cellStyle name="Style 86 2 2 2 2 12" xfId="11750" xr:uid="{33E2BC4F-9B8C-4C33-B13F-84DC5240D28A}"/>
    <cellStyle name="Style 86 2 2 2 2 13" xfId="11751" xr:uid="{E1091449-A91A-4566-A442-940A5B0E930F}"/>
    <cellStyle name="Style 86 2 2 2 2 13 2" xfId="27722" xr:uid="{15CC2C95-1BF9-488A-9575-DFE79732B845}"/>
    <cellStyle name="Style 86 2 2 2 2 14" xfId="11752" xr:uid="{167F201F-2250-43BA-84C8-8272FB55755A}"/>
    <cellStyle name="Style 86 2 2 2 2 14 2" xfId="27723" xr:uid="{F9716DD5-EBB5-4ED5-9E0D-575539F351DE}"/>
    <cellStyle name="Style 86 2 2 2 2 2" xfId="2266" xr:uid="{9DED59B6-DB78-44BF-9D9F-ACBC03E3C0E1}"/>
    <cellStyle name="Style 86 2 2 2 2 2 10" xfId="11753" xr:uid="{5587AACF-9F1F-43DA-BBC5-F03AF9EFB2BC}"/>
    <cellStyle name="Style 86 2 2 2 2 2 10 2" xfId="27724" xr:uid="{3833FDF1-CA71-42DE-94F1-47C85289FE0B}"/>
    <cellStyle name="Style 86 2 2 2 2 2 11" xfId="11754" xr:uid="{A6D80F28-7C5B-4B31-A854-E6E33443A0EB}"/>
    <cellStyle name="Style 86 2 2 2 2 2 11 2" xfId="27725" xr:uid="{41B10034-93C7-4656-B2CB-4210C8081ABD}"/>
    <cellStyle name="Style 86 2 2 2 2 2 12" xfId="11755" xr:uid="{B21201BC-EF5D-4605-AE1C-EB7F0DCD3994}"/>
    <cellStyle name="Style 86 2 2 2 2 2 12 2" xfId="27726" xr:uid="{322316CF-D1FA-4A48-902B-CD08ABBC9C4F}"/>
    <cellStyle name="Style 86 2 2 2 2 2 2" xfId="4973" xr:uid="{402EC457-B95C-4433-AB5A-11E682585537}"/>
    <cellStyle name="Style 86 2 2 2 2 2 2 2" xfId="11756" xr:uid="{A2AB1197-D42C-4C2D-ABF2-A43499AAC55F}"/>
    <cellStyle name="Style 86 2 2 2 2 2 2 3" xfId="11757" xr:uid="{A45FA771-AE90-42F7-B42E-78022BBF75A5}"/>
    <cellStyle name="Style 86 2 2 2 2 2 2 3 2" xfId="27727" xr:uid="{890AADE3-934F-4B61-A9AD-1C460D520F88}"/>
    <cellStyle name="Style 86 2 2 2 2 2 3" xfId="11758" xr:uid="{608CE5D1-1476-4880-8727-22E8359B81AF}"/>
    <cellStyle name="Style 86 2 2 2 2 2 3 2" xfId="11759" xr:uid="{D048F867-BC4F-44BE-9AA0-A39D9F0C9488}"/>
    <cellStyle name="Style 86 2 2 2 2 2 3 2 2" xfId="27728" xr:uid="{AC24922C-D9C5-4B27-A07F-060557794CB5}"/>
    <cellStyle name="Style 86 2 2 2 2 2 4" xfId="11760" xr:uid="{B9DABFB5-2BF0-4109-9693-79E128F9549B}"/>
    <cellStyle name="Style 86 2 2 2 2 2 4 2" xfId="27729" xr:uid="{A655C777-3BDE-43D1-A2BA-3DADB01079F4}"/>
    <cellStyle name="Style 86 2 2 2 2 2 5" xfId="11761" xr:uid="{88C64CAD-61ED-4CE3-A0C9-ED6BB7DFB09C}"/>
    <cellStyle name="Style 86 2 2 2 2 2 5 2" xfId="27730" xr:uid="{8E887C10-014F-4987-9D6A-15369094ED7D}"/>
    <cellStyle name="Style 86 2 2 2 2 2 6" xfId="11762" xr:uid="{EEE8B9E2-AD7C-48BC-8979-DA53D1550CA0}"/>
    <cellStyle name="Style 86 2 2 2 2 2 6 2" xfId="27731" xr:uid="{0A97F36A-221C-4B19-9FFD-3A09720E0369}"/>
    <cellStyle name="Style 86 2 2 2 2 2 7" xfId="11763" xr:uid="{898C314C-B73D-4DBD-B9D9-B9FD44344CD0}"/>
    <cellStyle name="Style 86 2 2 2 2 2 8" xfId="11764" xr:uid="{3999FC1C-8DBA-4967-B113-7E3CD3AFD331}"/>
    <cellStyle name="Style 86 2 2 2 2 2 8 2" xfId="27732" xr:uid="{9E53A45E-6287-4E21-860F-A75A779B5712}"/>
    <cellStyle name="Style 86 2 2 2 2 2 9" xfId="11765" xr:uid="{0EB0F0E2-2738-46E0-B5ED-1264ECFE34A9}"/>
    <cellStyle name="Style 86 2 2 2 2 2 9 2" xfId="27733" xr:uid="{98F55AF4-B6F7-494A-9A8C-662A78C3F664}"/>
    <cellStyle name="Style 86 2 2 2 2 3" xfId="4972" xr:uid="{516DAE9D-4246-4A8D-9D1E-84BECE239EA9}"/>
    <cellStyle name="Style 86 2 2 2 2 3 2" xfId="11766" xr:uid="{86127639-2DB9-444F-9B8C-4A5A3C138348}"/>
    <cellStyle name="Style 86 2 2 2 2 3 2 2" xfId="27734" xr:uid="{6627B5B9-2CDC-4E65-BE94-924531FAAA23}"/>
    <cellStyle name="Style 86 2 2 2 2 3 3" xfId="11767" xr:uid="{2032A137-0B51-46C6-B361-935DC6C0E1BD}"/>
    <cellStyle name="Style 86 2 2 2 2 3 3 2" xfId="27735" xr:uid="{FB6EE08D-B169-449C-90FD-BD129629BC8B}"/>
    <cellStyle name="Style 86 2 2 2 2 4" xfId="11768" xr:uid="{702B6CEF-9B7B-4FD9-AFB8-A199E774E510}"/>
    <cellStyle name="Style 86 2 2 2 2 4 2" xfId="11769" xr:uid="{B1CBA9B9-4A60-4866-85E4-0B337A99FFB6}"/>
    <cellStyle name="Style 86 2 2 2 2 4 2 2" xfId="27736" xr:uid="{4DBF96B5-1063-46AE-94B3-6B39AC2C8469}"/>
    <cellStyle name="Style 86 2 2 2 2 5" xfId="11770" xr:uid="{09C8D595-24A1-4B57-A5BD-BCEBC2EE2FE8}"/>
    <cellStyle name="Style 86 2 2 2 2 5 2" xfId="27737" xr:uid="{F7949751-24DC-4BE5-81E5-0198E530C7F1}"/>
    <cellStyle name="Style 86 2 2 2 2 6" xfId="11771" xr:uid="{4A236940-9D83-4D26-9096-C427420F8BD2}"/>
    <cellStyle name="Style 86 2 2 2 2 6 2" xfId="27738" xr:uid="{AD68EA95-DFEF-4FC5-85E6-45B6277C8903}"/>
    <cellStyle name="Style 86 2 2 2 2 7" xfId="11772" xr:uid="{44AC714A-7A54-4280-88B5-C6A999022284}"/>
    <cellStyle name="Style 86 2 2 2 2 7 2" xfId="27739" xr:uid="{8EDA6E76-6CA4-4337-AA91-44EAD21D6818}"/>
    <cellStyle name="Style 86 2 2 2 2 8" xfId="11773" xr:uid="{B9238555-1085-4A36-B329-66BFA5089424}"/>
    <cellStyle name="Style 86 2 2 2 2 8 2" xfId="27740" xr:uid="{8E909215-0A8C-4CAA-90BC-674948D7035E}"/>
    <cellStyle name="Style 86 2 2 2 2 9 2" xfId="27741" xr:uid="{18C4EDE3-3736-484F-BD94-794C7C4FE0F7}"/>
    <cellStyle name="Style 86 2 2 2 3" xfId="2267" xr:uid="{843AC2C2-84A2-45A8-9425-4AE23198917D}"/>
    <cellStyle name="Style 86 2 2 2 3 10" xfId="11774" xr:uid="{AADCE129-B6E6-48A8-BB6D-5356517A2A32}"/>
    <cellStyle name="Style 86 2 2 2 3 10 2" xfId="27742" xr:uid="{DE371A95-5D2D-4A61-A831-8B061CA1C5EB}"/>
    <cellStyle name="Style 86 2 2 2 3 11" xfId="11775" xr:uid="{A6ED686D-003A-4811-9861-6994E57F4D8E}"/>
    <cellStyle name="Style 86 2 2 2 3 11 2" xfId="27743" xr:uid="{6427CC58-67CE-4267-A577-84E8846F7889}"/>
    <cellStyle name="Style 86 2 2 2 3 12" xfId="11776" xr:uid="{AD36DB1D-F1D3-4A1B-9BBB-91FBFE6FD8FF}"/>
    <cellStyle name="Style 86 2 2 2 3 12 2" xfId="27744" xr:uid="{4F2C3827-C083-471F-B8E1-65C8176EE56C}"/>
    <cellStyle name="Style 86 2 2 2 3 2" xfId="4974" xr:uid="{3B4B7226-46EB-4955-9571-8D00EEAF8DD7}"/>
    <cellStyle name="Style 86 2 2 2 3 2 2" xfId="11777" xr:uid="{B89B1E7D-6A37-4CAB-BACE-6CEBE12E3C3F}"/>
    <cellStyle name="Style 86 2 2 2 3 2 2 2" xfId="27745" xr:uid="{820399CB-C8C8-4F61-A0C3-EA2DBE3A0812}"/>
    <cellStyle name="Style 86 2 2 2 3 2 3 2" xfId="27746" xr:uid="{1DE5D644-21D1-4DF3-9908-344ECB011CC5}"/>
    <cellStyle name="Style 86 2 2 2 3 3" xfId="11778" xr:uid="{DD37A4A2-5E4C-4BAE-B938-47D88C17E77E}"/>
    <cellStyle name="Style 86 2 2 2 3 3 2" xfId="11779" xr:uid="{C9C80578-EB2E-4E77-805F-82A44FE85C6A}"/>
    <cellStyle name="Style 86 2 2 2 3 3 2 2" xfId="27747" xr:uid="{50F8C592-EA7E-4F3B-BDF1-769FF16E0C98}"/>
    <cellStyle name="Style 86 2 2 2 3 4" xfId="11780" xr:uid="{A1E9C481-40DD-4C34-AEFD-A808F95B8EA7}"/>
    <cellStyle name="Style 86 2 2 2 3 4 2" xfId="27748" xr:uid="{D73D8956-5642-4914-AEBE-71D30EBFF350}"/>
    <cellStyle name="Style 86 2 2 2 3 5" xfId="11781" xr:uid="{EBD7F48F-8ED2-4F83-8D81-7186A39A21F8}"/>
    <cellStyle name="Style 86 2 2 2 3 5 2" xfId="27749" xr:uid="{01FD833D-48BE-4BB0-91A8-3518FD9AE04E}"/>
    <cellStyle name="Style 86 2 2 2 3 6" xfId="11782" xr:uid="{1483B8F7-D77F-43FB-A54A-4E7DAAA64000}"/>
    <cellStyle name="Style 86 2 2 2 3 6 2" xfId="27750" xr:uid="{96AE1D10-8F87-4ACE-8FC0-A4569026FF10}"/>
    <cellStyle name="Style 86 2 2 2 3 7" xfId="11783" xr:uid="{35BB5E0B-CC19-444D-9C36-A4C9A4B63044}"/>
    <cellStyle name="Style 86 2 2 2 3 8" xfId="11784" xr:uid="{862D6DEB-1EE2-4229-888E-33C0AA7B961D}"/>
    <cellStyle name="Style 86 2 2 2 3 8 2" xfId="27751" xr:uid="{9036019E-932C-4043-9F43-22BF6FFECF76}"/>
    <cellStyle name="Style 86 2 2 2 3 9" xfId="11785" xr:uid="{E7AE48DB-3D86-49CA-986E-DCE9594CA203}"/>
    <cellStyle name="Style 86 2 2 2 3 9 2" xfId="27752" xr:uid="{A44B8CD5-8FB2-4431-9B35-056D85F4036D}"/>
    <cellStyle name="Style 86 2 2 2 4" xfId="4971" xr:uid="{D8F129FD-5477-4EA0-8181-C4A7942F46DC}"/>
    <cellStyle name="Style 86 2 2 2 4 2" xfId="11786" xr:uid="{A95AB70B-F4BD-435B-9047-BC91140E375D}"/>
    <cellStyle name="Style 86 2 2 2 4 2 2" xfId="27753" xr:uid="{4232CC17-FDA2-4E7B-A4DE-AA5381BF0D8B}"/>
    <cellStyle name="Style 86 2 2 2 4 3" xfId="11787" xr:uid="{F62BDF7F-2B5F-4FF2-8C22-02927CD9E988}"/>
    <cellStyle name="Style 86 2 2 2 4 3 2" xfId="27754" xr:uid="{B3D8A3FF-338E-4A1E-9940-B53F1B6D2939}"/>
    <cellStyle name="Style 86 2 2 2 5" xfId="11788" xr:uid="{3E2DB7CD-7B2D-4C0D-B53D-52D24D0E9FF8}"/>
    <cellStyle name="Style 86 2 2 2 5 2" xfId="11789" xr:uid="{30C0567F-CCEC-4A83-BD7D-8B1612BB0D8E}"/>
    <cellStyle name="Style 86 2 2 2 5 2 2" xfId="27755" xr:uid="{9B3BBD98-7242-47AF-82CB-3334D728B592}"/>
    <cellStyle name="Style 86 2 2 2 6 2" xfId="27756" xr:uid="{070A6394-6114-489B-87C1-8C7A32CBC428}"/>
    <cellStyle name="Style 86 2 2 2 7" xfId="11790" xr:uid="{0262F44F-C5D4-4DC3-AFD4-3034D844D85B}"/>
    <cellStyle name="Style 86 2 2 2 7 2" xfId="27757" xr:uid="{33AB9D64-E8E6-4CD8-9450-58A4487381D2}"/>
    <cellStyle name="Style 86 2 2 2 8" xfId="11791" xr:uid="{678D25B4-A102-4E82-A777-08F04458A627}"/>
    <cellStyle name="Style 86 2 2 2 8 2" xfId="27758" xr:uid="{4C5BFA13-0E66-483E-A29E-E7214075B861}"/>
    <cellStyle name="Style 86 2 2 2 9" xfId="11792" xr:uid="{0041A1FF-E20D-439B-9F8A-B0B72871C468}"/>
    <cellStyle name="Style 86 2 2 2 9 2" xfId="27759" xr:uid="{E8224FB8-8490-40F3-853C-C7AE4348E61D}"/>
    <cellStyle name="Style 86 2 2 3" xfId="2268" xr:uid="{C51ADBCD-E0F6-4F16-8EA5-0706FF5CBA48}"/>
    <cellStyle name="Style 86 2 2 3 10" xfId="11793" xr:uid="{BDF2079F-E1AB-4252-821E-686918E17796}"/>
    <cellStyle name="Style 86 2 2 3 10 2" xfId="27760" xr:uid="{C16FAFAB-AA28-4E31-AEF5-749D344DB8D7}"/>
    <cellStyle name="Style 86 2 2 3 11" xfId="11794" xr:uid="{A4E00CBF-A1D9-4852-8166-A619A2D7E03B}"/>
    <cellStyle name="Style 86 2 2 3 11 2" xfId="27761" xr:uid="{3E3B0FFA-83BE-480C-AC8B-F03C3ACD50F3}"/>
    <cellStyle name="Style 86 2 2 3 12" xfId="11795" xr:uid="{64AFF012-B7D4-46E7-9F15-A7268BFBA208}"/>
    <cellStyle name="Style 86 2 2 3 12 2" xfId="27762" xr:uid="{A99C1B7E-8ACF-43B0-A4EC-348BCEA98930}"/>
    <cellStyle name="Style 86 2 2 3 13" xfId="11796" xr:uid="{7FB3838E-0802-4F89-A0A4-4D3428AA58FE}"/>
    <cellStyle name="Style 86 2 2 3 13 2" xfId="27763" xr:uid="{2668031F-FB43-4622-AD95-C4C02765B27D}"/>
    <cellStyle name="Style 86 2 2 3 14" xfId="11797" xr:uid="{6D475CE7-6DAE-40E7-9455-47491ACDE16A}"/>
    <cellStyle name="Style 86 2 2 3 14 2" xfId="27764" xr:uid="{7CAB172F-8B04-4246-A3A0-C5ADDF505DE5}"/>
    <cellStyle name="Style 86 2 2 3 2" xfId="2269" xr:uid="{5FB71C34-E566-4851-BD64-2AAA59C9A8D1}"/>
    <cellStyle name="Style 86 2 2 3 2 10" xfId="11798" xr:uid="{543146DE-1522-4305-AE70-65EAF10E49CA}"/>
    <cellStyle name="Style 86 2 2 3 2 11" xfId="11799" xr:uid="{05440F2B-7704-49E3-A9A1-14E87B34AD01}"/>
    <cellStyle name="Style 86 2 2 3 2 11 2" xfId="27765" xr:uid="{C1DFAD8A-753F-439F-92E7-3D63F3D27DE1}"/>
    <cellStyle name="Style 86 2 2 3 2 12" xfId="11800" xr:uid="{CAD87A8A-C6D9-4DBD-987E-4DC7DB3702D4}"/>
    <cellStyle name="Style 86 2 2 3 2 12 2" xfId="27766" xr:uid="{9A6A604A-91B9-42B2-88FF-A6793E25E886}"/>
    <cellStyle name="Style 86 2 2 3 2 2" xfId="4976" xr:uid="{722A016F-4368-4F66-B00E-2FDED58E83D2}"/>
    <cellStyle name="Style 86 2 2 3 2 2 2" xfId="11801" xr:uid="{03D546FD-ED1A-41B4-9FEF-C1327A02828E}"/>
    <cellStyle name="Style 86 2 2 3 2 2 2 2" xfId="27767" xr:uid="{A38162A2-90F2-454C-8D53-D63309F601EB}"/>
    <cellStyle name="Style 86 2 2 3 2 2 3" xfId="11802" xr:uid="{42196C66-3B7D-4097-B6D6-7C246EE60B3F}"/>
    <cellStyle name="Style 86 2 2 3 2 2 3 2" xfId="27768" xr:uid="{00018930-59C2-4801-AE57-1C17EF9188FC}"/>
    <cellStyle name="Style 86 2 2 3 2 3" xfId="11803" xr:uid="{A287A440-1F89-4B2D-B27A-A51E3DE65A41}"/>
    <cellStyle name="Style 86 2 2 3 2 3 2" xfId="11804" xr:uid="{48924BA2-B905-4781-AB55-A69D3C14B161}"/>
    <cellStyle name="Style 86 2 2 3 2 3 2 2" xfId="27769" xr:uid="{155CA19D-8640-4F15-ACE6-3375FDC973B1}"/>
    <cellStyle name="Style 86 2 2 3 2 4" xfId="11805" xr:uid="{0838A701-0E73-4F79-BAEA-7C0F26A16622}"/>
    <cellStyle name="Style 86 2 2 3 2 5" xfId="11806" xr:uid="{C1A3DB32-6A27-47DC-A3CA-4D4E88EAB767}"/>
    <cellStyle name="Style 86 2 2 3 2 5 2" xfId="27770" xr:uid="{87F5ADA5-6E13-4E30-865C-CAF05FA3FAF9}"/>
    <cellStyle name="Style 86 2 2 3 2 6" xfId="11807" xr:uid="{D2C4ECB6-B8C7-4A45-995D-B8FE44997853}"/>
    <cellStyle name="Style 86 2 2 3 2 6 2" xfId="27771" xr:uid="{E675F3C3-5A41-40E0-BFD7-2DB74A6D6CDE}"/>
    <cellStyle name="Style 86 2 2 3 2 7" xfId="11808" xr:uid="{E68C8628-D005-4C05-B5DB-C74CB3430A1D}"/>
    <cellStyle name="Style 86 2 2 3 2 7 2" xfId="27772" xr:uid="{E7DE71CD-00BD-49B6-BE23-5D4141660D2A}"/>
    <cellStyle name="Style 86 2 2 3 2 8" xfId="11809" xr:uid="{33874705-7CEE-428C-8982-FF1B7DC3A074}"/>
    <cellStyle name="Style 86 2 2 3 2 8 2" xfId="27773" xr:uid="{E9CFA0C1-F141-40E6-A16D-7170F265025A}"/>
    <cellStyle name="Style 86 2 2 3 2 9" xfId="11810" xr:uid="{B587DFCA-9617-4C6D-9170-B29C443D26C2}"/>
    <cellStyle name="Style 86 2 2 3 2 9 2" xfId="27774" xr:uid="{B0D633A0-96CF-4EFC-8BB5-5A7B1FDCED9D}"/>
    <cellStyle name="Style 86 2 2 3 3" xfId="4975" xr:uid="{6D702DE6-4CF6-4461-892C-609C7E2E4A53}"/>
    <cellStyle name="Style 86 2 2 3 3 2" xfId="11811" xr:uid="{42C4AAB4-A4B9-44AE-B248-DDAADA2C8EB0}"/>
    <cellStyle name="Style 86 2 2 3 3 3" xfId="11812" xr:uid="{6A0D4017-86C4-4814-B1C0-52B247C9C96C}"/>
    <cellStyle name="Style 86 2 2 3 3 3 2" xfId="27775" xr:uid="{07EDFD5D-DBF3-444D-86B2-FB216A56D739}"/>
    <cellStyle name="Style 86 2 2 3 4" xfId="11813" xr:uid="{E7EC5CD4-0794-4888-AECF-87FA2F024281}"/>
    <cellStyle name="Style 86 2 2 3 4 2" xfId="11814" xr:uid="{C367791B-9DE0-4FE7-9FF3-D961A7FE2095}"/>
    <cellStyle name="Style 86 2 2 3 4 2 2" xfId="27776" xr:uid="{878E74EF-3225-48E6-99CD-A75533F65975}"/>
    <cellStyle name="Style 86 2 2 3 5" xfId="11815" xr:uid="{82F5469A-49C6-4292-8C8F-A7C23423644B}"/>
    <cellStyle name="Style 86 2 2 3 5 2" xfId="27777" xr:uid="{2DAA8826-5808-458C-87B1-08B7640ACB3B}"/>
    <cellStyle name="Style 86 2 2 3 6" xfId="11816" xr:uid="{35EEE245-C0CC-49D1-8AF5-05D853620AB2}"/>
    <cellStyle name="Style 86 2 2 3 6 2" xfId="27778" xr:uid="{03BD85FC-6734-4785-AEE2-F42C77F7662E}"/>
    <cellStyle name="Style 86 2 2 3 7" xfId="11817" xr:uid="{E60ADB54-B128-4DC4-AA11-E56C9EF22494}"/>
    <cellStyle name="Style 86 2 2 3 7 2" xfId="27779" xr:uid="{BDDCC1EE-F80F-4E0F-B263-D8911DF87CB3}"/>
    <cellStyle name="Style 86 2 2 3 8" xfId="11818" xr:uid="{163695DF-E838-415B-8EB6-D44DBD90930A}"/>
    <cellStyle name="Style 86 2 2 3 8 2" xfId="27780" xr:uid="{842DF3EB-9054-4BAB-86CA-6AD19C1408ED}"/>
    <cellStyle name="Style 86 2 2 3 9" xfId="11819" xr:uid="{A4EB6251-6FC0-404B-8A01-790F0EE24D96}"/>
    <cellStyle name="Style 86 2 2 3 9 2" xfId="27781" xr:uid="{0AF16FD6-1131-4E59-9787-029045577D5D}"/>
    <cellStyle name="Style 86 2 2 4" xfId="2270" xr:uid="{F23D88DA-728E-4F19-BF46-33A872DF3A63}"/>
    <cellStyle name="Style 86 2 2 4 10" xfId="11820" xr:uid="{09D2F81F-4B83-4753-8B3F-A396472B6ED7}"/>
    <cellStyle name="Style 86 2 2 4 10 2" xfId="27782" xr:uid="{DAC7C3EF-7433-453D-B51B-AE67B350B538}"/>
    <cellStyle name="Style 86 2 2 4 11" xfId="11821" xr:uid="{FDFF14B4-6EB0-45F9-9786-887C63E57C85}"/>
    <cellStyle name="Style 86 2 2 4 11 2" xfId="27783" xr:uid="{A4BAF054-B3B3-43E0-AA0F-FDA99E495120}"/>
    <cellStyle name="Style 86 2 2 4 12 2" xfId="27784" xr:uid="{0052DF44-4E50-49BC-B586-1D6525188FD3}"/>
    <cellStyle name="Style 86 2 2 4 2" xfId="4977" xr:uid="{B0D82DA6-D57D-4B8C-A5A4-95D4C5A6A5DF}"/>
    <cellStyle name="Style 86 2 2 4 2 2" xfId="11822" xr:uid="{022BA527-A1EF-46A2-93E8-94D374EBE0C2}"/>
    <cellStyle name="Style 86 2 2 4 2 2 2" xfId="27785" xr:uid="{8AF48DFE-945E-4123-9643-5F2B500681BF}"/>
    <cellStyle name="Style 86 2 2 4 2 3" xfId="11823" xr:uid="{2ABC40B8-4722-4791-A9A6-EC706BDEC450}"/>
    <cellStyle name="Style 86 2 2 4 2 3 2" xfId="27786" xr:uid="{8CA159F4-5A9F-455C-8004-FBCF10B17B1A}"/>
    <cellStyle name="Style 86 2 2 4 3" xfId="11824" xr:uid="{B6D87848-13AB-48BA-872C-E353606580D9}"/>
    <cellStyle name="Style 86 2 2 4 3 2 2" xfId="27787" xr:uid="{A26E080B-7254-475C-B4B3-4FDE4F66EEE2}"/>
    <cellStyle name="Style 86 2 2 4 4" xfId="11825" xr:uid="{6FE9E1EE-1C76-4080-AA2C-2F15B29CD190}"/>
    <cellStyle name="Style 86 2 2 4 4 2" xfId="27788" xr:uid="{8B1DF105-E67A-40A3-BA3A-0A195AEEE336}"/>
    <cellStyle name="Style 86 2 2 4 5" xfId="11826" xr:uid="{DDE74AA7-409B-4AA1-8428-FFE1DDE4B9F3}"/>
    <cellStyle name="Style 86 2 2 4 5 2" xfId="27789" xr:uid="{FB53DD01-2548-483B-A534-3C3932AF582B}"/>
    <cellStyle name="Style 86 2 2 4 6" xfId="11827" xr:uid="{A049E7E1-BFB8-49B2-901A-9F69059510A3}"/>
    <cellStyle name="Style 86 2 2 4 6 2" xfId="27790" xr:uid="{04E6DF31-A73C-4F7A-94B9-6057DE844427}"/>
    <cellStyle name="Style 86 2 2 4 7" xfId="11828" xr:uid="{376A1EC9-B5F2-4D88-A048-CFE3DE45C2A8}"/>
    <cellStyle name="Style 86 2 2 4 7 2" xfId="27791" xr:uid="{ED75B2F0-F06B-4568-AA3C-9091EACA4416}"/>
    <cellStyle name="Style 86 2 2 4 8" xfId="11829" xr:uid="{40F2E68B-BD96-4669-ADB6-480B37FA3518}"/>
    <cellStyle name="Style 86 2 2 4 8 2" xfId="27792" xr:uid="{270F7270-853B-41C9-84CC-48571B4C60C0}"/>
    <cellStyle name="Style 86 2 2 4 9" xfId="11830" xr:uid="{68410CD7-2C5F-4D99-8AC8-7CDFEFC1988E}"/>
    <cellStyle name="Style 86 2 2 4 9 2" xfId="27793" xr:uid="{850933F7-9B63-4477-9AAD-1CFCBE5DBE09}"/>
    <cellStyle name="Style 86 2 2 5" xfId="4970" xr:uid="{23362E22-5421-4A30-985C-75A761C893A7}"/>
    <cellStyle name="Style 86 2 2 5 2" xfId="11831" xr:uid="{C0B7E528-21B8-4EB4-B082-AFD7570398CB}"/>
    <cellStyle name="Style 86 2 2 5 2 2" xfId="27794" xr:uid="{0534568A-9B2A-4D21-A03A-8D878D312A99}"/>
    <cellStyle name="Style 86 2 2 5 3" xfId="11832" xr:uid="{7B625C32-4F36-4989-9A34-D1DCC65DF146}"/>
    <cellStyle name="Style 86 2 2 6" xfId="11833" xr:uid="{211D2723-44DA-44B9-9295-BAC81ADDD632}"/>
    <cellStyle name="Style 86 2 2 6 2" xfId="11834" xr:uid="{E58C560E-BAFF-4610-B7CC-7CF14DB37EE2}"/>
    <cellStyle name="Style 86 2 2 6 2 2" xfId="27795" xr:uid="{CD90069F-5D5A-434C-B97E-CEFC6A8A60E5}"/>
    <cellStyle name="Style 86 2 2 7" xfId="11835" xr:uid="{C4CFEB1A-9067-4D20-BE5A-B4F0BAB84089}"/>
    <cellStyle name="Style 86 2 2 7 2" xfId="27796" xr:uid="{D3A17AF5-049E-44DB-8CC9-D001D7095684}"/>
    <cellStyle name="Style 86 2 2 8" xfId="11836" xr:uid="{CE76F9BB-1449-41D7-A6FC-05342A545EAE}"/>
    <cellStyle name="Style 86 2 2 8 2" xfId="27797" xr:uid="{0C58213F-BF6B-4FF0-BDA1-5DE7F501992D}"/>
    <cellStyle name="Style 86 2 2 9" xfId="11837" xr:uid="{2E3ED616-ECE6-4DE3-902A-B980A17DB71B}"/>
    <cellStyle name="Style 86 2 2 9 2" xfId="27798" xr:uid="{8BACFF20-00CB-49A8-9FB4-FF8E5DC5FE7B}"/>
    <cellStyle name="Style 86 2 3" xfId="2271" xr:uid="{C187DCDF-B0A6-4CBB-BE3A-A72358EB4BB6}"/>
    <cellStyle name="Style 86 2 3 10" xfId="11838" xr:uid="{7070A96D-77BB-489D-8764-83344D110485}"/>
    <cellStyle name="Style 86 2 3 10 2" xfId="27799" xr:uid="{4F37E662-B377-4D22-BFCC-3567A7BB5BDF}"/>
    <cellStyle name="Style 86 2 3 11" xfId="11839" xr:uid="{DB61B617-9C1D-48A2-BB9E-89B272B1A83F}"/>
    <cellStyle name="Style 86 2 3 11 2" xfId="27800" xr:uid="{FD6738B2-51DA-4EE6-A01E-E0B1A4A0B69D}"/>
    <cellStyle name="Style 86 2 3 12" xfId="11840" xr:uid="{31684418-B9BB-4D64-B5BD-849EE78625E2}"/>
    <cellStyle name="Style 86 2 3 13" xfId="11841" xr:uid="{83501B9D-30BB-46F5-A14F-8222232A5B86}"/>
    <cellStyle name="Style 86 2 3 13 2" xfId="27801" xr:uid="{289FD0A0-D745-4E74-BE44-B46512C254A9}"/>
    <cellStyle name="Style 86 2 3 14" xfId="11842" xr:uid="{23881361-D7DE-44C3-8626-764B346955D1}"/>
    <cellStyle name="Style 86 2 3 14 2" xfId="27802" xr:uid="{0569CC89-5729-42CD-B18E-A51AE6D88A60}"/>
    <cellStyle name="Style 86 2 3 15" xfId="11843" xr:uid="{D2F1B1A8-E592-44A5-B6A3-8B863CFE197E}"/>
    <cellStyle name="Style 86 2 3 15 2" xfId="27803" xr:uid="{4E70BAC3-301E-4E28-B6E8-06BFFE3D1E94}"/>
    <cellStyle name="Style 86 2 3 2" xfId="2272" xr:uid="{58757554-6A73-4CA0-9840-6699E70A83E1}"/>
    <cellStyle name="Style 86 2 3 2 10" xfId="11844" xr:uid="{D6F9279F-3A07-4D97-8DA1-9650A5C33D8F}"/>
    <cellStyle name="Style 86 2 3 2 10 2" xfId="27804" xr:uid="{91A19F73-F69C-4753-9249-2E1E9F5F9458}"/>
    <cellStyle name="Style 86 2 3 2 11" xfId="11845" xr:uid="{562C3CBF-1A82-4C8B-9A87-3FF7ABDF5791}"/>
    <cellStyle name="Style 86 2 3 2 11 2" xfId="27805" xr:uid="{74C6BDF4-CF79-4479-A9B5-64D2503DF18F}"/>
    <cellStyle name="Style 86 2 3 2 12" xfId="11846" xr:uid="{34EFDAD7-6827-4448-8907-D455D337206B}"/>
    <cellStyle name="Style 86 2 3 2 12 2" xfId="27806" xr:uid="{80F2FDAE-6E63-4B79-94B1-BCD1F538756C}"/>
    <cellStyle name="Style 86 2 3 2 13 2" xfId="27807" xr:uid="{6960A503-5571-4DEA-B6FB-984163D202C0}"/>
    <cellStyle name="Style 86 2 3 2 14" xfId="11847" xr:uid="{C35FE061-17BB-44FD-8321-A8C76887D3C8}"/>
    <cellStyle name="Style 86 2 3 2 14 2" xfId="27808" xr:uid="{DB18F75F-7BF6-498E-94F5-E0E4861BEF94}"/>
    <cellStyle name="Style 86 2 3 2 2" xfId="2273" xr:uid="{2B52D9F0-36A6-49F5-A990-BD636E1CCCC2}"/>
    <cellStyle name="Style 86 2 3 2 2 10" xfId="11848" xr:uid="{B2CBEF37-CB72-45A1-8CD0-26F6103A12BC}"/>
    <cellStyle name="Style 86 2 3 2 2 10 2" xfId="27809" xr:uid="{9CD0B274-E1F4-4C8B-8A0B-63F40D449357}"/>
    <cellStyle name="Style 86 2 3 2 2 11" xfId="11849" xr:uid="{DF08CA0C-E43F-4A1D-AAE4-A5D283EA6866}"/>
    <cellStyle name="Style 86 2 3 2 2 11 2" xfId="27810" xr:uid="{3D1AF816-3761-4ACC-A58F-DE428BD76E6A}"/>
    <cellStyle name="Style 86 2 3 2 2 12" xfId="11850" xr:uid="{18963920-FB56-422D-A7A2-BD3DF4B759A8}"/>
    <cellStyle name="Style 86 2 3 2 2 12 2" xfId="27811" xr:uid="{B23517E4-9DE4-48C8-AF4C-C6B287B3AEF9}"/>
    <cellStyle name="Style 86 2 3 2 2 2" xfId="4980" xr:uid="{C80C4DB1-7F48-40EA-B2FF-DDF5659F41BB}"/>
    <cellStyle name="Style 86 2 3 2 2 2 2 2" xfId="27812" xr:uid="{4B252EB7-04E8-49E2-87F6-36DFB56616C8}"/>
    <cellStyle name="Style 86 2 3 2 2 2 3" xfId="11851" xr:uid="{8E7DA977-4E23-45F6-8A98-6DF85E438705}"/>
    <cellStyle name="Style 86 2 3 2 2 2 3 2" xfId="27813" xr:uid="{A347488C-9D02-4C64-94A0-8D802B8EF30B}"/>
    <cellStyle name="Style 86 2 3 2 2 3" xfId="11852" xr:uid="{0D81F74C-02BC-44F9-A00D-8A7BC8183188}"/>
    <cellStyle name="Style 86 2 3 2 2 3 2" xfId="11853" xr:uid="{26B5AF6A-7B28-45AA-AE3D-B3E7FC9095EF}"/>
    <cellStyle name="Style 86 2 3 2 2 3 2 2" xfId="27814" xr:uid="{66A6F5E2-8894-4687-9790-4A74DB3C0916}"/>
    <cellStyle name="Style 86 2 3 2 2 4" xfId="11854" xr:uid="{B86A5197-E722-4864-A75C-2746F992BE26}"/>
    <cellStyle name="Style 86 2 3 2 2 4 2" xfId="27815" xr:uid="{94199B51-0DCD-482F-95B5-D5FFC7749D61}"/>
    <cellStyle name="Style 86 2 3 2 2 5" xfId="11855" xr:uid="{6E54DC8F-1AA3-4EAE-AB53-771BD938AA8C}"/>
    <cellStyle name="Style 86 2 3 2 2 5 2" xfId="27816" xr:uid="{AAC5A93C-B24A-4F77-AC70-9BB8E327C191}"/>
    <cellStyle name="Style 86 2 3 2 2 6" xfId="11856" xr:uid="{634C9B7A-771E-4692-B05A-82FC8F45D50B}"/>
    <cellStyle name="Style 86 2 3 2 2 6 2" xfId="27817" xr:uid="{C8A6242E-05C7-499A-A410-F64258985CBA}"/>
    <cellStyle name="Style 86 2 3 2 2 7 2" xfId="27818" xr:uid="{2E7ECD12-E84F-4229-9963-64B8D600D061}"/>
    <cellStyle name="Style 86 2 3 2 2 8" xfId="11857" xr:uid="{CE0E330C-BE5D-4B9C-B175-A42BF067EE86}"/>
    <cellStyle name="Style 86 2 3 2 2 8 2" xfId="27819" xr:uid="{397ECBB5-45EF-4F00-A8E6-42E4F32E0733}"/>
    <cellStyle name="Style 86 2 3 2 2 9" xfId="11858" xr:uid="{466C3BBB-444F-4110-A6B5-1FC4F5E2D71D}"/>
    <cellStyle name="Style 86 2 3 2 2 9 2" xfId="27820" xr:uid="{0035FE88-4342-4554-A6AE-FF0559520EE3}"/>
    <cellStyle name="Style 86 2 3 2 3" xfId="4979" xr:uid="{2BADBE1D-2159-44C0-9AB8-AB69029DF3C7}"/>
    <cellStyle name="Style 86 2 3 2 3 2" xfId="11859" xr:uid="{5F632A51-F181-4ECF-B843-927BC12CA0AE}"/>
    <cellStyle name="Style 86 2 3 2 3 2 2" xfId="27821" xr:uid="{4EF740BD-7881-43F0-BCE6-76CFDDE8FA31}"/>
    <cellStyle name="Style 86 2 3 2 3 3" xfId="11860" xr:uid="{CDC7E9E3-B52E-4CA1-B06D-27EA7E86A1CA}"/>
    <cellStyle name="Style 86 2 3 2 3 3 2" xfId="27822" xr:uid="{2E960388-9B2F-47E5-BCCB-7EB666F2B381}"/>
    <cellStyle name="Style 86 2 3 2 4" xfId="11861" xr:uid="{964D4301-5AC8-4F99-9AD3-DE7C17BDEB64}"/>
    <cellStyle name="Style 86 2 3 2 4 2" xfId="11862" xr:uid="{09AB565F-DCE9-4152-8160-82479F1C6929}"/>
    <cellStyle name="Style 86 2 3 2 4 2 2" xfId="27823" xr:uid="{11CFBA3F-DA62-4330-A8A2-49C073C97804}"/>
    <cellStyle name="Style 86 2 3 2 5" xfId="11863" xr:uid="{22B65744-1C1C-4C91-A686-A223D12CB5E8}"/>
    <cellStyle name="Style 86 2 3 2 5 2" xfId="27824" xr:uid="{E31F5906-720F-41FB-918F-162FAAF8DD8A}"/>
    <cellStyle name="Style 86 2 3 2 6" xfId="11864" xr:uid="{B29639A9-0466-42E2-8EF7-5F5830495942}"/>
    <cellStyle name="Style 86 2 3 2 6 2" xfId="27825" xr:uid="{0992B7D2-6B3D-48EF-B0E1-69EC5A63C8E9}"/>
    <cellStyle name="Style 86 2 3 2 7" xfId="11865" xr:uid="{9799CD7D-E123-4ED4-9685-F65343580A61}"/>
    <cellStyle name="Style 86 2 3 2 7 2" xfId="27826" xr:uid="{3B3FD479-F6FF-49D4-AD29-D365F472B0BA}"/>
    <cellStyle name="Style 86 2 3 2 8" xfId="11866" xr:uid="{65F833E6-B1FE-4AA4-8010-EE7BF2C490A5}"/>
    <cellStyle name="Style 86 2 3 2 9" xfId="11867" xr:uid="{7F1DDED5-36E0-4517-A6E8-BA1C93453AD5}"/>
    <cellStyle name="Style 86 2 3 2 9 2" xfId="27827" xr:uid="{49B7EE92-3BD3-4E02-9DF7-B8D4E6ABAD3E}"/>
    <cellStyle name="Style 86 2 3 3" xfId="2274" xr:uid="{1BBE093C-4753-4DED-B111-BBD3284470DC}"/>
    <cellStyle name="Style 86 2 3 3 10" xfId="11868" xr:uid="{1EE1E35F-2AA8-4B34-8335-2361A4EBA13E}"/>
    <cellStyle name="Style 86 2 3 3 10 2" xfId="27828" xr:uid="{9FBCCDF5-A8EB-4B09-B510-226C85C54C4F}"/>
    <cellStyle name="Style 86 2 3 3 11" xfId="11869" xr:uid="{D987F6DC-E8A2-4AF0-B07B-87D0BD7FC6D9}"/>
    <cellStyle name="Style 86 2 3 3 11 2" xfId="27829" xr:uid="{AF255E9D-F69D-45FB-AE25-0580672245E3}"/>
    <cellStyle name="Style 86 2 3 3 12" xfId="11870" xr:uid="{78BEA164-6652-4CFA-9296-419F9D476856}"/>
    <cellStyle name="Style 86 2 3 3 12 2" xfId="27830" xr:uid="{E7204809-ACD4-40EC-ADD9-7C44986EB52F}"/>
    <cellStyle name="Style 86 2 3 3 2" xfId="4981" xr:uid="{133366F2-2085-46B9-93C5-2ED488069087}"/>
    <cellStyle name="Style 86 2 3 3 2 2" xfId="11871" xr:uid="{891FB4E7-29D3-4242-961A-FA2C948BC0FC}"/>
    <cellStyle name="Style 86 2 3 3 2 2 2" xfId="27831" xr:uid="{F2F370F8-E9D8-4AD4-9AF9-66503D767CF8}"/>
    <cellStyle name="Style 86 2 3 3 2 3" xfId="11872" xr:uid="{D883F337-564F-43DD-89E4-C6D02E83E880}"/>
    <cellStyle name="Style 86 2 3 3 3" xfId="11873" xr:uid="{487105D0-206A-4D77-BC12-E01BA321D3BE}"/>
    <cellStyle name="Style 86 2 3 3 3 2" xfId="11874" xr:uid="{D5EE2A6E-456A-4726-89AD-8FB840088E3E}"/>
    <cellStyle name="Style 86 2 3 3 3 2 2" xfId="27832" xr:uid="{F7C9D44F-9FE9-4CCC-8ABF-141C2E8E040E}"/>
    <cellStyle name="Style 86 2 3 3 4" xfId="11875" xr:uid="{9FEFA543-1A34-4CE2-9257-2B8BFDD224DC}"/>
    <cellStyle name="Style 86 2 3 3 4 2" xfId="27833" xr:uid="{91A2AF14-2DCE-45E7-9ADF-00C8AC1C9707}"/>
    <cellStyle name="Style 86 2 3 3 5" xfId="11876" xr:uid="{A81DC0A5-5A1D-4B36-9A7E-9D3AB818BD4A}"/>
    <cellStyle name="Style 86 2 3 3 5 2" xfId="27834" xr:uid="{FD440563-2F77-4A46-A457-2B9FFEB5E9C2}"/>
    <cellStyle name="Style 86 2 3 3 6" xfId="11877" xr:uid="{2BA28279-ACA2-4B4A-95AE-D9E750AF9D18}"/>
    <cellStyle name="Style 86 2 3 3 6 2" xfId="27835" xr:uid="{89FA01A5-FA08-4750-B710-9843DCC6DEAD}"/>
    <cellStyle name="Style 86 2 3 3 7" xfId="11878" xr:uid="{A87CEB53-33D2-49C1-AD86-36F557F809B1}"/>
    <cellStyle name="Style 86 2 3 3 7 2" xfId="27836" xr:uid="{058CEBAC-066E-4FB7-8AB3-D1D846D0AE8F}"/>
    <cellStyle name="Style 86 2 3 3 8" xfId="11879" xr:uid="{1E9AD2BC-4ABE-4839-A22D-9BEB5DFD9311}"/>
    <cellStyle name="Style 86 2 3 3 9" xfId="11880" xr:uid="{9C124A93-548A-49E5-AB38-4D8044424902}"/>
    <cellStyle name="Style 86 2 3 3 9 2" xfId="27837" xr:uid="{38AF7462-7000-4692-A9AD-4FB3BCC9D928}"/>
    <cellStyle name="Style 86 2 3 4" xfId="4978" xr:uid="{82EE244A-4CAD-459F-9597-DD02B36DA482}"/>
    <cellStyle name="Style 86 2 3 4 2" xfId="11881" xr:uid="{715DBA00-E0CE-4973-B013-92FCC6FDFD41}"/>
    <cellStyle name="Style 86 2 3 4 2 2" xfId="27838" xr:uid="{869BAEA6-6C97-4EF7-B0AA-929562ABD6D9}"/>
    <cellStyle name="Style 86 2 3 4 3" xfId="11882" xr:uid="{E3602427-0D5D-4E72-AEBD-CB43DB5132B5}"/>
    <cellStyle name="Style 86 2 3 4 3 2" xfId="27839" xr:uid="{F0B94330-0D30-4A0D-98AC-72FFEDCC2452}"/>
    <cellStyle name="Style 86 2 3 5" xfId="11883" xr:uid="{CB64DDCB-9773-4001-B806-937CAE774C8A}"/>
    <cellStyle name="Style 86 2 3 5 2" xfId="11884" xr:uid="{EF580339-D653-473C-BFD0-3AA8288EDA62}"/>
    <cellStyle name="Style 86 2 3 5 2 2" xfId="27840" xr:uid="{D48B16CA-AAF8-4437-84C7-AEE36D87D32B}"/>
    <cellStyle name="Style 86 2 3 6" xfId="11885" xr:uid="{1BBD65A9-1BED-457B-8DB3-849952668AB8}"/>
    <cellStyle name="Style 86 2 3 6 2" xfId="27841" xr:uid="{1D734F04-1B51-47EE-A4DD-F4910518AC50}"/>
    <cellStyle name="Style 86 2 3 7" xfId="11886" xr:uid="{F2218DA4-A200-46C0-952F-2D0FCBF5868E}"/>
    <cellStyle name="Style 86 2 3 7 2" xfId="27842" xr:uid="{A68F3867-DA67-45EA-B44A-C5115C7DAF97}"/>
    <cellStyle name="Style 86 2 3 8" xfId="11887" xr:uid="{60F793DB-E2FA-404A-A8E6-DDE084D503F8}"/>
    <cellStyle name="Style 86 2 3 8 2" xfId="27843" xr:uid="{0CE406B8-F3B2-4CB1-B17E-98A691642A5D}"/>
    <cellStyle name="Style 86 2 3 9" xfId="11888" xr:uid="{B39C9B56-67C2-41AD-979B-0203CA3AE613}"/>
    <cellStyle name="Style 86 2 3 9 2" xfId="27844" xr:uid="{B62E0DBE-46BE-45D5-A3D7-85C43A5E4D6B}"/>
    <cellStyle name="Style 86 2 4" xfId="2275" xr:uid="{A8070E01-5956-4572-B2CC-8F8A52AC4F2F}"/>
    <cellStyle name="Style 86 2 4 10" xfId="11889" xr:uid="{D5C73D49-832D-4F1C-8AD6-8DF67F87443B}"/>
    <cellStyle name="Style 86 2 4 11" xfId="11890" xr:uid="{27EF8803-685B-43A4-96BE-110D2795ACED}"/>
    <cellStyle name="Style 86 2 4 11 2" xfId="27845" xr:uid="{F90F7D43-C2E1-4420-BCA6-E9B6AD0753B4}"/>
    <cellStyle name="Style 86 2 4 12" xfId="11891" xr:uid="{07855E36-734E-495C-A25B-13B35F1C32F1}"/>
    <cellStyle name="Style 86 2 4 12 2" xfId="27846" xr:uid="{40FE3B63-8182-40CF-8057-6830010C8C83}"/>
    <cellStyle name="Style 86 2 4 13" xfId="11892" xr:uid="{BDDDD7E5-28FC-45E3-8C44-BF0FF862625C}"/>
    <cellStyle name="Style 86 2 4 13 2" xfId="27847" xr:uid="{91097332-0258-437D-9D32-768D32496B1B}"/>
    <cellStyle name="Style 86 2 4 14" xfId="11893" xr:uid="{8B725E3B-CF7B-40D2-8082-6F1469356E54}"/>
    <cellStyle name="Style 86 2 4 14 2" xfId="27848" xr:uid="{B61A5C69-4229-4D35-9DB3-FEAC016C98D1}"/>
    <cellStyle name="Style 86 2 4 2" xfId="2276" xr:uid="{61327543-89EC-4AE9-8FE2-ADBA2BDC4261}"/>
    <cellStyle name="Style 86 2 4 2 10" xfId="11894" xr:uid="{A99C664A-5FEF-448E-8ED5-1F94327045DD}"/>
    <cellStyle name="Style 86 2 4 2 10 2" xfId="27849" xr:uid="{BB250272-9A1A-41E8-A105-D07B11F545C0}"/>
    <cellStyle name="Style 86 2 4 2 11 2" xfId="27850" xr:uid="{5D9EA0C9-090B-44EC-89CF-3E6B14FF4BEA}"/>
    <cellStyle name="Style 86 2 4 2 12" xfId="11895" xr:uid="{8D4CA5AE-6FF6-4A96-8F47-D4D8D2B94CD5}"/>
    <cellStyle name="Style 86 2 4 2 12 2" xfId="27851" xr:uid="{F121E079-1D40-4718-8679-CAF6EA3B8BA9}"/>
    <cellStyle name="Style 86 2 4 2 2" xfId="4983" xr:uid="{C42D7BC5-E9B2-4FF0-AF8D-48C609A4B4DD}"/>
    <cellStyle name="Style 86 2 4 2 2 2" xfId="11896" xr:uid="{C3426E91-5534-4079-8D3D-1948F96E3097}"/>
    <cellStyle name="Style 86 2 4 2 2 2 2" xfId="27852" xr:uid="{53D81A30-123A-4CB9-BC92-0057D427ABB5}"/>
    <cellStyle name="Style 86 2 4 2 2 3" xfId="11897" xr:uid="{76C9DA4E-4407-48FF-806B-2E97700B0035}"/>
    <cellStyle name="Style 86 2 4 2 2 3 2" xfId="27853" xr:uid="{D4245B25-EB15-4A9D-A5EA-D63C6366967A}"/>
    <cellStyle name="Style 86 2 4 2 3" xfId="11898" xr:uid="{0DB85F3B-D4D3-4F7C-9B48-5454E0337140}"/>
    <cellStyle name="Style 86 2 4 2 3 2" xfId="11899" xr:uid="{97429096-7DF4-4F03-97D6-D8F674076FF0}"/>
    <cellStyle name="Style 86 2 4 2 3 2 2" xfId="27854" xr:uid="{2195480F-FCD7-4428-A145-48E5E3A92E50}"/>
    <cellStyle name="Style 86 2 4 2 4 2" xfId="27855" xr:uid="{95D26890-774C-4BBD-A878-CA6F6BD61BF6}"/>
    <cellStyle name="Style 86 2 4 2 5" xfId="11900" xr:uid="{BF65CE60-174B-46F0-84EA-F45A7F8928CB}"/>
    <cellStyle name="Style 86 2 4 2 5 2" xfId="27856" xr:uid="{66862291-0F86-4518-A2C4-04895E0CFE2D}"/>
    <cellStyle name="Style 86 2 4 2 6" xfId="11901" xr:uid="{957B66FD-F23F-4ED6-95BE-71803ED3F286}"/>
    <cellStyle name="Style 86 2 4 2 6 2" xfId="27857" xr:uid="{D961BEF8-B05B-490F-A0D1-84C45EFB22A8}"/>
    <cellStyle name="Style 86 2 4 2 7" xfId="11902" xr:uid="{B486198E-7C0D-47CD-A509-34EE8EB8639D}"/>
    <cellStyle name="Style 86 2 4 2 7 2" xfId="27858" xr:uid="{7E919159-3ABF-45A1-8D63-DCB4297F1B82}"/>
    <cellStyle name="Style 86 2 4 2 8" xfId="11903" xr:uid="{268A4993-2A56-4343-983A-B5CFB2F7C15C}"/>
    <cellStyle name="Style 86 2 4 2 8 2" xfId="27859" xr:uid="{803CA3C2-C232-46A2-9A2C-8819D5187B16}"/>
    <cellStyle name="Style 86 2 4 2 9" xfId="11904" xr:uid="{938F6EA9-7B93-40AE-9F60-0430100128E7}"/>
    <cellStyle name="Style 86 2 4 2 9 2" xfId="27860" xr:uid="{789FA9DA-57C6-4CF2-BD84-79756A4DE93D}"/>
    <cellStyle name="Style 86 2 4 3" xfId="4982" xr:uid="{F843C3EF-CFF8-4CF2-B5EA-A7F6D8EB363E}"/>
    <cellStyle name="Style 86 2 4 3 2 2" xfId="27861" xr:uid="{A92011F0-B826-413C-866A-13DE9BF7E51F}"/>
    <cellStyle name="Style 86 2 4 3 3" xfId="11905" xr:uid="{5874D047-0649-46A0-BD04-0DCCFAA020B4}"/>
    <cellStyle name="Style 86 2 4 3 3 2" xfId="27862" xr:uid="{505475D3-BC9A-486D-AEF9-4F3D2A2AF996}"/>
    <cellStyle name="Style 86 2 4 4" xfId="11906" xr:uid="{A3E60BE3-ACEA-46E6-8859-413658A42674}"/>
    <cellStyle name="Style 86 2 4 4 2" xfId="11907" xr:uid="{2D0D8AB2-8F9B-452B-83EC-D826427F25E7}"/>
    <cellStyle name="Style 86 2 4 4 2 2" xfId="27863" xr:uid="{FEF2DD8B-459C-45DB-AD63-08F8BB9A1243}"/>
    <cellStyle name="Style 86 2 4 5" xfId="11908" xr:uid="{398F333C-E3B0-4959-900C-4539C2C1A77C}"/>
    <cellStyle name="Style 86 2 4 5 2" xfId="27864" xr:uid="{0890056A-8BD6-47DF-97FA-026CFA670E6B}"/>
    <cellStyle name="Style 86 2 4 6" xfId="11909" xr:uid="{83DBEC06-E95B-408C-9943-4F1D6A1ED660}"/>
    <cellStyle name="Style 86 2 4 6 2" xfId="27865" xr:uid="{4F89CCD0-8AB6-4F82-ADE5-8BBC28E316D8}"/>
    <cellStyle name="Style 86 2 4 7" xfId="11910" xr:uid="{31812C23-7BF4-4094-8F94-8ED7005B39C4}"/>
    <cellStyle name="Style 86 2 4 7 2" xfId="27866" xr:uid="{4093580F-86EC-476C-AE8B-7493BF6A8C02}"/>
    <cellStyle name="Style 86 2 4 8" xfId="11911" xr:uid="{01794289-996C-40F8-87F1-170E859AD33D}"/>
    <cellStyle name="Style 86 2 4 8 2" xfId="27867" xr:uid="{87F9B65D-AA6C-40D6-B095-A25CD87C714A}"/>
    <cellStyle name="Style 86 2 4 9" xfId="11912" xr:uid="{73482714-4BF2-4316-8FE3-98E55EB60FF8}"/>
    <cellStyle name="Style 86 2 4 9 2" xfId="27868" xr:uid="{07B9F7AA-8283-4590-B23B-2BE9726774EA}"/>
    <cellStyle name="Style 86 2 5" xfId="2277" xr:uid="{F0E5B7A8-A81C-46FA-984B-09F51C98C258}"/>
    <cellStyle name="Style 86 2 5 10" xfId="11913" xr:uid="{B42069C6-0A3E-4E0F-9225-7899BA94E2C0}"/>
    <cellStyle name="Style 86 2 5 10 2" xfId="27869" xr:uid="{72BDC79E-EC6F-4865-855E-9DB185DE876E}"/>
    <cellStyle name="Style 86 2 5 11" xfId="11914" xr:uid="{2E770B36-731B-4BA0-B72C-D7B7B2C714BF}"/>
    <cellStyle name="Style 86 2 5 12" xfId="11915" xr:uid="{990A041D-8142-4CFA-B824-8561F27BA34E}"/>
    <cellStyle name="Style 86 2 5 12 2" xfId="27870" xr:uid="{531DB5C9-BC86-4F29-B2F2-1F29B988239D}"/>
    <cellStyle name="Style 86 2 5 2" xfId="4985" xr:uid="{BEC042AE-6C44-4CAF-AB19-CADEE6DBE9D4}"/>
    <cellStyle name="Style 86 2 5 2 2" xfId="11916" xr:uid="{F1E6C5E2-88B0-4C9A-B9F8-F18B34ED484B}"/>
    <cellStyle name="Style 86 2 5 2 2 2" xfId="27871" xr:uid="{D1DB65E6-B865-46AD-BAC5-5DE9B0F975A9}"/>
    <cellStyle name="Style 86 2 5 2 3" xfId="11917" xr:uid="{20345EC4-EE86-4393-ADBF-F6680F5F5C4D}"/>
    <cellStyle name="Style 86 2 5 2 3 2" xfId="27872" xr:uid="{831C09DC-0274-4CF0-A8D8-590979280063}"/>
    <cellStyle name="Style 86 2 5 3" xfId="4984" xr:uid="{99C7CE6A-0BE7-46C5-A371-958C125BDC9D}"/>
    <cellStyle name="Style 86 2 5 3 2" xfId="11918" xr:uid="{BAF53F2C-B7D7-4E0B-B0E4-CF7BB1EEB629}"/>
    <cellStyle name="Style 86 2 5 3 2 2" xfId="27873" xr:uid="{12767503-1295-40BC-8135-3A2D13BF4C6B}"/>
    <cellStyle name="Style 86 2 5 4" xfId="11919" xr:uid="{04B08F38-4DA5-4D8C-AF20-403584E4B798}"/>
    <cellStyle name="Style 86 2 5 4 2" xfId="11920" xr:uid="{F17C5246-0BCC-431F-9D9B-2D770663D4BE}"/>
    <cellStyle name="Style 86 2 5 4 2 2" xfId="27874" xr:uid="{A6AF7F7A-100A-40ED-AE1D-00E93A704CE4}"/>
    <cellStyle name="Style 86 2 5 5 2" xfId="27875" xr:uid="{45BD46FB-B7BC-4BEE-AB7B-70528E355AF8}"/>
    <cellStyle name="Style 86 2 5 6" xfId="11921" xr:uid="{5306BCB6-5E2B-417E-A158-25AB0554FE4C}"/>
    <cellStyle name="Style 86 2 5 6 2" xfId="27876" xr:uid="{D0883DBD-FADA-40CE-A96F-48137460F081}"/>
    <cellStyle name="Style 86 2 5 7" xfId="11922" xr:uid="{8CB3F2AE-D9C6-4F0A-83B0-AE3E42D3F291}"/>
    <cellStyle name="Style 86 2 5 7 2" xfId="27877" xr:uid="{8C4DEED7-A3D2-42B0-8B89-964BA0268781}"/>
    <cellStyle name="Style 86 2 5 8" xfId="11923" xr:uid="{08A27043-61F1-4226-B7C9-5F3D70C1F86D}"/>
    <cellStyle name="Style 86 2 5 8 2" xfId="27878" xr:uid="{C0D780CD-9F61-4D71-BED5-B69068A39F18}"/>
    <cellStyle name="Style 86 2 5 9" xfId="11924" xr:uid="{5A10E117-F41C-44BD-9355-1E14E68EBA8A}"/>
    <cellStyle name="Style 86 2 5 9 2" xfId="27879" xr:uid="{7D40C9D1-813F-4944-8D3F-7EE490DF8D5A}"/>
    <cellStyle name="Style 86 2 6" xfId="4986" xr:uid="{D5741B83-D628-447D-9E2A-B17746E75E25}"/>
    <cellStyle name="Style 86 2 6 2" xfId="11925" xr:uid="{39411F79-F11B-48AB-AB4D-D7FB117480AE}"/>
    <cellStyle name="Style 86 2 6 2 2" xfId="27880" xr:uid="{79BF313C-542A-4D40-BD00-EB6985DE7890}"/>
    <cellStyle name="Style 86 2 6 3 2" xfId="27881" xr:uid="{AD4DD20F-AD6B-4B49-BFCC-E846F92FD228}"/>
    <cellStyle name="Style 86 2 7" xfId="4969" xr:uid="{7B9EE5CB-A5EA-4413-BA75-04F7482AA434}"/>
    <cellStyle name="Style 86 2 7 2" xfId="11926" xr:uid="{F833E8E7-69E3-4A5F-A170-6149EF0F0FE2}"/>
    <cellStyle name="Style 86 2 7 2 2" xfId="27882" xr:uid="{9345C45D-CE8A-457E-8783-5883E148BC56}"/>
    <cellStyle name="Style 86 2 8" xfId="11927" xr:uid="{1030EAB4-B71F-4EB6-904B-3CB21857DFAD}"/>
    <cellStyle name="Style 86 2 8 2" xfId="11928" xr:uid="{B3FC8AAB-BAE9-4AF7-BE66-464E0FD61A2D}"/>
    <cellStyle name="Style 86 2 8 2 2" xfId="27883" xr:uid="{5DCB541C-01FA-4690-AC0D-9CA783AB6A68}"/>
    <cellStyle name="Style 86 2 9" xfId="11929" xr:uid="{18F29495-5AE1-49D2-A7E3-A4335034FDB3}"/>
    <cellStyle name="Style 86 2 9 2" xfId="27884" xr:uid="{F327274B-8E91-43F5-BCE7-0497EC621795}"/>
    <cellStyle name="Style 86 3" xfId="2278" xr:uid="{EA46CEE7-004C-495A-B84A-BA8FF8C2C823}"/>
    <cellStyle name="Style 86 3 10 2" xfId="27885" xr:uid="{C0C1A7E5-5239-4905-B161-FA01321F2EF8}"/>
    <cellStyle name="Style 86 3 11 2" xfId="27886" xr:uid="{5FB62129-622C-42FA-8EE8-14C3088B15B0}"/>
    <cellStyle name="Style 86 3 12" xfId="11930" xr:uid="{7D73C731-9AAD-4155-A5C1-17ABD0BC37B5}"/>
    <cellStyle name="Style 86 3 12 2" xfId="27887" xr:uid="{BD3F2576-4376-4DBF-9E6C-DD6EC65458CD}"/>
    <cellStyle name="Style 86 3 13" xfId="11931" xr:uid="{AE0402EB-B42C-41E7-9C81-1B4AE1C19A69}"/>
    <cellStyle name="Style 86 3 13 2" xfId="27888" xr:uid="{8648BFA6-FF2C-4556-B569-1309EE7F4CC5}"/>
    <cellStyle name="Style 86 3 14" xfId="11932" xr:uid="{8A9DAD4A-39CD-4280-8B50-28694602137F}"/>
    <cellStyle name="Style 86 3 14 2" xfId="27889" xr:uid="{BB5ACD97-81B9-4625-A275-2D6C432C407F}"/>
    <cellStyle name="Style 86 3 15" xfId="11933" xr:uid="{565105CB-F89F-4001-A9D2-8ECB19BF979E}"/>
    <cellStyle name="Style 86 3 15 2" xfId="27890" xr:uid="{CFBBD1EB-BD14-4B34-8ACE-5AEB3E2EBF86}"/>
    <cellStyle name="Style 86 3 16 2" xfId="27891" xr:uid="{249314B0-655A-4A15-9F06-68283B90C769}"/>
    <cellStyle name="Style 86 3 17 2" xfId="27892" xr:uid="{C1508836-2BFA-4F54-A4B9-66672DA0C357}"/>
    <cellStyle name="Style 86 3 2 10" xfId="11934" xr:uid="{E77FE686-81E0-45C0-ABDC-8140F9B5DCCC}"/>
    <cellStyle name="Style 86 3 2 10 2" xfId="27893" xr:uid="{5E757E1C-BC5A-4238-AA0B-CD14CB10D641}"/>
    <cellStyle name="Style 86 3 2 11" xfId="11935" xr:uid="{32B9100E-3C4E-4190-A26D-FBCB46603DF0}"/>
    <cellStyle name="Style 86 3 2 11 2" xfId="27894" xr:uid="{1111389D-92CB-4ADC-BF0A-83809D1A4231}"/>
    <cellStyle name="Style 86 3 2 12" xfId="11936" xr:uid="{6C54F49E-2D46-450E-B07A-7AC082C41942}"/>
    <cellStyle name="Style 86 3 2 12 2" xfId="27895" xr:uid="{DFD54EA0-7E43-4B66-B8CA-13CD365D5FE4}"/>
    <cellStyle name="Style 86 3 2 13" xfId="11937" xr:uid="{B976ADFB-A5FD-49AE-A702-708DC52CDFE1}"/>
    <cellStyle name="Style 86 3 2 14" xfId="11938" xr:uid="{EF0D6BFC-407A-4B48-A7F7-C64A2575589C}"/>
    <cellStyle name="Style 86 3 2 14 2" xfId="27896" xr:uid="{67588EB0-B8C6-48AD-AEBF-36AF29789CAB}"/>
    <cellStyle name="Style 86 3 2 15" xfId="11939" xr:uid="{6FBA69A0-7F2D-40D2-AA8A-31895999CE20}"/>
    <cellStyle name="Style 86 3 2 15 2" xfId="27897" xr:uid="{55375B8A-B15B-4A48-8FEF-1BA877139041}"/>
    <cellStyle name="Style 86 3 2 16 2" xfId="27898" xr:uid="{988569FA-D965-4BB2-8A41-F47A2289D52D}"/>
    <cellStyle name="Style 86 3 2 2" xfId="2279" xr:uid="{7C67EB88-A58B-4599-B3E5-07EEAA68EEEF}"/>
    <cellStyle name="Style 86 3 2 2 10" xfId="11940" xr:uid="{49A28328-A91D-41BC-B6EF-0B8184E8A3C8}"/>
    <cellStyle name="Style 86 3 2 2 11" xfId="11941" xr:uid="{89DF8843-F091-40B4-B5CA-012272B6EE4D}"/>
    <cellStyle name="Style 86 3 2 2 11 2" xfId="27899" xr:uid="{A2ABC5A8-D619-4DDB-AB26-799D80EED779}"/>
    <cellStyle name="Style 86 3 2 2 12" xfId="11942" xr:uid="{65898C05-587D-468E-9687-E28BDAD1E96E}"/>
    <cellStyle name="Style 86 3 2 2 12 2" xfId="27900" xr:uid="{D9680CE0-F8A3-4423-89AA-DDE4461EFE6B}"/>
    <cellStyle name="Style 86 3 2 2 13" xfId="11943" xr:uid="{0DBE3F1D-E08B-444F-B46D-2D404EF1B77A}"/>
    <cellStyle name="Style 86 3 2 2 13 2" xfId="27901" xr:uid="{18EDF65E-7E08-4167-9D0D-B83AC26FF857}"/>
    <cellStyle name="Style 86 3 2 2 14 2" xfId="27902" xr:uid="{926EFBBF-CFC6-430B-B4C3-376154E26D09}"/>
    <cellStyle name="Style 86 3 2 2 15" xfId="11944" xr:uid="{89355D89-121B-41DC-ADEF-DEBF8B7755D3}"/>
    <cellStyle name="Style 86 3 2 2 15 2" xfId="27903" xr:uid="{13A49FE7-6FDB-4762-89F2-7189935224D0}"/>
    <cellStyle name="Style 86 3 2 2 2" xfId="2280" xr:uid="{EB515E75-2596-4A8A-99E9-DCFD4F977105}"/>
    <cellStyle name="Style 86 3 2 2 2 10" xfId="11945" xr:uid="{8B55B94F-7817-4B2B-9340-BBC161C8A1DE}"/>
    <cellStyle name="Style 86 3 2 2 2 10 2" xfId="27904" xr:uid="{18696C28-5B19-44B4-85BA-B085AA6F2936}"/>
    <cellStyle name="Style 86 3 2 2 2 11 2" xfId="27905" xr:uid="{7BDE8AD0-D216-4475-8DE9-92915A68426F}"/>
    <cellStyle name="Style 86 3 2 2 2 12" xfId="11946" xr:uid="{814AF4C4-7C46-4AE4-B2CF-5FB84DC02177}"/>
    <cellStyle name="Style 86 3 2 2 2 12 2" xfId="27906" xr:uid="{78444549-0060-4A22-9266-BA6B745A1744}"/>
    <cellStyle name="Style 86 3 2 2 2 13" xfId="11947" xr:uid="{60631820-4800-4B98-BB14-90500BAD6CB8}"/>
    <cellStyle name="Style 86 3 2 2 2 14" xfId="11948" xr:uid="{2A3733A5-84EC-4BAD-A397-635C438B35A8}"/>
    <cellStyle name="Style 86 3 2 2 2 14 2" xfId="27907" xr:uid="{DE2E9DCB-07A7-4DEA-8D22-09CB93527E38}"/>
    <cellStyle name="Style 86 3 2 2 2 2" xfId="2281" xr:uid="{BF802420-F3BB-4843-BD61-56B32BE42A71}"/>
    <cellStyle name="Style 86 3 2 2 2 2 10 2" xfId="27908" xr:uid="{6118D27C-EBA8-41D1-B0E5-830FACB8DB18}"/>
    <cellStyle name="Style 86 3 2 2 2 2 11" xfId="11949" xr:uid="{94B826BE-5E30-437B-ACE8-0B9617121034}"/>
    <cellStyle name="Style 86 3 2 2 2 2 12" xfId="11950" xr:uid="{2C09F8B9-CD96-479C-B50B-5933D5A7E4C7}"/>
    <cellStyle name="Style 86 3 2 2 2 2 12 2" xfId="27909" xr:uid="{959A68D0-3CB5-44CD-8BA1-8B13E51EED75}"/>
    <cellStyle name="Style 86 3 2 2 2 2 2" xfId="4991" xr:uid="{1516CEF0-542E-4DF2-A7ED-E53DA84451CB}"/>
    <cellStyle name="Style 86 3 2 2 2 2 2 2 2" xfId="27910" xr:uid="{B756191C-12DD-4CBC-931F-1341EBC2E7DE}"/>
    <cellStyle name="Style 86 3 2 2 2 2 2 3" xfId="11951" xr:uid="{D591F30D-0DB0-43B0-8E0F-A9AF6F06EA03}"/>
    <cellStyle name="Style 86 3 2 2 2 2 2 3 2" xfId="27911" xr:uid="{1F39CE00-0226-46FD-8BB1-B0D8C3C41246}"/>
    <cellStyle name="Style 86 3 2 2 2 2 3" xfId="11952" xr:uid="{564F5E46-AB91-417E-9240-3D3445354F62}"/>
    <cellStyle name="Style 86 3 2 2 2 2 3 2" xfId="11953" xr:uid="{03CF3767-C139-496F-A86C-ABE12EE9986F}"/>
    <cellStyle name="Style 86 3 2 2 2 2 3 2 2" xfId="27912" xr:uid="{C44D87D8-5ED6-497F-9407-DF48375BD1DF}"/>
    <cellStyle name="Style 86 3 2 2 2 2 4 2" xfId="27913" xr:uid="{9778227D-7F08-4E1C-A0D0-E64B19A8EB48}"/>
    <cellStyle name="Style 86 3 2 2 2 2 5" xfId="11954" xr:uid="{0D99EAF4-B29A-4F68-B3CC-183C3320A033}"/>
    <cellStyle name="Style 86 3 2 2 2 2 6" xfId="11955" xr:uid="{369189A3-F1B5-4BE8-9C15-A8702353F311}"/>
    <cellStyle name="Style 86 3 2 2 2 2 6 2" xfId="27914" xr:uid="{6AD96CA9-FC38-4A72-84E7-03D949C2FFA7}"/>
    <cellStyle name="Style 86 3 2 2 2 2 7" xfId="11956" xr:uid="{4FB59E7D-A790-4F7F-9706-1FCA5551B5C1}"/>
    <cellStyle name="Style 86 3 2 2 2 2 7 2" xfId="27915" xr:uid="{AAAD2A20-0816-4CDD-BD5F-0872073543E0}"/>
    <cellStyle name="Style 86 3 2 2 2 2 8" xfId="11957" xr:uid="{A7680F9E-9AED-47B6-A1C5-92E2291818B1}"/>
    <cellStyle name="Style 86 3 2 2 2 2 8 2" xfId="27916" xr:uid="{E69BE5E6-9B3C-43E4-A7D8-A9964D4194FC}"/>
    <cellStyle name="Style 86 3 2 2 2 2 9" xfId="11958" xr:uid="{F4CE2B9E-9A96-48D9-AB57-D0E8F9141437}"/>
    <cellStyle name="Style 86 3 2 2 2 2 9 2" xfId="27917" xr:uid="{F59B98EC-F58B-4CE6-91FE-3E819551F96D}"/>
    <cellStyle name="Style 86 3 2 2 2 3" xfId="4990" xr:uid="{736D4CFA-E293-4CE4-A782-E579C16D6EF0}"/>
    <cellStyle name="Style 86 3 2 2 2 3 2" xfId="11959" xr:uid="{FFCBDD48-528A-4F54-BA58-C5447D87E1D1}"/>
    <cellStyle name="Style 86 3 2 2 2 3 3 2" xfId="27918" xr:uid="{AE5FF30D-19C5-4961-B097-ACB64CF56E60}"/>
    <cellStyle name="Style 86 3 2 2 2 4 2" xfId="11960" xr:uid="{2861C36F-6220-4023-9D21-89AEE41C55D6}"/>
    <cellStyle name="Style 86 3 2 2 2 4 2 2" xfId="27919" xr:uid="{843EFCFE-8A9E-46C3-A5F4-78D447FA3ED5}"/>
    <cellStyle name="Style 86 3 2 2 2 5" xfId="11961" xr:uid="{3EA3ADBF-12F4-4543-BB37-864FE9DA79DE}"/>
    <cellStyle name="Style 86 3 2 2 2 5 2" xfId="27920" xr:uid="{5C631AA0-1530-4D43-8D4B-518FDB06A913}"/>
    <cellStyle name="Style 86 3 2 2 2 6" xfId="11962" xr:uid="{CD138990-C0DB-43CD-8E5F-0028BF3A6C4B}"/>
    <cellStyle name="Style 86 3 2 2 2 6 2" xfId="27921" xr:uid="{DF59E324-BECE-4428-91E0-05F0DB3FB40A}"/>
    <cellStyle name="Style 86 3 2 2 2 7" xfId="11963" xr:uid="{0A0E7493-6C15-4182-9366-34D788AC0596}"/>
    <cellStyle name="Style 86 3 2 2 2 7 2" xfId="27922" xr:uid="{380D64A2-4F3F-44D2-AAAF-BBE117E5243A}"/>
    <cellStyle name="Style 86 3 2 2 2 8" xfId="11964" xr:uid="{EDC41DC5-B784-46D6-834A-58339846230B}"/>
    <cellStyle name="Style 86 3 2 2 2 8 2" xfId="27923" xr:uid="{431EE424-05EA-49EF-99CC-6BFC2F98D775}"/>
    <cellStyle name="Style 86 3 2 2 2 9" xfId="11965" xr:uid="{35033423-32D0-4C07-BB7C-46187597670A}"/>
    <cellStyle name="Style 86 3 2 2 2 9 2" xfId="27924" xr:uid="{CF0A9795-DE9B-4085-8EF7-4A574545493C}"/>
    <cellStyle name="Style 86 3 2 2 3 10" xfId="11966" xr:uid="{16D56593-0F5A-4200-A4B2-B3DADEE36F9F}"/>
    <cellStyle name="Style 86 3 2 2 3 10 2" xfId="27925" xr:uid="{535CB27F-2B41-4F11-8467-64EDAAE81BDC}"/>
    <cellStyle name="Style 86 3 2 2 3 11" xfId="11967" xr:uid="{DE8CD937-ACA4-4BF0-B17A-30BFFCA3FAD4}"/>
    <cellStyle name="Style 86 3 2 2 3 12" xfId="11968" xr:uid="{AF2505F4-AA5F-4954-B460-141F6A67EDD3}"/>
    <cellStyle name="Style 86 3 2 2 3 12 2" xfId="27926" xr:uid="{020BE7FB-C15A-45E9-8033-75763A13A7D5}"/>
    <cellStyle name="Style 86 3 2 2 3 2" xfId="4992" xr:uid="{C02980ED-7555-4E25-9BC2-BF423D331229}"/>
    <cellStyle name="Style 86 3 2 2 3 2 2" xfId="11969" xr:uid="{62326255-44E7-4A8D-99A0-B75D2F6C5CB1}"/>
    <cellStyle name="Style 86 3 2 2 3 2 3" xfId="11970" xr:uid="{CFDF3D52-CFBB-4A0C-82ED-22BDEEA5137D}"/>
    <cellStyle name="Style 86 3 2 2 3 2 3 2" xfId="27927" xr:uid="{B7294C9A-F381-43A1-B874-A71A24A8451A}"/>
    <cellStyle name="Style 86 3 2 2 3 3" xfId="11971" xr:uid="{906576CA-2D01-41DD-8C0B-78E411187F61}"/>
    <cellStyle name="Style 86 3 2 2 3 3 2" xfId="11972" xr:uid="{6D2CF24E-F3A2-4F30-9550-D307727B3D12}"/>
    <cellStyle name="Style 86 3 2 2 3 3 2 2" xfId="27928" xr:uid="{5059EEE4-66C3-4873-87DE-1413EE1C71D1}"/>
    <cellStyle name="Style 86 3 2 2 3 4" xfId="11973" xr:uid="{647A99C9-DEC7-4034-8B58-AD8829D27EF3}"/>
    <cellStyle name="Style 86 3 2 2 3 4 2" xfId="27929" xr:uid="{09B41055-D5A3-4171-9B8A-0A7DE9A08767}"/>
    <cellStyle name="Style 86 3 2 2 3 5" xfId="11974" xr:uid="{B86F472E-418E-49E0-9B58-203814645E05}"/>
    <cellStyle name="Style 86 3 2 2 3 5 2" xfId="27930" xr:uid="{531BC2F5-228D-471D-82AE-FDB3AC5E6CBF}"/>
    <cellStyle name="Style 86 3 2 2 3 6" xfId="11975" xr:uid="{AFC31C1D-A122-448E-9092-83CAA0B0D6C1}"/>
    <cellStyle name="Style 86 3 2 2 3 6 2" xfId="27931" xr:uid="{4A4B8ACF-E07C-471F-A5CD-C5D5215F3763}"/>
    <cellStyle name="Style 86 3 2 2 3 7" xfId="11976" xr:uid="{672E5E0F-B203-442C-9BDC-8EAFE5BAA433}"/>
    <cellStyle name="Style 86 3 2 2 3 7 2" xfId="27932" xr:uid="{427CC1D3-A572-431B-A293-5F14CDBEA796}"/>
    <cellStyle name="Style 86 3 2 2 3 8 2" xfId="27933" xr:uid="{BF8F8D7A-D251-4FD0-BB5D-3204DCBE9436}"/>
    <cellStyle name="Style 86 3 2 2 3 9" xfId="11977" xr:uid="{066F6CC2-57A3-4983-9B16-7A014009CE96}"/>
    <cellStyle name="Style 86 3 2 2 4" xfId="4989" xr:uid="{FA916BDE-01F7-4FA8-8F57-E6264E924F54}"/>
    <cellStyle name="Style 86 3 2 2 4 2" xfId="11978" xr:uid="{E75806D3-E5FC-40E3-A8BF-65DFB53442BF}"/>
    <cellStyle name="Style 86 3 2 2 4 2 2" xfId="27934" xr:uid="{DE6EF9D7-BF2C-4874-94EF-29F5E3AF89C6}"/>
    <cellStyle name="Style 86 3 2 2 4 3 2" xfId="27935" xr:uid="{031D9783-B8E2-4214-9BDA-A0A98E399DB4}"/>
    <cellStyle name="Style 86 3 2 2 5" xfId="11979" xr:uid="{312088BD-C81D-4556-AA30-2808A8483C02}"/>
    <cellStyle name="Style 86 3 2 2 5 2" xfId="11980" xr:uid="{6CCE7E93-641E-49FC-9E5B-BA84EAF49E8B}"/>
    <cellStyle name="Style 86 3 2 2 5 2 2" xfId="27936" xr:uid="{62A94013-2FEE-4A86-8462-E405C75CAF94}"/>
    <cellStyle name="Style 86 3 2 2 6" xfId="11981" xr:uid="{11E8CE4F-8D71-4226-B4BB-FAD24C362635}"/>
    <cellStyle name="Style 86 3 2 2 6 2" xfId="27937" xr:uid="{494B5BD4-155D-4628-BA0D-4A38436E49D7}"/>
    <cellStyle name="Style 86 3 2 2 7" xfId="11982" xr:uid="{41AE4EE2-6CFF-4EC8-998C-347FD3CE21AB}"/>
    <cellStyle name="Style 86 3 2 2 8" xfId="11983" xr:uid="{B4AC4023-5D02-4A05-B506-C9A0EED86F0D}"/>
    <cellStyle name="Style 86 3 2 2 9" xfId="11984" xr:uid="{6B252BB7-9D3E-460F-8F27-0253B7E7EF5F}"/>
    <cellStyle name="Style 86 3 2 2 9 2" xfId="27938" xr:uid="{EA97323A-6E1E-4126-9CF9-CC2AD633250B}"/>
    <cellStyle name="Style 86 3 2 3" xfId="2282" xr:uid="{ADFA6A74-3B16-4BB0-BE4B-C5FF07632AB5}"/>
    <cellStyle name="Style 86 3 2 3 10" xfId="11985" xr:uid="{0C6EB457-CB4B-4CA5-A3BA-0FF7B3A157DF}"/>
    <cellStyle name="Style 86 3 2 3 10 2" xfId="27939" xr:uid="{8F41E032-3214-42DE-9BFC-11732F8474CF}"/>
    <cellStyle name="Style 86 3 2 3 11" xfId="11986" xr:uid="{7B4C2833-2F3E-4194-934C-34B887F21273}"/>
    <cellStyle name="Style 86 3 2 3 11 2" xfId="27940" xr:uid="{87DFE6D1-1592-4873-868B-F95C52377E20}"/>
    <cellStyle name="Style 86 3 2 3 12" xfId="11987" xr:uid="{C7ED29A2-0551-42BE-B88C-1BC588922D64}"/>
    <cellStyle name="Style 86 3 2 3 12 2" xfId="27941" xr:uid="{C2779294-51B0-4D2B-8FA7-10E61A44DCA4}"/>
    <cellStyle name="Style 86 3 2 3 13" xfId="11988" xr:uid="{2EE7D222-CCA4-457C-B32C-69841C368A49}"/>
    <cellStyle name="Style 86 3 2 3 13 2" xfId="27942" xr:uid="{55AEC915-4D31-4C07-B01B-A5CE78A7BBD0}"/>
    <cellStyle name="Style 86 3 2 3 14" xfId="11989" xr:uid="{8B89671F-8AD0-4B7B-B09E-595481BED575}"/>
    <cellStyle name="Style 86 3 2 3 14 2" xfId="27943" xr:uid="{582EE6C2-EB91-439F-B1A2-A09D8A3A07D9}"/>
    <cellStyle name="Style 86 3 2 3 2" xfId="2283" xr:uid="{D9B9A114-BDE4-49DC-9D94-BEEEF2F07A9C}"/>
    <cellStyle name="Style 86 3 2 3 2 10" xfId="11990" xr:uid="{E3332E29-3FB9-4BB9-8DDD-FA2A73FE69EE}"/>
    <cellStyle name="Style 86 3 2 3 2 10 2" xfId="27944" xr:uid="{4F0B6AF8-10DD-44E0-8E98-992142484103}"/>
    <cellStyle name="Style 86 3 2 3 2 11" xfId="11991" xr:uid="{E826A7F5-9FEE-4CD3-B34A-CE42DE2BBFAF}"/>
    <cellStyle name="Style 86 3 2 3 2 11 2" xfId="27945" xr:uid="{A5146AC5-A5FF-4D0D-8769-1D4DF969916B}"/>
    <cellStyle name="Style 86 3 2 3 2 12" xfId="11992" xr:uid="{979A9108-4BFA-4D03-9E4E-BA936316FDC6}"/>
    <cellStyle name="Style 86 3 2 3 2 2" xfId="4994" xr:uid="{805BBBCB-0FDD-4A9F-8D4F-B2C32354F9DE}"/>
    <cellStyle name="Style 86 3 2 3 2 2 2" xfId="11993" xr:uid="{00C231CF-6A74-4E5B-8808-D3E6AB0FFAB3}"/>
    <cellStyle name="Style 86 3 2 3 2 2 2 2" xfId="27946" xr:uid="{1F73AF44-CE94-48A7-B026-46AD92D0849D}"/>
    <cellStyle name="Style 86 3 2 3 2 2 3" xfId="11994" xr:uid="{F44EB246-AA64-491F-9801-C95432FCEF81}"/>
    <cellStyle name="Style 86 3 2 3 2 2 3 2" xfId="27947" xr:uid="{B0ECC5C2-78DF-494D-84C8-0F614830F0AB}"/>
    <cellStyle name="Style 86 3 2 3 2 3" xfId="11995" xr:uid="{4FE5DE65-5D0A-46E6-B9BF-E041F3818D8F}"/>
    <cellStyle name="Style 86 3 2 3 2 3 2" xfId="11996" xr:uid="{77AD9363-048F-44E1-81EB-4F733E690C30}"/>
    <cellStyle name="Style 86 3 2 3 2 3 2 2" xfId="27948" xr:uid="{4DF7CE4E-C886-4CAD-ACBD-1513E54B60A9}"/>
    <cellStyle name="Style 86 3 2 3 2 4" xfId="11997" xr:uid="{0235A950-2026-450D-ACF3-CE3EE1F73BD9}"/>
    <cellStyle name="Style 86 3 2 3 2 4 2" xfId="27949" xr:uid="{4FE0F6BF-BE0D-4A83-886C-8ABDDBDB1B34}"/>
    <cellStyle name="Style 86 3 2 3 2 5 2" xfId="27950" xr:uid="{4C09508C-C37B-41F5-A3FB-1FC0002762E9}"/>
    <cellStyle name="Style 86 3 2 3 2 7" xfId="11998" xr:uid="{B55EDD8C-C06F-4F53-B669-CF4B092E5B8F}"/>
    <cellStyle name="Style 86 3 2 3 2 7 2" xfId="27951" xr:uid="{5C84A29C-A5A8-4205-BF4B-29CFFE5EDAD2}"/>
    <cellStyle name="Style 86 3 2 3 2 8" xfId="11999" xr:uid="{825E167F-E66C-4A90-BE75-FCFC2A3D32F1}"/>
    <cellStyle name="Style 86 3 2 3 2 8 2" xfId="27952" xr:uid="{C9D64014-04B5-45CF-A792-7E5B353654C8}"/>
    <cellStyle name="Style 86 3 2 3 2 9" xfId="12000" xr:uid="{FA2A9E1D-0DB2-43F9-854E-CECE05B3895E}"/>
    <cellStyle name="Style 86 3 2 3 2 9 2" xfId="27953" xr:uid="{F9E5E784-A66C-46D9-88F6-822982B29998}"/>
    <cellStyle name="Style 86 3 2 3 3" xfId="4993" xr:uid="{C19D9BAD-0DA5-47BF-9694-FE0123727CBE}"/>
    <cellStyle name="Style 86 3 2 3 3 2" xfId="12001" xr:uid="{B47C12C3-DB74-471C-9910-B1C53AB3CC50}"/>
    <cellStyle name="Style 86 3 2 3 3 2 2" xfId="27954" xr:uid="{EEF0B268-A2D0-4863-B69E-F83657C98028}"/>
    <cellStyle name="Style 86 3 2 3 3 3" xfId="12002" xr:uid="{F9DBA3CE-B808-4DD5-9BC9-C69CD2DD351B}"/>
    <cellStyle name="Style 86 3 2 3 3 3 2" xfId="27955" xr:uid="{14588E9B-7946-491A-AB3B-6CBC31383F21}"/>
    <cellStyle name="Style 86 3 2 3 4" xfId="12003" xr:uid="{21B93245-FCAB-436A-A0E9-BB5FE801B799}"/>
    <cellStyle name="Style 86 3 2 3 4 2" xfId="12004" xr:uid="{34B3ED9F-02FB-48AA-A40D-7D51B4B2CB34}"/>
    <cellStyle name="Style 86 3 2 3 4 2 2" xfId="27956" xr:uid="{7950E7EA-49C1-457E-A319-A5D6977F6F84}"/>
    <cellStyle name="Style 86 3 2 3 5" xfId="12005" xr:uid="{2D7750F8-8261-44E6-BEFF-5979757BD6CC}"/>
    <cellStyle name="Style 86 3 2 3 5 2" xfId="27957" xr:uid="{7AC2F0FE-EEF6-43D8-A720-ED1694C539FF}"/>
    <cellStyle name="Style 86 3 2 3 6" xfId="12006" xr:uid="{A85C3D95-90F8-4486-9966-593D4E6396B3}"/>
    <cellStyle name="Style 86 3 2 3 7" xfId="12007" xr:uid="{EC80CDB7-E53B-424F-BCF5-683583C69920}"/>
    <cellStyle name="Style 86 3 2 3 7 2" xfId="27958" xr:uid="{33219ACA-0C63-463C-92C8-83B66D679536}"/>
    <cellStyle name="Style 86 3 2 3 8" xfId="12008" xr:uid="{70F5B35C-93F6-4A30-9C75-E0F507B3C82C}"/>
    <cellStyle name="Style 86 3 2 3 8 2" xfId="27959" xr:uid="{14FDF9C6-A70F-476F-8FAF-B8D5173D7293}"/>
    <cellStyle name="Style 86 3 2 3 9" xfId="12009" xr:uid="{771978D7-BE8A-4085-8632-CEC68E051BA2}"/>
    <cellStyle name="Style 86 3 2 3 9 2" xfId="27960" xr:uid="{1FFCBD8A-BB3C-4285-8EE2-6F006687EF4F}"/>
    <cellStyle name="Style 86 3 2 4" xfId="2284" xr:uid="{264C9EEB-5780-4F91-BEB6-CF5102A28131}"/>
    <cellStyle name="Style 86 3 2 4 10" xfId="12010" xr:uid="{8B166A5A-31E9-4E73-A531-E7BDF361E134}"/>
    <cellStyle name="Style 86 3 2 4 10 2" xfId="27961" xr:uid="{9DE7477E-3E57-4D5F-93D8-EACB73F71292}"/>
    <cellStyle name="Style 86 3 2 4 11" xfId="12011" xr:uid="{71B4632F-22CA-4AAA-A26D-64868696BFDC}"/>
    <cellStyle name="Style 86 3 2 4 11 2" xfId="27962" xr:uid="{0911FEEC-52E6-4F88-9293-7F233B338876}"/>
    <cellStyle name="Style 86 3 2 4 12" xfId="12012" xr:uid="{82C51FF6-B3EC-4D9F-911D-1C30150649B3}"/>
    <cellStyle name="Style 86 3 2 4 12 2" xfId="27963" xr:uid="{076A8271-74BF-4276-8B3C-3F5068DF4AEF}"/>
    <cellStyle name="Style 86 3 2 4 2" xfId="4995" xr:uid="{519C9F1E-64C2-49FA-BDC3-D5E0282F5748}"/>
    <cellStyle name="Style 86 3 2 4 2 2" xfId="12013" xr:uid="{7224EFAF-9F3E-4172-8C5C-9A596247F883}"/>
    <cellStyle name="Style 86 3 2 4 2 2 2" xfId="27964" xr:uid="{A7A292D3-13D9-431F-9753-533D6B8B7FB3}"/>
    <cellStyle name="Style 86 3 2 4 2 3" xfId="12014" xr:uid="{CCFCBE5B-4B27-423D-8700-FA0334C9D718}"/>
    <cellStyle name="Style 86 3 2 4 2 3 2" xfId="27965" xr:uid="{022E52BD-EBB7-485C-BC40-85C28D5CFE97}"/>
    <cellStyle name="Style 86 3 2 4 3" xfId="12015" xr:uid="{51E7A2E5-063D-4FA7-B518-03194DE66564}"/>
    <cellStyle name="Style 86 3 2 4 3 2" xfId="12016" xr:uid="{626929DF-DAB9-4702-9101-23D1379B5176}"/>
    <cellStyle name="Style 86 3 2 4 3 2 2" xfId="27966" xr:uid="{5EAAF32C-EBEA-434A-8639-6080F552D7E9}"/>
    <cellStyle name="Style 86 3 2 4 4" xfId="12017" xr:uid="{2AB11200-11B4-473E-A84A-8BAE6E724396}"/>
    <cellStyle name="Style 86 3 2 4 4 2" xfId="27967" xr:uid="{5BE1337B-ADE6-4CFF-AFF6-5C5D6B3D96F7}"/>
    <cellStyle name="Style 86 3 2 4 5" xfId="12018" xr:uid="{F0B3F6E5-03BE-40AD-8CF8-22A791FD5EC4}"/>
    <cellStyle name="Style 86 3 2 4 6" xfId="12019" xr:uid="{99D951F5-A5D5-48AA-9351-D3DDF6B6D153}"/>
    <cellStyle name="Style 86 3 2 4 6 2" xfId="27968" xr:uid="{62EED559-E62F-4F80-8D88-91D2D3BBDD73}"/>
    <cellStyle name="Style 86 3 2 4 7" xfId="12020" xr:uid="{FCF250C8-A757-4796-BCEF-1056CFBC5304}"/>
    <cellStyle name="Style 86 3 2 4 7 2" xfId="27969" xr:uid="{3F7519D2-727F-4647-9115-8C908F1AEED5}"/>
    <cellStyle name="Style 86 3 2 4 8" xfId="12021" xr:uid="{7B708B90-AF63-4E2D-A09B-FE3A40516128}"/>
    <cellStyle name="Style 86 3 2 4 8 2" xfId="27970" xr:uid="{7DA07794-9E96-4510-8FD4-C814DE8EAF54}"/>
    <cellStyle name="Style 86 3 2 4 9" xfId="12022" xr:uid="{506568D5-C09B-4178-A06D-60E01B678D14}"/>
    <cellStyle name="Style 86 3 2 5" xfId="4988" xr:uid="{FAB3BB15-625C-4637-BC10-0F23000E847D}"/>
    <cellStyle name="Style 86 3 2 5 2" xfId="12023" xr:uid="{0D8227DA-80E0-4327-91F5-184F8925E120}"/>
    <cellStyle name="Style 86 3 2 5 2 2" xfId="27971" xr:uid="{D447D37F-A322-4A1A-B821-109F065861C9}"/>
    <cellStyle name="Style 86 3 2 5 3" xfId="12024" xr:uid="{9C69B825-4A35-4100-8A20-51D7F51DF0A5}"/>
    <cellStyle name="Style 86 3 2 5 3 2" xfId="27972" xr:uid="{2E716994-7308-47B6-9B6D-4CB39A3A260D}"/>
    <cellStyle name="Style 86 3 2 6" xfId="12025" xr:uid="{DBE3EE2C-A3C6-4E48-B843-A3198DC26BC4}"/>
    <cellStyle name="Style 86 3 2 6 2" xfId="12026" xr:uid="{20CF4709-93DC-4C2A-956D-AA11EAFFB94D}"/>
    <cellStyle name="Style 86 3 2 6 2 2" xfId="27973" xr:uid="{69176DAD-4C5C-4FE4-8DE3-F1CDD25EEACA}"/>
    <cellStyle name="Style 86 3 2 7" xfId="12027" xr:uid="{8CE96FF5-B801-4ACD-87A9-9FB16B0D5273}"/>
    <cellStyle name="Style 86 3 2 7 2" xfId="27974" xr:uid="{39CEEB0A-6D82-4087-B918-7FAA010930C9}"/>
    <cellStyle name="Style 86 3 2 8" xfId="12028" xr:uid="{21A9692D-5D8F-44F1-8A20-DD4CD5D1B689}"/>
    <cellStyle name="Style 86 3 2 9" xfId="12029" xr:uid="{BF7F8324-A4EE-4295-88D6-DF539515865E}"/>
    <cellStyle name="Style 86 3 2 9 2" xfId="27975" xr:uid="{A9B24D2D-9EC9-4366-AF23-D41BF7558E24}"/>
    <cellStyle name="Style 86 3 3" xfId="2285" xr:uid="{D8A4D392-B797-42BE-A62B-D6CCDF35A090}"/>
    <cellStyle name="Style 86 3 3 10" xfId="12030" xr:uid="{FE75D3B5-C73A-47D5-8BE8-372A91F4A81F}"/>
    <cellStyle name="Style 86 3 3 10 2" xfId="27976" xr:uid="{22FD1D60-786D-461C-91AD-182D851FAC20}"/>
    <cellStyle name="Style 86 3 3 11" xfId="12031" xr:uid="{BA67BCA3-4E17-4E60-B06E-EAC185445A77}"/>
    <cellStyle name="Style 86 3 3 11 2" xfId="27977" xr:uid="{A6FB1243-BC97-4157-ACD6-20AC73C2E537}"/>
    <cellStyle name="Style 86 3 3 12" xfId="12032" xr:uid="{6EC8DF91-C201-483E-B394-778CF05239D3}"/>
    <cellStyle name="Style 86 3 3 12 2" xfId="27978" xr:uid="{29A034B5-F49F-4252-9745-70AF8D6D158A}"/>
    <cellStyle name="Style 86 3 3 13" xfId="12033" xr:uid="{81612353-AAFF-46A0-BA3F-49F4CEF2C330}"/>
    <cellStyle name="Style 86 3 3 13 2" xfId="27979" xr:uid="{A478476F-23AD-4EE8-893E-86BE8BC83B3E}"/>
    <cellStyle name="Style 86 3 3 14" xfId="12034" xr:uid="{CF0DB345-E575-40E6-9092-2E0AC7A2B7FA}"/>
    <cellStyle name="Style 86 3 3 15 2" xfId="27980" xr:uid="{26995DE2-AA92-48E4-81F5-A134F1E7E618}"/>
    <cellStyle name="Style 86 3 3 2" xfId="2286" xr:uid="{5104C2ED-42E3-4AC3-8BD3-A5BB8DD0CE11}"/>
    <cellStyle name="Style 86 3 3 2 10" xfId="12035" xr:uid="{58D60076-4DFE-4844-B173-62E2C6D930E0}"/>
    <cellStyle name="Style 86 3 3 2 10 2" xfId="27981" xr:uid="{9F7C6BBE-ECBC-4A1B-962F-D577D7B9D5DA}"/>
    <cellStyle name="Style 86 3 3 2 11" xfId="12036" xr:uid="{16C99713-E577-4431-9D99-53AEBC3E4037}"/>
    <cellStyle name="Style 86 3 3 2 11 2" xfId="27982" xr:uid="{FC8393A3-600F-44F1-8513-57AE6D0CA574}"/>
    <cellStyle name="Style 86 3 3 2 12" xfId="12037" xr:uid="{CF9FA320-D03D-48FD-8645-ABC2AF31EBBD}"/>
    <cellStyle name="Style 86 3 3 2 12 2" xfId="27983" xr:uid="{F0A66971-C9E3-4EE1-AEDB-0151CB74BE44}"/>
    <cellStyle name="Style 86 3 3 2 13" xfId="12038" xr:uid="{646EDF09-3152-453D-8699-77CC60F1BB3B}"/>
    <cellStyle name="Style 86 3 3 2 13 2" xfId="27984" xr:uid="{5C5681D8-5D74-408B-8C61-3F4D5BF520B5}"/>
    <cellStyle name="Style 86 3 3 2 14" xfId="12039" xr:uid="{5E9526C3-9142-4FBE-A22D-65DCD12B7BD1}"/>
    <cellStyle name="Style 86 3 3 2 14 2" xfId="27985" xr:uid="{84966A54-F901-44A9-B609-42D842A2AF7F}"/>
    <cellStyle name="Style 86 3 3 2 15" xfId="12040" xr:uid="{BC0A8C91-DB9C-48D5-B5F6-6D1774C952FB}"/>
    <cellStyle name="Style 86 3 3 2 2" xfId="2287" xr:uid="{4E88C4B5-7315-4DD8-A4F5-ABE615CC02C3}"/>
    <cellStyle name="Style 86 3 3 2 2 10" xfId="12041" xr:uid="{8D86A9AB-EC9A-49A5-9A53-396176651822}"/>
    <cellStyle name="Style 86 3 3 2 2 10 2" xfId="27986" xr:uid="{E04FDB11-A48F-42EE-9074-F70927A095E8}"/>
    <cellStyle name="Style 86 3 3 2 2 11" xfId="12042" xr:uid="{1A56CCE2-4A21-4FBB-ADC8-D02BF02B3647}"/>
    <cellStyle name="Style 86 3 3 2 2 11 2" xfId="27987" xr:uid="{5BA9C22E-B84B-4FC7-BD28-C94462896AEE}"/>
    <cellStyle name="Style 86 3 3 2 2 12" xfId="12043" xr:uid="{C011000C-B082-4071-9B6F-31CBE05280DB}"/>
    <cellStyle name="Style 86 3 3 2 2 12 2" xfId="27988" xr:uid="{DBE23AF3-741F-47BE-9BB5-22C579A174B2}"/>
    <cellStyle name="Style 86 3 3 2 2 13 2" xfId="27989" xr:uid="{B8F1E422-78F7-4855-9A45-B7B265EF7A9B}"/>
    <cellStyle name="Style 86 3 3 2 2 14 2" xfId="27990" xr:uid="{FD245ECF-6C9C-4900-AF89-BF4BCFF4DB02}"/>
    <cellStyle name="Style 86 3 3 2 2 2" xfId="2288" xr:uid="{7AEE9B08-A03E-43A6-A655-733C9D7757F4}"/>
    <cellStyle name="Style 86 3 3 2 2 2 10" xfId="12044" xr:uid="{D491045B-56F3-4317-97E9-971863090494}"/>
    <cellStyle name="Style 86 3 3 2 2 2 10 2" xfId="27991" xr:uid="{32D134D9-C02C-4C50-9D42-3C7BB1B2DAEC}"/>
    <cellStyle name="Style 86 3 3 2 2 2 11" xfId="12045" xr:uid="{9698BC7B-49BE-4DF9-81D8-4A3FCB72B236}"/>
    <cellStyle name="Style 86 3 3 2 2 2 11 2" xfId="27992" xr:uid="{06689000-DFE7-49FA-9794-559D7782AD1F}"/>
    <cellStyle name="Style 86 3 3 2 2 2 12" xfId="12046" xr:uid="{AF50FB5C-8D66-4807-9818-55DF8C5E4CB5}"/>
    <cellStyle name="Style 86 3 3 2 2 2 12 2" xfId="27993" xr:uid="{3BDB53CB-182A-4BA9-B0B8-0FD6C5330B3C}"/>
    <cellStyle name="Style 86 3 3 2 2 2 2" xfId="4998" xr:uid="{81A735FE-A10F-4029-9835-FCC28A7B3052}"/>
    <cellStyle name="Style 86 3 3 2 2 2 2 2 2" xfId="27994" xr:uid="{0424AD58-D4AB-47A6-8D5E-910176B2FCDB}"/>
    <cellStyle name="Style 86 3 3 2 2 2 2 3" xfId="12047" xr:uid="{7D1181BE-AF0C-459B-B4B7-8FAB4785662B}"/>
    <cellStyle name="Style 86 3 3 2 2 2 2 3 2" xfId="27995" xr:uid="{07F7F6EE-4C42-48A9-B263-5051FEEFA856}"/>
    <cellStyle name="Style 86 3 3 2 2 2 3 2" xfId="12048" xr:uid="{E3DB9E25-12CC-4F75-9F76-6DB9FA13AF10}"/>
    <cellStyle name="Style 86 3 3 2 2 2 3 2 2" xfId="27996" xr:uid="{45295735-B372-4FD6-82F3-846392E3259A}"/>
    <cellStyle name="Style 86 3 3 2 2 2 4" xfId="12049" xr:uid="{268F61DA-3C63-4BDA-B93C-B6885FA0E7AE}"/>
    <cellStyle name="Style 86 3 3 2 2 2 4 2" xfId="27997" xr:uid="{11810E09-89F7-4243-824B-22F5A17E815A}"/>
    <cellStyle name="Style 86 3 3 2 2 2 5" xfId="12050" xr:uid="{E0B5D05D-E7E0-416A-AE8C-93B0811CF0C8}"/>
    <cellStyle name="Style 86 3 3 2 2 2 6" xfId="12051" xr:uid="{A7C353D6-7476-479B-8234-6E69F9F8EE54}"/>
    <cellStyle name="Style 86 3 3 2 2 2 6 2" xfId="27998" xr:uid="{9A8B59BD-C7C7-4F84-8541-DF90E8A42B63}"/>
    <cellStyle name="Style 86 3 3 2 2 2 7" xfId="12052" xr:uid="{27935027-C22C-4C20-B124-884A4269F61B}"/>
    <cellStyle name="Style 86 3 3 2 2 2 8" xfId="12053" xr:uid="{23A9A8D0-48FE-469D-801E-62AD3B211D26}"/>
    <cellStyle name="Style 86 3 3 2 2 2 8 2" xfId="27999" xr:uid="{F3C5A852-A07D-45EA-823F-630116689790}"/>
    <cellStyle name="Style 86 3 3 2 2 2 9" xfId="12054" xr:uid="{1695EC51-DA20-4EA5-B0CB-4CFAF4440AB2}"/>
    <cellStyle name="Style 86 3 3 2 2 2 9 2" xfId="28000" xr:uid="{D5E6FF42-16A8-4174-9D2D-43C68C7E35ED}"/>
    <cellStyle name="Style 86 3 3 2 2 3" xfId="4997" xr:uid="{11465E6D-56D3-4203-ADE0-A87C9A9C24FC}"/>
    <cellStyle name="Style 86 3 3 2 2 3 2" xfId="12055" xr:uid="{2AEF081E-78D7-4B5F-BD5E-EBA59F1CF334}"/>
    <cellStyle name="Style 86 3 3 2 2 3 3" xfId="12056" xr:uid="{92D12F32-A7AF-4EF5-A39E-41BE1F6B0719}"/>
    <cellStyle name="Style 86 3 3 2 2 3 3 2" xfId="28001" xr:uid="{CB17A58B-3736-4ED1-8799-D2818B4D433C}"/>
    <cellStyle name="Style 86 3 3 2 2 4" xfId="12057" xr:uid="{BF5FE44D-0FCB-4DC2-AC94-B3EBEFD8FB5D}"/>
    <cellStyle name="Style 86 3 3 2 2 4 2" xfId="12058" xr:uid="{9F0D16A3-2272-4C94-8366-8742D1BAAFE9}"/>
    <cellStyle name="Style 86 3 3 2 2 4 2 2" xfId="28002" xr:uid="{768713B1-AA28-4BA6-9816-220D85AF143A}"/>
    <cellStyle name="Style 86 3 3 2 2 5" xfId="12059" xr:uid="{6A8E8E80-464C-44FB-B695-938B64345D26}"/>
    <cellStyle name="Style 86 3 3 2 2 5 2" xfId="28003" xr:uid="{5510EC40-422C-4175-A31B-E5DDB7C2F0F7}"/>
    <cellStyle name="Style 86 3 3 2 2 6" xfId="12060" xr:uid="{BB5C1900-5A64-448C-A69A-202ADC744CE0}"/>
    <cellStyle name="Style 86 3 3 2 2 6 2" xfId="28004" xr:uid="{BFB5486F-9403-43DD-8025-ADAB805C2A4E}"/>
    <cellStyle name="Style 86 3 3 2 2 7" xfId="12061" xr:uid="{59FD268C-B692-4AFE-8D8A-346D2247BFC2}"/>
    <cellStyle name="Style 86 3 3 2 2 7 2" xfId="28005" xr:uid="{3A6CECB2-4DF8-439B-ABA9-A536E2143741}"/>
    <cellStyle name="Style 86 3 3 2 2 8" xfId="12062" xr:uid="{DA810AE8-3E36-47A7-B91F-5CFF840FCEB4}"/>
    <cellStyle name="Style 86 3 3 2 2 8 2" xfId="28006" xr:uid="{0EDA1C54-4EE8-4618-B9E5-7ED3CE9FE1F0}"/>
    <cellStyle name="Style 86 3 3 2 2 9" xfId="12063" xr:uid="{211ED7A7-2335-4399-A555-1C3E33F44B15}"/>
    <cellStyle name="Style 86 3 3 2 2 9 2" xfId="28007" xr:uid="{2301E3EA-5128-4CEA-97F5-F3439759EC83}"/>
    <cellStyle name="Style 86 3 3 2 3" xfId="2289" xr:uid="{001F685F-C30D-422F-A5DA-1C397B861B70}"/>
    <cellStyle name="Style 86 3 3 2 3 10 2" xfId="28008" xr:uid="{30DBEBE4-289C-4989-BC5B-E0566B8E2C5B}"/>
    <cellStyle name="Style 86 3 3 2 3 11 2" xfId="28009" xr:uid="{4FC81F8A-ABA4-4D52-94B4-7F15FE2A6364}"/>
    <cellStyle name="Style 86 3 3 2 3 12" xfId="12064" xr:uid="{2D28D329-542E-4D1E-89B5-7655F6756FE6}"/>
    <cellStyle name="Style 86 3 3 2 3 12 2" xfId="28010" xr:uid="{9C8DDE48-7D1E-4623-8211-53C8BA304F51}"/>
    <cellStyle name="Style 86 3 3 2 3 2" xfId="4999" xr:uid="{E664A1DA-2CF1-456D-8866-90C908851D9B}"/>
    <cellStyle name="Style 86 3 3 2 3 2 2" xfId="12065" xr:uid="{82E4BDDA-FCC3-4E3E-8CFD-314C091F5089}"/>
    <cellStyle name="Style 86 3 3 2 3 2 2 2" xfId="28011" xr:uid="{2F412903-82B7-4AC4-AB4E-994A8874A454}"/>
    <cellStyle name="Style 86 3 3 2 3 2 3 2" xfId="28012" xr:uid="{D19A1271-A939-48A9-AF20-85DFDB9C5552}"/>
    <cellStyle name="Style 86 3 3 2 3 3" xfId="12066" xr:uid="{414BEDD3-D7CB-4B2E-870C-D60983BBCAA0}"/>
    <cellStyle name="Style 86 3 3 2 3 3 2" xfId="12067" xr:uid="{2BD7BBFA-7032-41AF-982C-1C26AF5B8C33}"/>
    <cellStyle name="Style 86 3 3 2 3 3 2 2" xfId="28013" xr:uid="{3B72C4D8-9C9D-49AC-BE4A-52801E14E24B}"/>
    <cellStyle name="Style 86 3 3 2 3 4" xfId="12068" xr:uid="{32816BED-F877-4193-B282-44E319395EC6}"/>
    <cellStyle name="Style 86 3 3 2 3 5" xfId="12069" xr:uid="{5619CE8D-4868-4823-9B97-DF3ADBBA6703}"/>
    <cellStyle name="Style 86 3 3 2 3 5 2" xfId="28014" xr:uid="{6FD6F868-AF43-4742-A8C6-2CB7C127B31C}"/>
    <cellStyle name="Style 86 3 3 2 3 6" xfId="12070" xr:uid="{5C8B4CF0-2321-4B02-8343-9B01B7F8AAF5}"/>
    <cellStyle name="Style 86 3 3 2 3 6 2" xfId="28015" xr:uid="{3E421D42-A327-4F57-812D-BE6BBB84D7F7}"/>
    <cellStyle name="Style 86 3 3 2 3 7 2" xfId="28016" xr:uid="{DCDA37AF-8B0B-4551-956B-BAF37BED6261}"/>
    <cellStyle name="Style 86 3 3 2 3 8 2" xfId="28017" xr:uid="{3161CE20-0C35-4C2C-B053-96978274A868}"/>
    <cellStyle name="Style 86 3 3 2 3 9" xfId="12071" xr:uid="{16422EBB-9F7B-4738-8420-6013AD638FD8}"/>
    <cellStyle name="Style 86 3 3 2 3 9 2" xfId="28018" xr:uid="{5594A2EF-63F5-48E3-88FF-1E249FA97296}"/>
    <cellStyle name="Style 86 3 3 2 4" xfId="4996" xr:uid="{2C35F871-6E39-47F9-9824-98CC0C281540}"/>
    <cellStyle name="Style 86 3 3 2 4 2" xfId="12072" xr:uid="{FA93D131-4789-4EAF-B058-D56F3C22C8BC}"/>
    <cellStyle name="Style 86 3 3 2 4 2 2" xfId="28019" xr:uid="{90B360B7-EA11-4AF2-99E7-D70676245089}"/>
    <cellStyle name="Style 86 3 3 2 4 3" xfId="12073" xr:uid="{02C141F3-B0A4-4B22-A23C-444E53325161}"/>
    <cellStyle name="Style 86 3 3 2 4 3 2" xfId="28020" xr:uid="{29C0CC02-6258-4EFA-AF60-A81A0FE7546B}"/>
    <cellStyle name="Style 86 3 3 2 5 2" xfId="12074" xr:uid="{2E373BE3-DC3F-4557-B31C-E69413940EE0}"/>
    <cellStyle name="Style 86 3 3 2 5 2 2" xfId="28021" xr:uid="{BB6F0DD5-3EE7-426E-8637-DCCE90F3588D}"/>
    <cellStyle name="Style 86 3 3 2 6 2" xfId="28022" xr:uid="{E1E4E37C-E9BC-4B38-B30D-32306EA67FD9}"/>
    <cellStyle name="Style 86 3 3 2 7 2" xfId="28023" xr:uid="{5DE44189-0EB8-468A-AA42-87EAECC6C2BC}"/>
    <cellStyle name="Style 86 3 3 2 8" xfId="12075" xr:uid="{149EF1F1-8C3D-4716-A997-ABFD27CDC90A}"/>
    <cellStyle name="Style 86 3 3 2 8 2" xfId="28024" xr:uid="{6685A538-A0AE-4C51-B020-8E25BD6DCCE3}"/>
    <cellStyle name="Style 86 3 3 2 9" xfId="12076" xr:uid="{13FA28E4-36BF-4042-849C-888F42467EDF}"/>
    <cellStyle name="Style 86 3 3 2 9 2" xfId="28025" xr:uid="{56C4BD81-13B5-4CC7-820A-3653B4853689}"/>
    <cellStyle name="Style 86 3 3 3" xfId="2290" xr:uid="{A721B4D7-CDE9-4D21-AA67-508B23BFED53}"/>
    <cellStyle name="Style 86 3 3 3 10" xfId="12077" xr:uid="{0584CA10-FB01-461F-9E81-EBB47BEF6D17}"/>
    <cellStyle name="Style 86 3 3 3 10 2" xfId="28026" xr:uid="{6CB24E6D-FEBE-46B0-9FAE-CCFB61194089}"/>
    <cellStyle name="Style 86 3 3 3 11" xfId="12078" xr:uid="{9EB76D54-D3C5-46BE-833B-9C7A98AAEA95}"/>
    <cellStyle name="Style 86 3 3 3 12" xfId="12079" xr:uid="{D5ABED61-C9FB-4191-9D32-9032823FA2A0}"/>
    <cellStyle name="Style 86 3 3 3 13" xfId="12080" xr:uid="{216CF264-F1FD-4459-960C-2E6CA59CC24B}"/>
    <cellStyle name="Style 86 3 3 3 13 2" xfId="28027" xr:uid="{4D139E2D-71E9-48DF-9872-F82638EC0E1D}"/>
    <cellStyle name="Style 86 3 3 3 2" xfId="5000" xr:uid="{5087E9BD-6F92-47C6-AE8E-C3E48429D471}"/>
    <cellStyle name="Style 86 3 3 3 2 2" xfId="12081" xr:uid="{17219E40-878B-4659-AD0E-B8DAE79C8927}"/>
    <cellStyle name="Style 86 3 3 3 2 2 2" xfId="28028" xr:uid="{79B6DD70-AC7D-41A6-8CFF-6206F8440ED8}"/>
    <cellStyle name="Style 86 3 3 3 2 3" xfId="12082" xr:uid="{601E4229-3B83-4363-9B21-868B72344DA9}"/>
    <cellStyle name="Style 86 3 3 3 2 3 2" xfId="28029" xr:uid="{986BB423-1B87-455B-A48F-205688745E93}"/>
    <cellStyle name="Style 86 3 3 3 3 2" xfId="12083" xr:uid="{3502242B-F54C-45A8-9F40-15D05A500686}"/>
    <cellStyle name="Style 86 3 3 3 3 2 2" xfId="28030" xr:uid="{EB6F6DFC-C7E5-470C-9122-3E32728F3342}"/>
    <cellStyle name="Style 86 3 3 3 4" xfId="12084" xr:uid="{CE306D43-F33A-4C64-B0C6-CDAE6AD93D26}"/>
    <cellStyle name="Style 86 3 3 3 4 2 2" xfId="28031" xr:uid="{4C427567-548F-490C-9EC5-1B4D7E825BFC}"/>
    <cellStyle name="Style 86 3 3 3 5 2" xfId="28032" xr:uid="{F2151785-EC80-49E4-B5F4-C3329E089C8A}"/>
    <cellStyle name="Style 86 3 3 3 6" xfId="12085" xr:uid="{5DB6EFB7-75D1-41F3-B902-14A33A0732ED}"/>
    <cellStyle name="Style 86 3 3 3 6 2" xfId="28033" xr:uid="{49E08CBD-D57A-4068-B1E8-B0B3F5890202}"/>
    <cellStyle name="Style 86 3 3 3 7" xfId="12086" xr:uid="{178E5A64-7D1D-4678-9733-9D3512FC5931}"/>
    <cellStyle name="Style 86 3 3 3 7 2" xfId="28034" xr:uid="{405A06ED-4F9C-4DC6-8107-CB4941B8E211}"/>
    <cellStyle name="Style 86 3 3 3 8" xfId="12087" xr:uid="{5CCFAAE8-051E-4911-8D59-292B11D2DB18}"/>
    <cellStyle name="Style 86 3 3 3 8 2" xfId="28035" xr:uid="{71DC4333-C50F-43D6-A510-7F12CC92F8BF}"/>
    <cellStyle name="Style 86 3 3 3 9" xfId="12088" xr:uid="{8A565594-63FD-4D08-8E53-A7D7E561BD3A}"/>
    <cellStyle name="Style 86 3 3 3 9 2" xfId="28036" xr:uid="{8A039967-B0AD-467A-A6D0-8232585042A1}"/>
    <cellStyle name="Style 86 3 3 4" xfId="5001" xr:uid="{B9B33840-4D4D-4997-97B7-EA37B93E5E45}"/>
    <cellStyle name="Style 86 3 3 4 2" xfId="12089" xr:uid="{7BA17960-7D98-4DEC-9587-4C2C492D14A3}"/>
    <cellStyle name="Style 86 3 3 4 2 2" xfId="28037" xr:uid="{3B5EFC6B-A27D-4C99-A888-73A3EAE3456F}"/>
    <cellStyle name="Style 86 3 3 4 3 2" xfId="28038" xr:uid="{93981A40-1326-4853-AAD1-A1BE7057DBEB}"/>
    <cellStyle name="Style 86 3 3 5" xfId="5002" xr:uid="{5503563B-819B-4D5E-871B-1BD7A300264E}"/>
    <cellStyle name="Style 86 3 3 5 2" xfId="12090" xr:uid="{839B4233-179E-4282-B89F-9B8E140A236A}"/>
    <cellStyle name="Style 86 3 3 5 2 2" xfId="28039" xr:uid="{8F8D3CEF-BE54-4470-97F2-7E82A250D7E3}"/>
    <cellStyle name="Style 86 3 3 6 2" xfId="12091" xr:uid="{EC185B70-6A0E-4940-B590-7B44D5BA62B9}"/>
    <cellStyle name="Style 86 3 3 6 2 2" xfId="28040" xr:uid="{DBCAD67D-0D69-4A38-9A37-2689490AFD1F}"/>
    <cellStyle name="Style 86 3 3 7" xfId="12092" xr:uid="{2E52C491-4B6C-409A-863C-E028B7082810}"/>
    <cellStyle name="Style 86 3 3 7 2 2" xfId="28041" xr:uid="{49840355-1A3D-491C-B940-B7668E24A1DD}"/>
    <cellStyle name="Style 86 3 3 8" xfId="12093" xr:uid="{6AB2452F-409B-497A-9C06-C5078DD00D53}"/>
    <cellStyle name="Style 86 3 3 8 2" xfId="28042" xr:uid="{97BE358A-1125-4538-B373-27BF640592DC}"/>
    <cellStyle name="Style 86 3 3 9" xfId="12094" xr:uid="{DD9F439E-C5EB-4817-8BB6-C6F7C5257DF1}"/>
    <cellStyle name="Style 86 3 3 9 2" xfId="28043" xr:uid="{CEAEAE79-044B-4AE6-8935-E2A16403AEAA}"/>
    <cellStyle name="Style 86 3 4" xfId="2291" xr:uid="{41946F1B-3F79-4C73-91DA-8754CDDD328F}"/>
    <cellStyle name="Style 86 3 4 10" xfId="12095" xr:uid="{391AAFEC-5B72-4599-8A63-2F45AF0F700F}"/>
    <cellStyle name="Style 86 3 4 10 2" xfId="28044" xr:uid="{A85FBF58-5A59-4D46-BBDC-81FDEFE04757}"/>
    <cellStyle name="Style 86 3 4 11" xfId="12096" xr:uid="{08149FD7-5FBA-496E-9ED5-9CD632B4B4F1}"/>
    <cellStyle name="Style 86 3 4 12" xfId="12097" xr:uid="{A5E60491-33DD-4092-8228-D92E1A6BB52A}"/>
    <cellStyle name="Style 86 3 4 12 2" xfId="28045" xr:uid="{E7F2A47A-44DC-4B09-B722-3F4DF38605D8}"/>
    <cellStyle name="Style 86 3 4 13" xfId="12098" xr:uid="{FD9D5A00-FFD6-42C7-BF3C-650DABC4608C}"/>
    <cellStyle name="Style 86 3 4 13 2" xfId="28046" xr:uid="{285D1F6C-C565-4576-BB37-B249B02E1A3D}"/>
    <cellStyle name="Style 86 3 4 14 2" xfId="28047" xr:uid="{67CB5A89-3219-4131-A0A8-258E118A387D}"/>
    <cellStyle name="Style 86 3 4 2" xfId="2292" xr:uid="{0C244BA9-EE1A-4D29-97B7-0F7D75F5839D}"/>
    <cellStyle name="Style 86 3 4 2 10" xfId="12099" xr:uid="{2438699C-D4BE-4C97-9746-FC0F8F1CF996}"/>
    <cellStyle name="Style 86 3 4 2 10 2" xfId="28048" xr:uid="{D501A02B-EDF0-4183-9E3B-37A515B2DBCE}"/>
    <cellStyle name="Style 86 3 4 2 11" xfId="12100" xr:uid="{B1DBF93A-F4B7-48A0-8B8B-687517CB4282}"/>
    <cellStyle name="Style 86 3 4 2 11 2" xfId="28049" xr:uid="{3154AAE6-61B5-4155-A99C-E0484F255FBB}"/>
    <cellStyle name="Style 86 3 4 2 12" xfId="12101" xr:uid="{3FE9F78D-948C-4691-B595-E5A7F3397F92}"/>
    <cellStyle name="Style 86 3 4 2 12 2" xfId="28050" xr:uid="{A157D8A1-6CD4-43F3-A12C-7B7DC06AF5F2}"/>
    <cellStyle name="Style 86 3 4 2 2" xfId="5004" xr:uid="{5AEB9C05-4763-4718-9C37-EE9136472B34}"/>
    <cellStyle name="Style 86 3 4 2 2 2" xfId="12102" xr:uid="{3F860B66-6939-41DA-823D-1A5DA1477AE8}"/>
    <cellStyle name="Style 86 3 4 2 2 2 2" xfId="28051" xr:uid="{AEB337D5-396D-4CC4-9CD0-55F45440D7BE}"/>
    <cellStyle name="Style 86 3 4 2 2 3" xfId="12103" xr:uid="{59AE299F-5B28-4A82-A2F4-C7579860B27B}"/>
    <cellStyle name="Style 86 3 4 2 3" xfId="12104" xr:uid="{8C2FD5D7-E498-4F55-9784-A7327E5027B0}"/>
    <cellStyle name="Style 86 3 4 2 4" xfId="12105" xr:uid="{3D680351-57EB-4DC0-B609-D6F6AE9A056E}"/>
    <cellStyle name="Style 86 3 4 2 4 2" xfId="28052" xr:uid="{4207D98F-9690-49CA-BAAB-1A8AB409432B}"/>
    <cellStyle name="Style 86 3 4 2 5" xfId="12106" xr:uid="{7DA733EA-B0AF-44DC-8C47-2BFA73EE1629}"/>
    <cellStyle name="Style 86 3 4 2 5 2" xfId="28053" xr:uid="{950C2506-D5D9-47CC-8208-573629B706C6}"/>
    <cellStyle name="Style 86 3 4 2 6" xfId="12107" xr:uid="{D69C0742-1B2D-40AA-8B8C-71F2D4AA9723}"/>
    <cellStyle name="Style 86 3 4 2 6 2" xfId="28054" xr:uid="{F1972329-E509-4363-AFD0-0864D12FB60E}"/>
    <cellStyle name="Style 86 3 4 2 7" xfId="12108" xr:uid="{2420F8DE-34D6-4442-A3F9-7466A2DC0F24}"/>
    <cellStyle name="Style 86 3 4 2 7 2" xfId="28055" xr:uid="{CCFA1E27-8081-497E-B653-4342F8CB5106}"/>
    <cellStyle name="Style 86 3 4 2 8 2" xfId="28056" xr:uid="{09FEC948-4CA5-4238-A920-68C763105CA6}"/>
    <cellStyle name="Style 86 3 4 2 9" xfId="12109" xr:uid="{FE755EE2-7489-40A6-8685-55679B90A13D}"/>
    <cellStyle name="Style 86 3 4 2 9 2" xfId="28057" xr:uid="{055E5E24-C50E-4117-9325-BBB3E8F9EDB6}"/>
    <cellStyle name="Style 86 3 4 3" xfId="5003" xr:uid="{21CEF742-328B-4E3B-A5E6-173F1BC7D3F9}"/>
    <cellStyle name="Style 86 3 4 3 2 2" xfId="28058" xr:uid="{D23E4756-8493-42C7-96AC-102C7B1374CF}"/>
    <cellStyle name="Style 86 3 4 3 3" xfId="12110" xr:uid="{400F1F07-D88A-418F-9F3F-9E8CB4A5982F}"/>
    <cellStyle name="Style 86 3 4 3 3 2" xfId="28059" xr:uid="{A985B5A0-24A6-414A-AFAD-C83CE18446E8}"/>
    <cellStyle name="Style 86 3 4 4" xfId="12111" xr:uid="{14C0E2E5-D52B-4BD5-A5BA-3041ADF5E506}"/>
    <cellStyle name="Style 86 3 4 4 2 2" xfId="28060" xr:uid="{9223242F-7176-4F20-BA64-2587861BAB20}"/>
    <cellStyle name="Style 86 3 4 5" xfId="12112" xr:uid="{FB982D54-55DC-4BEF-BFE8-DC404CCDBFDB}"/>
    <cellStyle name="Style 86 3 4 5 2" xfId="28061" xr:uid="{76DD24AD-5CD2-4B60-B8E5-947E119D49A0}"/>
    <cellStyle name="Style 86 3 4 6 2" xfId="28062" xr:uid="{7CEB7478-7E90-412E-860B-7800FAB112FF}"/>
    <cellStyle name="Style 86 3 4 7" xfId="12113" xr:uid="{93D2822E-7BD2-460D-A9EB-0B04E178C605}"/>
    <cellStyle name="Style 86 3 4 7 2" xfId="28063" xr:uid="{17AA6416-4B36-4A70-9B43-9071EEEAD20D}"/>
    <cellStyle name="Style 86 3 4 8" xfId="12114" xr:uid="{69BBB869-D95F-4F1D-B9C7-54F4C8622768}"/>
    <cellStyle name="Style 86 3 4 8 2" xfId="28064" xr:uid="{7B97FBFF-E71A-488F-BF7D-BC51188FA14A}"/>
    <cellStyle name="Style 86 3 4 9" xfId="12115" xr:uid="{E11504EA-6091-4F63-8B77-39F48B7E8CDF}"/>
    <cellStyle name="Style 86 3 4 9 2" xfId="28065" xr:uid="{2E72D674-87B5-48FE-83DE-59E9635855B6}"/>
    <cellStyle name="Style 86 3 5" xfId="2293" xr:uid="{0A159BEE-CCBC-45C6-BF0C-1F94593E3532}"/>
    <cellStyle name="Style 86 3 5 10" xfId="12116" xr:uid="{EF083F0E-7F9E-460D-AA7B-089F135FC430}"/>
    <cellStyle name="Style 86 3 5 10 2" xfId="28066" xr:uid="{2E83C42A-2EA4-430B-84D5-D0489767914F}"/>
    <cellStyle name="Style 86 3 5 11" xfId="12117" xr:uid="{CCBBBEC1-9750-4312-9EB1-85497D58DC75}"/>
    <cellStyle name="Style 86 3 5 12" xfId="12118" xr:uid="{C1023801-E013-48AF-B7A4-E2F37037B64F}"/>
    <cellStyle name="Style 86 3 5 12 2" xfId="28067" xr:uid="{6FE3D6B2-5C95-4455-9FBA-112F36874D01}"/>
    <cellStyle name="Style 86 3 5 13 2" xfId="28068" xr:uid="{63325FBB-174C-4838-933D-F69C8C92D617}"/>
    <cellStyle name="Style 86 3 5 2" xfId="5005" xr:uid="{42BA5EF2-27C8-45CE-B755-EEE446FD2123}"/>
    <cellStyle name="Style 86 3 5 2 2" xfId="12119" xr:uid="{6323F12B-BE50-40B6-919E-3223C550CDD7}"/>
    <cellStyle name="Style 86 3 5 2 2 2" xfId="28069" xr:uid="{04AFE998-2409-437D-922B-E253EEE745AB}"/>
    <cellStyle name="Style 86 3 5 2 3" xfId="12120" xr:uid="{0BB60080-08D4-4B42-B835-4D0CF28884B0}"/>
    <cellStyle name="Style 86 3 5 2 3 2" xfId="28070" xr:uid="{36E081EC-AC12-4486-AB4B-13001E98AA84}"/>
    <cellStyle name="Style 86 3 5 3" xfId="12121" xr:uid="{83406826-D276-4378-AF59-CC4C0FECBC80}"/>
    <cellStyle name="Style 86 3 5 3 2" xfId="12122" xr:uid="{FA85CE37-019B-4267-A490-9996527AD6E0}"/>
    <cellStyle name="Style 86 3 5 3 2 2" xfId="28071" xr:uid="{15A5DBB3-CD94-45D1-AA7D-3CA03BEDB458}"/>
    <cellStyle name="Style 86 3 5 4" xfId="12123" xr:uid="{1774D648-A4B7-4132-B0E1-AC7CC345AAD7}"/>
    <cellStyle name="Style 86 3 5 5" xfId="12124" xr:uid="{3A73CF58-996D-4526-9F3F-B0BDE2A807C9}"/>
    <cellStyle name="Style 86 3 5 6 2" xfId="28072" xr:uid="{47114635-6DAB-44AE-AE45-DD63621D4DE9}"/>
    <cellStyle name="Style 86 3 5 7" xfId="12125" xr:uid="{69DC829F-AD73-4A4B-9C6A-AB3151AB9F89}"/>
    <cellStyle name="Style 86 3 5 7 2" xfId="28073" xr:uid="{8720414E-551D-4C7C-B2C2-471B608E5CF3}"/>
    <cellStyle name="Style 86 3 5 8" xfId="12126" xr:uid="{C93A89D8-F567-43EC-B8FA-6F156D0CC612}"/>
    <cellStyle name="Style 86 3 5 8 2" xfId="28074" xr:uid="{3CA06D2C-1BAB-439F-8BA4-F2AAD31ECF37}"/>
    <cellStyle name="Style 86 3 5 9" xfId="12127" xr:uid="{75E84549-5B0D-4567-822B-337C19F8F153}"/>
    <cellStyle name="Style 86 3 5 9 2" xfId="28075" xr:uid="{9CF1A9E9-125A-4728-BB57-6AEF7239452F}"/>
    <cellStyle name="Style 86 3 6" xfId="5006" xr:uid="{249F13B9-0642-48E9-8472-12012F8DCC0B}"/>
    <cellStyle name="Style 86 3 6 2 2" xfId="28076" xr:uid="{43B7742F-AE8F-4E23-9774-3E2C4933653E}"/>
    <cellStyle name="Style 86 3 6 3" xfId="12128" xr:uid="{05003E95-4A43-4214-B935-FC5D2B2A8F31}"/>
    <cellStyle name="Style 86 3 6 3 2" xfId="28077" xr:uid="{EA734380-5143-46EC-8D14-21C4C657209E}"/>
    <cellStyle name="Style 86 3 7" xfId="4987" xr:uid="{789568C7-844E-42C9-82FE-7DD633FCC9D4}"/>
    <cellStyle name="Style 86 3 7 2" xfId="12129" xr:uid="{4E43477B-80F6-4F56-A5D0-687A121A3E66}"/>
    <cellStyle name="Style 86 3 7 2 2" xfId="28078" xr:uid="{C98DFEB6-BEEC-4026-9F5B-15A0695555DA}"/>
    <cellStyle name="Style 86 3 8" xfId="12130" xr:uid="{646B1DBA-EF9E-40F9-BE7A-0C946E9CCBF0}"/>
    <cellStyle name="Style 86 3 8 2" xfId="12131" xr:uid="{E8ABDB5F-4639-4B78-B7E7-B9B8A4F4549D}"/>
    <cellStyle name="Style 86 3 8 2 2" xfId="28079" xr:uid="{51E15199-C51A-4885-82A3-F55C0EF23F9E}"/>
    <cellStyle name="Style 86 4" xfId="2294" xr:uid="{F0EF7B64-D6EC-438C-A875-FD03273A7C34}"/>
    <cellStyle name="Style 86 4 10" xfId="12132" xr:uid="{5BDD605F-7DF3-4942-8B50-AB3DDADE6B84}"/>
    <cellStyle name="Style 86 4 11" xfId="12133" xr:uid="{608CD5AB-2D58-4AE3-AF62-584CCC729B3B}"/>
    <cellStyle name="Style 86 4 11 2" xfId="28080" xr:uid="{83B624C1-656F-4E1D-AF2B-FF39317BBA1C}"/>
    <cellStyle name="Style 86 4 12" xfId="12134" xr:uid="{67061765-3632-4DAC-99FD-F32C7F592079}"/>
    <cellStyle name="Style 86 4 12 2" xfId="28081" xr:uid="{75361C8F-BCAF-4495-A9A2-3F635A972B91}"/>
    <cellStyle name="Style 86 4 13" xfId="12135" xr:uid="{4D118AE9-0E7E-491B-82C4-61357DD645D0}"/>
    <cellStyle name="Style 86 4 13 2" xfId="28082" xr:uid="{26F7A843-1EC5-456A-A826-7D9D2EE0D71B}"/>
    <cellStyle name="Style 86 4 14" xfId="12136" xr:uid="{C2C97226-44EB-46D9-8040-B728716149F0}"/>
    <cellStyle name="Style 86 4 14 2" xfId="28083" xr:uid="{7206EFF2-5F7A-4D31-9E9B-F0E9FF828E1E}"/>
    <cellStyle name="Style 86 4 15" xfId="12137" xr:uid="{74655CDC-1420-4520-BD07-591F3A362C05}"/>
    <cellStyle name="Style 86 4 15 2" xfId="28084" xr:uid="{F583F49C-540F-4E76-8336-6B29F5F44099}"/>
    <cellStyle name="Style 86 4 2" xfId="2295" xr:uid="{D482C2D4-6884-4170-82FC-8E1946FD51F2}"/>
    <cellStyle name="Style 86 4 2 10" xfId="12138" xr:uid="{C0CA3D8D-9DEC-4435-8530-E159AD82F000}"/>
    <cellStyle name="Style 86 4 2 10 2" xfId="28085" xr:uid="{F54CCB5F-9A9E-4B69-B1D3-7D48B311CC2F}"/>
    <cellStyle name="Style 86 4 2 11" xfId="12139" xr:uid="{D0C51BD4-597B-4D7A-8F3B-3C891AF1FC8E}"/>
    <cellStyle name="Style 86 4 2 11 2" xfId="28086" xr:uid="{D725F6A6-F07A-4A60-BBF3-52F7661DF135}"/>
    <cellStyle name="Style 86 4 2 12" xfId="12140" xr:uid="{6A4DE451-5B27-4B09-85C1-97A76A7E8099}"/>
    <cellStyle name="Style 86 4 2 12 2" xfId="28087" xr:uid="{471CC393-C194-408F-9666-82298F683AC5}"/>
    <cellStyle name="Style 86 4 2 13" xfId="12141" xr:uid="{732FABF8-D8E0-4B10-9679-BB97147A0D00}"/>
    <cellStyle name="Style 86 4 2 13 2" xfId="28088" xr:uid="{3CC01543-A846-4465-A536-CACB924DC1AB}"/>
    <cellStyle name="Style 86 4 2 14" xfId="12142" xr:uid="{F1F9DD06-61C2-40F6-9F1F-452C7872FD5B}"/>
    <cellStyle name="Style 86 4 2 14 2" xfId="28089" xr:uid="{778C476D-7718-42E5-96C9-984FB5268B7B}"/>
    <cellStyle name="Style 86 4 2 15" xfId="12143" xr:uid="{8FF1A2DF-51F6-4292-99E5-10E8394801E6}"/>
    <cellStyle name="Style 86 4 2 2 10" xfId="12144" xr:uid="{19B9E85C-0D59-43AF-80FD-43DD7F12E272}"/>
    <cellStyle name="Style 86 4 2 2 10 2" xfId="28090" xr:uid="{14AE995A-F6E1-43DB-A82C-8F572FD17BC8}"/>
    <cellStyle name="Style 86 4 2 2 11" xfId="12145" xr:uid="{E05C45BB-62A3-40E6-9753-7241E8FD4DBE}"/>
    <cellStyle name="Style 86 4 2 2 11 2" xfId="28091" xr:uid="{C778D7C0-BBDE-461F-ACE6-70E73B858D00}"/>
    <cellStyle name="Style 86 4 2 2 12" xfId="12146" xr:uid="{24C983A4-D392-4EFC-A5FF-39E5B0D8E321}"/>
    <cellStyle name="Style 86 4 2 2 12 2" xfId="28092" xr:uid="{CF78B9EA-6ED4-4FE7-9B80-55C9D0C25621}"/>
    <cellStyle name="Style 86 4 2 2 13" xfId="12147" xr:uid="{C0F1F5F0-561B-43F3-8A6E-AF1DCD2846E0}"/>
    <cellStyle name="Style 86 4 2 2 14" xfId="12148" xr:uid="{9B97D3F0-181C-46BF-807F-8E55A5246BEA}"/>
    <cellStyle name="Style 86 4 2 2 14 2" xfId="28093" xr:uid="{BC74A8B7-F9EF-4401-B607-7AEB9EEFD7FB}"/>
    <cellStyle name="Style 86 4 2 2 2" xfId="2296" xr:uid="{140A15DF-4DD8-4030-9CC0-2A821F7E9D45}"/>
    <cellStyle name="Style 86 4 2 2 2 10" xfId="12149" xr:uid="{00A34F14-2FC2-48C2-825B-37499AA06DA4}"/>
    <cellStyle name="Style 86 4 2 2 2 11" xfId="12150" xr:uid="{D44AAD40-7B36-43B1-8ADF-C7B81131FACA}"/>
    <cellStyle name="Style 86 4 2 2 2 11 2" xfId="28094" xr:uid="{DBDF3387-7617-423C-857B-241916144A23}"/>
    <cellStyle name="Style 86 4 2 2 2 12" xfId="12151" xr:uid="{DAB6902E-41D6-4195-B1C8-F2237F310509}"/>
    <cellStyle name="Style 86 4 2 2 2 2" xfId="5009" xr:uid="{CC0DA97D-02F5-4F4A-AC39-7C223DBEFB70}"/>
    <cellStyle name="Style 86 4 2 2 2 2 2" xfId="12152" xr:uid="{62FEA072-EA71-458A-83F2-B86B885DF544}"/>
    <cellStyle name="Style 86 4 2 2 2 2 2 2" xfId="28095" xr:uid="{F71C56EE-6CFA-4C2B-B50D-C2091C3D4A38}"/>
    <cellStyle name="Style 86 4 2 2 2 2 3" xfId="12153" xr:uid="{712098E9-5887-463A-99BB-8A0CD057BAE4}"/>
    <cellStyle name="Style 86 4 2 2 2 3 2" xfId="12154" xr:uid="{506DC6B3-B978-41CE-90D9-B283D5AAE23C}"/>
    <cellStyle name="Style 86 4 2 2 2 3 2 2" xfId="28096" xr:uid="{5C4505B1-DE6C-47E2-825F-A3D94249D6CF}"/>
    <cellStyle name="Style 86 4 2 2 2 4" xfId="12155" xr:uid="{A103794B-DC75-4D4C-8D53-C268F2343B85}"/>
    <cellStyle name="Style 86 4 2 2 2 4 2" xfId="28097" xr:uid="{79A5DF97-2A95-4A01-9936-005095D92C8B}"/>
    <cellStyle name="Style 86 4 2 2 2 5" xfId="12156" xr:uid="{BA79B32D-3ADE-4999-A8D8-531EBFC9F13E}"/>
    <cellStyle name="Style 86 4 2 2 2 5 2" xfId="28098" xr:uid="{BE3B3547-BD16-4892-B09E-80AEF969079A}"/>
    <cellStyle name="Style 86 4 2 2 2 6" xfId="12157" xr:uid="{D040ACF4-FB37-4323-8F87-EBE9EB4BC818}"/>
    <cellStyle name="Style 86 4 2 2 2 6 2" xfId="28099" xr:uid="{F8EADC30-220E-4817-BC29-C9EDC315E5F8}"/>
    <cellStyle name="Style 86 4 2 2 2 7" xfId="12158" xr:uid="{0444A4FD-F1E9-4773-B9E5-015283EA5B6E}"/>
    <cellStyle name="Style 86 4 2 2 2 7 2" xfId="28100" xr:uid="{42B1CC50-7EC0-4946-9D1A-5C3A717F3FCA}"/>
    <cellStyle name="Style 86 4 2 2 2 8" xfId="12159" xr:uid="{EDE02719-433B-486E-9DA9-69CE7FA51C78}"/>
    <cellStyle name="Style 86 4 2 2 2 9" xfId="12160" xr:uid="{977A05F3-B179-4F94-B3FC-0BF11ABB6FD4}"/>
    <cellStyle name="Style 86 4 2 2 3 2" xfId="12161" xr:uid="{3338D2B8-44F6-4E17-B1A1-8DD608928E1F}"/>
    <cellStyle name="Style 86 4 2 2 3 2 2" xfId="28101" xr:uid="{A1BBD372-2EA6-4E6B-8D66-86313D4A37F7}"/>
    <cellStyle name="Style 86 4 2 2 3 3" xfId="12162" xr:uid="{9168D46D-A1E3-4E52-AD25-6208FA105EA8}"/>
    <cellStyle name="Style 86 4 2 2 3 3 2" xfId="28102" xr:uid="{D6CB4EC7-F775-492D-8B6A-E5762E2D9E3A}"/>
    <cellStyle name="Style 86 4 2 2 4" xfId="12163" xr:uid="{3DC29AA5-0E25-4F54-AAF1-15266483489C}"/>
    <cellStyle name="Style 86 4 2 2 4 2" xfId="12164" xr:uid="{101592F0-CEF7-4A2C-B120-D8CF3722D35F}"/>
    <cellStyle name="Style 86 4 2 2 4 2 2" xfId="28103" xr:uid="{39768363-5D63-464F-94AC-6404F10CA1F5}"/>
    <cellStyle name="Style 86 4 2 2 5" xfId="12165" xr:uid="{695CEB85-0EE8-4AA6-B350-CA1337CEAB37}"/>
    <cellStyle name="Style 86 4 2 2 6" xfId="12166" xr:uid="{7B0D427F-CE95-4F24-8D6A-3F7D7CF4E34A}"/>
    <cellStyle name="Style 86 4 2 2 6 2" xfId="28104" xr:uid="{829C7EDA-5A46-4994-B796-3FB8F49AF379}"/>
    <cellStyle name="Style 86 4 2 2 7" xfId="12167" xr:uid="{AB5C71BD-8DB3-4229-8A0E-64567B4F3F93}"/>
    <cellStyle name="Style 86 4 2 2 7 2" xfId="28105" xr:uid="{EBBC885D-E751-44C7-9A35-B2E25409A927}"/>
    <cellStyle name="Style 86 4 2 2 8" xfId="12168" xr:uid="{F0F12259-232E-4CE8-8C4F-D384C960F428}"/>
    <cellStyle name="Style 86 4 2 2 8 2" xfId="28106" xr:uid="{B477697D-D2EF-460C-AACC-607AD5605178}"/>
    <cellStyle name="Style 86 4 2 2 9" xfId="12169" xr:uid="{C5A1EAD7-1632-4AA0-8F32-F7FE1B7B3923}"/>
    <cellStyle name="Style 86 4 2 2 9 2" xfId="28107" xr:uid="{07829607-9C5C-404A-85C3-A15F7A9CD649}"/>
    <cellStyle name="Style 86 4 2 3" xfId="2297" xr:uid="{A0E40BB8-FF67-42C8-BE51-4E388BBC6377}"/>
    <cellStyle name="Style 86 4 2 3 10 2" xfId="28108" xr:uid="{254B46C8-A56D-4F76-9E11-E49D26B37048}"/>
    <cellStyle name="Style 86 4 2 3 11" xfId="12170" xr:uid="{9AF1E0DB-BA93-473C-A9EA-C41127C7E08B}"/>
    <cellStyle name="Style 86 4 2 3 11 2" xfId="28109" xr:uid="{87920832-F480-4FCA-AC4D-764F73E836BE}"/>
    <cellStyle name="Style 86 4 2 3 2" xfId="5010" xr:uid="{0DCEA659-B683-43B8-86AE-BB95EDA191B8}"/>
    <cellStyle name="Style 86 4 2 3 2 2" xfId="12171" xr:uid="{509C49F6-9943-4C4C-858D-6A3BC8F6E4E4}"/>
    <cellStyle name="Style 86 4 2 3 2 2 2" xfId="28110" xr:uid="{9A3F599C-9AA3-4A8B-81C4-9D769AA4A695}"/>
    <cellStyle name="Style 86 4 2 3 2 3" xfId="12172" xr:uid="{763C0731-0601-48A2-81C4-E1F07EAC2E29}"/>
    <cellStyle name="Style 86 4 2 3 2 3 2" xfId="28111" xr:uid="{83083938-FB1C-41DB-BD57-FD1101BD28BD}"/>
    <cellStyle name="Style 86 4 2 3 3" xfId="12173" xr:uid="{3EED494C-7E3D-4804-B9F0-BB407514389F}"/>
    <cellStyle name="Style 86 4 2 3 3 2" xfId="12174" xr:uid="{711672C5-8D33-47A0-8394-2600DA2EC26E}"/>
    <cellStyle name="Style 86 4 2 3 3 2 2" xfId="28112" xr:uid="{A99F1E07-FA7E-40ED-8C67-BCA119E65280}"/>
    <cellStyle name="Style 86 4 2 3 4" xfId="12175" xr:uid="{A205C02F-B4A1-472A-B510-AF1CEB0619E5}"/>
    <cellStyle name="Style 86 4 2 3 4 2" xfId="28113" xr:uid="{AF5633F5-3D9A-4DCC-9A58-B7B41A672903}"/>
    <cellStyle name="Style 86 4 2 3 5" xfId="12176" xr:uid="{93F1AD7B-97F2-410D-9324-E7B56C80620D}"/>
    <cellStyle name="Style 86 4 2 3 5 2" xfId="28114" xr:uid="{25462D79-0D15-43C3-9CAD-91722885EBE8}"/>
    <cellStyle name="Style 86 4 2 3 6" xfId="12177" xr:uid="{CA9AF8AF-3BC9-42B1-A21B-287A47587900}"/>
    <cellStyle name="Style 86 4 2 3 7" xfId="12178" xr:uid="{24585A03-AA71-49D9-A9A6-102CCD53D146}"/>
    <cellStyle name="Style 86 4 2 3 7 2" xfId="28115" xr:uid="{BDE8A6C5-C9E5-467D-82D2-20CA7AC06896}"/>
    <cellStyle name="Style 86 4 2 3 8" xfId="12179" xr:uid="{ED12D33D-DB85-493A-8DFD-4FB20E8A874F}"/>
    <cellStyle name="Style 86 4 2 3 8 2" xfId="28116" xr:uid="{09A9438E-0B62-4712-A4C0-90F26E65F409}"/>
    <cellStyle name="Style 86 4 2 3 9 2" xfId="28117" xr:uid="{70DD2691-B8B2-48C4-993B-DD6961FFF0D4}"/>
    <cellStyle name="Style 86 4 2 4" xfId="5008" xr:uid="{D09A3A8D-DAFA-48FD-B424-B8F1FB773D33}"/>
    <cellStyle name="Style 86 4 2 4 2" xfId="12180" xr:uid="{E16B9B68-9F5E-4CCA-AFE7-B13107B399F8}"/>
    <cellStyle name="Style 86 4 2 4 3" xfId="12181" xr:uid="{1CB015E9-2FE1-49DD-A49D-C27C7BB5EDB1}"/>
    <cellStyle name="Style 86 4 2 4 3 2" xfId="28118" xr:uid="{050D3501-A2B5-4FE9-9601-13969F5028C9}"/>
    <cellStyle name="Style 86 4 2 5 2 2" xfId="28119" xr:uid="{691053BC-D41D-4BB7-A6F8-6C43D669875D}"/>
    <cellStyle name="Style 86 4 2 6 2" xfId="28120" xr:uid="{F9713B9F-A638-476D-B997-A16CA74BEB36}"/>
    <cellStyle name="Style 86 4 2 7" xfId="12182" xr:uid="{BD2E8055-C2A8-4954-8140-6915DC761B6D}"/>
    <cellStyle name="Style 86 4 2 7 2" xfId="28121" xr:uid="{A24F6093-1659-44CD-A88F-B2CCDAD1FA88}"/>
    <cellStyle name="Style 86 4 2 8 2" xfId="28122" xr:uid="{05A1B875-ADBE-4BF9-86BF-204602AA47EA}"/>
    <cellStyle name="Style 86 4 2 9" xfId="12183" xr:uid="{5863EBBA-403E-4AAB-AA82-6879633B0F95}"/>
    <cellStyle name="Style 86 4 2 9 2" xfId="28123" xr:uid="{0072BF86-4471-4437-9553-81E432DAEC0F}"/>
    <cellStyle name="Style 86 4 3" xfId="2298" xr:uid="{B29FF2AA-60E9-4FC3-BE28-95DC1F03431C}"/>
    <cellStyle name="Style 86 4 3 10" xfId="12184" xr:uid="{7B2E47F1-4250-49AA-8030-405C6A8A1B1B}"/>
    <cellStyle name="Style 86 4 3 10 2" xfId="28124" xr:uid="{9D083251-66F3-4D01-8EA8-F5C862F2BFD6}"/>
    <cellStyle name="Style 86 4 3 11" xfId="12185" xr:uid="{5C26FE9E-0D29-4303-9A3E-584E7ACF1336}"/>
    <cellStyle name="Style 86 4 3 12" xfId="12186" xr:uid="{0049835A-8D1F-4012-9418-91D1245D29B7}"/>
    <cellStyle name="Style 86 4 3 13" xfId="12187" xr:uid="{F8BB9B5A-0837-433C-AD24-7D0A0CF035DC}"/>
    <cellStyle name="Style 86 4 3 2" xfId="5012" xr:uid="{30F75BDD-C78D-4764-8CD9-77B3DE259499}"/>
    <cellStyle name="Style 86 4 3 2 2" xfId="12188" xr:uid="{76D70C8F-D026-4CE1-B9E0-CA26CEF561B8}"/>
    <cellStyle name="Style 86 4 3 2 2 2" xfId="28125" xr:uid="{CE8A53D8-048C-4738-98AA-16562FBA288D}"/>
    <cellStyle name="Style 86 4 3 2 3" xfId="12189" xr:uid="{32AC9457-143D-4FC1-A57D-5C3779700F3A}"/>
    <cellStyle name="Style 86 4 3 2 3 2" xfId="28126" xr:uid="{B1149DFF-C0FE-4713-9730-AED44D2F9497}"/>
    <cellStyle name="Style 86 4 3 3" xfId="5011" xr:uid="{81FDEDE0-17F3-4E6D-8B9C-7E8C25861E3F}"/>
    <cellStyle name="Style 86 4 3 3 2" xfId="12190" xr:uid="{C8D6B374-DDF5-480E-B8AE-1AB4884B342F}"/>
    <cellStyle name="Style 86 4 3 3 2 2" xfId="28127" xr:uid="{64E7AE4F-66C3-43D2-9E8D-422AA93A2CFC}"/>
    <cellStyle name="Style 86 4 3 4" xfId="12191" xr:uid="{9CE17F07-2EAA-4FEE-986B-238B6E6F5577}"/>
    <cellStyle name="Style 86 4 3 4 2" xfId="12192" xr:uid="{8D008D7A-95B8-4B97-B62F-04933A395479}"/>
    <cellStyle name="Style 86 4 3 5 2" xfId="28128" xr:uid="{CB6E78FB-A632-4D9C-93F5-709D59A218CB}"/>
    <cellStyle name="Style 86 4 3 7" xfId="12193" xr:uid="{9C8E9D79-670D-4E19-AE00-25FFEC4B430E}"/>
    <cellStyle name="Style 86 4 3 8" xfId="12194" xr:uid="{83D83A97-808B-4C82-A81D-76CD121D87F1}"/>
    <cellStyle name="Style 86 4 3 8 2" xfId="28129" xr:uid="{145A39A9-DD13-4914-A808-AF4E693E6093}"/>
    <cellStyle name="Style 86 4 3 9" xfId="12195" xr:uid="{A532BDBF-AE2C-46B6-8E6C-FF5AE48433F0}"/>
    <cellStyle name="Style 86 4 4" xfId="5013" xr:uid="{E3B44840-08D1-4F0C-96F3-584D1D501E03}"/>
    <cellStyle name="Style 86 4 4 2" xfId="12196" xr:uid="{6BB25485-743B-4C7F-A721-D1054D5B7FCC}"/>
    <cellStyle name="Style 86 4 4 3" xfId="12197" xr:uid="{6CB8A2FD-356E-49DC-B4D6-833144252A77}"/>
    <cellStyle name="Style 86 4 4 3 2" xfId="28130" xr:uid="{5E2331B1-2B2A-498E-BA2B-608CB64D0DC8}"/>
    <cellStyle name="Style 86 4 5" xfId="5014" xr:uid="{7A5572B2-26FE-4FD5-858D-903A0FC4643D}"/>
    <cellStyle name="Style 86 4 6" xfId="5007" xr:uid="{EF9BA3E9-2470-47D9-AC04-68D0BB01BD8B}"/>
    <cellStyle name="Style 86 4 6 2" xfId="12198" xr:uid="{3519A104-8073-4301-908C-C3FA245F4CCF}"/>
    <cellStyle name="Style 86 4 7" xfId="12199" xr:uid="{14FD8097-4A4F-49C0-AD57-03B65A15F104}"/>
    <cellStyle name="Style 86 4 7 2 2" xfId="28131" xr:uid="{C2241C08-407A-42C3-B2F3-6EA32420D244}"/>
    <cellStyle name="Style 86 4 8" xfId="12200" xr:uid="{12009844-56D8-4397-95FA-A73C1DA2C577}"/>
    <cellStyle name="Style 86 4 8 2" xfId="28132" xr:uid="{10D3BC75-34D8-4ECB-A40B-AF94F6B9C1C0}"/>
    <cellStyle name="Style 86 4 9" xfId="12201" xr:uid="{41B97C1F-C0C7-4FF4-B5ED-CDC158FA45AB}"/>
    <cellStyle name="Style 86 4 9 2" xfId="28133" xr:uid="{BF54A26B-6CBC-43D8-A836-0554A95575F4}"/>
    <cellStyle name="Style 86 5" xfId="2299" xr:uid="{C94A6178-EE93-490A-94F7-BB193404A275}"/>
    <cellStyle name="Style 86 5 11" xfId="12202" xr:uid="{7A85D080-8DE1-4BAA-A787-E02875EDC87F}"/>
    <cellStyle name="Style 86 5 11 2" xfId="28134" xr:uid="{7BCAC14C-14AC-42FF-9CE7-776B81A5E75B}"/>
    <cellStyle name="Style 86 5 12 2" xfId="28135" xr:uid="{BB524B08-EF3E-4D2A-9034-FEB65273205B}"/>
    <cellStyle name="Style 86 5 13" xfId="12203" xr:uid="{700A75E9-D157-4F0B-B9CD-239093023FEF}"/>
    <cellStyle name="Style 86 5 13 2" xfId="28136" xr:uid="{284CF939-2D46-497B-80A9-907894559AB7}"/>
    <cellStyle name="Style 86 5 14" xfId="12204" xr:uid="{F86ADA9C-3EE2-44C5-BB31-39B1FF230C9F}"/>
    <cellStyle name="Style 86 5 14 2" xfId="28137" xr:uid="{7640A361-C189-4411-A2C0-6A80C075E9FC}"/>
    <cellStyle name="Style 86 5 2" xfId="2300" xr:uid="{1035BFD5-6239-4C63-99C9-9E500D18D6B3}"/>
    <cellStyle name="Style 86 5 2 10" xfId="12205" xr:uid="{B64EA7BF-7747-44AF-B0FB-D578363F1967}"/>
    <cellStyle name="Style 86 5 2 10 2" xfId="28138" xr:uid="{21F6CF66-B7A8-4CA6-A74D-EEF583C74D32}"/>
    <cellStyle name="Style 86 5 2 12" xfId="12206" xr:uid="{15926283-0C36-451A-8F75-3472FA24B579}"/>
    <cellStyle name="Style 86 5 2 12 2" xfId="28139" xr:uid="{7E39F8F2-5A1C-4FC9-A164-C4317F0A352D}"/>
    <cellStyle name="Style 86 5 2 2" xfId="5016" xr:uid="{0D2DCC34-FBCC-4E24-AF24-8B0F542B1975}"/>
    <cellStyle name="Style 86 5 2 2 2 2" xfId="28140" xr:uid="{54882D80-66FF-44FC-B926-6ADC3BEC3EC3}"/>
    <cellStyle name="Style 86 5 2 2 3" xfId="12207" xr:uid="{C8C6EC64-3D21-478A-8665-2483699405EF}"/>
    <cellStyle name="Style 86 5 2 2 3 2" xfId="28141" xr:uid="{7B932259-4583-43C9-B69D-2CE989C8EA2E}"/>
    <cellStyle name="Style 86 5 2 3" xfId="12208" xr:uid="{9A5AA075-F0CD-43BA-A61F-8B8A903E5CEF}"/>
    <cellStyle name="Style 86 5 2 3 2" xfId="12209" xr:uid="{41A6967E-C222-435D-BCF1-DF7501139023}"/>
    <cellStyle name="Style 86 5 2 3 2 2" xfId="28142" xr:uid="{35752EA7-21B0-4745-A9D2-A489C7A3E388}"/>
    <cellStyle name="Style 86 5 2 4" xfId="12210" xr:uid="{257CC9DE-80D0-4812-8AAC-2BB1CB50FD2F}"/>
    <cellStyle name="Style 86 5 2 5" xfId="12211" xr:uid="{F54836FE-3789-40F1-8B60-0599D5FF3081}"/>
    <cellStyle name="Style 86 5 2 6" xfId="12212" xr:uid="{ED499030-BB51-42ED-BF69-28E5A1AE311C}"/>
    <cellStyle name="Style 86 5 2 6 2" xfId="28143" xr:uid="{159D677B-C172-4723-B65E-5D28B85D52C9}"/>
    <cellStyle name="Style 86 5 2 7" xfId="12213" xr:uid="{3B8E57BB-148A-4AB3-BD36-509BAE962932}"/>
    <cellStyle name="Style 86 5 2 7 2" xfId="28144" xr:uid="{26FC884B-5BC1-4A55-8C29-239D45791A61}"/>
    <cellStyle name="Style 86 5 2 8" xfId="12214" xr:uid="{D75CB210-4127-4261-9372-3289BB28CFDD}"/>
    <cellStyle name="Style 86 5 2 8 2" xfId="28145" xr:uid="{A027A310-838A-49BB-9773-AE60FE13034E}"/>
    <cellStyle name="Style 86 5 2 9 2" xfId="28146" xr:uid="{6E9BA733-EFA3-456D-80F6-EE2ABDE63E58}"/>
    <cellStyle name="Style 86 5 3" xfId="5015" xr:uid="{F31605D2-96F1-4AA6-9EAD-BD9F96ED9BB4}"/>
    <cellStyle name="Style 86 5 3 2" xfId="12215" xr:uid="{B02E7A89-3DD0-4675-95B8-980FC5F232B3}"/>
    <cellStyle name="Style 86 5 3 2 2" xfId="28147" xr:uid="{E2F7DE77-9FB1-4226-8C2C-A5E14AC87104}"/>
    <cellStyle name="Style 86 5 3 3" xfId="12216" xr:uid="{CEFE6D81-4B9B-4D6E-A86A-B19B3E0FFECC}"/>
    <cellStyle name="Style 86 5 4" xfId="12217" xr:uid="{9D6ADB4B-A878-4F43-AE6C-27327A98943A}"/>
    <cellStyle name="Style 86 5 4 2" xfId="12218" xr:uid="{7FE65A3E-9CB4-422C-BA41-A856D5B39984}"/>
    <cellStyle name="Style 86 5 5 2" xfId="28148" xr:uid="{1D128DE4-9015-47B9-890D-F38D5FFC02FB}"/>
    <cellStyle name="Style 86 5 6" xfId="12219" xr:uid="{A987BAA5-FC5A-480E-A39E-DBFB412F458F}"/>
    <cellStyle name="Style 86 5 6 2" xfId="28149" xr:uid="{05F367FD-5A79-461C-81E3-84537EA8EF6C}"/>
    <cellStyle name="Style 86 5 7 2" xfId="28150" xr:uid="{4B689867-2292-427C-ACFC-A80B6CF293D8}"/>
    <cellStyle name="Style 86 5 8" xfId="12220" xr:uid="{5135011A-97FF-41E1-A426-10CAD66D05E6}"/>
    <cellStyle name="Style 86 5 8 2" xfId="28151" xr:uid="{B7996B4A-DA58-4584-A709-DB301272DDD5}"/>
    <cellStyle name="Style 86 5 9 2" xfId="28152" xr:uid="{BB14F130-3941-4356-A9CA-BF45A4B7DDC5}"/>
    <cellStyle name="Style 86 6" xfId="2301" xr:uid="{CC25AB39-E484-4240-B17D-53DF973296FC}"/>
    <cellStyle name="Style 86 6 10" xfId="12221" xr:uid="{ECEF60CC-0F09-4411-80C8-43CC178972F1}"/>
    <cellStyle name="Style 86 6 10 2" xfId="28153" xr:uid="{84B645FD-31AC-4DD8-9202-707E40D9E703}"/>
    <cellStyle name="Style 86 6 11" xfId="12222" xr:uid="{EEA44452-6C99-4858-8552-6DA2761F78E3}"/>
    <cellStyle name="Style 86 6 11 2" xfId="28154" xr:uid="{BE8745DC-98A6-4D89-AA84-6C1AB114622E}"/>
    <cellStyle name="Style 86 6 12" xfId="12223" xr:uid="{13A830B0-D3E4-48D7-BF93-CE1002BFDEC8}"/>
    <cellStyle name="Style 86 6 12 2" xfId="28155" xr:uid="{1B8278A5-23FC-4A92-9C30-59135B668AB1}"/>
    <cellStyle name="Style 86 6 13" xfId="12224" xr:uid="{43C06095-2AD6-45EA-AD53-C6CEA7923248}"/>
    <cellStyle name="Style 86 6 13 2" xfId="28156" xr:uid="{6DDB8047-F769-493A-8B6F-07183BA4A554}"/>
    <cellStyle name="Style 86 6 2" xfId="2792" xr:uid="{2B8BD48F-7537-4E96-9B3B-C868C2DD685F}"/>
    <cellStyle name="Style 86 6 2 2" xfId="5018" xr:uid="{FB60C54D-9A0D-472E-93C5-82A07EAB64FD}"/>
    <cellStyle name="Style 86 6 2 2 2" xfId="12225" xr:uid="{CB5D8372-7BEA-415C-9D23-440211BBCF12}"/>
    <cellStyle name="Style 86 6 2 2 3" xfId="22538" xr:uid="{C0F7A30F-CFCC-4628-B152-3CBA397CBEA5}"/>
    <cellStyle name="Style 86 6 2 3" xfId="12226" xr:uid="{29962E26-D1AC-4693-B373-E50F89B2CD46}"/>
    <cellStyle name="Style 86 6 3 2" xfId="12227" xr:uid="{99506B9F-ED36-478D-AF43-0AD077153B20}"/>
    <cellStyle name="Style 86 6 4" xfId="5017" xr:uid="{F891F8D9-9667-4348-976E-ADF717DDA021}"/>
    <cellStyle name="Style 86 6 4 2" xfId="12228" xr:uid="{2B7DD0C4-7512-4074-ACFD-A6E0D6C284FE}"/>
    <cellStyle name="Style 86 6 4 2 2" xfId="28157" xr:uid="{6D00DA38-5D0B-4ACF-8B9A-F060AB07D4EA}"/>
    <cellStyle name="Style 86 6 5" xfId="12229" xr:uid="{ECC51B63-F9ED-44D8-A14E-9AA46B39166E}"/>
    <cellStyle name="Style 86 6 5 2" xfId="12230" xr:uid="{B39C71AC-0D78-42C0-BCF9-BB4DD94F73B1}"/>
    <cellStyle name="Style 86 6 5 2 2" xfId="28158" xr:uid="{74C3B15C-4E3A-4E08-9E13-9B14BB7FD963}"/>
    <cellStyle name="Style 86 6 6" xfId="12231" xr:uid="{E5862039-59B5-4F2E-BA41-93A88FED1533}"/>
    <cellStyle name="Style 86 6 7" xfId="12232" xr:uid="{2B1A42B3-694B-4850-938F-5D0FB89F49F8}"/>
    <cellStyle name="Style 86 6 7 2" xfId="28159" xr:uid="{37FD21CE-7DA7-4D03-B9B7-182D437F16E3}"/>
    <cellStyle name="Style 86 6 8" xfId="12233" xr:uid="{55F0704C-008D-458C-8386-1E7C92E9E657}"/>
    <cellStyle name="Style 86 6 8 2" xfId="28160" xr:uid="{1E424486-D78D-484F-A3CB-A77491AB5490}"/>
    <cellStyle name="Style 86 6 9" xfId="12234" xr:uid="{9E9C7DEA-CAD5-4E73-8D22-B293E993AC0B}"/>
    <cellStyle name="Style 86 6 9 2" xfId="28161" xr:uid="{7C7F5F2F-7C9A-46AC-834E-A8C2D336F1C1}"/>
    <cellStyle name="Style 86 7" xfId="2791" xr:uid="{A6FAFA54-0F1F-42CA-97DE-D382BA6F063C}"/>
    <cellStyle name="Style 86 7 2" xfId="5020" xr:uid="{FD77D02C-E12D-4A1E-88B0-D224DD715453}"/>
    <cellStyle name="Style 86 7 2 2" xfId="12235" xr:uid="{7E1D918F-DB8B-409A-8462-93760D9F5677}"/>
    <cellStyle name="Style 86 7 2 2 2" xfId="28162" xr:uid="{F6ED36B9-3A7C-4545-A0DE-DD1106E155D9}"/>
    <cellStyle name="Style 86 7 4" xfId="5019" xr:uid="{A67CE47D-1DAE-4151-9EFD-8712BABBA296}"/>
    <cellStyle name="Style 86 7 5" xfId="12236" xr:uid="{DD1AB761-4CE1-4E96-A184-421C8E40916D}"/>
    <cellStyle name="Style 86 7 5 2" xfId="28163" xr:uid="{E19E56A2-5E73-40EF-8E7B-EA27439BDC2E}"/>
    <cellStyle name="Style 86 7 6" xfId="19183" xr:uid="{FAF76B05-0F02-4AD0-92EC-96E8A4D7EC12}"/>
    <cellStyle name="Style 86 8" xfId="5021" xr:uid="{4F875C6F-B8A9-43B6-996F-49AEF4779251}"/>
    <cellStyle name="Style 86 8 2" xfId="12237" xr:uid="{3F2D6715-E8FC-4D9E-A221-6D72042E03E4}"/>
    <cellStyle name="Style 86 8 2 2" xfId="28164" xr:uid="{576FEBBC-FA90-43A7-AC6B-72CE0957D4AF}"/>
    <cellStyle name="Style 86 9" xfId="5022" xr:uid="{30455BDA-029A-40FB-B08D-CD3E77D180F3}"/>
    <cellStyle name="Style 86 9 2" xfId="12238" xr:uid="{5A5304A3-FEDB-44BC-BFFE-1FD46A26391E}"/>
    <cellStyle name="Style 86 9 2 2" xfId="28165" xr:uid="{23832CA0-8824-4D73-A37E-3C36050C8463}"/>
    <cellStyle name="Style 87" xfId="2302" xr:uid="{35C0C6F2-201C-4E34-AAEC-26379D387B3B}"/>
    <cellStyle name="Style 87 10" xfId="5023" xr:uid="{21CBA230-C1E7-43E1-A567-1C85EFF6AE84}"/>
    <cellStyle name="Style 87 10 2" xfId="12239" xr:uid="{C006CB8E-E52E-4B98-BDAE-75EB99004A16}"/>
    <cellStyle name="Style 87 10 2 2" xfId="28166" xr:uid="{0E706CF3-62DE-4FA6-A37C-0899214F7579}"/>
    <cellStyle name="Style 87 11" xfId="12240" xr:uid="{750C8850-50E2-4440-A5A0-1A2614D42059}"/>
    <cellStyle name="Style 87 11 2" xfId="12241" xr:uid="{F4DC86B9-C02F-4CA7-B118-DB1FDE279BE4}"/>
    <cellStyle name="Style 87 11 2 2" xfId="28167" xr:uid="{D48253EE-F793-440A-8ADA-E3BCA6941E75}"/>
    <cellStyle name="Style 87 12" xfId="12242" xr:uid="{15F7033D-726F-4FDA-8F0C-3D2EB89C688B}"/>
    <cellStyle name="Style 87 13" xfId="12243" xr:uid="{E1296A7A-D4EC-4BAE-B36D-9E13D4EAED40}"/>
    <cellStyle name="Style 87 14" xfId="12244" xr:uid="{518CFB04-C33E-427E-9EA8-061715804FC0}"/>
    <cellStyle name="Style 87 14 2" xfId="28168" xr:uid="{5506E585-ACA8-4342-B9C3-52F3269688AB}"/>
    <cellStyle name="Style 87 15" xfId="12245" xr:uid="{69D11E17-EBDC-4584-A421-05A93EA15444}"/>
    <cellStyle name="Style 87 16" xfId="12246" xr:uid="{D56641D5-0486-4542-A311-804B070E44B2}"/>
    <cellStyle name="Style 87 16 2" xfId="28169" xr:uid="{79C4FC98-DF2B-4E3B-B20D-82C8C707AA4F}"/>
    <cellStyle name="Style 87 17" xfId="12247" xr:uid="{E4034E5F-F439-4945-B1D6-644739F57AB9}"/>
    <cellStyle name="Style 87 17 2" xfId="28170" xr:uid="{57A25D26-7537-4E5C-9910-D68D0BD7C908}"/>
    <cellStyle name="Style 87 18" xfId="12248" xr:uid="{C080DE38-789C-401E-BB5C-8D3F3998B69F}"/>
    <cellStyle name="Style 87 18 2" xfId="28171" xr:uid="{B2FEAC94-662E-4BDD-BE53-20EDF4E03BE3}"/>
    <cellStyle name="Style 87 19" xfId="12249" xr:uid="{DEF802C6-8B23-47EE-8DEE-B723AD816D48}"/>
    <cellStyle name="Style 87 19 2" xfId="28172" xr:uid="{EB4A5C11-F614-434C-BCE9-9C9BF621FEFF}"/>
    <cellStyle name="Style 87 2" xfId="2303" xr:uid="{02736647-41F9-4BFF-A6A5-8AC9D2D55F9B}"/>
    <cellStyle name="Style 87 2 10" xfId="12250" xr:uid="{CE0FFA95-6484-4DDA-AC9E-2ECA4738523F}"/>
    <cellStyle name="Style 87 2 10 2" xfId="28173" xr:uid="{75B2345E-AAE7-4B46-934F-86A7A01606DA}"/>
    <cellStyle name="Style 87 2 11 2" xfId="28174" xr:uid="{A590D1F4-E0F9-4252-9038-ED3F2034C8D7}"/>
    <cellStyle name="Style 87 2 12" xfId="12251" xr:uid="{55DBEBBA-08E1-4972-A04D-2A756B2D10FD}"/>
    <cellStyle name="Style 87 2 12 2" xfId="28175" xr:uid="{DBBCC355-FE5B-4BF8-B5CC-20C1FD91B699}"/>
    <cellStyle name="Style 87 2 13" xfId="12252" xr:uid="{70DE3E05-7026-4481-9520-C9595F509C1D}"/>
    <cellStyle name="Style 87 2 13 2" xfId="28176" xr:uid="{4E665727-D34D-4DDC-9350-18AAE16ADCC7}"/>
    <cellStyle name="Style 87 2 14" xfId="12253" xr:uid="{BB7A3930-7E6C-4E0B-871F-64FA32573892}"/>
    <cellStyle name="Style 87 2 14 2" xfId="28177" xr:uid="{D92C708E-6003-4048-8097-896B05D9EF4E}"/>
    <cellStyle name="Style 87 2 15" xfId="12254" xr:uid="{60D66CE0-8BC2-4D60-9633-B4146EA6003C}"/>
    <cellStyle name="Style 87 2 15 2" xfId="28178" xr:uid="{77DEE22E-E74C-46EF-ACB4-3324DC132FF6}"/>
    <cellStyle name="Style 87 2 16" xfId="12255" xr:uid="{228CBC37-CA56-47D2-9C03-F4DA315AD1CB}"/>
    <cellStyle name="Style 87 2 16 2" xfId="28179" xr:uid="{08FCF578-0AE5-4092-9476-083606E3BE03}"/>
    <cellStyle name="Style 87 2 17" xfId="12256" xr:uid="{083C56A7-D538-4E77-951F-A95EC8A7A3AA}"/>
    <cellStyle name="Style 87 2 17 2" xfId="28180" xr:uid="{829424C8-AA68-49C2-95E3-422EF1192DA3}"/>
    <cellStyle name="Style 87 2 2 10" xfId="12257" xr:uid="{80762D85-D79B-4C1C-8543-F37F0E84DF6B}"/>
    <cellStyle name="Style 87 2 2 11" xfId="12258" xr:uid="{3B167E7C-8628-4B5E-99F3-11456F7B118E}"/>
    <cellStyle name="Style 87 2 2 11 2" xfId="28181" xr:uid="{63E5CAB4-7350-48A7-9083-84489C6724DE}"/>
    <cellStyle name="Style 87 2 2 12" xfId="12259" xr:uid="{99A2A149-44BF-4931-B834-EC4BBBFF46BE}"/>
    <cellStyle name="Style 87 2 2 12 2" xfId="28182" xr:uid="{B9D2BF1A-8F64-4E18-AAB9-41D67A4EBA39}"/>
    <cellStyle name="Style 87 2 2 13" xfId="12260" xr:uid="{1F6B1525-E171-4BA9-B2B6-380531BC87E1}"/>
    <cellStyle name="Style 87 2 2 13 2" xfId="28183" xr:uid="{2B083F11-C0D4-4AB2-ABDE-4D147A9602A1}"/>
    <cellStyle name="Style 87 2 2 14" xfId="12261" xr:uid="{A10E5AF0-6B94-4B76-9F6A-32D1362A234A}"/>
    <cellStyle name="Style 87 2 2 14 2" xfId="28184" xr:uid="{716FDCDC-D6A8-4584-A28D-2C81C0261C4E}"/>
    <cellStyle name="Style 87 2 2 15" xfId="12262" xr:uid="{0D82315A-CF9F-4101-9A96-EE52DA305DF2}"/>
    <cellStyle name="Style 87 2 2 16" xfId="12263" xr:uid="{E4929BD8-7F73-46F5-AD8F-4746637270E8}"/>
    <cellStyle name="Style 87 2 2 16 2" xfId="28185" xr:uid="{6E1F183D-E470-40A3-B98C-B108C23BF7B4}"/>
    <cellStyle name="Style 87 2 2 2" xfId="2304" xr:uid="{F3E44D3A-84AB-45A0-9E94-54E4E4037A32}"/>
    <cellStyle name="Style 87 2 2 2 10" xfId="12264" xr:uid="{BAEA1204-8F06-4D30-B12B-1755A2322AD5}"/>
    <cellStyle name="Style 87 2 2 2 10 2" xfId="28186" xr:uid="{32621906-8BDA-451F-8294-6DD032BCD2BD}"/>
    <cellStyle name="Style 87 2 2 2 11" xfId="12265" xr:uid="{613857B5-EEB7-41BE-9CFE-6AB148379659}"/>
    <cellStyle name="Style 87 2 2 2 11 2" xfId="28187" xr:uid="{2840C799-6805-4E8A-A69D-F751C2156919}"/>
    <cellStyle name="Style 87 2 2 2 12" xfId="12266" xr:uid="{8D3A8FFA-1246-4C4F-B349-F94685295A55}"/>
    <cellStyle name="Style 87 2 2 2 12 2" xfId="28188" xr:uid="{E5F9A1C4-DE31-4F5B-819B-57BD793D3681}"/>
    <cellStyle name="Style 87 2 2 2 13 2" xfId="28189" xr:uid="{071C6D7F-2644-4C45-8680-B2986F4218C8}"/>
    <cellStyle name="Style 87 2 2 2 14" xfId="12267" xr:uid="{C3A7B76D-BF79-4345-AD8A-07F9B4D31D45}"/>
    <cellStyle name="Style 87 2 2 2 14 2" xfId="28190" xr:uid="{5E6841C6-D51B-46DA-A3FB-3FF709BFD51A}"/>
    <cellStyle name="Style 87 2 2 2 15 2" xfId="28191" xr:uid="{8108208A-5242-413F-89DD-0DC92B836055}"/>
    <cellStyle name="Style 87 2 2 2 2" xfId="2305" xr:uid="{7B55EF81-AB64-490F-BD1A-1E61391CC736}"/>
    <cellStyle name="Style 87 2 2 2 2 10" xfId="12268" xr:uid="{3C3F1A63-F004-4AE4-B7B3-854DC47A4FAE}"/>
    <cellStyle name="Style 87 2 2 2 2 10 2" xfId="28192" xr:uid="{7BADCDBB-7253-420C-9158-5F084EC4C0DA}"/>
    <cellStyle name="Style 87 2 2 2 2 11" xfId="12269" xr:uid="{CC616AAB-A451-48F6-AFE9-5B0CCE396E4A}"/>
    <cellStyle name="Style 87 2 2 2 2 11 2" xfId="28193" xr:uid="{E580930E-3CB3-45A1-9436-9F5972C85E1E}"/>
    <cellStyle name="Style 87 2 2 2 2 12" xfId="12270" xr:uid="{E1972780-A033-4AA7-850A-612CC57E9B2C}"/>
    <cellStyle name="Style 87 2 2 2 2 12 2" xfId="28194" xr:uid="{6EE5FF91-383C-4775-81EF-B53CC5F66ABC}"/>
    <cellStyle name="Style 87 2 2 2 2 13" xfId="12271" xr:uid="{A4CA1694-5862-462F-AE74-AFFB9AAD0991}"/>
    <cellStyle name="Style 87 2 2 2 2 13 2" xfId="28195" xr:uid="{9042CEF5-8FFA-4DDC-AC2F-D08FA3BC7774}"/>
    <cellStyle name="Style 87 2 2 2 2 14" xfId="12272" xr:uid="{447CD496-9E8A-40DE-8970-F50764310642}"/>
    <cellStyle name="Style 87 2 2 2 2 14 2" xfId="28196" xr:uid="{3708D5E8-1AC2-43E2-A8B2-C6022E9F613E}"/>
    <cellStyle name="Style 87 2 2 2 2 2" xfId="2306" xr:uid="{B575F94E-C65D-49B8-A165-A13F771DE1AE}"/>
    <cellStyle name="Style 87 2 2 2 2 2 10" xfId="12273" xr:uid="{DB576A0D-B2E0-4A72-AE3F-A2893851BB93}"/>
    <cellStyle name="Style 87 2 2 2 2 2 10 2" xfId="28197" xr:uid="{2CBEA6CF-CE8B-466C-98E7-7023399144B8}"/>
    <cellStyle name="Style 87 2 2 2 2 2 11" xfId="12274" xr:uid="{FA781E7B-78AD-4D3F-BDEB-BD1BC7D565AD}"/>
    <cellStyle name="Style 87 2 2 2 2 2 11 2" xfId="28198" xr:uid="{C348C178-77A0-4BA7-B66A-802DC7E18204}"/>
    <cellStyle name="Style 87 2 2 2 2 2 12" xfId="12275" xr:uid="{0EDA9D67-60B7-4343-8EDE-2A0737B4431D}"/>
    <cellStyle name="Style 87 2 2 2 2 2 12 2" xfId="28199" xr:uid="{84E5BD8F-0DD3-44A8-B5F8-9B04146D6305}"/>
    <cellStyle name="Style 87 2 2 2 2 2 2 2" xfId="12276" xr:uid="{D5F91056-F6CD-46BB-A209-A270F2C6156B}"/>
    <cellStyle name="Style 87 2 2 2 2 2 2 2 2" xfId="28200" xr:uid="{0BBBE736-0E69-40ED-AE34-76B17A81E129}"/>
    <cellStyle name="Style 87 2 2 2 2 2 2 3" xfId="12277" xr:uid="{A7B876F7-D749-48FF-8600-DB302373163C}"/>
    <cellStyle name="Style 87 2 2 2 2 2 2 3 2" xfId="28201" xr:uid="{8188E945-3E56-4EF4-BC77-F742B8E05C1E}"/>
    <cellStyle name="Style 87 2 2 2 2 2 3 2" xfId="12278" xr:uid="{1A8B57FE-CFFA-4455-BCEB-E954F59C8CC0}"/>
    <cellStyle name="Style 87 2 2 2 2 2 3 2 2" xfId="28202" xr:uid="{E19635C2-DA3A-4750-8AA1-FE621BA6ED37}"/>
    <cellStyle name="Style 87 2 2 2 2 2 4" xfId="12279" xr:uid="{533AFDD1-E326-4447-B283-26C2D7DE2F9C}"/>
    <cellStyle name="Style 87 2 2 2 2 2 4 2" xfId="28203" xr:uid="{CC2AE9E0-09AD-4743-9EF3-F2BBF7FBAF62}"/>
    <cellStyle name="Style 87 2 2 2 2 2 5" xfId="12280" xr:uid="{19380F38-3A64-474A-8537-D3CE4078DECC}"/>
    <cellStyle name="Style 87 2 2 2 2 2 5 2" xfId="28204" xr:uid="{B555B0A1-A41C-46CB-9230-F0FDCC780612}"/>
    <cellStyle name="Style 87 2 2 2 2 2 6" xfId="12281" xr:uid="{A0785208-4FB5-4DC0-B89E-36E5A800C878}"/>
    <cellStyle name="Style 87 2 2 2 2 2 6 2" xfId="28205" xr:uid="{F3AD8C44-0FC1-464B-A5FA-8F5F0EA6CA4B}"/>
    <cellStyle name="Style 87 2 2 2 2 2 7 2" xfId="28206" xr:uid="{CF2D6319-769A-4A0C-945A-734EC220E7D8}"/>
    <cellStyle name="Style 87 2 2 2 2 2 8" xfId="12282" xr:uid="{8DF2B732-D4A2-4495-9FBF-AAE9B3B51147}"/>
    <cellStyle name="Style 87 2 2 2 2 2 8 2" xfId="28207" xr:uid="{DD0DDC99-41E8-4830-B5B2-2314BD8B343B}"/>
    <cellStyle name="Style 87 2 2 2 2 2 9" xfId="12283" xr:uid="{D6A22044-0018-43CB-BE99-391C947D7A37}"/>
    <cellStyle name="Style 87 2 2 2 2 3" xfId="5027" xr:uid="{2711EF59-62E2-4718-9C39-EEE8D2186901}"/>
    <cellStyle name="Style 87 2 2 2 2 3 2" xfId="12284" xr:uid="{C4D6D2FF-CCBF-42A3-B8C2-40449FC3CB3F}"/>
    <cellStyle name="Style 87 2 2 2 2 3 2 2" xfId="28208" xr:uid="{BB01EC7B-CD17-4A0E-AEED-B95033042AB0}"/>
    <cellStyle name="Style 87 2 2 2 2 4" xfId="12285" xr:uid="{3777AEB7-38CF-46AF-8046-E8749A120905}"/>
    <cellStyle name="Style 87 2 2 2 2 4 2" xfId="12286" xr:uid="{0C20952F-2E70-4AFA-BCFF-19BD873EF58A}"/>
    <cellStyle name="Style 87 2 2 2 2 4 2 2" xfId="28209" xr:uid="{8EE1A505-6389-4460-BD44-7624659BA51C}"/>
    <cellStyle name="Style 87 2 2 2 2 5" xfId="12287" xr:uid="{B51CD137-B62E-4B59-82AF-310D84DB0D88}"/>
    <cellStyle name="Style 87 2 2 2 2 5 2" xfId="28210" xr:uid="{06AF068B-F712-4032-95F4-29267D65509A}"/>
    <cellStyle name="Style 87 2 2 2 2 6 2" xfId="28211" xr:uid="{3DB80E54-06BD-4035-827D-8FA83062E8E2}"/>
    <cellStyle name="Style 87 2 2 2 2 7" xfId="12288" xr:uid="{2B33005A-0890-45F8-BD83-C823244065AE}"/>
    <cellStyle name="Style 87 2 2 2 2 7 2" xfId="28212" xr:uid="{38D43F8E-564B-4D9E-904A-0E694338849A}"/>
    <cellStyle name="Style 87 2 2 2 2 8 2" xfId="28213" xr:uid="{726C5B21-285E-41D7-9B68-1D89D0F531DF}"/>
    <cellStyle name="Style 87 2 2 2 2 9" xfId="12289" xr:uid="{034D8705-4DFD-4A76-B1E4-82BD38F2833F}"/>
    <cellStyle name="Style 87 2 2 2 2 9 2" xfId="28214" xr:uid="{AFE8F2A5-D346-4219-B834-C24AF74C4C0B}"/>
    <cellStyle name="Style 87 2 2 2 3" xfId="2307" xr:uid="{8225770E-6D96-4E9F-B493-39C5D2EF95D1}"/>
    <cellStyle name="Style 87 2 2 2 3 10" xfId="12290" xr:uid="{45BFD692-523F-4E94-AA7A-C235419232F7}"/>
    <cellStyle name="Style 87 2 2 2 3 10 2" xfId="28215" xr:uid="{E087774C-CED6-4621-BEFD-0FFD5AD8028D}"/>
    <cellStyle name="Style 87 2 2 2 3 11" xfId="12291" xr:uid="{F9E62438-73C6-4F23-A146-169206F1F9E1}"/>
    <cellStyle name="Style 87 2 2 2 3 11 2" xfId="28216" xr:uid="{8D232B83-D151-485F-956B-5CFC587F89B7}"/>
    <cellStyle name="Style 87 2 2 2 3 2" xfId="5028" xr:uid="{46E1710C-9F8D-4CD9-A7D3-3C9953238B2F}"/>
    <cellStyle name="Style 87 2 2 2 3 2 2 2" xfId="28217" xr:uid="{694F5BDA-E7E9-42CE-9054-9186F75FE2D6}"/>
    <cellStyle name="Style 87 2 2 2 3 2 3 2" xfId="28218" xr:uid="{75F0FDFF-AF66-4404-9B5B-F35EF3542652}"/>
    <cellStyle name="Style 87 2 2 2 3 3" xfId="12292" xr:uid="{D23CFBEC-8D3D-4871-9232-6D40FCB1D92C}"/>
    <cellStyle name="Style 87 2 2 2 3 3 2" xfId="12293" xr:uid="{553DA14A-8787-4978-9317-0D2F9AD1F957}"/>
    <cellStyle name="Style 87 2 2 2 3 3 2 2" xfId="28219" xr:uid="{7E77D6F6-2860-4362-AAE4-691FD4B9CC0B}"/>
    <cellStyle name="Style 87 2 2 2 3 4" xfId="12294" xr:uid="{4E9EA9CC-6CFB-4DD9-B073-573DAD5E3BD3}"/>
    <cellStyle name="Style 87 2 2 2 3 4 2" xfId="28220" xr:uid="{480F2BF5-E136-4D6B-B5B2-672D68183EE6}"/>
    <cellStyle name="Style 87 2 2 2 3 5" xfId="12295" xr:uid="{F23DA743-F2BE-4DFE-A3DB-30277AD32C6B}"/>
    <cellStyle name="Style 87 2 2 2 3 5 2" xfId="28221" xr:uid="{FA085A6E-2044-4EB3-8731-0D1712364692}"/>
    <cellStyle name="Style 87 2 2 2 3 6 2" xfId="28222" xr:uid="{6A7DE994-9766-49ED-9F5A-0CA28659CB31}"/>
    <cellStyle name="Style 87 2 2 2 3 7" xfId="12296" xr:uid="{CA478644-3657-4F9B-B9DA-97D0EA7D8F93}"/>
    <cellStyle name="Style 87 2 2 2 3 7 2" xfId="28223" xr:uid="{90904AA1-1A15-4518-ADE2-E91FBB669FCF}"/>
    <cellStyle name="Style 87 2 2 2 3 8" xfId="12297" xr:uid="{2FA779CB-64E1-43DF-AA7B-CF54B593353F}"/>
    <cellStyle name="Style 87 2 2 2 3 8 2" xfId="28224" xr:uid="{9DA8F48D-1DB4-4BBC-AD60-0363C038361C}"/>
    <cellStyle name="Style 87 2 2 2 3 9" xfId="12298" xr:uid="{70362EC4-44C7-476C-A003-17A7B00C1077}"/>
    <cellStyle name="Style 87 2 2 2 3 9 2" xfId="28225" xr:uid="{6A4E5457-090C-4D78-8EFE-1C1537705B43}"/>
    <cellStyle name="Style 87 2 2 2 4" xfId="5026" xr:uid="{E6BDC5BA-394B-4B3E-AB36-A8E8197052C8}"/>
    <cellStyle name="Style 87 2 2 2 4 2" xfId="12299" xr:uid="{AD1FD53C-D8AC-40E4-AF53-1B2BF56AE553}"/>
    <cellStyle name="Style 87 2 2 2 4 3" xfId="12300" xr:uid="{FA8BF8A2-0EA6-46A0-926C-94BABEF5D196}"/>
    <cellStyle name="Style 87 2 2 2 4 3 2" xfId="28226" xr:uid="{D96A4879-18F6-4C16-A0BC-F3828AF9D155}"/>
    <cellStyle name="Style 87 2 2 2 5" xfId="12301" xr:uid="{1CF68C04-3D06-44CE-B764-7D51C35FD41B}"/>
    <cellStyle name="Style 87 2 2 2 6" xfId="12302" xr:uid="{1FE9516F-83AC-4D74-84DA-A73C88C30239}"/>
    <cellStyle name="Style 87 2 2 2 7" xfId="12303" xr:uid="{C1D358D2-69FB-43D1-BEC3-AD61A7164375}"/>
    <cellStyle name="Style 87 2 2 2 7 2" xfId="28227" xr:uid="{B1EDB1AB-37BB-44BB-817B-8B8AC4DA089D}"/>
    <cellStyle name="Style 87 2 2 2 8" xfId="12304" xr:uid="{685F937A-01DF-4603-9E27-243A63301313}"/>
    <cellStyle name="Style 87 2 2 2 8 2" xfId="28228" xr:uid="{29B0F5E8-084D-4825-956E-B57F44B36ACD}"/>
    <cellStyle name="Style 87 2 2 2 9" xfId="12305" xr:uid="{C7398A01-4E94-405E-A535-D64AE24B675E}"/>
    <cellStyle name="Style 87 2 2 2 9 2" xfId="28229" xr:uid="{83E3FF7A-6A1B-47F4-A7C0-A19B743B330E}"/>
    <cellStyle name="Style 87 2 2 3" xfId="2308" xr:uid="{71B18585-D578-4BE2-92DD-AF791DB4400C}"/>
    <cellStyle name="Style 87 2 2 3 10" xfId="12306" xr:uid="{3283E84B-3219-4049-A3A6-827F123282F3}"/>
    <cellStyle name="Style 87 2 2 3 10 2" xfId="28230" xr:uid="{A10CAA6A-8FE2-4567-99AD-B27EB4D2D8A3}"/>
    <cellStyle name="Style 87 2 2 3 11" xfId="12307" xr:uid="{8468BFD5-8B28-4A31-9F92-188281C86B17}"/>
    <cellStyle name="Style 87 2 2 3 11 2" xfId="28231" xr:uid="{64BEE90C-2508-4594-B51D-C3CDF58D5E61}"/>
    <cellStyle name="Style 87 2 2 3 12" xfId="12308" xr:uid="{039D4784-064A-4C0E-9B6E-2FA36F10F567}"/>
    <cellStyle name="Style 87 2 2 3 12 2" xfId="28232" xr:uid="{E0781083-6A63-43A7-951D-70F84191F409}"/>
    <cellStyle name="Style 87 2 2 3 13" xfId="12309" xr:uid="{4C4FA53A-D17A-445F-A56D-618F2C876FC3}"/>
    <cellStyle name="Style 87 2 2 3 13 2" xfId="28233" xr:uid="{26920FC9-76E6-445D-8DB4-03B6F9E30F50}"/>
    <cellStyle name="Style 87 2 2 3 14" xfId="12310" xr:uid="{F426CFEC-2C8C-482B-9D48-29F11ABE1F46}"/>
    <cellStyle name="Style 87 2 2 3 14 2" xfId="28234" xr:uid="{50F635A3-8232-47B9-8038-51F3E7634C55}"/>
    <cellStyle name="Style 87 2 2 3 2 10" xfId="12311" xr:uid="{9F30A3CF-CBEF-4438-9BC1-0641AE49F8D6}"/>
    <cellStyle name="Style 87 2 2 3 2 11 2" xfId="28235" xr:uid="{845962AD-0C3B-4C31-ACE6-588678A930C0}"/>
    <cellStyle name="Style 87 2 2 3 2 12" xfId="12312" xr:uid="{6D4B96E5-5231-4EA6-854E-5AC7993D9649}"/>
    <cellStyle name="Style 87 2 2 3 2 12 2" xfId="28236" xr:uid="{B6907E88-F866-4481-BA3E-C6148F1BDB6D}"/>
    <cellStyle name="Style 87 2 2 3 2 2 2" xfId="12313" xr:uid="{D6A55B3D-4E24-4D64-9742-E6BE78245D9C}"/>
    <cellStyle name="Style 87 2 2 3 2 2 2 2" xfId="28237" xr:uid="{5ABA37A3-5518-4E3E-9FD2-883049C9A29D}"/>
    <cellStyle name="Style 87 2 2 3 2 2 3" xfId="12314" xr:uid="{C9A65841-77B0-48DB-901F-7FD109DAF768}"/>
    <cellStyle name="Style 87 2 2 3 2 2 3 2" xfId="28238" xr:uid="{2BD35266-DBD5-427A-A506-0E990A7776C8}"/>
    <cellStyle name="Style 87 2 2 3 2 3" xfId="12315" xr:uid="{537D5231-FC0D-4468-92BA-C28A2429398E}"/>
    <cellStyle name="Style 87 2 2 3 2 3 2" xfId="12316" xr:uid="{6AE54418-7E94-4C10-A37E-2AA0033D5E0D}"/>
    <cellStyle name="Style 87 2 2 3 2 4" xfId="12317" xr:uid="{2B765621-C536-472D-9F4D-884AD6B91301}"/>
    <cellStyle name="Style 87 2 2 3 2 5" xfId="12318" xr:uid="{DDCD83B6-B580-444D-B8EB-E12DE2AFDAD4}"/>
    <cellStyle name="Style 87 2 2 3 2 5 2" xfId="28239" xr:uid="{3D8B2932-3A3D-467A-8C23-9081DD606F65}"/>
    <cellStyle name="Style 87 2 2 3 2 6" xfId="12319" xr:uid="{3D34D35D-D5E6-4D34-8904-15B689449238}"/>
    <cellStyle name="Style 87 2 2 3 2 6 2" xfId="28240" xr:uid="{12DC77DD-5B7C-4FF5-9731-F89594DA0760}"/>
    <cellStyle name="Style 87 2 2 3 2 7" xfId="12320" xr:uid="{F6B02BE7-50A3-4704-A578-DB7DDA30D274}"/>
    <cellStyle name="Style 87 2 2 3 2 7 2" xfId="28241" xr:uid="{10774DFD-ECDE-4ECA-B9EC-F1167282EB96}"/>
    <cellStyle name="Style 87 2 2 3 2 8" xfId="12321" xr:uid="{DE995E5A-9DC1-4FCB-94A7-C5530CE9DFB5}"/>
    <cellStyle name="Style 87 2 2 3 2 8 2" xfId="28242" xr:uid="{C1618656-60D0-4812-9D84-31BD330D6164}"/>
    <cellStyle name="Style 87 2 2 3 2 9" xfId="12322" xr:uid="{7BF01972-F6E2-4F68-B8A7-DD90DBDB3AAC}"/>
    <cellStyle name="Style 87 2 2 3 3" xfId="5029" xr:uid="{39A57E4B-518A-4E8B-BB63-6C91F95F20C0}"/>
    <cellStyle name="Style 87 2 2 3 3 2" xfId="12323" xr:uid="{08896986-F335-4095-9D4F-12F539BC23B1}"/>
    <cellStyle name="Style 87 2 2 3 3 2 2" xfId="28243" xr:uid="{58842025-BB30-47F4-B7FF-23B52462A13D}"/>
    <cellStyle name="Style 87 2 2 3 3 3" xfId="12324" xr:uid="{FB427ED9-5463-449B-9D15-DEBB1223AB4F}"/>
    <cellStyle name="Style 87 2 2 3 3 3 2" xfId="28244" xr:uid="{74AC9D64-2EB0-43EC-8729-E2B1489A49D3}"/>
    <cellStyle name="Style 87 2 2 3 4" xfId="12325" xr:uid="{7C8A7A26-65E1-4704-A2EE-F0D1D59D5AC5}"/>
    <cellStyle name="Style 87 2 2 3 4 2" xfId="12326" xr:uid="{26F6509F-F589-4516-8919-02DADA02BC61}"/>
    <cellStyle name="Style 87 2 2 3 4 2 2" xfId="28245" xr:uid="{A28C3A31-6DF3-4A77-A53C-7B1635414DFD}"/>
    <cellStyle name="Style 87 2 2 3 5" xfId="12327" xr:uid="{951FF567-DC83-407C-9801-1A429EDB25BE}"/>
    <cellStyle name="Style 87 2 2 3 6" xfId="12328" xr:uid="{94E6527B-C9A2-41AA-B72F-B79E7AE51C0F}"/>
    <cellStyle name="Style 87 2 2 3 6 2" xfId="28246" xr:uid="{0A25492C-3F95-433E-98AE-A56A917D2BF9}"/>
    <cellStyle name="Style 87 2 2 3 7" xfId="12329" xr:uid="{1322AD6A-91EF-4D69-8AA1-B1FBFE1FFF1A}"/>
    <cellStyle name="Style 87 2 2 3 8 2" xfId="28247" xr:uid="{BDEBEFAD-C922-49DB-96A8-4C7C5DF60A5D}"/>
    <cellStyle name="Style 87 2 2 3 9" xfId="12330" xr:uid="{557D5919-4259-4989-A283-AADF3B63C4A0}"/>
    <cellStyle name="Style 87 2 2 3 9 2" xfId="28248" xr:uid="{DB0E6E76-3A5B-4381-B5E5-C1D94D4C7D1D}"/>
    <cellStyle name="Style 87 2 2 4 10" xfId="12331" xr:uid="{F3B383A3-9DD5-4514-B73D-267D8135B8AA}"/>
    <cellStyle name="Style 87 2 2 4 10 2" xfId="28249" xr:uid="{29237800-67D4-47E8-94A6-C56D9C8CCACD}"/>
    <cellStyle name="Style 87 2 2 4 11" xfId="12332" xr:uid="{439A7CAF-4197-4C47-A06B-FD69A7A47898}"/>
    <cellStyle name="Style 87 2 2 4 12" xfId="12333" xr:uid="{79761DF0-7570-40FC-9D97-906004EC1636}"/>
    <cellStyle name="Style 87 2 2 4 12 2" xfId="28250" xr:uid="{5342CAAE-3150-4456-ABC8-38348036CCAF}"/>
    <cellStyle name="Style 87 2 2 4 2" xfId="5030" xr:uid="{483AA60F-E8BB-414C-840F-9417C6BC83B2}"/>
    <cellStyle name="Style 87 2 2 4 2 2" xfId="12334" xr:uid="{772F6B4A-C417-4CA6-9353-10E3E086C772}"/>
    <cellStyle name="Style 87 2 2 4 2 2 2" xfId="28251" xr:uid="{E8156CCE-27CD-40D4-980B-2AFE80DB99FE}"/>
    <cellStyle name="Style 87 2 2 4 2 3" xfId="12335" xr:uid="{5A9B9E9F-5B0E-40B4-BA48-0EC69E4C01C5}"/>
    <cellStyle name="Style 87 2 2 4 2 3 2" xfId="28252" xr:uid="{286E0B73-F2A0-42A7-8DE9-3E61B36B8ECD}"/>
    <cellStyle name="Style 87 2 2 4 3" xfId="12336" xr:uid="{5F3C0DE8-C45B-403A-81A2-3B0A47AD0CD9}"/>
    <cellStyle name="Style 87 2 2 4 3 2" xfId="12337" xr:uid="{FA32DA6A-9DBA-48F5-AF6C-392C39FAFAB6}"/>
    <cellStyle name="Style 87 2 2 4 4 2" xfId="28253" xr:uid="{1AC33BE3-8315-49CB-98E7-294A49B762F9}"/>
    <cellStyle name="Style 87 2 2 4 5" xfId="12338" xr:uid="{3CB7839D-FC79-4467-AC73-EBB5D432FFEF}"/>
    <cellStyle name="Style 87 2 2 4 5 2" xfId="28254" xr:uid="{86E7FDA6-CE81-44DA-9908-8A1B1427D5C0}"/>
    <cellStyle name="Style 87 2 2 4 6 2" xfId="28255" xr:uid="{258F2425-68CE-408B-BDC9-CDBAAFF4DC39}"/>
    <cellStyle name="Style 87 2 2 4 7" xfId="12339" xr:uid="{477FFE80-F2C1-4A47-B7B1-9DEBC6A22F56}"/>
    <cellStyle name="Style 87 2 2 4 7 2" xfId="28256" xr:uid="{E11D66D7-001C-4ADF-958B-A296075F6D7E}"/>
    <cellStyle name="Style 87 2 2 4 8" xfId="12340" xr:uid="{05F38CEB-4110-4DDD-AF8A-ED78DD6A3509}"/>
    <cellStyle name="Style 87 2 2 4 8 2" xfId="28257" xr:uid="{79CDA462-974D-44C7-9F32-4025B8E3A0C6}"/>
    <cellStyle name="Style 87 2 2 4 9" xfId="12341" xr:uid="{671923C7-A955-4D9E-9C6B-70044036F647}"/>
    <cellStyle name="Style 87 2 2 5" xfId="5025" xr:uid="{7DA8B9AD-0ACB-4AD8-8D8C-7FF391DDE8B4}"/>
    <cellStyle name="Style 87 2 2 5 2" xfId="12342" xr:uid="{756003D9-932E-42C4-A7C0-65E5715329AE}"/>
    <cellStyle name="Style 87 2 2 5 3" xfId="12343" xr:uid="{55FE500F-D348-41F4-BA81-2A1A337A09E5}"/>
    <cellStyle name="Style 87 2 2 6" xfId="12344" xr:uid="{A9341419-2191-4710-AECC-398BEB5F3982}"/>
    <cellStyle name="Style 87 2 2 6 2" xfId="12345" xr:uid="{9C72379C-330C-4144-9C5F-AD9A154EBACC}"/>
    <cellStyle name="Style 87 2 2 6 2 2" xfId="28258" xr:uid="{420B283A-546F-49D6-9404-FD8176D6C65C}"/>
    <cellStyle name="Style 87 2 2 7" xfId="12346" xr:uid="{547B5558-F593-467E-9C90-12605CD49C36}"/>
    <cellStyle name="Style 87 2 2 7 2" xfId="28259" xr:uid="{C592C803-EAF8-4D72-91BE-4197F61024B1}"/>
    <cellStyle name="Style 87 2 2 8" xfId="12347" xr:uid="{60566C69-54FA-4F34-9D3B-EE48A5F3E17C}"/>
    <cellStyle name="Style 87 2 2 8 2" xfId="28260" xr:uid="{061D0526-D05E-4469-85AC-A97B919BA007}"/>
    <cellStyle name="Style 87 2 2 9" xfId="12348" xr:uid="{FED84F4F-A5C3-4B97-AEF1-F83478CB9215}"/>
    <cellStyle name="Style 87 2 2 9 2" xfId="28261" xr:uid="{A3B313B2-92CF-4BCE-9E9B-3E6759FD2080}"/>
    <cellStyle name="Style 87 2 3" xfId="2309" xr:uid="{E7A1381E-FA61-4CA1-A233-ED9EF3232345}"/>
    <cellStyle name="Style 87 2 3 10" xfId="12349" xr:uid="{C772BC2E-A751-4CA2-84F7-9176CB29FE73}"/>
    <cellStyle name="Style 87 2 3 10 2" xfId="28262" xr:uid="{40A54BFF-158C-41A2-885A-01AE73DDEEFE}"/>
    <cellStyle name="Style 87 2 3 11" xfId="12350" xr:uid="{681DA77E-44F5-406F-8090-5CFCAD57C877}"/>
    <cellStyle name="Style 87 2 3 11 2" xfId="28263" xr:uid="{0F929270-476C-4637-8DF7-718628D45A16}"/>
    <cellStyle name="Style 87 2 3 12" xfId="12351" xr:uid="{1894BB5A-C620-4326-99B1-138BA1B8AAB7}"/>
    <cellStyle name="Style 87 2 3 13" xfId="12352" xr:uid="{B059C32E-A7AF-46C2-88D2-69D503DF1AF0}"/>
    <cellStyle name="Style 87 2 3 14" xfId="12353" xr:uid="{593DF945-61B3-40B8-A519-7D7556BC558D}"/>
    <cellStyle name="Style 87 2 3 14 2" xfId="28264" xr:uid="{A2FFCF9B-3C46-485F-8098-11875FC175E3}"/>
    <cellStyle name="Style 87 2 3 15" xfId="12354" xr:uid="{84A5F85E-6417-4D12-9445-1E46315379A5}"/>
    <cellStyle name="Style 87 2 3 15 2" xfId="28265" xr:uid="{9796A47E-6C73-4268-A813-7F4A2A4E35A6}"/>
    <cellStyle name="Style 87 2 3 2" xfId="2310" xr:uid="{CCA0EF91-0502-4D81-84E1-50F53E68B8CE}"/>
    <cellStyle name="Style 87 2 3 2 10" xfId="12355" xr:uid="{498E092A-A2F9-4A65-B02A-3DA17599766B}"/>
    <cellStyle name="Style 87 2 3 2 10 2" xfId="28266" xr:uid="{5C570A24-8147-4668-8A3C-EB088296F497}"/>
    <cellStyle name="Style 87 2 3 2 11" xfId="12356" xr:uid="{FA3DC5A6-F65F-4A93-9FBB-0FFA14139FB6}"/>
    <cellStyle name="Style 87 2 3 2 12 2" xfId="28267" xr:uid="{7BD902FB-AC8C-4972-9795-75307650B838}"/>
    <cellStyle name="Style 87 2 3 2 13" xfId="12357" xr:uid="{3C89EB76-2BC1-4BF5-AEF1-3419C2D37DDE}"/>
    <cellStyle name="Style 87 2 3 2 13 2" xfId="28268" xr:uid="{07DFCBC9-5567-42B0-B9C6-AAD0ECC7DACD}"/>
    <cellStyle name="Style 87 2 3 2 14" xfId="12358" xr:uid="{76BEF924-A919-4825-9F60-83574DCB1FAE}"/>
    <cellStyle name="Style 87 2 3 2 14 2" xfId="28269" xr:uid="{C5A1B660-B0C1-4F24-B24F-4F17835AB05F}"/>
    <cellStyle name="Style 87 2 3 2 2" xfId="2311" xr:uid="{27200D8C-5C73-4347-AAF1-29C4CE23915F}"/>
    <cellStyle name="Style 87 2 3 2 2 10" xfId="12359" xr:uid="{FC637B61-06CF-4A90-8FA8-20DD8CA0C822}"/>
    <cellStyle name="Style 87 2 3 2 2 10 2" xfId="28270" xr:uid="{EE7A0C13-B214-4316-B854-3804BB305D04}"/>
    <cellStyle name="Style 87 2 3 2 2 11" xfId="12360" xr:uid="{1C8030F2-0A4A-42FE-A09F-A2D701411DE3}"/>
    <cellStyle name="Style 87 2 3 2 2 12 2" xfId="28271" xr:uid="{E910095F-2DC4-41BD-BD72-B1271C14C16A}"/>
    <cellStyle name="Style 87 2 3 2 2 2" xfId="5032" xr:uid="{2D740BA6-BC15-48EC-8D33-C132581BEADB}"/>
    <cellStyle name="Style 87 2 3 2 2 2 2 2" xfId="28272" xr:uid="{33DF993F-BBAC-450E-9D89-18C574F4EC1F}"/>
    <cellStyle name="Style 87 2 3 2 2 2 3 2" xfId="28273" xr:uid="{290BF6E2-C9BB-4A74-B110-6588597B482C}"/>
    <cellStyle name="Style 87 2 3 2 2 3 2" xfId="12361" xr:uid="{2362A82F-EA24-4FCE-97EB-64CE03281941}"/>
    <cellStyle name="Style 87 2 3 2 2 3 2 2" xfId="28274" xr:uid="{DD73E9E2-D184-4031-B890-982FEC4B2CD6}"/>
    <cellStyle name="Style 87 2 3 2 2 4" xfId="12362" xr:uid="{034247A7-8A16-41F1-89F9-676168A89EF3}"/>
    <cellStyle name="Style 87 2 3 2 2 5" xfId="12363" xr:uid="{5733A039-5A1A-43B6-8D79-4DD13005DE1E}"/>
    <cellStyle name="Style 87 2 3 2 2 5 2" xfId="28275" xr:uid="{7E2FE5BF-BE91-4905-926C-9E67EFB970BE}"/>
    <cellStyle name="Style 87 2 3 2 2 6" xfId="12364" xr:uid="{81AA7D74-BBB1-4315-8620-C85CBD26C32A}"/>
    <cellStyle name="Style 87 2 3 2 2 7 2" xfId="28276" xr:uid="{CCCF91AA-3BB7-4173-8BCE-C90DCC143F80}"/>
    <cellStyle name="Style 87 2 3 2 2 8" xfId="12365" xr:uid="{2C71600E-513E-4349-813E-D6BCE354C723}"/>
    <cellStyle name="Style 87 2 3 2 2 8 2" xfId="28277" xr:uid="{0A1BFCF1-1787-4ECB-9280-03E2FD5BA83C}"/>
    <cellStyle name="Style 87 2 3 2 2 9" xfId="12366" xr:uid="{8E8C86A4-9AFD-43B4-A481-E2B8B89F3189}"/>
    <cellStyle name="Style 87 2 3 2 2 9 2" xfId="28278" xr:uid="{65610E4C-AE56-42B2-869D-FA43D3AAEC38}"/>
    <cellStyle name="Style 87 2 3 2 3" xfId="5031" xr:uid="{197E60A5-694D-4ACE-B39C-0E2AC503D24A}"/>
    <cellStyle name="Style 87 2 3 2 3 2" xfId="12367" xr:uid="{AE6E8EFC-6A41-4C94-87E8-7735688EFF22}"/>
    <cellStyle name="Style 87 2 3 2 3 2 2" xfId="28279" xr:uid="{0EBF2220-9F76-4AF3-8C64-41A3AAA36A3A}"/>
    <cellStyle name="Style 87 2 3 2 3 3" xfId="12368" xr:uid="{8D69BA60-AD45-4890-91D5-18CAF9337FA0}"/>
    <cellStyle name="Style 87 2 3 2 3 3 2" xfId="28280" xr:uid="{4F56146E-1CDB-4B43-9607-438C4B5E2E3B}"/>
    <cellStyle name="Style 87 2 3 2 4" xfId="12369" xr:uid="{4D1D220D-855E-4974-9276-B840EC2FFF71}"/>
    <cellStyle name="Style 87 2 3 2 4 2" xfId="12370" xr:uid="{383D0DE5-C134-461A-89ED-9D9A16F6B1DC}"/>
    <cellStyle name="Style 87 2 3 2 5" xfId="12371" xr:uid="{28AA01FE-B4F5-461E-8741-690E0C3B4F76}"/>
    <cellStyle name="Style 87 2 3 2 6" xfId="12372" xr:uid="{94F7E0BB-185A-41F1-89B7-6ED266658D80}"/>
    <cellStyle name="Style 87 2 3 2 6 2" xfId="28281" xr:uid="{ABE80FB1-D941-496C-9E69-A1A34245912A}"/>
    <cellStyle name="Style 87 2 3 2 7 2" xfId="28282" xr:uid="{5CD1D725-D621-4F54-B088-4960C811CAF7}"/>
    <cellStyle name="Style 87 2 3 2 8 2" xfId="28283" xr:uid="{4B96504B-04D1-44E9-B1AF-E944B8833912}"/>
    <cellStyle name="Style 87 2 3 2 9" xfId="12373" xr:uid="{222C7886-3214-4A2B-ADC3-E91D98652D77}"/>
    <cellStyle name="Style 87 2 3 2 9 2" xfId="28284" xr:uid="{22A10596-7CDC-47A8-B75A-2EFCBD7F34CE}"/>
    <cellStyle name="Style 87 2 3 3" xfId="2312" xr:uid="{445EAAB6-5856-4776-B7E2-E31063FB1C2D}"/>
    <cellStyle name="Style 87 2 3 3 10 2" xfId="28285" xr:uid="{CFF9268E-62A0-4CC9-BC10-CC7BBD26F322}"/>
    <cellStyle name="Style 87 2 3 3 11" xfId="12374" xr:uid="{73F3B5D5-D7FD-4F01-93D0-A59F096DE292}"/>
    <cellStyle name="Style 87 2 3 3 11 2" xfId="28286" xr:uid="{8EAA587D-F2AB-4570-A6C8-21F8CEA2E9BE}"/>
    <cellStyle name="Style 87 2 3 3 12" xfId="12375" xr:uid="{32A3C97C-3DA7-4640-819E-B9EF9F8A7085}"/>
    <cellStyle name="Style 87 2 3 3 12 2" xfId="28287" xr:uid="{5CEA5A5A-C58B-47F1-8E06-89E4B45A558D}"/>
    <cellStyle name="Style 87 2 3 3 2" xfId="5033" xr:uid="{2483CB89-B3FF-409B-BA14-0417B4963839}"/>
    <cellStyle name="Style 87 2 3 3 2 2" xfId="12376" xr:uid="{DEE7AAD2-08CF-4912-BBD3-EFC831B359C1}"/>
    <cellStyle name="Style 87 2 3 3 2 2 2" xfId="28288" xr:uid="{26596434-1551-4794-BCD0-F22CB20E8773}"/>
    <cellStyle name="Style 87 2 3 3 2 3" xfId="12377" xr:uid="{3D3D137A-5919-4551-A0CB-940E94F43EA5}"/>
    <cellStyle name="Style 87 2 3 3 3" xfId="12378" xr:uid="{4DDD5A56-0057-43A4-ADA3-76778767A476}"/>
    <cellStyle name="Style 87 2 3 3 3 2" xfId="12379" xr:uid="{08B2A109-E03B-4730-9A23-0851FD74F046}"/>
    <cellStyle name="Style 87 2 3 3 4 2" xfId="28289" xr:uid="{93891279-1C46-4CCA-AD29-366802600453}"/>
    <cellStyle name="Style 87 2 3 3 5 2" xfId="28290" xr:uid="{6FAE9274-C50F-4084-8BEF-80DF41D254A6}"/>
    <cellStyle name="Style 87 2 3 3 6" xfId="12380" xr:uid="{E0B03C5C-84AC-4E3D-BC5F-D90BFC0E6E1C}"/>
    <cellStyle name="Style 87 2 3 3 6 2" xfId="28291" xr:uid="{A1F0BA87-C2DF-4E28-9455-B4FED01ADCEC}"/>
    <cellStyle name="Style 87 2 3 3 7" xfId="12381" xr:uid="{E9C07D1B-D26F-49CC-A342-4EA6F2D48153}"/>
    <cellStyle name="Style 87 2 3 3 7 2" xfId="28292" xr:uid="{8CC6260D-7BD7-499F-AD33-9D07C5F226BC}"/>
    <cellStyle name="Style 87 2 3 3 8" xfId="12382" xr:uid="{C9328AF5-FF7A-40A6-8B4A-AD1552F1288C}"/>
    <cellStyle name="Style 87 2 3 3 8 2" xfId="28293" xr:uid="{2BCC072A-0DBD-4B52-B9EC-58485FA61A87}"/>
    <cellStyle name="Style 87 2 3 3 9" xfId="12383" xr:uid="{4900A42E-0ECD-4B52-989B-BAFB1B89C504}"/>
    <cellStyle name="Style 87 2 3 3 9 2" xfId="28294" xr:uid="{625A3062-9009-4192-832C-F77A55ED73D4}"/>
    <cellStyle name="Style 87 2 3 4 2" xfId="12384" xr:uid="{386FF802-7B4A-4C56-BA4B-B02F06BA3268}"/>
    <cellStyle name="Style 87 2 3 4 2 2" xfId="28295" xr:uid="{41225E26-276D-45CA-98EB-05C8723C6E76}"/>
    <cellStyle name="Style 87 2 3 4 3" xfId="12385" xr:uid="{04B692DA-6585-4912-B11A-547BDDACD55D}"/>
    <cellStyle name="Style 87 2 3 4 3 2" xfId="28296" xr:uid="{4DFB5EA6-343F-4F1D-A408-C1B56EEB4531}"/>
    <cellStyle name="Style 87 2 3 5" xfId="12386" xr:uid="{D4134A12-F230-4FAC-B2C0-99534AD8CBC1}"/>
    <cellStyle name="Style 87 2 3 5 2" xfId="12387" xr:uid="{AAD95E05-EEC4-4D5E-AE83-FDD3B2839319}"/>
    <cellStyle name="Style 87 2 3 5 2 2" xfId="28297" xr:uid="{B8687162-2041-405D-B812-5BD14BE9484B}"/>
    <cellStyle name="Style 87 2 3 6" xfId="12388" xr:uid="{FE2BA082-5360-4F53-91B4-46F37EFF5E10}"/>
    <cellStyle name="Style 87 2 3 6 2" xfId="28298" xr:uid="{41C628FA-9D5E-4F64-A50B-22E9B87F5DDA}"/>
    <cellStyle name="Style 87 2 3 7 2" xfId="28299" xr:uid="{6179E879-D978-474C-BFE6-08799CB11112}"/>
    <cellStyle name="Style 87 2 3 8 2" xfId="28300" xr:uid="{C9928D84-C505-415D-A8E9-C15385BA8569}"/>
    <cellStyle name="Style 87 2 3 9" xfId="12389" xr:uid="{67E6C0C9-334F-465B-B2BA-8F7DDBD1F879}"/>
    <cellStyle name="Style 87 2 4" xfId="2313" xr:uid="{C38F52C1-3731-4FAD-ABF1-00EB7A10EF26}"/>
    <cellStyle name="Style 87 2 4 10" xfId="12390" xr:uid="{5B661478-04E5-4B9B-A573-7EA847587FFB}"/>
    <cellStyle name="Style 87 2 4 10 2" xfId="28301" xr:uid="{7849BAFC-4F6F-4260-AC3A-131D7E0C13B2}"/>
    <cellStyle name="Style 87 2 4 11" xfId="12391" xr:uid="{DAF65EDD-F97B-4BD7-909E-8421083D61FC}"/>
    <cellStyle name="Style 87 2 4 11 2" xfId="28302" xr:uid="{F439D831-4345-47AD-A465-21F9A1110B75}"/>
    <cellStyle name="Style 87 2 4 12" xfId="12392" xr:uid="{3CA0AEA4-4F2C-4B76-B883-7E30D390AA75}"/>
    <cellStyle name="Style 87 2 4 12 2" xfId="28303" xr:uid="{21176D9C-C0B8-4792-AC40-B94973B170A5}"/>
    <cellStyle name="Style 87 2 4 13" xfId="12393" xr:uid="{4CD5A8D0-92B1-41E7-924A-38DB3356406D}"/>
    <cellStyle name="Style 87 2 4 13 2" xfId="28304" xr:uid="{5ABF362D-B723-483E-9931-1CC9782307F7}"/>
    <cellStyle name="Style 87 2 4 14 2" xfId="28305" xr:uid="{156EB30D-F48B-40F8-9723-BA8560D3EAEA}"/>
    <cellStyle name="Style 87 2 4 2" xfId="2314" xr:uid="{B6C7D130-85EE-4DA6-88C7-719243A35B2A}"/>
    <cellStyle name="Style 87 2 4 2 11" xfId="12394" xr:uid="{0529B88C-D892-4F25-BA4C-4B2537920D64}"/>
    <cellStyle name="Style 87 2 4 2 11 2" xfId="28306" xr:uid="{07E3AE39-1866-4473-9D7B-C2C27EBD47BB}"/>
    <cellStyle name="Style 87 2 4 2 12" xfId="12395" xr:uid="{C9D6DEC9-1C23-496B-8727-89947378DDBC}"/>
    <cellStyle name="Style 87 2 4 2 12 2" xfId="28307" xr:uid="{C96C9ABF-89FC-4013-B6A2-1470E6E03456}"/>
    <cellStyle name="Style 87 2 4 2 2" xfId="5035" xr:uid="{D64A1CC1-31A0-4430-BE18-939FD07D5E0C}"/>
    <cellStyle name="Style 87 2 4 2 2 2 2" xfId="28308" xr:uid="{3F1D2B14-058E-478B-928D-FD6F4BE12951}"/>
    <cellStyle name="Style 87 2 4 2 2 3" xfId="12396" xr:uid="{43CD5BA0-3881-4C4F-98F3-573E280CDB97}"/>
    <cellStyle name="Style 87 2 4 2 2 3 2" xfId="28309" xr:uid="{C687D042-DE14-4EE9-ACB4-4C785DCA9FBC}"/>
    <cellStyle name="Style 87 2 4 2 3" xfId="12397" xr:uid="{7692DF63-C655-44C6-A871-C773C4294860}"/>
    <cellStyle name="Style 87 2 4 2 3 2" xfId="12398" xr:uid="{9B044586-B031-4885-BA87-B31D942572EA}"/>
    <cellStyle name="Style 87 2 4 2 3 2 2" xfId="28310" xr:uid="{4F8638D7-3499-4E3D-A2A2-2896F4D0EC6A}"/>
    <cellStyle name="Style 87 2 4 2 4" xfId="12399" xr:uid="{289D8362-F943-4BBB-BEB0-4B9C7D73D715}"/>
    <cellStyle name="Style 87 2 4 2 4 2" xfId="28311" xr:uid="{7462964E-CBD3-424A-BA9B-3A0A6B2B27BD}"/>
    <cellStyle name="Style 87 2 4 2 5 2" xfId="28312" xr:uid="{0AB7A3F0-7CE5-49D1-9116-2C0F0947C6D9}"/>
    <cellStyle name="Style 87 2 4 2 7" xfId="12400" xr:uid="{24CA6F79-1A90-4F75-81E0-B72AD5D51CCF}"/>
    <cellStyle name="Style 87 2 4 2 8" xfId="12401" xr:uid="{4A7EC1D6-15C6-41CD-B9BD-9CF3D048B014}"/>
    <cellStyle name="Style 87 2 4 2 8 2" xfId="28313" xr:uid="{BECDF1C7-793B-4F2F-B2AB-2A6B5180FF7B}"/>
    <cellStyle name="Style 87 2 4 2 9" xfId="12402" xr:uid="{48F2A05E-457E-4491-A2EC-FC17055A10FA}"/>
    <cellStyle name="Style 87 2 4 2 9 2" xfId="28314" xr:uid="{61BCEDB8-822C-4177-AF1F-90792F3ED270}"/>
    <cellStyle name="Style 87 2 4 3" xfId="5034" xr:uid="{B8DC39ED-0F79-45B8-99F5-97D332BC89A0}"/>
    <cellStyle name="Style 87 2 4 3 2" xfId="12403" xr:uid="{D2765823-3BC2-4F20-9F2E-C3FD64D460B0}"/>
    <cellStyle name="Style 87 2 4 3 2 2" xfId="28315" xr:uid="{11E4170B-6BC4-4DC8-B949-973DEEEFD8BE}"/>
    <cellStyle name="Style 87 2 4 3 3" xfId="12404" xr:uid="{83070063-61BD-43EA-97C1-9A13631F0981}"/>
    <cellStyle name="Style 87 2 4 4 2" xfId="12405" xr:uid="{CF579B92-514B-465D-8B5C-C2229C53240A}"/>
    <cellStyle name="Style 87 2 4 4 2 2" xfId="28316" xr:uid="{7A2E51A5-8408-4825-8C26-8D61071B51CA}"/>
    <cellStyle name="Style 87 2 4 5" xfId="12406" xr:uid="{F3F7A8A7-79DC-43B1-8BE4-6059770E1E91}"/>
    <cellStyle name="Style 87 2 4 5 2" xfId="28317" xr:uid="{CCB73C01-12B5-462F-AADF-8D12D10804F0}"/>
    <cellStyle name="Style 87 2 4 6" xfId="12407" xr:uid="{86FA8C39-49B0-4EF8-B434-495139FA0E8A}"/>
    <cellStyle name="Style 87 2 4 6 2" xfId="28318" xr:uid="{A88A4F10-8CA9-4CE4-875B-0997DFF03DFB}"/>
    <cellStyle name="Style 87 2 4 7" xfId="12408" xr:uid="{6D9679E3-2D64-4196-8E54-0BAB73D6F6C6}"/>
    <cellStyle name="Style 87 2 4 7 2" xfId="28319" xr:uid="{743EB47B-4E75-4265-9B3C-DAA9CF2CA8FB}"/>
    <cellStyle name="Style 87 2 4 8" xfId="12409" xr:uid="{66A79447-5451-44F3-971D-2392F7CA89A0}"/>
    <cellStyle name="Style 87 2 4 9 2" xfId="28320" xr:uid="{EE715D6C-9E63-43A5-9057-B75E9847625B}"/>
    <cellStyle name="Style 87 2 5" xfId="2315" xr:uid="{02820756-D3E9-4882-B88F-D02CFA97AB75}"/>
    <cellStyle name="Style 87 2 5 10 2" xfId="28321" xr:uid="{0CF338B4-AA8E-476D-B690-19003F606B05}"/>
    <cellStyle name="Style 87 2 5 11 2" xfId="28322" xr:uid="{EC29AE47-FC85-4DBA-8CE2-0DCD9C9FA5CE}"/>
    <cellStyle name="Style 87 2 5 12" xfId="12410" xr:uid="{C558A09F-191C-4743-BCAD-D3C3DDA46C48}"/>
    <cellStyle name="Style 87 2 5 12 2" xfId="28323" xr:uid="{9AB6C720-0F0C-4524-8C1F-3977B4E3BA3A}"/>
    <cellStyle name="Style 87 2 5 2" xfId="5036" xr:uid="{0929E95F-9D9C-40C5-BCB8-D1E80ECB00BD}"/>
    <cellStyle name="Style 87 2 5 2 2" xfId="12411" xr:uid="{9B23C4E7-D801-4711-A7BD-23A41D3D5BB5}"/>
    <cellStyle name="Style 87 2 5 2 2 2" xfId="28324" xr:uid="{76A47711-3292-45BA-B22D-B83C24A3BC9F}"/>
    <cellStyle name="Style 87 2 5 2 3" xfId="12412" xr:uid="{5CC9D853-852C-4E77-82AB-1792820EF394}"/>
    <cellStyle name="Style 87 2 5 2 3 2" xfId="28325" xr:uid="{7531B0A2-A4D9-4097-8F72-85424D749710}"/>
    <cellStyle name="Style 87 2 5 3" xfId="12413" xr:uid="{2349374D-2509-4DB3-B9F2-3ABFA8D588C4}"/>
    <cellStyle name="Style 87 2 5 3 2" xfId="12414" xr:uid="{D71A71C8-AA69-4735-9F5A-5FAA7527A7B4}"/>
    <cellStyle name="Style 87 2 5 3 2 2" xfId="28326" xr:uid="{2E8ED21C-EB95-4DCE-8699-BF38D3CBBE4F}"/>
    <cellStyle name="Style 87 2 5 4" xfId="12415" xr:uid="{0C66E2BD-E564-4DB1-89BD-F76202A364DF}"/>
    <cellStyle name="Style 87 2 5 4 2" xfId="28327" xr:uid="{20B95642-BEC0-4402-9874-0B73512DC87F}"/>
    <cellStyle name="Style 87 2 5 5" xfId="12416" xr:uid="{40E679C6-9884-417A-9F53-E8D3AD0FEC5B}"/>
    <cellStyle name="Style 87 2 5 5 2" xfId="28328" xr:uid="{8B538534-55A0-4EF7-9DAA-5C1F7C4C162B}"/>
    <cellStyle name="Style 87 2 5 6" xfId="12417" xr:uid="{D2F8FA42-8015-45CD-8149-7F4A51F4E9C6}"/>
    <cellStyle name="Style 87 2 5 6 2" xfId="28329" xr:uid="{6C181B9C-1CDC-4A85-B101-5E4718D268D5}"/>
    <cellStyle name="Style 87 2 5 7 2" xfId="28330" xr:uid="{8622BDDC-281E-43D8-9231-94FE5F714C76}"/>
    <cellStyle name="Style 87 2 5 8" xfId="12418" xr:uid="{0A9B066D-34D8-4E15-B745-7A18F6686ECC}"/>
    <cellStyle name="Style 87 2 5 8 2" xfId="28331" xr:uid="{D67C79E3-1657-4E17-81BF-CC9F6BB57EB3}"/>
    <cellStyle name="Style 87 2 5 9 2" xfId="28332" xr:uid="{BAB65131-A51E-40DE-A87D-4936E6950863}"/>
    <cellStyle name="Style 87 2 6" xfId="5024" xr:uid="{6E584C45-D42A-460C-A07B-69D7B5444593}"/>
    <cellStyle name="Style 87 2 6 2" xfId="12419" xr:uid="{612EE7A1-4218-4644-89C0-CE309384323A}"/>
    <cellStyle name="Style 87 2 6 3" xfId="12420" xr:uid="{DCE7531B-938D-419C-B669-F86FC5B7F1C9}"/>
    <cellStyle name="Style 87 2 6 3 2" xfId="28333" xr:uid="{95D6706E-D9F7-4372-9327-5AE0C536AA75}"/>
    <cellStyle name="Style 87 2 7" xfId="12421" xr:uid="{6D90519D-03DD-4975-8865-7FAAA9240CFC}"/>
    <cellStyle name="Style 87 2 7 2" xfId="12422" xr:uid="{2FC71C2B-6FBF-49CD-AAA3-FB37565769EC}"/>
    <cellStyle name="Style 87 2 7 2 2" xfId="28334" xr:uid="{1BC9F088-C1A1-4836-9950-48567D14B9DB}"/>
    <cellStyle name="Style 87 2 8" xfId="12423" xr:uid="{2FF9F504-844B-4271-82BF-D77493CDAD93}"/>
    <cellStyle name="Style 87 2 8 2" xfId="28335" xr:uid="{1D1AED00-6106-4A02-884A-0060F03601FA}"/>
    <cellStyle name="Style 87 2 9" xfId="12424" xr:uid="{36E2662B-137A-4979-9C1C-13DB789C646B}"/>
    <cellStyle name="Style 87 2 9 2" xfId="28336" xr:uid="{C58A3D13-06E2-4501-BD8A-3F04A08889F6}"/>
    <cellStyle name="Style 87 3" xfId="2316" xr:uid="{1F3C16A0-48EC-4D4F-9F70-50B0175BCD16}"/>
    <cellStyle name="Style 87 3 10" xfId="12425" xr:uid="{4F6FBA87-D219-41C2-B246-34232AC40C8F}"/>
    <cellStyle name="Style 87 3 10 2" xfId="28337" xr:uid="{9C716BB2-4F05-4E1D-8B61-AAD0817BB635}"/>
    <cellStyle name="Style 87 3 11 2" xfId="28338" xr:uid="{DECEFEEF-22B6-4E7A-A7D9-8A07C1AC7109}"/>
    <cellStyle name="Style 87 3 12" xfId="12426" xr:uid="{E2283435-F0F5-4FFE-8B86-E6DE969852E9}"/>
    <cellStyle name="Style 87 3 12 2" xfId="28339" xr:uid="{2BC37813-DAFB-46F2-BB75-8AA63846A07D}"/>
    <cellStyle name="Style 87 3 13 2" xfId="28340" xr:uid="{47910A4B-24D6-4BC2-B715-E9FF117F9E45}"/>
    <cellStyle name="Style 87 3 14" xfId="12427" xr:uid="{850E61A4-FB46-428C-B129-203F56DBDADC}"/>
    <cellStyle name="Style 87 3 14 2" xfId="28341" xr:uid="{8DA9CD58-3D02-4F67-B89D-D69FB6E8A3DA}"/>
    <cellStyle name="Style 87 3 15" xfId="12428" xr:uid="{27392999-B751-4481-AD31-8A63667CF001}"/>
    <cellStyle name="Style 87 3 15 2" xfId="28342" xr:uid="{7C305599-6EB7-476C-8C68-2FC578E57872}"/>
    <cellStyle name="Style 87 3 16 2" xfId="28343" xr:uid="{E6705C87-5389-40BA-847C-80ABBA93D967}"/>
    <cellStyle name="Style 87 3 17 2" xfId="28344" xr:uid="{A4033E71-FC17-47D4-BB38-8211862765AE}"/>
    <cellStyle name="Style 87 3 2" xfId="2317" xr:uid="{A392FD9A-5F65-4173-B9FB-87411625A14C}"/>
    <cellStyle name="Style 87 3 2 10" xfId="12429" xr:uid="{96BE821F-30DB-4662-863B-E9B4360BFCF0}"/>
    <cellStyle name="Style 87 3 2 11" xfId="12430" xr:uid="{1DD2E8F7-1BCD-40A3-A54F-CFC8C8478721}"/>
    <cellStyle name="Style 87 3 2 11 2" xfId="28345" xr:uid="{E8D7668E-FD69-494A-97AE-058C6B9F0A9F}"/>
    <cellStyle name="Style 87 3 2 12" xfId="12431" xr:uid="{B44BAE4D-C55B-4364-BA94-8B7C3489E9C9}"/>
    <cellStyle name="Style 87 3 2 13" xfId="12432" xr:uid="{996B49AA-15B1-4563-87AF-D84BFC917C76}"/>
    <cellStyle name="Style 87 3 2 13 2" xfId="28346" xr:uid="{D98B2543-18FD-4EE8-9B49-A6D36B9C4A26}"/>
    <cellStyle name="Style 87 3 2 14" xfId="12433" xr:uid="{CD2A0F36-D02F-447A-A102-9F6CEBB7C2B1}"/>
    <cellStyle name="Style 87 3 2 14 2" xfId="28347" xr:uid="{F97D2765-CA3F-4A93-A8C3-099DADB2D543}"/>
    <cellStyle name="Style 87 3 2 15 2" xfId="28348" xr:uid="{5229A2DF-BD80-43DB-8EDB-11624B29EC82}"/>
    <cellStyle name="Style 87 3 2 16 2" xfId="28349" xr:uid="{84667363-AC70-46D6-BD2C-2A38E6FF446D}"/>
    <cellStyle name="Style 87 3 2 2" xfId="2318" xr:uid="{99708373-75FD-4345-9591-684DA01B26D5}"/>
    <cellStyle name="Style 87 3 2 2 10 2" xfId="28350" xr:uid="{BA7D14FA-F460-4FCC-BEB9-AB9DA03E0591}"/>
    <cellStyle name="Style 87 3 2 2 11" xfId="12434" xr:uid="{20DBCD58-A911-4274-9153-A887CEF0CF8A}"/>
    <cellStyle name="Style 87 3 2 2 11 2" xfId="28351" xr:uid="{3F66C674-1F6D-40F4-8A4F-448A574D1FE8}"/>
    <cellStyle name="Style 87 3 2 2 12" xfId="12435" xr:uid="{9C63F07E-B9CF-4225-8B56-0440FE303FB8}"/>
    <cellStyle name="Style 87 3 2 2 12 2" xfId="28352" xr:uid="{D30D69E8-9A0C-4FAA-8425-618F0844278F}"/>
    <cellStyle name="Style 87 3 2 2 13" xfId="12436" xr:uid="{ED9D24FC-A725-4A84-A7E1-DC2C121EADC3}"/>
    <cellStyle name="Style 87 3 2 2 13 2" xfId="28353" xr:uid="{46C7349C-6A67-4893-B1ED-07B300082815}"/>
    <cellStyle name="Style 87 3 2 2 15" xfId="12437" xr:uid="{DBFBD988-2559-4747-B031-298FCA863817}"/>
    <cellStyle name="Style 87 3 2 2 15 2" xfId="28354" xr:uid="{B1380FD2-C11C-4828-B905-0DD3720547B8}"/>
    <cellStyle name="Style 87 3 2 2 2" xfId="2319" xr:uid="{4C5EA899-A0E7-43DA-871D-4B8ABD210908}"/>
    <cellStyle name="Style 87 3 2 2 2 10" xfId="12438" xr:uid="{6CBF4CEA-BC07-4EC1-8573-FFD4B2728FBD}"/>
    <cellStyle name="Style 87 3 2 2 2 10 2" xfId="28355" xr:uid="{31FA0532-C326-4DE5-93B6-01818C602C8A}"/>
    <cellStyle name="Style 87 3 2 2 2 11" xfId="12439" xr:uid="{2277D1A0-F925-45E1-9014-F8EBD038458F}"/>
    <cellStyle name="Style 87 3 2 2 2 11 2" xfId="28356" xr:uid="{646779DE-1976-43E0-8084-03F038B8C32D}"/>
    <cellStyle name="Style 87 3 2 2 2 12" xfId="12440" xr:uid="{19E9ADDC-9B48-42AA-9512-28561256B605}"/>
    <cellStyle name="Style 87 3 2 2 2 12 2" xfId="28357" xr:uid="{A2A6C579-8BA9-422F-8397-2AC753F858C7}"/>
    <cellStyle name="Style 87 3 2 2 2 14" xfId="12441" xr:uid="{0ACF262B-2252-4805-B4F0-0A1E3F1CF368}"/>
    <cellStyle name="Style 87 3 2 2 2 14 2" xfId="28358" xr:uid="{2E1149FE-D409-4079-8857-E11AAE28777B}"/>
    <cellStyle name="Style 87 3 2 2 2 2 10" xfId="12442" xr:uid="{3F9664F0-49E7-4D29-8D38-78E2D0BFDD4E}"/>
    <cellStyle name="Style 87 3 2 2 2 2 11" xfId="12443" xr:uid="{A2464F60-EB42-4E32-9598-4B716C7AFC22}"/>
    <cellStyle name="Style 87 3 2 2 2 2 11 2" xfId="28359" xr:uid="{A800FD6C-9CAE-4D6E-B9D2-EDF8F9EBDCF1}"/>
    <cellStyle name="Style 87 3 2 2 2 2 12" xfId="12444" xr:uid="{3E42E6B5-8A13-4C93-8C53-2E34EE56305B}"/>
    <cellStyle name="Style 87 3 2 2 2 2 12 2" xfId="28360" xr:uid="{20C0F72F-AEB6-4E65-A893-2B06DABC2A44}"/>
    <cellStyle name="Style 87 3 2 2 2 2 2" xfId="5040" xr:uid="{EBC2A7B8-655D-4165-9E1F-BFF4F3794925}"/>
    <cellStyle name="Style 87 3 2 2 2 2 2 2" xfId="12445" xr:uid="{30F79104-C82E-4374-8F9C-BB32CD23E3F8}"/>
    <cellStyle name="Style 87 3 2 2 2 2 2 2 2" xfId="28361" xr:uid="{507DBF77-D680-4BE7-AD38-FE883AC8F75E}"/>
    <cellStyle name="Style 87 3 2 2 2 2 2 3" xfId="12446" xr:uid="{9B25B8DF-A29B-4EAF-9CEC-9906C72BD7E3}"/>
    <cellStyle name="Style 87 3 2 2 2 2 2 3 2" xfId="28362" xr:uid="{25F9E729-CEFA-4659-8CBC-28FEA354F902}"/>
    <cellStyle name="Style 87 3 2 2 2 2 3" xfId="12447" xr:uid="{547125D2-AD2B-40E4-941E-82B15F2501AA}"/>
    <cellStyle name="Style 87 3 2 2 2 2 3 2" xfId="12448" xr:uid="{A087A51C-5D81-4450-9732-F1CEC0C747AF}"/>
    <cellStyle name="Style 87 3 2 2 2 2 3 2 2" xfId="28363" xr:uid="{31B9492C-0E9B-47A0-B678-CCC6F67D4CF9}"/>
    <cellStyle name="Style 87 3 2 2 2 2 4 2" xfId="28364" xr:uid="{E8256EBE-2C6E-4539-B046-BE71D471B514}"/>
    <cellStyle name="Style 87 3 2 2 2 2 5" xfId="12449" xr:uid="{A8E76B17-5D21-4E21-B728-2548FFD02F01}"/>
    <cellStyle name="Style 87 3 2 2 2 2 5 2" xfId="28365" xr:uid="{BDFDB97D-AFC5-4FED-BB34-A798F740C902}"/>
    <cellStyle name="Style 87 3 2 2 2 2 6" xfId="12450" xr:uid="{18BA54F5-A5BD-48C1-B01D-CEB19DA7C065}"/>
    <cellStyle name="Style 87 3 2 2 2 2 6 2" xfId="28366" xr:uid="{05D3622C-BED5-48B4-9EE9-FB996BDC3EF4}"/>
    <cellStyle name="Style 87 3 2 2 2 2 7" xfId="12451" xr:uid="{53E5DFEF-3419-4B8A-AA57-514CC1F714D0}"/>
    <cellStyle name="Style 87 3 2 2 2 2 7 2" xfId="28367" xr:uid="{19314CEF-E0D2-4342-AC83-982EFDA0AAA0}"/>
    <cellStyle name="Style 87 3 2 2 2 2 9" xfId="12452" xr:uid="{4619637C-3421-4D25-A374-F8245298D89A}"/>
    <cellStyle name="Style 87 3 2 2 2 2 9 2" xfId="28368" xr:uid="{B7F245D4-AC9D-428F-905E-CC7CBAC6F382}"/>
    <cellStyle name="Style 87 3 2 2 2 3 2" xfId="12453" xr:uid="{EC78B2AB-ADE1-4913-8121-BD8778B860FB}"/>
    <cellStyle name="Style 87 3 2 2 2 3 3" xfId="12454" xr:uid="{00949013-AB79-4854-955D-D1F59D7CA6EE}"/>
    <cellStyle name="Style 87 3 2 2 2 4" xfId="12455" xr:uid="{B2722898-8695-4884-AC7B-0EE6466F6889}"/>
    <cellStyle name="Style 87 3 2 2 2 4 2" xfId="12456" xr:uid="{1C6E9C0D-FE7A-4F74-8B88-AB5BC9C6AABA}"/>
    <cellStyle name="Style 87 3 2 2 2 4 2 2" xfId="28369" xr:uid="{38A148C3-5926-40F0-9D4F-15B838B93A68}"/>
    <cellStyle name="Style 87 3 2 2 2 5" xfId="12457" xr:uid="{F7739C86-EAD9-42C9-876E-36B074027FE0}"/>
    <cellStyle name="Style 87 3 2 2 2 5 2" xfId="28370" xr:uid="{30739811-EBC5-4E56-A381-5017FEDA1C41}"/>
    <cellStyle name="Style 87 3 2 2 2 6" xfId="12458" xr:uid="{049B5C25-C4E9-41F6-BFAD-340110165FD7}"/>
    <cellStyle name="Style 87 3 2 2 2 6 2" xfId="28371" xr:uid="{A6D428D1-8E7B-4FDF-BD90-640873EEB2A5}"/>
    <cellStyle name="Style 87 3 2 2 2 7" xfId="12459" xr:uid="{FB26408B-BECA-4F51-8EBB-700CD01C6D17}"/>
    <cellStyle name="Style 87 3 2 2 2 7 2" xfId="28372" xr:uid="{000C90AD-2884-4EED-BD96-A74EC81F2A43}"/>
    <cellStyle name="Style 87 3 2 2 2 8" xfId="12460" xr:uid="{73F0C75D-804C-458D-BC84-E5EC5D9075F3}"/>
    <cellStyle name="Style 87 3 2 2 2 8 2" xfId="28373" xr:uid="{9E5F1EB5-9949-4576-9F4D-7057CA578F68}"/>
    <cellStyle name="Style 87 3 2 2 2 9" xfId="12461" xr:uid="{CAC23221-0742-4CB1-B652-1F5C8684F003}"/>
    <cellStyle name="Style 87 3 2 2 2 9 2" xfId="28374" xr:uid="{888B7754-3991-43FC-97AF-5A9F478F92BF}"/>
    <cellStyle name="Style 87 3 2 2 3" xfId="2320" xr:uid="{1EACD1DB-8D4B-4C6D-AEDA-B88586F8466A}"/>
    <cellStyle name="Style 87 3 2 2 3 10" xfId="12462" xr:uid="{5B12D38A-47F6-4849-8456-F58E29B4E4F6}"/>
    <cellStyle name="Style 87 3 2 2 3 11" xfId="12463" xr:uid="{4B863595-5132-48C8-870A-2C161FD07DA8}"/>
    <cellStyle name="Style 87 3 2 2 3 12" xfId="12464" xr:uid="{3C0D3519-123E-4871-8218-AA50C140B6E4}"/>
    <cellStyle name="Style 87 3 2 2 3 12 2" xfId="28375" xr:uid="{6CED13CF-B513-4379-8E9E-7BB11097639D}"/>
    <cellStyle name="Style 87 3 2 2 3 2" xfId="5041" xr:uid="{1BCAD1E9-2513-4DC8-BB00-FFA4E0AF9E33}"/>
    <cellStyle name="Style 87 3 2 2 3 2 2 2" xfId="28376" xr:uid="{77F8A1EE-8D9D-4DA9-8DA7-4BA9CFA536CD}"/>
    <cellStyle name="Style 87 3 2 2 3 2 3" xfId="12465" xr:uid="{BE0C6627-29B8-4E8A-A140-BFC4106CA8CD}"/>
    <cellStyle name="Style 87 3 2 2 3 2 3 2" xfId="28377" xr:uid="{325399AD-400A-4DC6-9758-9F5FA663C244}"/>
    <cellStyle name="Style 87 3 2 2 3 3 2" xfId="12466" xr:uid="{4BA2AE19-FD7A-4781-8707-0688352F9ABA}"/>
    <cellStyle name="Style 87 3 2 2 3 3 2 2" xfId="28378" xr:uid="{DE9387E3-04B7-4F8D-A8D7-019B6FE12DC1}"/>
    <cellStyle name="Style 87 3 2 2 3 4" xfId="12467" xr:uid="{137176E8-484D-4404-B151-A756D867B202}"/>
    <cellStyle name="Style 87 3 2 2 3 5" xfId="12468" xr:uid="{EE3D8C88-9BC5-4D40-AF51-FCF387917848}"/>
    <cellStyle name="Style 87 3 2 2 3 5 2" xfId="28379" xr:uid="{8F6A9945-C1B9-40EE-83CF-917205AF9F6C}"/>
    <cellStyle name="Style 87 3 2 2 3 6" xfId="12469" xr:uid="{E4185020-3A0C-4969-B423-C7E7B9F2EBE9}"/>
    <cellStyle name="Style 87 3 2 2 3 6 2" xfId="28380" xr:uid="{574D1EDE-966D-4BD9-A412-6B826228667D}"/>
    <cellStyle name="Style 87 3 2 2 3 7" xfId="12470" xr:uid="{4F0D45C1-E791-4A1E-88B8-286E8FE5AC16}"/>
    <cellStyle name="Style 87 3 2 2 3 8" xfId="12471" xr:uid="{232AD364-AAAF-4561-878E-8B1F2AB8AA22}"/>
    <cellStyle name="Style 87 3 2 2 3 9" xfId="12472" xr:uid="{A91D1925-4CF1-459D-8607-E608590E7F03}"/>
    <cellStyle name="Style 87 3 2 2 3 9 2" xfId="28381" xr:uid="{5388A193-69F3-45A3-98AD-E895761A99D8}"/>
    <cellStyle name="Style 87 3 2 2 4" xfId="5039" xr:uid="{00943ACA-4CAB-4733-A985-990FFB6C3168}"/>
    <cellStyle name="Style 87 3 2 2 4 2 2" xfId="28382" xr:uid="{A430B663-4086-4EBD-AFAD-A156C006D68B}"/>
    <cellStyle name="Style 87 3 2 2 4 3" xfId="12473" xr:uid="{EA292C48-A1CA-409F-BD1E-D34F40CEA140}"/>
    <cellStyle name="Style 87 3 2 2 4 3 2" xfId="28383" xr:uid="{E94E7258-8795-4C3A-9FFF-D010D84FCA79}"/>
    <cellStyle name="Style 87 3 2 2 5" xfId="12474" xr:uid="{A2C024B6-80A0-4534-9D4B-2F04DF8F4CDD}"/>
    <cellStyle name="Style 87 3 2 2 5 2" xfId="12475" xr:uid="{B535B352-171C-4CC1-8042-31971777D461}"/>
    <cellStyle name="Style 87 3 2 2 6" xfId="12476" xr:uid="{2849737C-10FD-4815-874E-F1AA3BE89C4B}"/>
    <cellStyle name="Style 87 3 2 2 6 2" xfId="28384" xr:uid="{413E6C65-F3E9-4025-8FC1-782DA0D423C4}"/>
    <cellStyle name="Style 87 3 2 2 7" xfId="12477" xr:uid="{FCE67C2E-FF4F-4086-A44A-A258DE192B4E}"/>
    <cellStyle name="Style 87 3 2 2 7 2" xfId="28385" xr:uid="{7CB89D35-D6BC-498A-AFF1-2DFE9BF53EBA}"/>
    <cellStyle name="Style 87 3 2 2 8 2" xfId="28386" xr:uid="{1A843B89-E861-443E-A4C9-C6EF967BBDFD}"/>
    <cellStyle name="Style 87 3 2 2 9" xfId="12478" xr:uid="{E3DCC11C-48DA-44BF-B675-4E06E88E8773}"/>
    <cellStyle name="Style 87 3 2 2 9 2" xfId="28387" xr:uid="{7A14622C-F947-41AB-844A-01FF13B08A2B}"/>
    <cellStyle name="Style 87 3 2 3 10 2" xfId="28388" xr:uid="{EC6033F4-2C2F-45DB-B456-DB99AAE4BA37}"/>
    <cellStyle name="Style 87 3 2 3 11" xfId="12479" xr:uid="{EB340F0B-9229-4FD0-8C83-D095AC400A12}"/>
    <cellStyle name="Style 87 3 2 3 11 2" xfId="28389" xr:uid="{7C4292DD-3DD7-4511-9ACE-92F94F2295D7}"/>
    <cellStyle name="Style 87 3 2 3 12 2" xfId="28390" xr:uid="{5D31D83C-2C06-42D5-8D0D-926EDDA282C8}"/>
    <cellStyle name="Style 87 3 2 3 13" xfId="12480" xr:uid="{EF7BE6E9-4E33-4CFE-98F9-578E905618BB}"/>
    <cellStyle name="Style 87 3 2 3 13 2" xfId="28391" xr:uid="{CEF4CCCA-F72B-432F-8789-651F5979C2F5}"/>
    <cellStyle name="Style 87 3 2 3 14" xfId="12481" xr:uid="{427EEBB6-B586-4AB3-B883-8E71A0F1E5EA}"/>
    <cellStyle name="Style 87 3 2 3 14 2" xfId="28392" xr:uid="{02F00477-0D9C-4A4F-A3A6-3A9E6FF6DA9E}"/>
    <cellStyle name="Style 87 3 2 3 2" xfId="2321" xr:uid="{665BD362-FD82-4F89-B3B1-9D7DFFA83521}"/>
    <cellStyle name="Style 87 3 2 3 2 10" xfId="12482" xr:uid="{3476241F-DEB5-4210-84C0-DF4355698382}"/>
    <cellStyle name="Style 87 3 2 3 2 10 2" xfId="28393" xr:uid="{2B3758A6-3369-461C-9008-1FEAB739AAD9}"/>
    <cellStyle name="Style 87 3 2 3 2 11" xfId="12483" xr:uid="{7492C282-809B-4239-AA5A-1E398B514D8E}"/>
    <cellStyle name="Style 87 3 2 3 2 11 2" xfId="28394" xr:uid="{55ED590A-96B5-4DF6-80AA-352F4C3B208B}"/>
    <cellStyle name="Style 87 3 2 3 2 12" xfId="12484" xr:uid="{2D8AD67D-88A6-43C9-B984-1A4A56C70286}"/>
    <cellStyle name="Style 87 3 2 3 2 2" xfId="5043" xr:uid="{E8BFD1B3-DB52-4B6D-A473-1CE154A48C25}"/>
    <cellStyle name="Style 87 3 2 3 2 2 2" xfId="12485" xr:uid="{00F25826-7FE8-4695-974A-99CE22B2D461}"/>
    <cellStyle name="Style 87 3 2 3 2 2 2 2" xfId="28395" xr:uid="{1AB71AF9-8D76-411B-AA21-A20FB88D0A3A}"/>
    <cellStyle name="Style 87 3 2 3 2 2 3" xfId="12486" xr:uid="{E7C8F13D-90F0-4A31-8D52-8EF7E2DD8BA7}"/>
    <cellStyle name="Style 87 3 2 3 2 2 3 2" xfId="28396" xr:uid="{399AABE7-063E-4384-B477-CC793E1313D1}"/>
    <cellStyle name="Style 87 3 2 3 2 3" xfId="12487" xr:uid="{6BFBD030-6D0D-457D-B7DD-384BB54F4CDA}"/>
    <cellStyle name="Style 87 3 2 3 2 3 2" xfId="12488" xr:uid="{9A3C910D-17A1-443F-BD8C-509459DB6A1B}"/>
    <cellStyle name="Style 87 3 2 3 2 3 2 2" xfId="28397" xr:uid="{20C93928-B3F9-431D-A776-21F7A27C28B9}"/>
    <cellStyle name="Style 87 3 2 3 2 4" xfId="12489" xr:uid="{84913741-DB4E-4C6B-9887-CFBD74CF7DB6}"/>
    <cellStyle name="Style 87 3 2 3 2 4 2" xfId="28398" xr:uid="{EAC73599-91A9-4A32-B027-5921DB651E88}"/>
    <cellStyle name="Style 87 3 2 3 2 5 2" xfId="28399" xr:uid="{669B6B83-AF59-45B6-B8D8-8B2A9E09993A}"/>
    <cellStyle name="Style 87 3 2 3 2 6" xfId="12490" xr:uid="{6BB33867-D291-4720-AB4A-9220CAA1659E}"/>
    <cellStyle name="Style 87 3 2 3 2 7" xfId="12491" xr:uid="{16AAFC8E-7AA1-42E2-8422-F029EBD0B1EA}"/>
    <cellStyle name="Style 87 3 2 3 2 8" xfId="12492" xr:uid="{A55D2580-C492-4C06-9BD9-C57280B06E5B}"/>
    <cellStyle name="Style 87 3 2 3 2 8 2" xfId="28400" xr:uid="{E618F8D4-A2A7-4CCB-A424-B386A24EFB56}"/>
    <cellStyle name="Style 87 3 2 3 2 9" xfId="12493" xr:uid="{EC6DC437-3506-45B8-842B-A0B4DACF51DE}"/>
    <cellStyle name="Style 87 3 2 3 2 9 2" xfId="28401" xr:uid="{FD17EFC8-E570-4416-BA83-59A8071406A0}"/>
    <cellStyle name="Style 87 3 2 3 3" xfId="5042" xr:uid="{4A361889-800C-4280-A0F0-685753BCB767}"/>
    <cellStyle name="Style 87 3 2 3 3 2" xfId="12494" xr:uid="{659080A5-8EFA-4914-9128-057FDC265435}"/>
    <cellStyle name="Style 87 3 2 3 3 3" xfId="12495" xr:uid="{6008D2D3-132D-4278-833E-2A9C76279977}"/>
    <cellStyle name="Style 87 3 2 3 3 3 2" xfId="28402" xr:uid="{625BBC2C-C178-4B63-BFD5-72DBD87C6A54}"/>
    <cellStyle name="Style 87 3 2 3 4 2" xfId="12496" xr:uid="{BA6010AC-DEF5-40D6-9899-27ACFDE53DFC}"/>
    <cellStyle name="Style 87 3 2 3 5" xfId="12497" xr:uid="{BFE9197E-E60C-44B6-BDEF-5ADE85C38338}"/>
    <cellStyle name="Style 87 3 2 3 6" xfId="12498" xr:uid="{3263E64C-E573-48B9-93BC-4EDAA1148250}"/>
    <cellStyle name="Style 87 3 2 3 6 2" xfId="28403" xr:uid="{485205A6-BBC2-4C20-AB53-B6FAA46B7FF9}"/>
    <cellStyle name="Style 87 3 2 3 7" xfId="12499" xr:uid="{1E163044-3263-4F02-B412-A71B97C9033D}"/>
    <cellStyle name="Style 87 3 2 3 8" xfId="12500" xr:uid="{03B76DAD-2B86-4BB1-8009-A94A2F2BE4EA}"/>
    <cellStyle name="Style 87 3 2 3 9" xfId="12501" xr:uid="{51D2AD5A-26C1-4F3D-9E2A-787D098248D5}"/>
    <cellStyle name="Style 87 3 2 3 9 2" xfId="28404" xr:uid="{26233163-69DA-49A5-908C-0CB2B1CB88BB}"/>
    <cellStyle name="Style 87 3 2 4 10 2" xfId="28405" xr:uid="{CA855426-889A-458F-9E22-9077D4105727}"/>
    <cellStyle name="Style 87 3 2 4 11" xfId="12502" xr:uid="{82D63840-7F1B-4F1E-BD26-C9EFA884EBDC}"/>
    <cellStyle name="Style 87 3 2 4 11 2" xfId="28406" xr:uid="{D2483A23-6E13-49A6-8F8A-56A71CE7D01F}"/>
    <cellStyle name="Style 87 3 2 4 12" xfId="12503" xr:uid="{0F4C40FD-FE68-42C3-AE00-D3FBA016586C}"/>
    <cellStyle name="Style 87 3 2 4 12 2" xfId="28407" xr:uid="{8E893466-1DC7-4497-AEE8-6F5D1444C762}"/>
    <cellStyle name="Style 87 3 2 4 2" xfId="5044" xr:uid="{CEC16AF8-EA29-4A04-A810-27DE34B2DF86}"/>
    <cellStyle name="Style 87 3 2 4 2 2" xfId="12504" xr:uid="{601059B5-55AB-4840-AAAD-F993E3F2CF2F}"/>
    <cellStyle name="Style 87 3 2 4 2 2 2" xfId="28408" xr:uid="{6FDA3E2D-3A38-4D8D-BA21-CE506A21084A}"/>
    <cellStyle name="Style 87 3 2 4 2 3" xfId="12505" xr:uid="{C435EC80-E494-4DFE-9835-7C736DA4C953}"/>
    <cellStyle name="Style 87 3 2 4 2 3 2" xfId="28409" xr:uid="{EFC4FEBE-F957-4756-8B1D-021A7C239176}"/>
    <cellStyle name="Style 87 3 2 4 3" xfId="12506" xr:uid="{952CF480-DCAA-418C-8E97-F7EF9CFAB687}"/>
    <cellStyle name="Style 87 3 2 4 3 2" xfId="12507" xr:uid="{B97B83D8-E263-4F4B-B52B-9D65E070EBD6}"/>
    <cellStyle name="Style 87 3 2 4 3 2 2" xfId="28410" xr:uid="{FE3A69C0-C2FE-4276-AE1D-7C6ECE33D47B}"/>
    <cellStyle name="Style 87 3 2 4 4" xfId="12508" xr:uid="{0AF3940F-A9E5-4DE9-81D1-01B09BBFDE8B}"/>
    <cellStyle name="Style 87 3 2 4 4 2" xfId="28411" xr:uid="{8727D384-D5AC-456C-ACC4-13728B94E736}"/>
    <cellStyle name="Style 87 3 2 4 5" xfId="12509" xr:uid="{14C53606-43EC-480E-9B21-D58D47955B06}"/>
    <cellStyle name="Style 87 3 2 4 5 2" xfId="28412" xr:uid="{BB9AAC7F-A48A-401F-A0A9-40961A56F756}"/>
    <cellStyle name="Style 87 3 2 4 6 2" xfId="28413" xr:uid="{ABBA2215-0D79-41E1-9638-5DFC10C28AA4}"/>
    <cellStyle name="Style 87 3 2 4 7 2" xfId="28414" xr:uid="{8110BAF1-0D08-4222-9D5B-58DB5A61837C}"/>
    <cellStyle name="Style 87 3 2 4 8" xfId="12510" xr:uid="{F65FE884-F910-4540-8B08-0BD42451F040}"/>
    <cellStyle name="Style 87 3 2 4 8 2" xfId="28415" xr:uid="{C833DCF3-F05D-4025-8F56-5F9094EB462D}"/>
    <cellStyle name="Style 87 3 2 4 9 2" xfId="28416" xr:uid="{EF91D75F-5C90-4092-BC00-0960842593D6}"/>
    <cellStyle name="Style 87 3 2 5" xfId="5038" xr:uid="{309FEFF4-A620-4CDC-B307-7E0005C1DA4D}"/>
    <cellStyle name="Style 87 3 2 5 2" xfId="12511" xr:uid="{32B6D558-67CC-481C-B314-76C42419022C}"/>
    <cellStyle name="Style 87 3 2 5 2 2" xfId="28417" xr:uid="{A9104CF1-F398-43AF-9062-70C54276B558}"/>
    <cellStyle name="Style 87 3 2 5 3" xfId="12512" xr:uid="{7E21936F-6BB8-4AB6-B4D8-57631BF77FDE}"/>
    <cellStyle name="Style 87 3 2 5 3 2" xfId="28418" xr:uid="{F24E5B46-F81E-46B6-9430-CF113A3FB5DB}"/>
    <cellStyle name="Style 87 3 2 6 2" xfId="12513" xr:uid="{4C3D7037-DAAB-47C5-8F7F-B0DBF7E8D59D}"/>
    <cellStyle name="Style 87 3 2 6 2 2" xfId="28419" xr:uid="{96842DE4-292F-44BA-B60F-602592099675}"/>
    <cellStyle name="Style 87 3 2 7" xfId="12514" xr:uid="{5579A519-834A-43A6-98FF-2B9D0E5F704F}"/>
    <cellStyle name="Style 87 3 2 7 2" xfId="28420" xr:uid="{C2C91EBF-B5F6-4A8B-B6B4-ADCAE549E43A}"/>
    <cellStyle name="Style 87 3 2 8" xfId="12515" xr:uid="{5F2B4EBB-5CAA-46FE-9BBA-6D49390FEF02}"/>
    <cellStyle name="Style 87 3 2 9" xfId="12516" xr:uid="{2C96ED25-3FAD-45F3-A515-3367FBB9A3DB}"/>
    <cellStyle name="Style 87 3 2 9 2" xfId="28421" xr:uid="{0B6C2F7A-0DED-472B-84BB-C652345B843F}"/>
    <cellStyle name="Style 87 3 3" xfId="2322" xr:uid="{E7BA0395-AB4C-4A8F-AA27-60D0CBA75F47}"/>
    <cellStyle name="Style 87 3 3 10 2" xfId="28422" xr:uid="{5061F54D-16B3-450B-8B00-C410000C00E5}"/>
    <cellStyle name="Style 87 3 3 11 2" xfId="28423" xr:uid="{1F21550A-BF48-4B7D-871B-B78D3FA161E4}"/>
    <cellStyle name="Style 87 3 3 12" xfId="12517" xr:uid="{59C28791-5EF1-48AA-9D51-03B3BB0DF56C}"/>
    <cellStyle name="Style 87 3 3 12 2" xfId="28424" xr:uid="{75486548-24CC-40C0-91A3-F3AFA5CCC93C}"/>
    <cellStyle name="Style 87 3 3 14" xfId="12518" xr:uid="{21C348B8-2E17-4430-8D8F-FCA4490628F7}"/>
    <cellStyle name="Style 87 3 3 14 2" xfId="28425" xr:uid="{84923A56-4D0A-4206-BF88-52E39B2325E3}"/>
    <cellStyle name="Style 87 3 3 15" xfId="12519" xr:uid="{2FD2CF75-7058-4FAB-8FFD-D8B10B0CED28}"/>
    <cellStyle name="Style 87 3 3 15 2" xfId="28426" xr:uid="{0BDA09B0-888D-4DB7-9F3A-4E4900FCCC70}"/>
    <cellStyle name="Style 87 3 3 2" xfId="2323" xr:uid="{318DB681-A7FE-48F8-832D-8F688FE3F80B}"/>
    <cellStyle name="Style 87 3 3 2 10" xfId="12520" xr:uid="{6F0C78AA-70BA-453D-8A1B-388C4892E098}"/>
    <cellStyle name="Style 87 3 3 2 10 2" xfId="28427" xr:uid="{34EC155F-D963-4BE7-AC64-F0420A140419}"/>
    <cellStyle name="Style 87 3 3 2 11" xfId="12521" xr:uid="{4A1AD6F8-802D-4D53-93DB-7A98E2A51547}"/>
    <cellStyle name="Style 87 3 3 2 11 2" xfId="28428" xr:uid="{97820A53-A962-4C52-A3F8-9A2139A3A10E}"/>
    <cellStyle name="Style 87 3 3 2 12" xfId="12522" xr:uid="{49A781DA-B2C2-4166-AE40-080E33E5F124}"/>
    <cellStyle name="Style 87 3 3 2 13" xfId="12523" xr:uid="{C206FB0D-4A15-4637-B46A-B493FC6F3BA0}"/>
    <cellStyle name="Style 87 3 3 2 14 2" xfId="28429" xr:uid="{AEDC40A6-0AE6-41CE-9588-0A4A5A8604F8}"/>
    <cellStyle name="Style 87 3 3 2 15" xfId="12524" xr:uid="{3915F5C2-E7E1-4285-8696-D8C2D20A59E6}"/>
    <cellStyle name="Style 87 3 3 2 15 2" xfId="28430" xr:uid="{4F3AA33D-D6AA-497B-A2AB-000557885936}"/>
    <cellStyle name="Style 87 3 3 2 2" xfId="2324" xr:uid="{B273FD0C-2A41-421D-9AD3-E79DC819521F}"/>
    <cellStyle name="Style 87 3 3 2 2 10" xfId="12525" xr:uid="{92CBA6F5-CD56-4B66-A773-946AC2C70A8A}"/>
    <cellStyle name="Style 87 3 3 2 2 10 2" xfId="28431" xr:uid="{45A687B0-E2C4-4807-9D74-D8633FC1C1BB}"/>
    <cellStyle name="Style 87 3 3 2 2 11" xfId="12526" xr:uid="{45FEE5D7-7552-4DF1-AD9C-8346CE590B51}"/>
    <cellStyle name="Style 87 3 3 2 2 11 2" xfId="28432" xr:uid="{B90413C9-0363-4F91-A8DE-B5DC07B90979}"/>
    <cellStyle name="Style 87 3 3 2 2 12 2" xfId="28433" xr:uid="{A388DB94-D24B-4DA9-BB2A-E10F7448E814}"/>
    <cellStyle name="Style 87 3 3 2 2 13" xfId="12527" xr:uid="{D5D84008-8292-4DD5-984C-B4DB1DAF2C0B}"/>
    <cellStyle name="Style 87 3 3 2 2 13 2" xfId="28434" xr:uid="{0F4491A0-29CF-46EB-AFD7-A31E8FB62403}"/>
    <cellStyle name="Style 87 3 3 2 2 14" xfId="12528" xr:uid="{2DC9ED4A-F453-4632-8441-E1C86C297825}"/>
    <cellStyle name="Style 87 3 3 2 2 14 2" xfId="28435" xr:uid="{9D9E04D9-4FE8-42F3-A7ED-FFD9DC0682EF}"/>
    <cellStyle name="Style 87 3 3 2 2 2 10" xfId="12529" xr:uid="{204D220A-514C-40A2-80D5-59B93ABACB7E}"/>
    <cellStyle name="Style 87 3 3 2 2 2 11" xfId="12530" xr:uid="{983186D2-E96C-4D46-85E5-B4BDD074BE3A}"/>
    <cellStyle name="Style 87 3 3 2 2 2 12" xfId="12531" xr:uid="{B4407D63-4320-46F9-85CE-CFF7BD6F88CA}"/>
    <cellStyle name="Style 87 3 3 2 2 2 12 2" xfId="28436" xr:uid="{8034C70C-55E4-4A57-B23F-2F5890868146}"/>
    <cellStyle name="Style 87 3 3 2 2 2 2" xfId="5048" xr:uid="{C6C75153-9307-461D-A8F9-32EB457D645A}"/>
    <cellStyle name="Style 87 3 3 2 2 2 2 2 2" xfId="28437" xr:uid="{875708A9-3DFF-4A01-95AB-15845BE37D84}"/>
    <cellStyle name="Style 87 3 3 2 2 2 2 3" xfId="12532" xr:uid="{0D3D2DE8-D5BA-485C-B62E-7F38B4ECE94F}"/>
    <cellStyle name="Style 87 3 3 2 2 2 2 3 2" xfId="28438" xr:uid="{F3E4A188-19A5-455F-8EC0-985A111FD48B}"/>
    <cellStyle name="Style 87 3 3 2 2 2 3" xfId="12533" xr:uid="{803DAC16-B460-4C4D-AE03-5159AB452B54}"/>
    <cellStyle name="Style 87 3 3 2 2 2 3 2" xfId="12534" xr:uid="{D0C0FAF8-F805-492B-AB1F-BC3128A63F8F}"/>
    <cellStyle name="Style 87 3 3 2 2 2 4" xfId="12535" xr:uid="{B6D74CA0-591A-4388-8165-C99A76B17FB7}"/>
    <cellStyle name="Style 87 3 3 2 2 2 4 2" xfId="28439" xr:uid="{0656835C-2154-4547-951C-C17B42393147}"/>
    <cellStyle name="Style 87 3 3 2 2 2 5" xfId="12536" xr:uid="{4DE1F4DD-8E0C-43DE-9C4D-055AD8A5B545}"/>
    <cellStyle name="Style 87 3 3 2 2 2 5 2" xfId="28440" xr:uid="{1B26F8C7-29D5-4353-A749-A6175F5A37CE}"/>
    <cellStyle name="Style 87 3 3 2 2 2 6" xfId="12537" xr:uid="{77557957-DEDE-4513-80BB-B4AEF5E3D40F}"/>
    <cellStyle name="Style 87 3 3 2 2 2 6 2" xfId="28441" xr:uid="{590B8733-3AEF-4454-AB58-2956D798470B}"/>
    <cellStyle name="Style 87 3 3 2 2 2 7" xfId="12538" xr:uid="{1A7FA660-0349-4F77-95FC-AA46279EFA9D}"/>
    <cellStyle name="Style 87 3 3 2 2 2 7 2" xfId="28442" xr:uid="{3E253FAE-A1CF-4C6D-B039-A19FC8B7E864}"/>
    <cellStyle name="Style 87 3 3 2 2 2 8" xfId="12539" xr:uid="{E184A064-BAE6-4221-9910-5ABE4DCFC35F}"/>
    <cellStyle name="Style 87 3 3 2 2 2 9" xfId="12540" xr:uid="{13AD2B27-9893-4CA7-9A00-4B0898114265}"/>
    <cellStyle name="Style 87 3 3 2 2 2 9 2" xfId="28443" xr:uid="{45CBC102-01A7-4E58-9CB9-3BEE6CB55BB4}"/>
    <cellStyle name="Style 87 3 3 2 2 3" xfId="5047" xr:uid="{FF6091D7-037C-4535-9E8A-0C97E45FF6B6}"/>
    <cellStyle name="Style 87 3 3 2 2 3 3" xfId="12541" xr:uid="{38AD77D1-2FE1-41D7-A945-B53860743221}"/>
    <cellStyle name="Style 87 3 3 2 2 3 3 2" xfId="28444" xr:uid="{F15B36F8-67F5-4B13-BC5B-0392182A47DF}"/>
    <cellStyle name="Style 87 3 3 2 2 4 2" xfId="12542" xr:uid="{9FAE3D1D-8992-484F-AD01-90AF02256774}"/>
    <cellStyle name="Style 87 3 3 2 2 4 2 2" xfId="28445" xr:uid="{69EF2E81-A816-4DE7-A052-54E8982023A8}"/>
    <cellStyle name="Style 87 3 3 2 2 5" xfId="12543" xr:uid="{A16761EC-7BB8-42F7-B311-F1372EC07AA2}"/>
    <cellStyle name="Style 87 3 3 2 2 5 2" xfId="28446" xr:uid="{C69C7222-552D-46BC-AACC-760478FA49AE}"/>
    <cellStyle name="Style 87 3 3 2 2 6" xfId="12544" xr:uid="{B1EC6B5A-A086-48FC-84CF-94B665FC64AE}"/>
    <cellStyle name="Style 87 3 3 2 2 6 2" xfId="28447" xr:uid="{572E09B4-AD0C-47C2-AA99-91C8523415B3}"/>
    <cellStyle name="Style 87 3 3 2 2 7" xfId="12545" xr:uid="{102A6689-8D76-4A47-A716-78851CAAF1A0}"/>
    <cellStyle name="Style 87 3 3 2 2 7 2" xfId="28448" xr:uid="{83561145-19B2-4772-B34C-FDC1B860B609}"/>
    <cellStyle name="Style 87 3 3 2 2 8" xfId="12546" xr:uid="{4A3EB99F-A8B6-460E-8D97-8AE7347CE823}"/>
    <cellStyle name="Style 87 3 3 2 2 8 2" xfId="28449" xr:uid="{882AE09C-8C3A-47C0-8E6C-EC086D9B3B45}"/>
    <cellStyle name="Style 87 3 3 2 2 9" xfId="12547" xr:uid="{A6537200-9C0B-48C6-9CBE-F53B9ED5EA04}"/>
    <cellStyle name="Style 87 3 3 2 2 9 2" xfId="28450" xr:uid="{8C5E06CF-D05E-47B5-8003-2CD249DD919A}"/>
    <cellStyle name="Style 87 3 3 2 3" xfId="2325" xr:uid="{1E397C3D-B4E6-47D5-840A-2AFA446E8B90}"/>
    <cellStyle name="Style 87 3 3 2 3 10" xfId="12548" xr:uid="{99950730-4779-4B78-B932-A78907F9B9B4}"/>
    <cellStyle name="Style 87 3 3 2 3 10 2" xfId="28451" xr:uid="{94E60C86-5896-46BA-B8D8-36EAF03B8E6A}"/>
    <cellStyle name="Style 87 3 3 2 3 11" xfId="12549" xr:uid="{F48041EA-185B-43BA-94FE-8FFB05D17056}"/>
    <cellStyle name="Style 87 3 3 2 3 11 2" xfId="28452" xr:uid="{3F231046-83AB-4F6A-BD79-3E4B2478586C}"/>
    <cellStyle name="Style 87 3 3 2 3 12" xfId="12550" xr:uid="{CA3105D6-61E4-49F1-B396-D7111C5ADC00}"/>
    <cellStyle name="Style 87 3 3 2 3 12 2" xfId="28453" xr:uid="{E85445A0-109B-42D3-A0B7-29030BC436EB}"/>
    <cellStyle name="Style 87 3 3 2 3 2" xfId="5049" xr:uid="{4E97001F-B8CE-496C-AB29-8EBDDB40D36D}"/>
    <cellStyle name="Style 87 3 3 2 3 2 2" xfId="12551" xr:uid="{BC5BD518-2DE9-405F-9788-BCB48DE64C65}"/>
    <cellStyle name="Style 87 3 3 2 3 2 3" xfId="12552" xr:uid="{ED8D268B-4C4A-442E-8E81-9F90F0B8FFB1}"/>
    <cellStyle name="Style 87 3 3 2 3 2 3 2" xfId="28454" xr:uid="{19A8D681-3EAE-454A-8F5F-6A9A8EACFC03}"/>
    <cellStyle name="Style 87 3 3 2 3 3" xfId="12553" xr:uid="{4C3E7ABF-DE8C-4FEA-99A5-9AE27EE52D23}"/>
    <cellStyle name="Style 87 3 3 2 3 3 2" xfId="12554" xr:uid="{E2C288CD-1D1B-471F-845D-611B2044E349}"/>
    <cellStyle name="Style 87 3 3 2 3 3 2 2" xfId="28455" xr:uid="{D752F491-5823-4B87-99BC-F506A1F7F285}"/>
    <cellStyle name="Style 87 3 3 2 3 4" xfId="12555" xr:uid="{012BC559-3021-4F3A-BEF6-1337592D73AD}"/>
    <cellStyle name="Style 87 3 3 2 3 5" xfId="12556" xr:uid="{568245D6-802E-4DBD-BF5A-1A4EEB07BA7B}"/>
    <cellStyle name="Style 87 3 3 2 3 5 2" xfId="28456" xr:uid="{6D5E7C0F-99AD-4517-9CAF-D6707FFD74EA}"/>
    <cellStyle name="Style 87 3 3 2 3 6" xfId="12557" xr:uid="{9B03A50F-830E-4077-B18B-473DE04EF8B2}"/>
    <cellStyle name="Style 87 3 3 2 3 7" xfId="12558" xr:uid="{FAF8ECC1-9E42-45A5-B785-8B539334DA18}"/>
    <cellStyle name="Style 87 3 3 2 3 7 2" xfId="28457" xr:uid="{CFB85E14-421E-4374-9EA0-8872D36CB362}"/>
    <cellStyle name="Style 87 3 3 2 3 8" xfId="12559" xr:uid="{72E60C21-3243-4947-9674-C3E6F5450007}"/>
    <cellStyle name="Style 87 3 3 2 3 9 2" xfId="28458" xr:uid="{1824B659-64E1-4DC9-9CC1-2B2E58EF7C00}"/>
    <cellStyle name="Style 87 3 3 2 4" xfId="5046" xr:uid="{3C16F1E3-6F68-4460-91E2-A8E62FF1F505}"/>
    <cellStyle name="Style 87 3 3 2 4 2" xfId="12560" xr:uid="{68ABA33C-63F3-4FD4-9752-7B800E626AA7}"/>
    <cellStyle name="Style 87 3 3 2 4 3" xfId="12561" xr:uid="{F701BCDF-2BE9-4F65-A21A-EF840D49A54A}"/>
    <cellStyle name="Style 87 3 3 2 4 3 2" xfId="28459" xr:uid="{861F9B5E-60C5-49C8-A845-EC8C723D7BC0}"/>
    <cellStyle name="Style 87 3 3 2 5" xfId="12562" xr:uid="{CF1D506A-85D3-4A19-9472-842E16447230}"/>
    <cellStyle name="Style 87 3 3 2 5 2" xfId="12563" xr:uid="{71957BAF-EDC6-41E8-B2EF-047459AA4464}"/>
    <cellStyle name="Style 87 3 3 2 6" xfId="12564" xr:uid="{4D020398-510B-4A68-BA5B-F437A9779E2C}"/>
    <cellStyle name="Style 87 3 3 2 7" xfId="12565" xr:uid="{8B6C33CF-25D9-4692-88FB-A3AC2907E287}"/>
    <cellStyle name="Style 87 3 3 2 7 2" xfId="28460" xr:uid="{2B6877C4-237D-4FCE-96B6-FF8B6FE811EF}"/>
    <cellStyle name="Style 87 3 3 2 8" xfId="12566" xr:uid="{03DB895E-9803-4B7E-B063-6E6F59104356}"/>
    <cellStyle name="Style 87 3 3 2 8 2" xfId="28461" xr:uid="{487BE993-02F0-4D2F-B9D5-6CB1F3744A25}"/>
    <cellStyle name="Style 87 3 3 2 9" xfId="12567" xr:uid="{E8E7C078-E191-436C-A86D-68056827A99A}"/>
    <cellStyle name="Style 87 3 3 2 9 2" xfId="28462" xr:uid="{E03369EF-EACD-4575-9347-14CAF023873E}"/>
    <cellStyle name="Style 87 3 3 3" xfId="2326" xr:uid="{C1E703D2-3B14-4817-975D-2F3CD63970C7}"/>
    <cellStyle name="Style 87 3 3 3 10 2" xfId="28463" xr:uid="{A1247889-FD8E-46DC-9C46-84AE01A7BEBF}"/>
    <cellStyle name="Style 87 3 3 3 11" xfId="12568" xr:uid="{7D22E9DB-15CB-4645-AB89-C560119D7D0B}"/>
    <cellStyle name="Style 87 3 3 3 11 2" xfId="28464" xr:uid="{411200CF-9872-4038-AB13-922F6B611654}"/>
    <cellStyle name="Style 87 3 3 3 12 2" xfId="28465" xr:uid="{CF178DEF-69EA-4E11-B5C4-B0214A6A5C19}"/>
    <cellStyle name="Style 87 3 3 3 13 2" xfId="28466" xr:uid="{D94CBDFA-49E7-49AD-8A7F-030B0A2F5DBC}"/>
    <cellStyle name="Style 87 3 3 3 2 2" xfId="12569" xr:uid="{8C15A538-9A9B-42D3-A970-48489230809B}"/>
    <cellStyle name="Style 87 3 3 3 2 2 2" xfId="28467" xr:uid="{2BBA14F6-2FC0-48A5-9C78-CF64A6FB3649}"/>
    <cellStyle name="Style 87 3 3 3 2 3" xfId="12570" xr:uid="{6ECD7109-CA2D-4CA2-9A3C-DE3146AB0B63}"/>
    <cellStyle name="Style 87 3 3 3 2 3 2" xfId="28468" xr:uid="{73CFBF74-B6D2-41AB-BEF6-F91070FD377F}"/>
    <cellStyle name="Style 87 3 3 3 3" xfId="5050" xr:uid="{B9F02CB4-9FE0-4E45-B9AF-61B48305394B}"/>
    <cellStyle name="Style 87 3 3 3 3 2" xfId="12571" xr:uid="{546A1FC7-5DB9-4CD1-A12D-8B7F6E360592}"/>
    <cellStyle name="Style 87 3 3 3 3 2 2" xfId="28469" xr:uid="{94D22112-EDE1-4560-BF24-F670AEECAB18}"/>
    <cellStyle name="Style 87 3 3 3 4" xfId="12572" xr:uid="{B3812509-7391-44C2-B014-78F3CEAD7C33}"/>
    <cellStyle name="Style 87 3 3 3 4 2" xfId="12573" xr:uid="{9237C60B-C08E-4B0C-BC93-3135C2322C66}"/>
    <cellStyle name="Style 87 3 3 3 5" xfId="12574" xr:uid="{898E56C8-6187-4F7E-940D-9A39F85520FC}"/>
    <cellStyle name="Style 87 3 3 3 5 2" xfId="28470" xr:uid="{A14D4FAB-0102-4F5C-85BF-AAB8797CF3B1}"/>
    <cellStyle name="Style 87 3 3 3 6" xfId="12575" xr:uid="{47242B1B-6EC7-4478-A1D6-A9C1D8906462}"/>
    <cellStyle name="Style 87 3 3 3 6 2" xfId="28471" xr:uid="{0D185E3F-2E93-46C5-B81A-A1E974C0D05C}"/>
    <cellStyle name="Style 87 3 3 3 7" xfId="12576" xr:uid="{2B046273-7D64-4808-AAF5-2FFCD9C3195C}"/>
    <cellStyle name="Style 87 3 3 3 7 2" xfId="28472" xr:uid="{ED5B1A35-BD4B-494A-99C1-A4A781714A53}"/>
    <cellStyle name="Style 87 3 3 3 8" xfId="12577" xr:uid="{3B660439-F778-4308-8FAB-E8AB72D04899}"/>
    <cellStyle name="Style 87 3 3 3 8 2" xfId="28473" xr:uid="{6FFC0445-8E2F-40CC-A541-B5EAB1D30ABE}"/>
    <cellStyle name="Style 87 3 3 3 9" xfId="12578" xr:uid="{FFD62D83-3BC6-4C1C-B236-2A36C777D960}"/>
    <cellStyle name="Style 87 3 3 4 2" xfId="12579" xr:uid="{F4975994-671F-4C3D-BFEA-5AFB4860B95E}"/>
    <cellStyle name="Style 87 3 3 4 2 2" xfId="28474" xr:uid="{B564CA7E-CABD-4BBB-94F4-D14AD6B6D14E}"/>
    <cellStyle name="Style 87 3 3 4 3" xfId="12580" xr:uid="{9D5D9540-C2A3-4032-AFAB-A6B1C5BB3196}"/>
    <cellStyle name="Style 87 3 3 5" xfId="5051" xr:uid="{373B17F2-D4E4-497B-81FC-8DDC39FAD32D}"/>
    <cellStyle name="Style 87 3 3 5 2" xfId="12581" xr:uid="{587FA9C8-ECE1-4AEB-A3B7-2AFD25B1AF10}"/>
    <cellStyle name="Style 87 3 3 5 2 2" xfId="28475" xr:uid="{5C4BE672-2ECC-48AA-BF87-0ABBCFAE2F90}"/>
    <cellStyle name="Style 87 3 3 6" xfId="5045" xr:uid="{EEB1FC4E-F2B5-40DE-A031-12B93DBA2867}"/>
    <cellStyle name="Style 87 3 3 6 2" xfId="12582" xr:uid="{39397390-C301-4101-AB9F-D8E4B41C8FC7}"/>
    <cellStyle name="Style 87 3 3 7" xfId="12583" xr:uid="{E5725155-1AA6-4524-842C-26CA064E6F98}"/>
    <cellStyle name="Style 87 3 3 7 2" xfId="12584" xr:uid="{67981C5A-E36E-46D6-8525-1563A2433F44}"/>
    <cellStyle name="Style 87 3 3 7 2 2" xfId="28476" xr:uid="{7139C791-1A2D-4929-8C8E-8D1DD2DEBC18}"/>
    <cellStyle name="Style 87 3 3 8 2" xfId="28477" xr:uid="{1B560EA1-F7C1-4776-BFF4-E96734230489}"/>
    <cellStyle name="Style 87 3 3 9 2" xfId="28478" xr:uid="{089518C0-26B9-4CB5-BAC6-14D6B5C1343F}"/>
    <cellStyle name="Style 87 3 4" xfId="2327" xr:uid="{6EF95D16-446A-45DE-A5A9-EEF5BEF2D03F}"/>
    <cellStyle name="Style 87 3 4 10" xfId="12585" xr:uid="{3CCCE7E2-5D64-4FBA-84EC-D568031C1DFF}"/>
    <cellStyle name="Style 87 3 4 11" xfId="12586" xr:uid="{64D6608A-A70E-4630-9490-6E9B4458698B}"/>
    <cellStyle name="Style 87 3 4 11 2" xfId="28479" xr:uid="{4704601A-56B6-4B5F-A8B6-266C2A31B1FE}"/>
    <cellStyle name="Style 87 3 4 12" xfId="12587" xr:uid="{BDA303C2-BD0B-4E16-A22B-67EE85B17E96}"/>
    <cellStyle name="Style 87 3 4 13" xfId="12588" xr:uid="{30AEFF91-9871-4370-AA89-ED490748AB9B}"/>
    <cellStyle name="Style 87 3 4 13 2" xfId="28480" xr:uid="{FBE84687-5F98-49AE-B084-D00677AFBCFB}"/>
    <cellStyle name="Style 87 3 4 14" xfId="12589" xr:uid="{A60C0D75-B052-4486-B92A-1CCF51C89014}"/>
    <cellStyle name="Style 87 3 4 14 2" xfId="28481" xr:uid="{24C1547B-A16A-4615-81DA-2D2860C22B42}"/>
    <cellStyle name="Style 87 3 4 2 10" xfId="12590" xr:uid="{05720421-FC1D-4740-B5E0-82FADD52814C}"/>
    <cellStyle name="Style 87 3 4 2 10 2" xfId="28482" xr:uid="{25A76FA5-9092-49EC-AC6F-9BE28598F3CC}"/>
    <cellStyle name="Style 87 3 4 2 11" xfId="12591" xr:uid="{12BA414E-80F7-4870-A63D-D43C433D52C7}"/>
    <cellStyle name="Style 87 3 4 2 12" xfId="12592" xr:uid="{E22A1017-8169-4873-B6DB-D1F332CC1C42}"/>
    <cellStyle name="Style 87 3 4 2 12 2" xfId="28483" xr:uid="{BB859E52-EBEF-4C47-B130-DBB02ECF6FEC}"/>
    <cellStyle name="Style 87 3 4 2 2" xfId="5053" xr:uid="{E21EC092-E53B-4DC9-BC69-FD23E8697257}"/>
    <cellStyle name="Style 87 3 4 2 2 2" xfId="12593" xr:uid="{59143D93-129C-48D1-930D-CF329571B423}"/>
    <cellStyle name="Style 87 3 4 2 2 2 2" xfId="28484" xr:uid="{D0A81172-397A-490D-9033-1624B16C5F6D}"/>
    <cellStyle name="Style 87 3 4 2 2 3" xfId="12594" xr:uid="{D3674F07-13BC-46BC-8E23-90BDFACC2F27}"/>
    <cellStyle name="Style 87 3 4 2 3" xfId="12595" xr:uid="{8D9FDFEC-7414-4D80-9259-5AB5825E1E14}"/>
    <cellStyle name="Style 87 3 4 2 3 2 2" xfId="28485" xr:uid="{3B16A59C-8A06-4335-AA0C-642BA40AAD9B}"/>
    <cellStyle name="Style 87 3 4 2 4" xfId="12596" xr:uid="{281267D5-7690-4797-A427-A998E69927C1}"/>
    <cellStyle name="Style 87 3 4 2 4 2" xfId="28486" xr:uid="{BC072D25-940B-465D-A507-19601440B41D}"/>
    <cellStyle name="Style 87 3 4 2 5" xfId="12597" xr:uid="{46B916FB-B318-4FF1-BB5D-9854D90DC2CE}"/>
    <cellStyle name="Style 87 3 4 2 5 2" xfId="28487" xr:uid="{8DC29ED3-84CA-44E4-82F4-0766CBF89839}"/>
    <cellStyle name="Style 87 3 4 2 6" xfId="12598" xr:uid="{2464A53F-2B75-4865-B777-FC4DCAAEB17F}"/>
    <cellStyle name="Style 87 3 4 2 6 2" xfId="28488" xr:uid="{2EC71D28-A1E1-4898-ADBA-F5A2E8B79CF4}"/>
    <cellStyle name="Style 87 3 4 2 7" xfId="12599" xr:uid="{5D0FB8F0-045F-4246-9D49-80E13F466CB1}"/>
    <cellStyle name="Style 87 3 4 2 7 2" xfId="28489" xr:uid="{A2928658-0AAE-4D75-8E24-F95CADEDC3D7}"/>
    <cellStyle name="Style 87 3 4 2 8" xfId="12600" xr:uid="{098DB50E-E688-47D0-93BC-593BA0FAF8D4}"/>
    <cellStyle name="Style 87 3 4 2 8 2" xfId="28490" xr:uid="{2C41AD5E-AF9D-4EFE-B46A-6665CA5BB9CC}"/>
    <cellStyle name="Style 87 3 4 2 9" xfId="12601" xr:uid="{252396C5-2B94-4B19-B9D4-42E6617294B8}"/>
    <cellStyle name="Style 87 3 4 2 9 2" xfId="28491" xr:uid="{02D5305E-C953-4C0C-91F6-7C29F86FFE54}"/>
    <cellStyle name="Style 87 3 4 3" xfId="5052" xr:uid="{A7EA992E-B6E8-49C8-8E63-7B5166894FB0}"/>
    <cellStyle name="Style 87 3 4 3 2" xfId="12602" xr:uid="{31BB5257-555F-45A3-8CEC-467B5FBB628F}"/>
    <cellStyle name="Style 87 3 4 3 3" xfId="12603" xr:uid="{96E4828B-F91F-490A-923C-443472596F2E}"/>
    <cellStyle name="Style 87 3 4 4" xfId="12604" xr:uid="{7FC6243F-EB7D-4841-A22C-B73C2D9A8DE7}"/>
    <cellStyle name="Style 87 3 4 4 2" xfId="12605" xr:uid="{214BCD67-68B3-4090-BC07-6A7C21CB78BD}"/>
    <cellStyle name="Style 87 3 4 4 2 2" xfId="28492" xr:uid="{DDF52E65-A060-46CC-BEDD-57BA6AEABFAC}"/>
    <cellStyle name="Style 87 3 4 5" xfId="12606" xr:uid="{8450F272-48C5-4AF4-ACA4-0BCB039C6B42}"/>
    <cellStyle name="Style 87 3 4 5 2" xfId="28493" xr:uid="{85A0C299-87DF-4BEF-AF8E-A1F2921F4FCF}"/>
    <cellStyle name="Style 87 3 4 6 2" xfId="28494" xr:uid="{DF39EA6F-7A1E-493E-AFC2-46E6F71105C7}"/>
    <cellStyle name="Style 87 3 4 7" xfId="12607" xr:uid="{22108E11-5489-4135-A467-C3C6FE56CBF5}"/>
    <cellStyle name="Style 87 3 4 7 2" xfId="28495" xr:uid="{A520EB55-8F98-4306-A50A-D6C85C07AD2C}"/>
    <cellStyle name="Style 87 3 4 9" xfId="12608" xr:uid="{91158C09-020D-40B6-AB69-91D9F9F8F402}"/>
    <cellStyle name="Style 87 3 4 9 2" xfId="28496" xr:uid="{1F72C698-B276-4503-B613-67CE54C99743}"/>
    <cellStyle name="Style 87 3 5" xfId="2328" xr:uid="{B75C2D0E-7ED5-44D8-998D-03E6B727B8BA}"/>
    <cellStyle name="Style 87 3 5 10 2" xfId="28497" xr:uid="{F2B4B90D-B21F-45F3-81B0-518B2C946DAD}"/>
    <cellStyle name="Style 87 3 5 11" xfId="12609" xr:uid="{34628546-697A-405B-9D5C-BBF88C2F02DA}"/>
    <cellStyle name="Style 87 3 5 11 2" xfId="28498" xr:uid="{DF731D17-48E9-491D-AE1A-E309027CB6DF}"/>
    <cellStyle name="Style 87 3 5 12" xfId="12610" xr:uid="{1BB0F7A9-A811-4C8F-8B15-E6070C4E8050}"/>
    <cellStyle name="Style 87 3 5 13" xfId="12611" xr:uid="{B854F83F-527E-4185-B9FC-DC69AD3AC74B}"/>
    <cellStyle name="Style 87 3 5 13 2" xfId="28499" xr:uid="{62DC582E-4BA6-4160-BB87-59B8473C414C}"/>
    <cellStyle name="Style 87 3 5 2" xfId="5054" xr:uid="{3A93860F-EB18-4B05-A48D-03DFE7CCA0BF}"/>
    <cellStyle name="Style 87 3 5 2 2 2" xfId="28500" xr:uid="{01098218-F442-4F2E-AE08-9B59AA824EEF}"/>
    <cellStyle name="Style 87 3 5 2 3" xfId="12612" xr:uid="{3C9645F8-B5E0-414F-94AE-45387D6A9056}"/>
    <cellStyle name="Style 87 3 5 2 3 2" xfId="28501" xr:uid="{F2F0CD9F-85CC-40D7-B9C5-0EAC79F6EDD2}"/>
    <cellStyle name="Style 87 3 5 3" xfId="12613" xr:uid="{A6CC9188-9765-45D7-8EF1-FC42BF9CEF9E}"/>
    <cellStyle name="Style 87 3 5 3 2" xfId="12614" xr:uid="{BCED6EB6-5DF6-44C0-840E-21257F532AE8}"/>
    <cellStyle name="Style 87 3 5 3 2 2" xfId="28502" xr:uid="{EE7A0778-41CB-4E95-8F2B-900A8A02C19B}"/>
    <cellStyle name="Style 87 3 5 4 2" xfId="28503" xr:uid="{8F377709-0AF4-47B0-86C2-21B3824635E7}"/>
    <cellStyle name="Style 87 3 5 5 2" xfId="28504" xr:uid="{74634954-55EB-4853-94BA-5E3DF3F6FCAB}"/>
    <cellStyle name="Style 87 3 5 6" xfId="12615" xr:uid="{44590E53-3327-4DC6-9098-A84467CE8EEC}"/>
    <cellStyle name="Style 87 3 5 7" xfId="12616" xr:uid="{9073046A-3E0C-4F83-8744-327EE97D786F}"/>
    <cellStyle name="Style 87 3 5 7 2" xfId="28505" xr:uid="{E04984E3-8152-4844-BD1D-184BEE4B3B9C}"/>
    <cellStyle name="Style 87 3 5 8" xfId="12617" xr:uid="{2C45CF08-146C-4D90-B5CF-B0DD42FE952C}"/>
    <cellStyle name="Style 87 3 5 8 2" xfId="28506" xr:uid="{583BB45F-DB75-4BA0-8E02-5CFA686D66CB}"/>
    <cellStyle name="Style 87 3 5 9" xfId="12618" xr:uid="{5D9FCD1D-E0E5-47B7-A9AB-DCE38B3A90C3}"/>
    <cellStyle name="Style 87 3 5 9 2" xfId="28507" xr:uid="{EAE67E13-EE7A-4D0F-9370-D0218DDF93E9}"/>
    <cellStyle name="Style 87 3 6" xfId="5055" xr:uid="{E7719560-39EA-432A-ABC6-4CE9CAD4B2D8}"/>
    <cellStyle name="Style 87 3 6 2 2" xfId="28508" xr:uid="{E9B15578-B856-4DBF-ABA8-FEBCECBA4C3E}"/>
    <cellStyle name="Style 87 3 6 3" xfId="12619" xr:uid="{C4720C5E-4F14-4E8D-BFB8-F1E2833269AC}"/>
    <cellStyle name="Style 87 3 6 3 2" xfId="28509" xr:uid="{A8B70D90-FA0C-4B2A-B637-3A0541C72BC5}"/>
    <cellStyle name="Style 87 3 7" xfId="5037" xr:uid="{5D13EFAA-9527-4BE8-8384-8B8C1124BA8A}"/>
    <cellStyle name="Style 87 3 7 2" xfId="12620" xr:uid="{CA3A58C4-5DDF-48B4-8ABC-93BE2C590B42}"/>
    <cellStyle name="Style 87 3 8" xfId="12621" xr:uid="{92F8FC26-EFF9-43F4-96C0-7430323768A8}"/>
    <cellStyle name="Style 87 3 8 2 2" xfId="28510" xr:uid="{AA014CC0-94AB-49B8-B1CD-BD6235CC96E5}"/>
    <cellStyle name="Style 87 3 9" xfId="12622" xr:uid="{01602DA7-2B4A-4227-9CC9-072A314B624F}"/>
    <cellStyle name="Style 87 3 9 2" xfId="28511" xr:uid="{43FCD717-CF6A-4881-A346-976F381170BF}"/>
    <cellStyle name="Style 87 4 10" xfId="12623" xr:uid="{CDAF0247-E395-42EA-AEE5-25F3484625C5}"/>
    <cellStyle name="Style 87 4 10 2" xfId="28512" xr:uid="{552FD606-EA28-42F9-B392-7F7601B41776}"/>
    <cellStyle name="Style 87 4 11" xfId="12624" xr:uid="{55F06FBB-797B-4B81-B7EE-D10DBDA996B9}"/>
    <cellStyle name="Style 87 4 12" xfId="12625" xr:uid="{AF3CB3C1-DDB9-440A-98FE-28CEC5055D20}"/>
    <cellStyle name="Style 87 4 13" xfId="12626" xr:uid="{466942C2-CDD1-479C-9ED1-52C2E49EBAFB}"/>
    <cellStyle name="Style 87 4 13 2" xfId="28513" xr:uid="{44D9071C-809D-4B9C-8CA4-A019050246E5}"/>
    <cellStyle name="Style 87 4 14" xfId="12627" xr:uid="{C75EE2DE-6BA1-4523-824B-A7044CB37A15}"/>
    <cellStyle name="Style 87 4 14 2" xfId="28514" xr:uid="{8C61631E-05DC-4C78-9256-E119E42BB6AA}"/>
    <cellStyle name="Style 87 4 15" xfId="12628" xr:uid="{A68077D6-FF00-4593-9A41-6BD64B7B7C0D}"/>
    <cellStyle name="Style 87 4 15 2" xfId="28515" xr:uid="{75129E59-73A8-4E37-ADB0-87C57B475EE5}"/>
    <cellStyle name="Style 87 4 2" xfId="2329" xr:uid="{B0FACA27-2D93-457E-8271-A2228B6B233E}"/>
    <cellStyle name="Style 87 4 2 10" xfId="12629" xr:uid="{46E14FCD-6B06-4BC5-B4C9-354EE91BE757}"/>
    <cellStyle name="Style 87 4 2 10 2" xfId="28516" xr:uid="{DCB665B2-35F0-4845-8D77-A30DE4228CC7}"/>
    <cellStyle name="Style 87 4 2 11 2" xfId="28517" xr:uid="{2BBC3449-405B-4FDC-AE73-E3EF715A86D4}"/>
    <cellStyle name="Style 87 4 2 12" xfId="12630" xr:uid="{C1FB2DDA-A1CD-40A5-B59F-7EAB70C754ED}"/>
    <cellStyle name="Style 87 4 2 12 2" xfId="28518" xr:uid="{595EF3C3-BFE4-421B-BC5C-4678D008E7AA}"/>
    <cellStyle name="Style 87 4 2 13 2" xfId="28519" xr:uid="{9B7FE650-3AA3-424B-8AD4-D0FB4C148E6D}"/>
    <cellStyle name="Style 87 4 2 14" xfId="12631" xr:uid="{26635BB1-79FF-4C62-A897-2C6BDCBBFBF7}"/>
    <cellStyle name="Style 87 4 2 14 2" xfId="28520" xr:uid="{BCF0ABF6-6E51-4CE9-BAA5-F0D18536815F}"/>
    <cellStyle name="Style 87 4 2 15" xfId="12632" xr:uid="{55FC723A-4EF5-46B6-A06F-BA34E03DFB7D}"/>
    <cellStyle name="Style 87 4 2 15 2" xfId="28521" xr:uid="{A0708127-8E11-457E-9E93-B06195BA517D}"/>
    <cellStyle name="Style 87 4 2 2" xfId="2330" xr:uid="{D20B8C0C-170A-4DB3-B1E5-CCFBE301D131}"/>
    <cellStyle name="Style 87 4 2 2 10" xfId="12633" xr:uid="{8D592C9F-FDAE-4E95-8B96-0ADFAE00F616}"/>
    <cellStyle name="Style 87 4 2 2 10 2" xfId="28522" xr:uid="{CA585D9A-CA9E-4F88-AF07-31AB80009330}"/>
    <cellStyle name="Style 87 4 2 2 11" xfId="12634" xr:uid="{493D5CFE-B52B-4409-814C-BCF54B9E95BE}"/>
    <cellStyle name="Style 87 4 2 2 11 2" xfId="28523" xr:uid="{1EBB24D9-ED06-42DA-8277-22D5CD1A4DB2}"/>
    <cellStyle name="Style 87 4 2 2 12 2" xfId="28524" xr:uid="{B9C692CA-8532-4387-A374-8602EF802F41}"/>
    <cellStyle name="Style 87 4 2 2 13" xfId="12635" xr:uid="{026B3E78-A046-4FA5-997B-429354B940D9}"/>
    <cellStyle name="Style 87 4 2 2 13 2" xfId="28525" xr:uid="{CBE9466A-A577-4C25-8D02-C8DE454545C1}"/>
    <cellStyle name="Style 87 4 2 2 14" xfId="12636" xr:uid="{CBC8B917-C310-4034-94F9-0B62044601D1}"/>
    <cellStyle name="Style 87 4 2 2 14 2" xfId="28526" xr:uid="{754A2248-5836-434A-8813-A04C3495E66C}"/>
    <cellStyle name="Style 87 4 2 2 2" xfId="2331" xr:uid="{0818CE09-387F-4971-A18C-52E95322DF2B}"/>
    <cellStyle name="Style 87 4 2 2 2 10" xfId="12637" xr:uid="{29535896-879F-4332-8809-958002AFDCB6}"/>
    <cellStyle name="Style 87 4 2 2 2 10 2" xfId="28527" xr:uid="{08B0A5A4-5D54-4E0A-88C7-7C255DA45A96}"/>
    <cellStyle name="Style 87 4 2 2 2 11" xfId="12638" xr:uid="{C45B13DF-CC46-46DB-B8D0-648C1FBB5560}"/>
    <cellStyle name="Style 87 4 2 2 2 11 2" xfId="28528" xr:uid="{653BC655-69AD-47EE-8E01-C35A1D93C6A2}"/>
    <cellStyle name="Style 87 4 2 2 2 12" xfId="12639" xr:uid="{A104AC29-F8C0-4BA6-9EBF-4B84BC45B334}"/>
    <cellStyle name="Style 87 4 2 2 2 12 2" xfId="28529" xr:uid="{08A0E009-B527-478E-A6C7-9AF869498421}"/>
    <cellStyle name="Style 87 4 2 2 2 2 2 2" xfId="28530" xr:uid="{69EC7D8C-6FFE-4FCF-AF4A-288317BAC164}"/>
    <cellStyle name="Style 87 4 2 2 2 2 3" xfId="12640" xr:uid="{D5882978-B380-426A-B998-406771A75260}"/>
    <cellStyle name="Style 87 4 2 2 2 2 3 2" xfId="28531" xr:uid="{8FD4E907-D25F-4FE0-A5DA-569DE920B6EE}"/>
    <cellStyle name="Style 87 4 2 2 2 3 2" xfId="12641" xr:uid="{04B58E28-08E6-4071-8C2C-399B794D19D2}"/>
    <cellStyle name="Style 87 4 2 2 2 3 2 2" xfId="28532" xr:uid="{E064BE68-77E7-4D5B-ACF4-0D0E8436D0A5}"/>
    <cellStyle name="Style 87 4 2 2 2 4" xfId="12642" xr:uid="{3549D1C8-E28B-4AB5-8927-F7CCD11C3CCD}"/>
    <cellStyle name="Style 87 4 2 2 2 4 2" xfId="28533" xr:uid="{7EE4B994-B26B-4375-8B23-5A8916E15F46}"/>
    <cellStyle name="Style 87 4 2 2 2 5" xfId="12643" xr:uid="{6C8E8FDF-EC00-423C-94A5-A7ABCFD777BB}"/>
    <cellStyle name="Style 87 4 2 2 2 6" xfId="12644" xr:uid="{1C63FC3D-C883-4F98-96BC-F3A6CC1BC734}"/>
    <cellStyle name="Style 87 4 2 2 2 7" xfId="12645" xr:uid="{46B8CD29-1CB5-44A4-A5FA-8E0DF715110C}"/>
    <cellStyle name="Style 87 4 2 2 2 7 2" xfId="28534" xr:uid="{D1380C61-5766-4F24-9789-31B2C97C2CA6}"/>
    <cellStyle name="Style 87 4 2 2 2 8" xfId="12646" xr:uid="{5D56762B-70B9-4FEB-9294-21EFA8E01DBE}"/>
    <cellStyle name="Style 87 4 2 2 2 9" xfId="12647" xr:uid="{1AF852E8-2897-4FDB-9E69-BD3FB1701E94}"/>
    <cellStyle name="Style 87 4 2 2 2 9 2" xfId="28535" xr:uid="{2210CD43-26F4-4132-8B6D-3265DB4B2B7F}"/>
    <cellStyle name="Style 87 4 2 2 3" xfId="5058" xr:uid="{81F1EDFD-ED36-4F06-9CA2-BAF53D4C6E7D}"/>
    <cellStyle name="Style 87 4 2 2 3 2" xfId="12648" xr:uid="{8EA94DBB-AD61-4C25-B66E-25AA75FDF190}"/>
    <cellStyle name="Style 87 4 2 2 3 2 2" xfId="28536" xr:uid="{2E603716-EFAA-4CDA-BAEB-12FFCE87E705}"/>
    <cellStyle name="Style 87 4 2 2 3 3 2" xfId="28537" xr:uid="{4477B898-6C0F-40F2-BF30-F041EF0612D3}"/>
    <cellStyle name="Style 87 4 2 2 4" xfId="12649" xr:uid="{D827D48B-BF9A-4220-A918-45FF91F19189}"/>
    <cellStyle name="Style 87 4 2 2 4 2 2" xfId="28538" xr:uid="{3D71BE7A-268A-4A8C-A15B-93407182DC46}"/>
    <cellStyle name="Style 87 4 2 2 5 2" xfId="28539" xr:uid="{81C3CB75-91EE-456A-A3AF-F0051AFF0299}"/>
    <cellStyle name="Style 87 4 2 2 6" xfId="12650" xr:uid="{D8A15C7F-940F-4426-9EC5-0E8306B9FC09}"/>
    <cellStyle name="Style 87 4 2 2 6 2" xfId="28540" xr:uid="{C396A717-2370-46BD-B3FB-B3358DE08DCF}"/>
    <cellStyle name="Style 87 4 2 2 7" xfId="12651" xr:uid="{008C0F1F-8AE4-44F4-A326-804616A386CB}"/>
    <cellStyle name="Style 87 4 2 2 7 2" xfId="28541" xr:uid="{704A6A58-79EF-4117-BCC3-B84E53CFD463}"/>
    <cellStyle name="Style 87 4 2 2 8" xfId="12652" xr:uid="{23F49863-105A-422B-8000-5C871460D6CB}"/>
    <cellStyle name="Style 87 4 2 2 9" xfId="12653" xr:uid="{AC2DA983-521A-4EF9-88EB-A93BB394157F}"/>
    <cellStyle name="Style 87 4 2 3" xfId="2332" xr:uid="{A5F944CE-AE01-4802-AF96-45AA34967ABF}"/>
    <cellStyle name="Style 87 4 2 3 10" xfId="12654" xr:uid="{AD329D9C-8F8F-4DB9-AE38-DF5E73544AC2}"/>
    <cellStyle name="Style 87 4 2 3 11" xfId="12655" xr:uid="{0D331C23-4B0C-441B-97B7-27171F5DD5CB}"/>
    <cellStyle name="Style 87 4 2 3 11 2" xfId="28542" xr:uid="{A240953F-A839-411C-A762-BFDB16A19C50}"/>
    <cellStyle name="Style 87 4 2 3 12" xfId="12656" xr:uid="{C01ABEA0-D9B4-4C1E-8E69-CBF72C69679D}"/>
    <cellStyle name="Style 87 4 2 3 12 2" xfId="28543" xr:uid="{F3F63919-7698-42FD-ADC4-3F6894A86012}"/>
    <cellStyle name="Style 87 4 2 3 2" xfId="5059" xr:uid="{7FDE2AF6-E8D8-456B-B968-80D767D18999}"/>
    <cellStyle name="Style 87 4 2 3 2 2" xfId="12657" xr:uid="{C5E3E146-47B1-4E3B-B99C-712011BF268F}"/>
    <cellStyle name="Style 87 4 2 3 2 3" xfId="12658" xr:uid="{121E6964-E959-47B3-B914-187109B7ED1D}"/>
    <cellStyle name="Style 87 4 2 3 2 3 2" xfId="28544" xr:uid="{2438859C-7110-48D9-BBC9-7AADB6CD39A4}"/>
    <cellStyle name="Style 87 4 2 3 3" xfId="12659" xr:uid="{41E85DF2-BD6C-4299-A5BC-56E22DF381B3}"/>
    <cellStyle name="Style 87 4 2 3 3 2 2" xfId="28545" xr:uid="{5B567268-24E1-4CB1-8490-5BAF4EA2C4AD}"/>
    <cellStyle name="Style 87 4 2 3 4" xfId="12660" xr:uid="{B457A3E9-74A4-4048-BBAA-636F66654511}"/>
    <cellStyle name="Style 87 4 2 3 4 2" xfId="28546" xr:uid="{13318AE2-2B3B-4921-9E87-279FE05E5658}"/>
    <cellStyle name="Style 87 4 2 3 5 2" xfId="28547" xr:uid="{BB6D5CA5-2EF7-4B66-BC56-22353CFDF0AB}"/>
    <cellStyle name="Style 87 4 2 3 6 2" xfId="28548" xr:uid="{7BFFDF21-CAD7-452D-ACF3-56A864A8DBC1}"/>
    <cellStyle name="Style 87 4 2 3 7" xfId="12661" xr:uid="{C91A2DFA-78AE-4827-A9DF-7A39E8E603C1}"/>
    <cellStyle name="Style 87 4 2 3 7 2" xfId="28549" xr:uid="{8215DA1F-A783-4DDB-9B47-1B4226F896DC}"/>
    <cellStyle name="Style 87 4 2 3 8 2" xfId="28550" xr:uid="{869D9524-49D5-41CF-9A11-5757024EDC2F}"/>
    <cellStyle name="Style 87 4 2 3 9" xfId="12662" xr:uid="{27C2B366-E82E-487F-81DB-4E82DA261719}"/>
    <cellStyle name="Style 87 4 2 3 9 2" xfId="28551" xr:uid="{C4AFFFA6-3C36-4CDA-A162-C0851B119191}"/>
    <cellStyle name="Style 87 4 2 4" xfId="5057" xr:uid="{5B62D74E-B494-4EC3-8806-FB33167E22A2}"/>
    <cellStyle name="Style 87 4 2 4 2" xfId="12663" xr:uid="{96F7CB12-EECC-46D7-9AD2-338055D116AC}"/>
    <cellStyle name="Style 87 4 2 4 2 2" xfId="28552" xr:uid="{47DE18BA-B149-4EFD-9886-9F47C31F8B12}"/>
    <cellStyle name="Style 87 4 2 4 3" xfId="12664" xr:uid="{ACAFB86C-DD05-49BE-B6B1-631B9ACA6803}"/>
    <cellStyle name="Style 87 4 2 4 3 2" xfId="28553" xr:uid="{82DD59CB-FCB5-4702-A657-04F88871634F}"/>
    <cellStyle name="Style 87 4 2 5" xfId="12665" xr:uid="{1C0639A5-7E45-48C6-80DE-08E0A98D853F}"/>
    <cellStyle name="Style 87 4 2 5 2" xfId="12666" xr:uid="{C68D1DAF-CAF0-493F-9B05-541409355EAD}"/>
    <cellStyle name="Style 87 4 2 5 2 2" xfId="28554" xr:uid="{12B5E4DF-3E0E-4F04-8038-16D4FCB8F255}"/>
    <cellStyle name="Style 87 4 2 6" xfId="12667" xr:uid="{99A79D5E-5E94-418E-A070-EA09E80E3ACB}"/>
    <cellStyle name="Style 87 4 2 6 2" xfId="28555" xr:uid="{08369B58-7D95-4FEA-B6E1-CF5645ED6CDC}"/>
    <cellStyle name="Style 87 4 2 7 2" xfId="28556" xr:uid="{94E0CC48-AAC6-4C0C-A11F-821403177339}"/>
    <cellStyle name="Style 87 4 2 8" xfId="12668" xr:uid="{8EA2E871-9820-4AF9-A7D1-D8D717827DEE}"/>
    <cellStyle name="Style 87 4 2 8 2" xfId="28557" xr:uid="{34946A14-CE25-4AC7-BFFA-C7DE68FB4796}"/>
    <cellStyle name="Style 87 4 2 9" xfId="12669" xr:uid="{BB11D3A6-41E7-4BBE-8E98-DADC79D697B0}"/>
    <cellStyle name="Style 87 4 2 9 2" xfId="28558" xr:uid="{6B27DCE1-5B48-4A0A-B539-6E4398CAAB99}"/>
    <cellStyle name="Style 87 4 3 2" xfId="5061" xr:uid="{BE02C990-1199-40EE-956A-A8ECA6E933C5}"/>
    <cellStyle name="Style 87 4 3 2 2" xfId="12670" xr:uid="{F77B1713-EBF0-4F15-A742-78A1ECD6A9D6}"/>
    <cellStyle name="Style 87 4 3 2 2 2" xfId="28559" xr:uid="{28943493-BA69-412F-9466-966D708D94D5}"/>
    <cellStyle name="Style 87 4 3 2 3 2" xfId="28560" xr:uid="{EB9CC8C2-CBD7-4BB5-A17C-683F02E3B052}"/>
    <cellStyle name="Style 87 4 3 2 4" xfId="12671" xr:uid="{26A49424-F2D1-4642-92BA-D293CE23DE69}"/>
    <cellStyle name="Style 87 4 3 3" xfId="5060" xr:uid="{ECA61FEC-F601-489B-9F3A-74CA77640D80}"/>
    <cellStyle name="Style 87 4 3 3 2" xfId="12672" xr:uid="{5F9DD218-9E2B-43DB-8039-CEB7C77F20A5}"/>
    <cellStyle name="Style 87 4 3 3 2 2" xfId="28561" xr:uid="{E7D7ED19-FD24-4A16-BA6E-B6FA40FFE839}"/>
    <cellStyle name="Style 87 4 3 3 3 2" xfId="28562" xr:uid="{A5DA2D85-C862-48CE-9B7F-0EA4C5FE19AF}"/>
    <cellStyle name="Style 87 4 3 4" xfId="12673" xr:uid="{103EC948-F8DD-4C07-B240-7C228D28B0BB}"/>
    <cellStyle name="Style 87 4 3 4 2" xfId="12674" xr:uid="{7B29663B-F80A-468C-8D64-7B2D0E7E2D2D}"/>
    <cellStyle name="Style 87 4 3 4 2 2" xfId="28563" xr:uid="{809D777E-FE34-437A-A8D5-816B22C2224C}"/>
    <cellStyle name="Style 87 4 3 4 3" xfId="12675" xr:uid="{F234529C-8885-48FB-A5DB-C06620B44D03}"/>
    <cellStyle name="Style 87 4 3 5" xfId="12676" xr:uid="{6A8B262B-631D-4316-A030-101CDA0F09F5}"/>
    <cellStyle name="Style 87 4 3 5 2" xfId="28564" xr:uid="{86FDD193-E0EB-4620-838B-3BBFA6EF8C59}"/>
    <cellStyle name="Style 87 4 3 6" xfId="12677" xr:uid="{CAEC2DFA-66EC-4FD9-AE7B-12FBF8CCC1E7}"/>
    <cellStyle name="Style 87 4 3 6 2" xfId="28565" xr:uid="{7113E46F-6646-4268-BA7C-69B714AE1A9D}"/>
    <cellStyle name="Style 87 4 3 7" xfId="12678" xr:uid="{21E7A923-C03F-4C11-A8A4-B5E433476545}"/>
    <cellStyle name="Style 87 4 3 7 2" xfId="28566" xr:uid="{8C10AD23-78D8-485F-B958-DDAB0A18AB24}"/>
    <cellStyle name="Style 87 4 3 8" xfId="12679" xr:uid="{55354488-697E-4DFA-AA6E-05C7A66A2C7C}"/>
    <cellStyle name="Style 87 4 3 9" xfId="12680" xr:uid="{74482CDB-E976-440C-B0BD-211BF00CE29B}"/>
    <cellStyle name="Style 87 4 3 9 2" xfId="28567" xr:uid="{E8B98D14-902A-4E5B-805E-C47C4CFF195C}"/>
    <cellStyle name="Style 87 4 4" xfId="5062" xr:uid="{C07E766E-5C8C-4A22-95EE-C3E16AEB63CD}"/>
    <cellStyle name="Style 87 4 4 2 2" xfId="28568" xr:uid="{381C8C0C-BF05-421D-A69F-C0F863C0D9C3}"/>
    <cellStyle name="Style 87 4 4 3 2" xfId="28569" xr:uid="{3EF601EC-8239-4464-918F-3488C1A59FFD}"/>
    <cellStyle name="Style 87 4 5 2 2" xfId="28570" xr:uid="{2E9779BD-D70C-4FCE-ACC8-0DDA3518CF86}"/>
    <cellStyle name="Style 87 4 6" xfId="5056" xr:uid="{CE0B57C2-5371-4407-8A03-05CE450865F6}"/>
    <cellStyle name="Style 87 4 6 2" xfId="12681" xr:uid="{5272CA1D-EE9C-45D3-AEE8-DA7AD4C41A5F}"/>
    <cellStyle name="Style 87 4 6 2 2" xfId="28571" xr:uid="{8DCE5DCA-96D6-4D29-B706-AAD8BB545155}"/>
    <cellStyle name="Style 87 4 7" xfId="12682" xr:uid="{62553193-7305-4040-8BDB-248AE872512E}"/>
    <cellStyle name="Style 87 4 7 2" xfId="12683" xr:uid="{FE43AE02-C337-4F57-9590-67426CD5CCA9}"/>
    <cellStyle name="Style 87 4 7 2 2" xfId="28572" xr:uid="{EAB20F69-6930-4C3B-9C11-245FF87B7A4D}"/>
    <cellStyle name="Style 87 4 8" xfId="12684" xr:uid="{78EF1D17-A877-4BE2-8055-A68FAE6A35E1}"/>
    <cellStyle name="Style 87 4 9" xfId="12685" xr:uid="{F5866972-14C0-4B3C-BCAD-407F81D3FD05}"/>
    <cellStyle name="Style 87 4 9 2" xfId="28573" xr:uid="{BCF765CE-0DC5-489C-AD81-700D57C8450B}"/>
    <cellStyle name="Style 87 5" xfId="2333" xr:uid="{510AE15A-EF7F-4C7B-9B24-C4E7CE8B43F8}"/>
    <cellStyle name="Style 87 5 10" xfId="12686" xr:uid="{9A5C25DA-E181-4645-B6EE-241B621751FA}"/>
    <cellStyle name="Style 87 5 2" xfId="2334" xr:uid="{F4B3AF25-0577-43A6-B8F6-A3AEF47D088E}"/>
    <cellStyle name="Style 87 5 2 2" xfId="5064" xr:uid="{2D3B0CD9-4951-4EE9-BD83-46F8751FF5DC}"/>
    <cellStyle name="Style 87 5 2 2 2" xfId="12687" xr:uid="{A264C0E5-42AD-4FE6-BA82-31A8C2E5D936}"/>
    <cellStyle name="Style 87 5 2 2 3 2" xfId="28574" xr:uid="{D77F7E0F-0BEB-454D-A0A9-87A9B1201AD4}"/>
    <cellStyle name="Style 87 5 2 2 4" xfId="12688" xr:uid="{DD90CD99-9622-4DC1-B2E8-5CA911B58B0B}"/>
    <cellStyle name="Style 87 5 2 2 4 2" xfId="28575" xr:uid="{FED9A308-565C-42B3-A55E-756E1BCAD0AD}"/>
    <cellStyle name="Style 87 5 2 3 2" xfId="12689" xr:uid="{B7962D09-61C1-4152-819A-6CB5E2FC9A31}"/>
    <cellStyle name="Style 87 5 2 3 2 2" xfId="28576" xr:uid="{8833559C-DBE1-4A00-AAC1-D4E467820B9C}"/>
    <cellStyle name="Style 87 5 2 3 3" xfId="12690" xr:uid="{B7A5F080-7F1F-447F-BF7B-56C242360C59}"/>
    <cellStyle name="Style 87 5 2 3 3 2" xfId="28577" xr:uid="{928DC36E-3520-4C45-80C0-40D1AEED91C0}"/>
    <cellStyle name="Style 87 5 2 4" xfId="12691" xr:uid="{E896BC13-571E-42DE-A533-A654234F5E86}"/>
    <cellStyle name="Style 87 5 2 4 2" xfId="12692" xr:uid="{C7A40614-8263-4FBE-98AC-6A57E429FC19}"/>
    <cellStyle name="Style 87 5 2 4 2 2" xfId="28579" xr:uid="{1D9D71B0-DFF4-467C-8D06-E01BCF1C7C31}"/>
    <cellStyle name="Style 87 5 2 4 3" xfId="28578" xr:uid="{E012039B-6DB5-4E10-9F0A-6E555094417D}"/>
    <cellStyle name="Style 87 5 2 5" xfId="12693" xr:uid="{973D15AA-3F3A-4FA7-977A-006ECDACC330}"/>
    <cellStyle name="Style 87 5 2 5 2" xfId="12694" xr:uid="{A3FDC41D-EEBC-459B-8CBC-6F4ED2241533}"/>
    <cellStyle name="Style 87 5 2 5 3" xfId="28580" xr:uid="{4CA5F5C4-43F7-476E-B196-4E9681AD85E3}"/>
    <cellStyle name="Style 87 5 2 6" xfId="12695" xr:uid="{3B5C49AB-6321-483B-9E61-3A6435A6818E}"/>
    <cellStyle name="Style 87 5 2 6 2" xfId="28581" xr:uid="{F69111E6-6376-4BDB-A5A1-3443B7D561E0}"/>
    <cellStyle name="Style 87 5 2 7" xfId="12696" xr:uid="{AB3AB628-EABC-4D2A-992F-9B8542120D5F}"/>
    <cellStyle name="Style 87 5 2 8" xfId="12697" xr:uid="{E9773EAF-C738-4D23-9AE4-FC018E1BC39A}"/>
    <cellStyle name="Style 87 5 2 8 2" xfId="28582" xr:uid="{0A8C60AB-0DA8-4006-965D-273595238F28}"/>
    <cellStyle name="Style 87 5 3" xfId="5063" xr:uid="{F89E59A5-4689-4D22-A5D5-0FE7C67B2F23}"/>
    <cellStyle name="Style 87 5 3 2" xfId="12698" xr:uid="{0E902344-2BAD-4F2F-B002-56E3E5C073F8}"/>
    <cellStyle name="Style 87 5 3 2 2" xfId="28583" xr:uid="{98583DF4-4A9D-4926-86CB-7610CFBB0A00}"/>
    <cellStyle name="Style 87 5 3 3" xfId="12699" xr:uid="{8A1BE532-CF28-4091-ADC2-8C432D2AF07D}"/>
    <cellStyle name="Style 87 5 3 4" xfId="12700" xr:uid="{2730CDB2-9393-4039-B0AF-021BC5BD20B8}"/>
    <cellStyle name="Style 87 5 4" xfId="12701" xr:uid="{0FF24FD8-E3D4-4C62-BD15-509A2D80A70B}"/>
    <cellStyle name="Style 87 5 4 2" xfId="12702" xr:uid="{CF024F0E-67F8-47F5-8920-2FD2DF54C7A9}"/>
    <cellStyle name="Style 87 5 4 3" xfId="12703" xr:uid="{A20C761E-F423-4526-AFA2-353623898D17}"/>
    <cellStyle name="Style 87 5 4 3 2" xfId="28584" xr:uid="{C7CF0254-56DC-463F-97BD-16B1220ABF7C}"/>
    <cellStyle name="Style 87 5 5" xfId="12704" xr:uid="{CA76395F-1158-45A4-80B9-43910EF3C1A1}"/>
    <cellStyle name="Style 87 5 5 2" xfId="12705" xr:uid="{FD0B5FD5-6236-4162-BC87-7F6673D843DD}"/>
    <cellStyle name="Style 87 5 5 2 2" xfId="28586" xr:uid="{908999BD-424E-4A84-9E7B-848881472AA7}"/>
    <cellStyle name="Style 87 5 5 3" xfId="28585" xr:uid="{38205818-D950-4F85-B042-2E385F34F307}"/>
    <cellStyle name="Style 87 5 6 2" xfId="12706" xr:uid="{A73A1F98-96AE-4225-9F91-7246E84F0355}"/>
    <cellStyle name="Style 87 5 6 2 2" xfId="28588" xr:uid="{0BDB9C92-94B8-4F27-ACDE-4937A6B9166A}"/>
    <cellStyle name="Style 87 5 6 3" xfId="28587" xr:uid="{3BF187B0-C309-4178-A7B9-59741C9CAC2D}"/>
    <cellStyle name="Style 87 5 7 2" xfId="12707" xr:uid="{1D4FBD9A-5485-4814-8F32-DBDAB6CCC696}"/>
    <cellStyle name="Style 87 5 7 3" xfId="28589" xr:uid="{962CE76F-9891-473D-8E73-4CF4BF864446}"/>
    <cellStyle name="Style 87 5 8" xfId="12708" xr:uid="{B3DD2CA6-FD3D-4E83-B48D-AD0D7A7A81E8}"/>
    <cellStyle name="Style 87 5 8 2" xfId="28590" xr:uid="{7D242824-2231-420A-B368-03042E5CFDE1}"/>
    <cellStyle name="Style 87 5 9 2" xfId="28591" xr:uid="{9E387CF9-30D1-466B-8271-9C13ED4502C4}"/>
    <cellStyle name="Style 87 6" xfId="2335" xr:uid="{7F54B589-4C7C-4D7D-87D9-8D6E9C01F876}"/>
    <cellStyle name="Style 87 6 2" xfId="2794" xr:uid="{A25216D5-8832-4C16-991B-9534AFDC922B}"/>
    <cellStyle name="Style 87 6 2 2 2" xfId="12709" xr:uid="{5C8E04F5-F821-4BD5-A938-CC95BA9F1927}"/>
    <cellStyle name="Style 87 6 2 2 2 2" xfId="28592" xr:uid="{AFC31821-35FC-46D7-B8E3-1C93455F29A8}"/>
    <cellStyle name="Style 87 6 2 2 3" xfId="22540" xr:uid="{B6631530-CF7A-48DF-83AC-3859AE894272}"/>
    <cellStyle name="Style 87 6 2 3" xfId="12710" xr:uid="{3D2B3E2F-2859-4EAA-A27B-4A4FD04BBB44}"/>
    <cellStyle name="Style 87 6 2 3 2" xfId="28593" xr:uid="{D0443002-FFC6-444F-8AFC-0F52BA75F757}"/>
    <cellStyle name="Style 87 6 2 4" xfId="12711" xr:uid="{E8F5AB2F-8C81-4645-A6A3-C5E35660632A}"/>
    <cellStyle name="Style 87 6 2 4 2" xfId="28594" xr:uid="{1D8D852B-1433-472A-9C20-243D11D06C96}"/>
    <cellStyle name="Style 87 6 3" xfId="5066" xr:uid="{7F0B68FA-E9FC-4627-9418-D910CD0A28CE}"/>
    <cellStyle name="Style 87 6 3 2" xfId="12712" xr:uid="{7AFE2C5B-BDBF-4CDB-B202-B670C9EF4891}"/>
    <cellStyle name="Style 87 6 3 2 2" xfId="28595" xr:uid="{BEEF0453-A2FD-4A2E-BA74-F1B4C8EE0170}"/>
    <cellStyle name="Style 87 6 3 3" xfId="12713" xr:uid="{45C92B08-7383-473A-9A6F-34B0E500CAA4}"/>
    <cellStyle name="Style 87 6 3 3 2" xfId="28596" xr:uid="{0D414712-32EF-4BCC-89D6-3348539D597A}"/>
    <cellStyle name="Style 87 6 4" xfId="5065" xr:uid="{29F6CFE6-389E-4DE9-BB69-601D835628AF}"/>
    <cellStyle name="Style 87 6 4 2" xfId="12714" xr:uid="{CE65CAAB-D041-4F00-8E3B-F744D871B797}"/>
    <cellStyle name="Style 87 6 4 2 2" xfId="28597" xr:uid="{6F49E88D-7AE4-4C8E-B4CE-2A4C802BB9D2}"/>
    <cellStyle name="Style 87 6 4 3" xfId="12715" xr:uid="{960D18EE-4B53-4BB0-8E26-7328C8813892}"/>
    <cellStyle name="Style 87 6 4 3 2" xfId="28598" xr:uid="{67F16813-838F-4197-BEB5-7734E751D4D2}"/>
    <cellStyle name="Style 87 6 5 2" xfId="12716" xr:uid="{5842D129-0624-4CA1-8963-1D6114706CEB}"/>
    <cellStyle name="Style 87 6 5 3" xfId="12717" xr:uid="{E6EAEABE-CDB9-4BBE-8CC9-993DA9998262}"/>
    <cellStyle name="Style 87 6 5 3 2" xfId="28599" xr:uid="{19FF7FC4-8501-4559-A6B1-2DA11C3DD4F6}"/>
    <cellStyle name="Style 87 6 6" xfId="12718" xr:uid="{6EF86E1C-E57F-40CC-A012-6D9DC2A1CCE6}"/>
    <cellStyle name="Style 87 6 6 2" xfId="12719" xr:uid="{E0F81193-BAEC-4D72-A21A-A421EBDA668E}"/>
    <cellStyle name="Style 87 6 6 2 2" xfId="28601" xr:uid="{77312624-8695-4719-8348-B28BC9993687}"/>
    <cellStyle name="Style 87 6 6 3" xfId="28600" xr:uid="{B7E7863D-AB29-4523-8ED0-3573E7826745}"/>
    <cellStyle name="Style 87 6 7" xfId="12720" xr:uid="{B3EB8DC8-48EE-411B-B0B5-6C1BCAA8BAA5}"/>
    <cellStyle name="Style 87 6 7 2" xfId="28602" xr:uid="{9564ACA6-2417-47A5-A0B5-53C7BBF9567D}"/>
    <cellStyle name="Style 87 6 8" xfId="12721" xr:uid="{8C7A2A72-3DAA-4935-9746-F3F5FFBA2261}"/>
    <cellStyle name="Style 87 6 9" xfId="12722" xr:uid="{42B34738-D527-4A5E-A926-3FE93BF99748}"/>
    <cellStyle name="Style 87 6 9 2" xfId="28603" xr:uid="{09166F43-F7EA-4D71-AFA1-BE178D8DC538}"/>
    <cellStyle name="Style 87 7" xfId="2793" xr:uid="{4BE0234C-8AFE-44EF-A795-E7718142927B}"/>
    <cellStyle name="Style 87 7 2" xfId="5068" xr:uid="{5B787E89-7E01-454A-BEB0-A3E59B4EDAAA}"/>
    <cellStyle name="Style 87 7 2 2" xfId="12723" xr:uid="{C6265C2E-E0C7-44D9-9551-5D08631BF0BC}"/>
    <cellStyle name="Style 87 7 2 2 2" xfId="28604" xr:uid="{2AA2FDB5-4879-4552-8848-34668025369C}"/>
    <cellStyle name="Style 87 7 3" xfId="5069" xr:uid="{66A634AB-1752-406B-A70C-4C2907E5DDE8}"/>
    <cellStyle name="Style 87 7 4" xfId="5067" xr:uid="{BB1BB44F-FB0E-4FFE-874E-2C9AE78CBB23}"/>
    <cellStyle name="Style 87 7 4 2" xfId="22539" xr:uid="{C59BB923-2217-464F-A8FC-251B9E49B5C3}"/>
    <cellStyle name="Style 87 7 5 2" xfId="28605" xr:uid="{3D4E11C4-D774-4C0E-A219-50E8DEBC2491}"/>
    <cellStyle name="Style 87 7 6" xfId="19184" xr:uid="{FB6B3F24-E4AA-4CC3-94E6-4C28C5C0DDDB}"/>
    <cellStyle name="Style 87 8" xfId="5070" xr:uid="{7E3F4A72-FE08-4D23-AFE2-C14B81999C4F}"/>
    <cellStyle name="Style 87 8 2 2" xfId="28606" xr:uid="{AD69AC3F-69FC-49EF-8749-2AC1BCB09638}"/>
    <cellStyle name="Style 87 9" xfId="5071" xr:uid="{7690D623-417F-419D-B714-335C880EDA66}"/>
    <cellStyle name="Style 87 9 2" xfId="12724" xr:uid="{9D3F3D50-6994-40C6-9736-1042B98948C9}"/>
    <cellStyle name="Style 87 9 2 2" xfId="28607" xr:uid="{DD0E0E62-436E-4E3B-BA0C-6567CBFA3663}"/>
    <cellStyle name="Style 87_ADDON" xfId="20536" xr:uid="{AC04111F-5B5C-4C63-9492-34CC91915A00}"/>
    <cellStyle name="Style 93" xfId="2336" xr:uid="{AEF81C18-1B4F-43D0-A9DD-6726E075FEE4}"/>
    <cellStyle name="Style 93 10" xfId="2337" xr:uid="{D431B2E3-4668-417E-A8E3-833044DABBFE}"/>
    <cellStyle name="Style 93 10 10" xfId="12725" xr:uid="{6C6457A5-EE16-4A1E-82FF-49F2B70CCC11}"/>
    <cellStyle name="Style 93 10 10 2" xfId="28608" xr:uid="{CC230DF9-6C7D-4B02-BB6C-14451D8C6749}"/>
    <cellStyle name="Style 93 10 11" xfId="19186" xr:uid="{0D2C619C-0684-45DA-A8F7-F0C90CC21BE5}"/>
    <cellStyle name="Style 93 10 2" xfId="2338" xr:uid="{8831630E-7DD4-407F-8161-015FE46B437E}"/>
    <cellStyle name="Style 93 10 2 2 2" xfId="12726" xr:uid="{158F7B4B-9122-4F69-8BCA-CD84AF7389E7}"/>
    <cellStyle name="Style 93 10 2 2 2 2" xfId="28609" xr:uid="{638FB609-84E4-45C0-BC0C-CCDAF6171DD2}"/>
    <cellStyle name="Style 93 10 2 2 3" xfId="12727" xr:uid="{74C77773-6280-43B5-B03C-B1ACC9334198}"/>
    <cellStyle name="Style 93 10 2 2 3 2" xfId="28610" xr:uid="{326547CE-4072-485C-A273-0D8D650C0E00}"/>
    <cellStyle name="Style 93 10 2 2 4" xfId="12728" xr:uid="{BB0E1F6E-88C0-4046-B068-952E678BF864}"/>
    <cellStyle name="Style 93 10 2 2 4 2" xfId="28611" xr:uid="{F8D44400-8338-494F-8F52-B0110E9307AA}"/>
    <cellStyle name="Style 93 10 2 3" xfId="12729" xr:uid="{79A3FEA0-12DF-44DA-AC30-CAF76B5C4D1F}"/>
    <cellStyle name="Style 93 10 2 3 2" xfId="12730" xr:uid="{F5148EC8-A7AE-463F-AF2E-6F8D204AF37F}"/>
    <cellStyle name="Style 93 10 2 3 2 2" xfId="28612" xr:uid="{2D81D7A2-69F5-4843-A5E0-0CB40CDCCC75}"/>
    <cellStyle name="Style 93 10 2 3 3" xfId="12731" xr:uid="{DF33801E-7AA6-4E7D-A275-A5BD168A07FD}"/>
    <cellStyle name="Style 93 10 2 3 3 2" xfId="28613" xr:uid="{AB322C53-D0B1-48AC-B7E8-D4837A209BF3}"/>
    <cellStyle name="Style 93 10 2 3 4" xfId="22346" xr:uid="{17F30A62-FBAD-49B5-8DF6-5D82C30984B8}"/>
    <cellStyle name="Style 93 10 2 4" xfId="12732" xr:uid="{63E13696-F667-4624-A186-3997FCEF9563}"/>
    <cellStyle name="Style 93 10 2 4 2 2" xfId="28614" xr:uid="{DA359F85-97D3-4DE9-AE79-E36D184D2383}"/>
    <cellStyle name="Style 93 10 2 5" xfId="12733" xr:uid="{5879A912-B7EB-43D2-AEA9-5CDFCBD15B73}"/>
    <cellStyle name="Style 93 10 2 5 2" xfId="12734" xr:uid="{59BAFA59-EFF5-4DA3-93EC-35BFCF9A7E8C}"/>
    <cellStyle name="Style 93 10 2 5 2 2" xfId="28616" xr:uid="{3738CDA5-D809-4B27-B0EC-0505D1676989}"/>
    <cellStyle name="Style 93 10 2 5 3" xfId="28615" xr:uid="{38972502-8917-46BC-A602-4111CC1B9BB6}"/>
    <cellStyle name="Style 93 10 2 6" xfId="12735" xr:uid="{FBCA6342-7483-4978-B48C-0F0B87B9C046}"/>
    <cellStyle name="Style 93 10 2 6 2" xfId="28617" xr:uid="{EF4F336C-A54D-44CB-9E39-F9FE1F1AD31F}"/>
    <cellStyle name="Style 93 10 2 7" xfId="12736" xr:uid="{958928DC-87D4-428F-937E-D1C5AA967903}"/>
    <cellStyle name="Style 93 10 2 7 2" xfId="28618" xr:uid="{BCBDF49B-30E0-4C33-9A13-B9107BC6A509}"/>
    <cellStyle name="Style 93 10 2 8" xfId="12737" xr:uid="{4ED529FB-515D-490E-BDE8-5F9EF9E8E008}"/>
    <cellStyle name="Style 93 10 3" xfId="2795" xr:uid="{74A088D1-E205-4C5D-A936-DE7A7C571B4F}"/>
    <cellStyle name="Style 93 10 3 2" xfId="5073" xr:uid="{02EBF723-CF6A-4E41-8830-D5A2E1FC8204}"/>
    <cellStyle name="Style 93 10 3 2 2" xfId="12738" xr:uid="{D80F0FBF-C675-494B-9DF7-23B75CBF0681}"/>
    <cellStyle name="Style 93 10 3 2 2 2" xfId="28619" xr:uid="{12FE67AA-6B93-4BEC-946A-33648D498163}"/>
    <cellStyle name="Style 93 10 3 2 3" xfId="22541" xr:uid="{7613DEC0-ECE5-4834-BA2D-8C4CEF187DAA}"/>
    <cellStyle name="Style 93 10 3 3" xfId="12739" xr:uid="{3C92FE0B-86A0-4895-BBEC-8CAAF731688A}"/>
    <cellStyle name="Style 93 10 3 3 2" xfId="28620" xr:uid="{A8A8D22E-622B-4388-8400-65C9CEC0BFBE}"/>
    <cellStyle name="Style 93 10 3 4" xfId="12740" xr:uid="{B99A2C10-1A65-4D3A-BF91-1608ED739B24}"/>
    <cellStyle name="Style 93 10 3 4 2" xfId="28621" xr:uid="{6AD0A8E2-13F7-4834-AEDE-55B741F6B444}"/>
    <cellStyle name="Style 93 10 4 2" xfId="12741" xr:uid="{033FB1CA-E7C6-4D12-BB96-B2C959FBB375}"/>
    <cellStyle name="Style 93 10 4 2 2" xfId="28622" xr:uid="{86E3D8AA-DEE6-440E-A708-C48371380F54}"/>
    <cellStyle name="Style 93 10 4 3" xfId="12742" xr:uid="{42D51B73-710A-49EA-9AC7-2428E9FFE8B8}"/>
    <cellStyle name="Style 93 10 5" xfId="12743" xr:uid="{14771E18-2384-43E2-AE8D-646E4041986B}"/>
    <cellStyle name="Style 93 10 5 2" xfId="12744" xr:uid="{3F46BCCD-3641-4323-B7A2-D08EFA248AD0}"/>
    <cellStyle name="Style 93 10 5 2 2" xfId="28623" xr:uid="{89F4FDC2-A29D-4C76-9D6D-B45D72F350CE}"/>
    <cellStyle name="Style 93 10 5 3" xfId="12745" xr:uid="{C522E1F9-2B77-4721-B8C4-1CAD11291F01}"/>
    <cellStyle name="Style 93 10 5 3 2" xfId="28624" xr:uid="{464E76D6-D44E-460B-85A2-9B35ED0EE04F}"/>
    <cellStyle name="Style 93 10 5 4" xfId="22345" xr:uid="{0D271A4A-ECA5-4C85-88BF-6AC0DB80C6F8}"/>
    <cellStyle name="Style 93 10 6" xfId="12746" xr:uid="{19011EAC-5D8E-432F-B44E-5979F1F2B1B6}"/>
    <cellStyle name="Style 93 10 6 2" xfId="12747" xr:uid="{10A99D14-BF13-45F8-983D-271B6202A2F1}"/>
    <cellStyle name="Style 93 10 6 2 2" xfId="28626" xr:uid="{AF097977-A693-4C94-A1AE-CC07732ED327}"/>
    <cellStyle name="Style 93 10 6 3" xfId="28625" xr:uid="{3BDECA41-C0BB-4CED-8A94-71F9A4756DCB}"/>
    <cellStyle name="Style 93 10 7" xfId="12748" xr:uid="{9EF0EA9F-316A-4C8C-ABFF-E4C14FB7A11D}"/>
    <cellStyle name="Style 93 10 7 2" xfId="12749" xr:uid="{4CBA7D43-8555-47B9-AF1D-4DFD26948FD6}"/>
    <cellStyle name="Style 93 10 7 2 2" xfId="28628" xr:uid="{4C70B9BD-CA56-44C6-977B-43AF1CBC34B7}"/>
    <cellStyle name="Style 93 10 7 3" xfId="28627" xr:uid="{2D169377-3B8C-4F5E-9AC6-355BE20A42C1}"/>
    <cellStyle name="Style 93 10 8" xfId="12750" xr:uid="{CC7526D1-3F24-4ADF-88DB-3559C62CA2FA}"/>
    <cellStyle name="Style 93 10 8 2" xfId="28629" xr:uid="{AA08B8EA-A784-495D-897D-6EE310B4C00F}"/>
    <cellStyle name="Style 93 10 9" xfId="12751" xr:uid="{BA1B4016-0C62-4946-A24B-C09736E0B7D2}"/>
    <cellStyle name="Style 93 10 9 2" xfId="28630" xr:uid="{1E2A25B5-3B36-429B-87B2-F24B51394198}"/>
    <cellStyle name="Style 93 11" xfId="2339" xr:uid="{5AF3BE9A-3FE0-4F95-81C7-00B4CA5E4C14}"/>
    <cellStyle name="Style 93 11 10" xfId="12752" xr:uid="{ECFEF10B-C034-4162-A433-7FE996B90B1E}"/>
    <cellStyle name="Style 93 11 10 2" xfId="28631" xr:uid="{7E01BAC0-E9D2-459C-ABA2-DA62033ED6A1}"/>
    <cellStyle name="Style 93 11 11" xfId="19187" xr:uid="{8E33861E-8B2C-4683-8E24-A9DA03D69B49}"/>
    <cellStyle name="Style 93 11 2" xfId="2340" xr:uid="{5CA64DB7-7053-402C-9067-2E37A0FB47D1}"/>
    <cellStyle name="Style 93 11 2 2 2" xfId="12753" xr:uid="{E7617333-395E-41DF-B856-FA3B3D84CE03}"/>
    <cellStyle name="Style 93 11 2 2 2 2" xfId="28632" xr:uid="{EC8D965A-8C57-4262-8C88-AFD2CA7FA355}"/>
    <cellStyle name="Style 93 11 2 2 3" xfId="12754" xr:uid="{CEEBEDD0-7C82-47F6-816F-009169E1DD99}"/>
    <cellStyle name="Style 93 11 2 2 3 2" xfId="28633" xr:uid="{E518A1D9-6229-4643-B431-FADC3362D9E9}"/>
    <cellStyle name="Style 93 11 2 2 4" xfId="12755" xr:uid="{E3A6E100-B7AF-4279-8836-946BC7C24DA9}"/>
    <cellStyle name="Style 93 11 2 2 4 2" xfId="28634" xr:uid="{112C18B7-1A5C-4D8F-BD9A-92FA723806F9}"/>
    <cellStyle name="Style 93 11 2 3" xfId="12756" xr:uid="{20B2CD54-D43D-430B-A37A-87BAACD770B8}"/>
    <cellStyle name="Style 93 11 2 3 2" xfId="12757" xr:uid="{EC31F85B-3FFB-4446-8DC8-001D2C87B30C}"/>
    <cellStyle name="Style 93 11 2 3 2 2" xfId="28635" xr:uid="{91B04216-8F11-4979-89A8-06DDC6F137F0}"/>
    <cellStyle name="Style 93 11 2 3 3" xfId="12758" xr:uid="{85C5FE41-E4CD-4DAA-9D9F-3D33E8C5B1EB}"/>
    <cellStyle name="Style 93 11 2 3 3 2" xfId="28636" xr:uid="{C159A0FE-1127-44EC-82D8-67EC3A4ACEE3}"/>
    <cellStyle name="Style 93 11 2 3 4" xfId="22348" xr:uid="{5A40F5CD-664B-4954-8EDA-5006C289A2E6}"/>
    <cellStyle name="Style 93 11 2 4 2" xfId="12759" xr:uid="{4A562795-B668-4CDC-9540-123F7882B822}"/>
    <cellStyle name="Style 93 11 2 4 2 2" xfId="28638" xr:uid="{62008A37-C178-44CF-84FE-2A4B39F05A68}"/>
    <cellStyle name="Style 93 11 2 4 3" xfId="28637" xr:uid="{CD404B3C-E1A0-4A72-81B9-D07FE919B653}"/>
    <cellStyle name="Style 93 11 2 5 2" xfId="12760" xr:uid="{7A0509A7-3D16-4527-90F3-80B74CB340C1}"/>
    <cellStyle name="Style 93 11 2 5 2 2" xfId="28640" xr:uid="{FA1334BC-6EF2-4AD3-992A-C4F0E5F5E82F}"/>
    <cellStyle name="Style 93 11 2 5 3" xfId="28639" xr:uid="{F8ABEFFC-1654-4F92-8F1E-F68CE6341FE9}"/>
    <cellStyle name="Style 93 11 2 6" xfId="12761" xr:uid="{CDC24A1F-71DA-42BA-8780-89798E9F466A}"/>
    <cellStyle name="Style 93 11 2 6 2" xfId="28641" xr:uid="{85A510BA-FBC8-4B4E-A2B1-02E45D703F55}"/>
    <cellStyle name="Style 93 11 2 7 2" xfId="28642" xr:uid="{45FE736B-B89A-4A98-8516-AAB527C4F077}"/>
    <cellStyle name="Style 93 11 2 8" xfId="12762" xr:uid="{F9F00F6E-83F7-4517-B8DD-ABE9EE9EFBE5}"/>
    <cellStyle name="Style 93 11 2 8 2" xfId="28643" xr:uid="{7D7E1A86-7615-403C-A813-72D8B7483219}"/>
    <cellStyle name="Style 93 11 3" xfId="5075" xr:uid="{7063A48E-F462-4DE9-A5CE-31479FFB0067}"/>
    <cellStyle name="Style 93 11 3 2" xfId="12763" xr:uid="{45A195BD-748B-405B-88C0-158E3ABE4341}"/>
    <cellStyle name="Style 93 11 3 2 2" xfId="28644" xr:uid="{9337D4BE-CEFF-45E8-ACAB-D4CB6E72B858}"/>
    <cellStyle name="Style 93 11 3 3" xfId="12764" xr:uid="{4BC5B964-880B-4EA9-AE03-BD90AF99A8F6}"/>
    <cellStyle name="Style 93 11 3 3 2" xfId="28645" xr:uid="{F42C92FC-D0F2-43A0-A988-66F40AE8C9FC}"/>
    <cellStyle name="Style 93 11 3 4" xfId="12765" xr:uid="{FDD12838-6FE1-4A80-989E-74359B35AE1F}"/>
    <cellStyle name="Style 93 11 3 4 2" xfId="28646" xr:uid="{E78D2E3B-8FB9-443E-AA7A-0692E98B61C0}"/>
    <cellStyle name="Style 93 11 4" xfId="5074" xr:uid="{2869B7D8-D599-4F3D-837C-DDBAA20A7AFB}"/>
    <cellStyle name="Style 93 11 4 2 2" xfId="28647" xr:uid="{B1BCF582-55F6-48A8-9169-D70341800510}"/>
    <cellStyle name="Style 93 11 4 3 2" xfId="28648" xr:uid="{AD4506F0-FA77-4C91-B6D5-1FA64BDFC7EC}"/>
    <cellStyle name="Style 93 11 5" xfId="12766" xr:uid="{A9C78A5F-D01F-4D12-AC97-493CF832D244}"/>
    <cellStyle name="Style 93 11 5 2" xfId="12767" xr:uid="{9D6E76E0-EA2A-408F-A475-C67DBFBFA6B4}"/>
    <cellStyle name="Style 93 11 5 2 2" xfId="28649" xr:uid="{DC70D6BD-52DC-4754-93C3-CF56EE27DB92}"/>
    <cellStyle name="Style 93 11 5 3" xfId="12768" xr:uid="{0687C4B9-3CC9-4DC5-B6A4-E6AA7C40AB18}"/>
    <cellStyle name="Style 93 11 5 3 2" xfId="28650" xr:uid="{F020B3D4-EF95-4904-BFC8-A420920849C7}"/>
    <cellStyle name="Style 93 11 5 4" xfId="22347" xr:uid="{1EA800BE-BCF8-4F9D-B355-434F669C55DE}"/>
    <cellStyle name="Style 93 11 6" xfId="12769" xr:uid="{27C606B1-285D-4B79-B432-ED76E6C6AF75}"/>
    <cellStyle name="Style 93 11 6 2" xfId="12770" xr:uid="{0D997F04-F35E-4725-8D6A-4787A7C30028}"/>
    <cellStyle name="Style 93 11 6 3" xfId="28651" xr:uid="{C47EF708-AEEC-4A8E-9345-E576AD125DC7}"/>
    <cellStyle name="Style 93 11 7" xfId="12771" xr:uid="{1F305AA2-3FD9-4005-A88B-1AACBF446E1F}"/>
    <cellStyle name="Style 93 11 7 2" xfId="12772" xr:uid="{143AD14E-E720-4D8A-9692-2C6948590DA4}"/>
    <cellStyle name="Style 93 11 7 2 2" xfId="28653" xr:uid="{821C6245-DEEE-4946-862D-8B9EEEE58869}"/>
    <cellStyle name="Style 93 11 7 3" xfId="28652" xr:uid="{520B50B4-C815-46A6-8D74-F3A45548663B}"/>
    <cellStyle name="Style 93 11 8" xfId="12773" xr:uid="{8E7DC2E8-7499-4854-9819-09D80CFB424B}"/>
    <cellStyle name="Style 93 11 8 2" xfId="28654" xr:uid="{783974AD-01D9-4B54-A5B0-4994C84AEFB9}"/>
    <cellStyle name="Style 93 11 9" xfId="12774" xr:uid="{523661F7-47E3-4DCA-8A0B-74F0283F5913}"/>
    <cellStyle name="Style 93 11 9 2" xfId="28655" xr:uid="{D073DE0B-CF52-4186-816D-F361636051C7}"/>
    <cellStyle name="Style 93 12 10" xfId="12775" xr:uid="{94A2F485-32A3-4D54-9C2C-095E44ADB88E}"/>
    <cellStyle name="Style 93 12 10 2" xfId="28656" xr:uid="{55B97B0C-449F-4D68-98E6-2B4E0B5D13D8}"/>
    <cellStyle name="Style 93 12 2" xfId="5076" xr:uid="{1102AD11-1F9B-4C1C-AA66-45B422DC1CAB}"/>
    <cellStyle name="Style 93 12 2 2 2" xfId="12776" xr:uid="{98434057-42BE-435B-B5CA-17B4DFFC0540}"/>
    <cellStyle name="Style 93 12 2 2 2 2" xfId="28658" xr:uid="{71B1F6C8-AFE9-4C16-A537-E4152F26F309}"/>
    <cellStyle name="Style 93 12 2 2 3" xfId="28657" xr:uid="{2CCB035A-7BB3-48B4-8D3B-9CCB22823311}"/>
    <cellStyle name="Style 93 12 2 3" xfId="12777" xr:uid="{8942D812-3EBD-4268-B392-F560AFA9D005}"/>
    <cellStyle name="Style 93 12 2 3 2" xfId="12778" xr:uid="{CE1B8BF3-8796-4E26-9B9D-3E03477455CF}"/>
    <cellStyle name="Style 93 12 2 3 2 2" xfId="28660" xr:uid="{01D62301-F053-4035-9C26-AFA041BCC297}"/>
    <cellStyle name="Style 93 12 2 3 3" xfId="28659" xr:uid="{623749D4-0402-4DF5-A59D-AD544E172715}"/>
    <cellStyle name="Style 93 12 2 4" xfId="12779" xr:uid="{8B817903-ADC0-4671-9F70-2B185B75A97E}"/>
    <cellStyle name="Style 93 12 2 4 2" xfId="12780" xr:uid="{2EC5C4BB-6A66-423A-9927-9D4A5D9620CA}"/>
    <cellStyle name="Style 93 12 2 4 2 2" xfId="28662" xr:uid="{0551EF5E-142B-488C-B070-EFF0B3F1B689}"/>
    <cellStyle name="Style 93 12 2 4 3" xfId="28661" xr:uid="{87B04536-79CC-47B0-A353-D0620B1E4DDD}"/>
    <cellStyle name="Style 93 12 2 5" xfId="12781" xr:uid="{22E7CC03-54E5-43E7-A327-2463D12FC729}"/>
    <cellStyle name="Style 93 12 2 5 2" xfId="12782" xr:uid="{9E9A8933-A587-442D-AE2B-FC2972B46864}"/>
    <cellStyle name="Style 93 12 2 5 2 2" xfId="28664" xr:uid="{9095C9E7-BD8A-4DCA-8912-1CF0469E4C8C}"/>
    <cellStyle name="Style 93 12 2 5 3" xfId="28663" xr:uid="{FA4F9031-6237-4AA4-97FC-F56617830953}"/>
    <cellStyle name="Style 93 12 2 6" xfId="12783" xr:uid="{6D954EA5-1968-4131-A358-E0899D0C9C93}"/>
    <cellStyle name="Style 93 12 2 6 2" xfId="28665" xr:uid="{F575604D-6187-4B09-8024-5BAE1663FC11}"/>
    <cellStyle name="Style 93 12 2 7" xfId="12784" xr:uid="{728D4BD1-3395-4EA5-AF88-10C2067C51CB}"/>
    <cellStyle name="Style 93 12 2 7 2" xfId="28666" xr:uid="{321174EF-7719-41FF-B96E-6A2CA4EB8206}"/>
    <cellStyle name="Style 93 12 3 2" xfId="12785" xr:uid="{A4861251-2FC8-468A-A0A5-D9A0E4F21243}"/>
    <cellStyle name="Style 93 12 3 2 2" xfId="12786" xr:uid="{8C5C178D-7794-4BF4-9DBC-6464655ED596}"/>
    <cellStyle name="Style 93 12 3 2 2 2" xfId="28667" xr:uid="{0BBA3D65-6256-4C63-9C59-E2D265300070}"/>
    <cellStyle name="Style 93 12 3 3" xfId="12787" xr:uid="{1277AD14-5DC0-4B8A-8ACB-960492552697}"/>
    <cellStyle name="Style 93 12 3 3 2" xfId="12788" xr:uid="{932E3B9B-0BEC-4FBA-A226-8ACE032B989A}"/>
    <cellStyle name="Style 93 12 3 3 2 2" xfId="28669" xr:uid="{44B8F3D6-210B-4F8A-8CE1-2A92C9A10FFD}"/>
    <cellStyle name="Style 93 12 3 3 3" xfId="28668" xr:uid="{B0C29073-DD03-4242-B21A-23AF61B696F7}"/>
    <cellStyle name="Style 93 12 3 4" xfId="12789" xr:uid="{A7D2A3A2-7725-4D72-9A7C-DCFF6A2E082B}"/>
    <cellStyle name="Style 93 12 3 4 2" xfId="12790" xr:uid="{EFC454F2-887A-4183-8DCB-3362C3F479AE}"/>
    <cellStyle name="Style 93 12 3 4 2 2" xfId="28671" xr:uid="{D1741938-87B3-4CF0-9DBD-88590A7FAA0D}"/>
    <cellStyle name="Style 93 12 3 4 3" xfId="28670" xr:uid="{BBB61B83-BAAA-4913-9973-56421D494B4B}"/>
    <cellStyle name="Style 93 12 3 5" xfId="12791" xr:uid="{9074FFD1-1F87-430E-8808-1D4C5DCE60DA}"/>
    <cellStyle name="Style 93 12 3 5 2" xfId="12792" xr:uid="{0326A3C2-86AF-44BD-B45A-72D9D353AEBE}"/>
    <cellStyle name="Style 93 12 3 5 2 2" xfId="28673" xr:uid="{E8214D98-B618-49F5-8FD6-B156DCB05868}"/>
    <cellStyle name="Style 93 12 3 5 3" xfId="28672" xr:uid="{D3DA1016-93F8-4494-B3FA-1577D8FC649C}"/>
    <cellStyle name="Style 93 12 3 6" xfId="12793" xr:uid="{F9E14981-E877-423F-B1F3-B1D601E65F14}"/>
    <cellStyle name="Style 93 12 3 6 2" xfId="28674" xr:uid="{20DC2AB7-38A2-4EB0-910F-0C7FB08A30B7}"/>
    <cellStyle name="Style 93 12 3 7" xfId="12794" xr:uid="{1F307C6D-1641-4419-A433-3BAC5486D907}"/>
    <cellStyle name="Style 93 12 3 7 2" xfId="28675" xr:uid="{AEE7E58D-CDBB-46F0-9CDB-09704D00F50A}"/>
    <cellStyle name="Style 93 12 3 8" xfId="22349" xr:uid="{890A85BE-9495-4B9D-BB13-3B4B095A9E7E}"/>
    <cellStyle name="Style 93 12 4" xfId="12795" xr:uid="{BA7098B8-F6E7-418A-860A-FE4BBEE48EEB}"/>
    <cellStyle name="Style 93 12 4 2" xfId="12796" xr:uid="{A1A998C7-FDC7-427A-9402-6BB4AFFD141C}"/>
    <cellStyle name="Style 93 12 4 2 2" xfId="28677" xr:uid="{89E37781-A005-4FDD-A007-952E2824891E}"/>
    <cellStyle name="Style 93 12 4 3" xfId="28676" xr:uid="{483D157A-2FFB-42C0-9C08-4431DC8001F1}"/>
    <cellStyle name="Style 93 12 5" xfId="12797" xr:uid="{0DD82366-EBB8-4282-85FB-C7857D3B6667}"/>
    <cellStyle name="Style 93 12 5 2" xfId="12798" xr:uid="{4C774015-AC67-4B52-AA70-47BDC9E2A4CC}"/>
    <cellStyle name="Style 93 12 5 2 2" xfId="28679" xr:uid="{E7897504-46BA-4338-A25A-2ED9B68BB7A2}"/>
    <cellStyle name="Style 93 12 5 3" xfId="28678" xr:uid="{1077AA43-24F0-46AA-9572-0A8C0516A725}"/>
    <cellStyle name="Style 93 12 6" xfId="12799" xr:uid="{1F8A5816-981E-489F-BF59-D1BDD01997A4}"/>
    <cellStyle name="Style 93 12 6 2" xfId="12800" xr:uid="{080786F0-EDCD-476B-BC7F-9C140DC6720A}"/>
    <cellStyle name="Style 93 12 6 2 2" xfId="28680" xr:uid="{7684B9D7-6891-4C81-8214-2ECE092A640F}"/>
    <cellStyle name="Style 93 12 7" xfId="12801" xr:uid="{4AF0D439-3980-4E4F-B768-7E6F5552AB7F}"/>
    <cellStyle name="Style 93 12 7 2" xfId="12802" xr:uid="{A399BE94-FEDC-4C28-A591-E33310A7A2A3}"/>
    <cellStyle name="Style 93 12 7 2 2" xfId="28681" xr:uid="{9ACE050A-A557-4F95-AA17-EF08CF26B64B}"/>
    <cellStyle name="Style 93 12 8" xfId="12803" xr:uid="{F92CCB5E-3125-457F-85B9-25450E4719F6}"/>
    <cellStyle name="Style 93 12 8 2" xfId="12804" xr:uid="{667B49A8-4227-440A-8BF8-9E82D51B145A}"/>
    <cellStyle name="Style 93 12 8 2 2" xfId="28682" xr:uid="{80B848FB-90BA-4DCA-BDB9-2865B32F55E2}"/>
    <cellStyle name="Style 93 12 9" xfId="12805" xr:uid="{808D51A9-A1F3-45EB-AE8C-C6BB0AE7C247}"/>
    <cellStyle name="Style 93 12 9 2" xfId="28683" xr:uid="{8416737E-A57C-4365-B86E-1EBF84052C31}"/>
    <cellStyle name="Style 93 13" xfId="5077" xr:uid="{9D997BAF-7987-4D93-88A2-7CA35B1BC5DB}"/>
    <cellStyle name="Style 93 13 2" xfId="12806" xr:uid="{12BBDFB7-DE56-409D-A406-E198398FDE0B}"/>
    <cellStyle name="Style 93 13 2 2" xfId="12807" xr:uid="{E17F9FC7-AEDB-4911-9DC6-EBE70C9886FF}"/>
    <cellStyle name="Style 93 13 2 2 2" xfId="28685" xr:uid="{210667BB-DEA2-4260-AB7B-B4CAF2379FFD}"/>
    <cellStyle name="Style 93 13 2 3" xfId="28684" xr:uid="{EE5BAB34-C946-4CB4-A24B-C9AD3F80AD20}"/>
    <cellStyle name="Style 93 13 3" xfId="12808" xr:uid="{D4698881-8102-435B-A54E-7B5514B8C01C}"/>
    <cellStyle name="Style 93 13 3 2" xfId="12809" xr:uid="{B295D307-B8D7-4D9D-83CB-211464F0BBFC}"/>
    <cellStyle name="Style 93 13 3 2 2" xfId="28687" xr:uid="{49A2F976-9617-47DD-A9C9-C2282187E656}"/>
    <cellStyle name="Style 93 13 3 3" xfId="28686" xr:uid="{DCADE5B4-20A2-4DE2-9B4E-F358A0F9398D}"/>
    <cellStyle name="Style 93 13 4" xfId="12810" xr:uid="{B2768305-CCF6-4311-8E06-E7C992C66148}"/>
    <cellStyle name="Style 93 13 4 2" xfId="12811" xr:uid="{2B27D46D-C451-40BD-9A05-D1667A149D21}"/>
    <cellStyle name="Style 93 13 4 3" xfId="28688" xr:uid="{38BEFA3D-C73B-449C-A06B-AE212C53C769}"/>
    <cellStyle name="Style 93 13 5 2" xfId="12812" xr:uid="{77B9895E-1847-4E39-9078-1EF8B46FB9F6}"/>
    <cellStyle name="Style 93 13 5 2 2" xfId="28690" xr:uid="{10FCEE90-B9D7-4F5E-AC90-D8653E73470F}"/>
    <cellStyle name="Style 93 13 5 3" xfId="28689" xr:uid="{9806F79B-061B-4B5B-88A1-EE0DD0264204}"/>
    <cellStyle name="Style 93 13 6" xfId="12813" xr:uid="{A36D20AD-53B4-4817-B639-9950893B808A}"/>
    <cellStyle name="Style 93 13 6 2" xfId="28691" xr:uid="{66C1556B-18B5-4A79-B070-CFFE1EB688CF}"/>
    <cellStyle name="Style 93 13 7" xfId="12814" xr:uid="{4F32D133-412B-4E69-8F4D-76409F0BB600}"/>
    <cellStyle name="Style 93 13 7 2" xfId="28692" xr:uid="{08810092-D328-4EB3-8E40-8EC75305DA87}"/>
    <cellStyle name="Style 93 14" xfId="5072" xr:uid="{C44DB38F-CDA8-41FA-A89F-868449E2CB1C}"/>
    <cellStyle name="Style 93 14 2" xfId="12815" xr:uid="{0751EC1D-EBE8-4C8F-A9DB-33BF3C9E4F7D}"/>
    <cellStyle name="Style 93 14 2 2 2" xfId="28694" xr:uid="{97948566-D51E-4FDE-8625-8BACCA642A96}"/>
    <cellStyle name="Style 93 14 2 3" xfId="28693" xr:uid="{C3BB9342-744B-49B1-A653-7124239C550D}"/>
    <cellStyle name="Style 93 14 3" xfId="12816" xr:uid="{C46E06C8-E812-49E5-809F-D67DCDEDD04B}"/>
    <cellStyle name="Style 93 14 3 2" xfId="12817" xr:uid="{90239EE8-CD14-4424-967D-494543A1F80C}"/>
    <cellStyle name="Style 93 14 3 2 2" xfId="28696" xr:uid="{AEBD2A8C-A00B-4BBE-9DAC-978EBCF680C7}"/>
    <cellStyle name="Style 93 14 3 3" xfId="28695" xr:uid="{7C2FEE4F-010D-42F5-84CF-BB1E0331BD0F}"/>
    <cellStyle name="Style 93 14 4" xfId="12818" xr:uid="{7C5593E8-DCF6-41D0-8882-AADDE1F134C9}"/>
    <cellStyle name="Style 93 14 4 2" xfId="12819" xr:uid="{B9ECE32B-F7A2-4107-9BCB-D184FBF97C09}"/>
    <cellStyle name="Style 93 14 4 2 2" xfId="28697" xr:uid="{959E9787-D128-4825-971D-2012D0DFE6C1}"/>
    <cellStyle name="Style 93 14 5" xfId="12820" xr:uid="{514F6B61-8D8D-49FC-A600-97EEBC0525F5}"/>
    <cellStyle name="Style 93 14 5 2" xfId="12821" xr:uid="{0EB02E7E-194F-4962-8FA1-39FBCD67A897}"/>
    <cellStyle name="Style 93 14 5 2 2" xfId="28698" xr:uid="{4EBF56A1-F9F5-4E66-B9CB-820A10536C18}"/>
    <cellStyle name="Style 93 14 6" xfId="12822" xr:uid="{50182FA8-DAA5-4649-9DA0-DFA12456C1CA}"/>
    <cellStyle name="Style 93 14 6 2" xfId="28699" xr:uid="{8BF86020-7F1A-4559-8C14-F51677E8F7A9}"/>
    <cellStyle name="Style 93 14 7" xfId="12823" xr:uid="{6C311124-A0E0-444F-BD58-5ECC81F2F3A3}"/>
    <cellStyle name="Style 93 14 7 2" xfId="28700" xr:uid="{34FBB0DA-CF1B-4CD9-A567-DA7D009B47CD}"/>
    <cellStyle name="Style 93 15" xfId="12824" xr:uid="{02DA981D-C51A-4C18-9A51-8C689633DC0A}"/>
    <cellStyle name="Style 93 15 2" xfId="12825" xr:uid="{3493718E-906F-4D1C-B9E4-0D03241AADA6}"/>
    <cellStyle name="Style 93 15 2 2" xfId="28701" xr:uid="{3A6AE338-FC81-479C-AE1E-EE0FB4E5D1F7}"/>
    <cellStyle name="Style 93 15 3" xfId="12826" xr:uid="{A8E141DD-212D-4406-AA9F-FEBCA9EA7BDB}"/>
    <cellStyle name="Style 93 15 3 2" xfId="28702" xr:uid="{FBA80A00-5A3B-4CA9-ACB5-7654D313BA4A}"/>
    <cellStyle name="Style 93 15 4" xfId="21323" xr:uid="{EA18EE7D-679A-4B9B-B8A4-2410DA82FD14}"/>
    <cellStyle name="Style 93 16" xfId="12827" xr:uid="{2E267FF6-5D37-4E2D-A7DD-676D875FF638}"/>
    <cellStyle name="Style 93 16 2" xfId="12828" xr:uid="{6ED06747-A3AD-4AE8-AA9C-69245E82E8FE}"/>
    <cellStyle name="Style 93 16 2 2" xfId="28704" xr:uid="{2B5AA2A3-8C4D-4B66-A525-BA13C3513743}"/>
    <cellStyle name="Style 93 16 3" xfId="28703" xr:uid="{5D83E45D-2AB7-47E1-BB78-FF47C51BCDD3}"/>
    <cellStyle name="Style 93 17" xfId="12829" xr:uid="{EE1CB21A-7928-4767-9166-C89227C453A2}"/>
    <cellStyle name="Style 93 17 2" xfId="12830" xr:uid="{8811096F-F8C2-4042-8336-7D2171E7E972}"/>
    <cellStyle name="Style 93 17 2 2" xfId="28706" xr:uid="{0E8775C7-3884-4CA4-B2C0-91F11C047221}"/>
    <cellStyle name="Style 93 17 3" xfId="28705" xr:uid="{CC65F4ED-5900-47A4-9E54-9579ACCD9F8E}"/>
    <cellStyle name="Style 93 18" xfId="12831" xr:uid="{E79899A5-3375-4AFF-9621-315EE8173FD7}"/>
    <cellStyle name="Style 93 18 2" xfId="12832" xr:uid="{84F31DC7-819A-4F03-B642-EA6A1E866354}"/>
    <cellStyle name="Style 93 18 2 2" xfId="28708" xr:uid="{67DBFC9E-6D62-4EFD-9E92-EADF70ED2151}"/>
    <cellStyle name="Style 93 18 3" xfId="28707" xr:uid="{10D64033-14FB-4EFE-A0C0-720E2A91DB3B}"/>
    <cellStyle name="Style 93 19" xfId="12833" xr:uid="{1DCDAE03-4A95-44C2-BA08-3063CF5577DD}"/>
    <cellStyle name="Style 93 19 2 2" xfId="28710" xr:uid="{7FE57F1D-A8D8-4FC9-9A85-68D6ED8F0860}"/>
    <cellStyle name="Style 93 19 3" xfId="28709" xr:uid="{CD85B636-8AA4-4ACB-8E18-2F008D710B98}"/>
    <cellStyle name="Style 93 2" xfId="2341" xr:uid="{9E02181A-0176-45B6-AF7A-9E9D0E65683F}"/>
    <cellStyle name="Style 93 2 10" xfId="12834" xr:uid="{EC8D0863-5CE8-4804-9237-8FEF1952D21C}"/>
    <cellStyle name="Style 93 2 10 2" xfId="28711" xr:uid="{884BA728-44BD-45B4-8B43-62716155C40D}"/>
    <cellStyle name="Style 93 2 11" xfId="19188" xr:uid="{75E6A2B4-0A83-4CF6-A58D-1D25E601B9B6}"/>
    <cellStyle name="Style 93 2 2" xfId="5079" xr:uid="{60AD9B65-76B2-43EA-989C-C0DAF6369E7D}"/>
    <cellStyle name="Style 93 2 2 2" xfId="12835" xr:uid="{DABA0A0F-3973-4C95-94D2-8D272659A57D}"/>
    <cellStyle name="Style 93 2 2 2 2" xfId="28712" xr:uid="{82E7FD77-B17B-4F72-8BFB-881D57E6873A}"/>
    <cellStyle name="Style 93 2 2 3" xfId="12836" xr:uid="{E82504BE-FF44-49A4-9602-052ED97F07BA}"/>
    <cellStyle name="Style 93 2 2 3 2" xfId="28713" xr:uid="{C1487754-5B42-4C08-A06E-C823A9191161}"/>
    <cellStyle name="Style 93 2 2 4" xfId="12837" xr:uid="{E7E54872-AC33-42E9-90B7-1F6CB537740C}"/>
    <cellStyle name="Style 93 2 3" xfId="5078" xr:uid="{5171F386-5254-4B1F-AA62-029A9DA27F6F}"/>
    <cellStyle name="Style 93 2 3 2" xfId="12838" xr:uid="{CDB6F89B-7B1C-4727-8376-3C7C48226F95}"/>
    <cellStyle name="Style 93 2 3 2 2" xfId="28714" xr:uid="{5AE24436-CA83-4421-9012-634277AC522C}"/>
    <cellStyle name="Style 93 2 3 3 2" xfId="28715" xr:uid="{A9E98A46-2C74-40FB-9953-0405B68C3E70}"/>
    <cellStyle name="Style 93 2 4" xfId="2970" xr:uid="{D837C39C-193C-4E95-8AF2-E7092B0C6543}"/>
    <cellStyle name="Style 93 2 4 2" xfId="12839" xr:uid="{043B981B-7ED1-4D8F-9960-84936F20DFA8}"/>
    <cellStyle name="Style 93 2 4 2 2" xfId="28716" xr:uid="{6A9C02D8-F117-49C9-BF52-E9D2AA23F1D6}"/>
    <cellStyle name="Style 93 2 4 3" xfId="12840" xr:uid="{E2F40920-00BC-4CDC-92D0-8DC0C542736F}"/>
    <cellStyle name="Style 93 2 4 4" xfId="21324" xr:uid="{7B028232-F467-423A-84E7-FD2DE0BB7942}"/>
    <cellStyle name="Style 93 2 5" xfId="12841" xr:uid="{7636AE8B-B736-496F-A282-EB0AE2572353}"/>
    <cellStyle name="Style 93 2 5 2" xfId="12842" xr:uid="{F64B13E4-44C7-44ED-9E2A-F186E2B5D22F}"/>
    <cellStyle name="Style 93 2 5 2 2" xfId="28718" xr:uid="{8D09AB1C-C436-4610-B0F7-79576A16033D}"/>
    <cellStyle name="Style 93 2 5 3" xfId="28717" xr:uid="{EEA70322-E8C7-4E31-B769-D2EDCBD56335}"/>
    <cellStyle name="Style 93 2 6" xfId="12843" xr:uid="{E79B7F06-17BA-42DC-B3B4-57FF8153FEDF}"/>
    <cellStyle name="Style 93 2 6 2" xfId="12844" xr:uid="{C1A3391B-3770-41C7-A605-CE8EEE91146C}"/>
    <cellStyle name="Style 93 2 6 2 2" xfId="28720" xr:uid="{F4B72C0A-A814-48B9-8875-552AD58C03F7}"/>
    <cellStyle name="Style 93 2 6 3" xfId="28719" xr:uid="{F9E35028-89B8-4488-8E38-B4D75019882B}"/>
    <cellStyle name="Style 93 2 7" xfId="12845" xr:uid="{7FA3B9BF-FCED-4FBB-8298-3416C1FAE50B}"/>
    <cellStyle name="Style 93 2 7 2" xfId="28721" xr:uid="{22866996-7D45-4D17-A134-812449034569}"/>
    <cellStyle name="Style 93 2 8 2" xfId="28722" xr:uid="{50E8B089-732D-4247-9A13-B624DEDEA06E}"/>
    <cellStyle name="Style 93 2 9 2" xfId="28723" xr:uid="{0A1C4F0B-A9B7-4DDC-8307-4AA7ED70F322}"/>
    <cellStyle name="Style 93 20" xfId="12846" xr:uid="{429C391F-39EB-4DD3-A979-219BDD260D62}"/>
    <cellStyle name="Style 93 20 2" xfId="12847" xr:uid="{ED1EE96F-0D57-4988-B35A-49D946E75DB2}"/>
    <cellStyle name="Style 93 20 2 2" xfId="28725" xr:uid="{73751A23-8978-4A20-AA07-C11EE3BC763B}"/>
    <cellStyle name="Style 93 20 3" xfId="28724" xr:uid="{A4167C60-8AF7-4A75-AB50-22A20C3655FB}"/>
    <cellStyle name="Style 93 21" xfId="12848" xr:uid="{E8A0006A-8FC1-4404-AC88-E41CF0389A4A}"/>
    <cellStyle name="Style 93 21 2" xfId="28726" xr:uid="{8AB80DA0-56CB-4B2A-95F2-86EDFF9AF913}"/>
    <cellStyle name="Style 93 22" xfId="12849" xr:uid="{7EA71FBE-D126-49A3-A07F-06114D6CE821}"/>
    <cellStyle name="Style 93 22 2" xfId="28727" xr:uid="{3D65630D-C4AC-4FA7-80DE-FDDBF052BC12}"/>
    <cellStyle name="Style 93 23 2" xfId="28728" xr:uid="{F971197A-537C-46D5-812A-0F87890027DF}"/>
    <cellStyle name="Style 93 24" xfId="19185" xr:uid="{C70D9756-EA5F-48FF-80BB-DB65B3401C66}"/>
    <cellStyle name="Style 93 3" xfId="2342" xr:uid="{EEAEEB71-6BA2-4056-9C8F-11B15A3EBDC4}"/>
    <cellStyle name="Style 93 3 10" xfId="12850" xr:uid="{402C7188-8013-4493-8F8A-2514378A71A3}"/>
    <cellStyle name="Style 93 3 10 2" xfId="28729" xr:uid="{67FA2929-94B3-480B-BBC6-5A5D6B6B7D56}"/>
    <cellStyle name="Style 93 3 11" xfId="12851" xr:uid="{B5A5115F-F6CB-4A14-BB40-E523B29E249C}"/>
    <cellStyle name="Style 93 3 11 2" xfId="28730" xr:uid="{0E7E2315-4D64-42E2-BE6B-FB7D6D80A764}"/>
    <cellStyle name="Style 93 3 12" xfId="12852" xr:uid="{7B32B060-CA97-45DD-AF5D-529FAAFA54FE}"/>
    <cellStyle name="Style 93 3 12 2" xfId="28731" xr:uid="{20BEA717-F3FA-4A59-A302-8E7ABB445049}"/>
    <cellStyle name="Style 93 3 13 2" xfId="28732" xr:uid="{3E7460B7-78D2-441D-8752-16DD15BB3B61}"/>
    <cellStyle name="Style 93 3 14" xfId="19189" xr:uid="{404C09FC-BEB6-4041-909B-FD29F6B49EE3}"/>
    <cellStyle name="Style 93 3 2" xfId="2343" xr:uid="{E42E9ED8-26C3-43F0-902F-2CFAC13AF84B}"/>
    <cellStyle name="Style 93 3 2 10 2" xfId="28733" xr:uid="{12EFED96-1BE9-49AB-818A-D25735FF8757}"/>
    <cellStyle name="Style 93 3 2 11" xfId="19190" xr:uid="{FBA37DFB-4BB7-4F56-B467-5EC160DA35FE}"/>
    <cellStyle name="Style 93 3 2 2" xfId="2344" xr:uid="{21EBD462-F865-475B-AA82-70F88BF71268}"/>
    <cellStyle name="Style 93 3 2 2 10" xfId="19191" xr:uid="{03AFEAB0-5822-4010-9088-40B641640EA5}"/>
    <cellStyle name="Style 93 3 2 2 2" xfId="5083" xr:uid="{B9104B08-AC8A-4FA2-A37E-922A8CE28CAA}"/>
    <cellStyle name="Style 93 3 2 2 2 2" xfId="12853" xr:uid="{2E679BE9-2C7B-47DD-8789-BD7868EC1E76}"/>
    <cellStyle name="Style 93 3 2 2 2 2 2" xfId="28734" xr:uid="{8FF206C0-2098-459D-9963-C6F1AAC1CD45}"/>
    <cellStyle name="Style 93 3 2 2 2 3" xfId="12854" xr:uid="{A15D75B4-C434-4325-9B61-2857A4A4F4D9}"/>
    <cellStyle name="Style 93 3 2 2 2 3 2" xfId="28735" xr:uid="{06DA1ADC-16FD-4756-B3C9-DBCDA23A2EA5}"/>
    <cellStyle name="Style 93 3 2 2 2 4" xfId="12855" xr:uid="{5D98114B-F748-417B-961C-4F114DD6508E}"/>
    <cellStyle name="Style 93 3 2 2 2 4 2" xfId="28736" xr:uid="{9FD25DD3-F08A-4B38-94B7-61B0387F4401}"/>
    <cellStyle name="Style 93 3 2 2 3" xfId="5082" xr:uid="{D8E7FCE3-09D6-46D1-B573-6E884E81FE43}"/>
    <cellStyle name="Style 93 3 2 2 3 2" xfId="12856" xr:uid="{01483074-B499-4B80-B87D-22F9F015C0CD}"/>
    <cellStyle name="Style 93 3 2 2 3 2 2" xfId="28737" xr:uid="{CCB3D61F-A0EA-4964-9BCC-F6441127B869}"/>
    <cellStyle name="Style 93 3 2 2 3 3" xfId="12857" xr:uid="{663534EC-E474-4A5D-BD89-3D32EB6AE690}"/>
    <cellStyle name="Style 93 3 2 2 3 3 2" xfId="28738" xr:uid="{F8E05218-29DF-4B25-BA31-23683A909FD9}"/>
    <cellStyle name="Style 93 3 2 2 4" xfId="12858" xr:uid="{7CA65649-6E2E-4F1B-8036-265DE2C18FDC}"/>
    <cellStyle name="Style 93 3 2 2 4 2 2" xfId="28739" xr:uid="{0752149F-E554-4C81-96B7-0E642E1F0A96}"/>
    <cellStyle name="Style 93 3 2 2 4 3" xfId="12859" xr:uid="{25599703-4B88-4F3E-945C-4D572EB039DC}"/>
    <cellStyle name="Style 93 3 2 2 4 3 2" xfId="28740" xr:uid="{491F1E35-E7B9-4531-A5FF-50E0B3B1C17A}"/>
    <cellStyle name="Style 93 3 2 2 4 4" xfId="22350" xr:uid="{982FCADB-F272-42BB-A9C9-E1851EEC76C1}"/>
    <cellStyle name="Style 93 3 2 2 5" xfId="12860" xr:uid="{58322243-91D9-481E-A1EE-06DAD2890403}"/>
    <cellStyle name="Style 93 3 2 2 5 2" xfId="12861" xr:uid="{B5D7F571-8442-4963-A76D-7C76E765C163}"/>
    <cellStyle name="Style 93 3 2 2 5 2 2" xfId="28742" xr:uid="{B026E734-41D5-4CBB-94ED-E1654752F3B9}"/>
    <cellStyle name="Style 93 3 2 2 5 3" xfId="28741" xr:uid="{5D041F40-3827-440D-8CFE-43AAC6CE584D}"/>
    <cellStyle name="Style 93 3 2 2 6" xfId="12862" xr:uid="{281FDF35-B678-4177-9A0E-D657095E5E81}"/>
    <cellStyle name="Style 93 3 2 2 6 2" xfId="12863" xr:uid="{6E1560B8-A775-4BB0-A3A9-D06A398CCECD}"/>
    <cellStyle name="Style 93 3 2 2 6 3" xfId="28743" xr:uid="{F0CCE284-66A4-433B-A725-A295065EF0E4}"/>
    <cellStyle name="Style 93 3 2 2 7" xfId="12864" xr:uid="{ED03A7EE-6231-4C78-8C5E-B3F20531BC58}"/>
    <cellStyle name="Style 93 3 2 2 7 2" xfId="28744" xr:uid="{59DC149C-953A-4302-A9AE-B4E9B23C939C}"/>
    <cellStyle name="Style 93 3 2 2 8 2" xfId="28745" xr:uid="{7205FAC0-F145-4ECC-BA35-9C43E1671F6B}"/>
    <cellStyle name="Style 93 3 2 2 9" xfId="12865" xr:uid="{DBD42B59-AD5C-465E-AE88-2D824B2EB226}"/>
    <cellStyle name="Style 93 3 2 2 9 2" xfId="28746" xr:uid="{3DAD9984-D254-466F-A4EC-14266EB762E6}"/>
    <cellStyle name="Style 93 3 2 3" xfId="5084" xr:uid="{35A6A60C-3BBA-4B25-B446-AE9A2DF777A6}"/>
    <cellStyle name="Style 93 3 2 3 2" xfId="12866" xr:uid="{C3938762-8FC5-452C-B3C4-3CD40CEFDFD1}"/>
    <cellStyle name="Style 93 3 2 3 3" xfId="12867" xr:uid="{F4AB058F-269B-4B7C-B53B-34D88EAC9E20}"/>
    <cellStyle name="Style 93 3 2 3 3 2" xfId="28747" xr:uid="{C3393ED6-F359-495B-95AF-0671BCC6AB0D}"/>
    <cellStyle name="Style 93 3 2 3 4" xfId="12868" xr:uid="{B6BB7309-C837-4503-A595-C3A92D11F251}"/>
    <cellStyle name="Style 93 3 2 3 4 2" xfId="28748" xr:uid="{419C2CDC-0B6A-4AD4-A938-275A3FC8DE55}"/>
    <cellStyle name="Style 93 3 2 4" xfId="5081" xr:uid="{51AA0045-7BFC-45A7-A73B-824BE3A198D1}"/>
    <cellStyle name="Style 93 3 2 4 2" xfId="12869" xr:uid="{5F124815-12B5-423D-9B59-39F6E6E2687F}"/>
    <cellStyle name="Style 93 3 2 4 2 2" xfId="28749" xr:uid="{53CB8B83-560F-4892-8BBA-737EDF79E840}"/>
    <cellStyle name="Style 93 3 2 4 3" xfId="12870" xr:uid="{434A9D46-1718-433A-BCF2-A20D135A0B5D}"/>
    <cellStyle name="Style 93 3 2 4 3 2" xfId="28750" xr:uid="{AE9C1630-112C-41DA-B944-AF42CB72D7F2}"/>
    <cellStyle name="Style 93 3 2 5" xfId="2972" xr:uid="{1469E0BF-364C-49CF-A6F2-7EB8428939B4}"/>
    <cellStyle name="Style 93 3 2 5 2" xfId="12871" xr:uid="{CAC4C29D-BD13-490B-A338-66F130DFA7E9}"/>
    <cellStyle name="Style 93 3 2 5 3" xfId="12872" xr:uid="{1C8BE1EE-24C9-4B6C-A1F1-3ACC7DAE9B73}"/>
    <cellStyle name="Style 93 3 2 5 4" xfId="21326" xr:uid="{71593413-2FEA-4BF9-A297-208486032F69}"/>
    <cellStyle name="Style 93 3 2 6" xfId="12873" xr:uid="{A4E69EE8-B3FD-43A5-ADCC-F5BA5D3C77CA}"/>
    <cellStyle name="Style 93 3 2 6 2" xfId="12874" xr:uid="{83C2521B-07A7-4CA0-9209-97098ABF73DD}"/>
    <cellStyle name="Style 93 3 2 6 2 2" xfId="28752" xr:uid="{E676F10F-24B9-44FB-8B5F-BD4885A61BAA}"/>
    <cellStyle name="Style 93 3 2 6 3" xfId="28751" xr:uid="{0B7588B1-E6EF-4EFA-9660-592D7FBE880F}"/>
    <cellStyle name="Style 93 3 2 7" xfId="12875" xr:uid="{222AF053-8DCE-4D44-B670-116D7796A122}"/>
    <cellStyle name="Style 93 3 2 7 2" xfId="12876" xr:uid="{2B44363A-5F80-4181-977E-727F2ABFE9BA}"/>
    <cellStyle name="Style 93 3 2 7 2 2" xfId="28754" xr:uid="{8F2042B4-B227-416B-8923-C58FB76D9AB4}"/>
    <cellStyle name="Style 93 3 2 7 3" xfId="28753" xr:uid="{E96688A9-18BB-4A1C-8A39-9329BEDD43CC}"/>
    <cellStyle name="Style 93 3 2 8" xfId="12877" xr:uid="{5B7D75CA-B6CC-4E80-BC95-B7A7117270EF}"/>
    <cellStyle name="Style 93 3 2 8 2" xfId="28755" xr:uid="{671E86A5-7494-4E41-A657-AE8B6B86BAA0}"/>
    <cellStyle name="Style 93 3 2 9" xfId="12878" xr:uid="{1F523872-0B12-459C-95B5-2B6527036031}"/>
    <cellStyle name="Style 93 3 3" xfId="2345" xr:uid="{A026D674-2493-4FDC-9917-73E1A2B2ADDF}"/>
    <cellStyle name="Style 93 3 3 10" xfId="12879" xr:uid="{93240E64-A50E-4806-9386-EBDC60BF35D8}"/>
    <cellStyle name="Style 93 3 3 10 2" xfId="28756" xr:uid="{010A3785-A4A3-450B-B46D-8F90E11CF227}"/>
    <cellStyle name="Style 93 3 3 11 2" xfId="28757" xr:uid="{21505AC7-6900-49D6-83D2-77A60893FFC1}"/>
    <cellStyle name="Style 93 3 3 12" xfId="12880" xr:uid="{AEF58A83-95CB-4973-BD3C-E36F98058293}"/>
    <cellStyle name="Style 93 3 3 12 2" xfId="28758" xr:uid="{14CED014-B9FC-4C0E-BA79-0EB2844FF35F}"/>
    <cellStyle name="Style 93 3 3 13" xfId="12881" xr:uid="{86CF3571-E6B8-44EB-9BF0-8DC99C96EC88}"/>
    <cellStyle name="Style 93 3 3 13 2" xfId="28759" xr:uid="{D3BC7817-4E9B-47BC-B8F9-1850AB2974DD}"/>
    <cellStyle name="Style 93 3 3 14" xfId="19192" xr:uid="{9202812E-ED13-47A2-A7AD-3C30D97F80C9}"/>
    <cellStyle name="Style 93 3 3 2" xfId="2346" xr:uid="{C93DAA25-748E-4267-9470-8DE7B4523374}"/>
    <cellStyle name="Style 93 3 3 2 10" xfId="19193" xr:uid="{0031FC5D-20E1-4BAF-B50A-4F66D92060CA}"/>
    <cellStyle name="Style 93 3 3 2 2" xfId="5087" xr:uid="{C20DFEC8-EA20-435A-B7F5-F266FDE804AE}"/>
    <cellStyle name="Style 93 3 3 2 2 2" xfId="12882" xr:uid="{67A61830-BBBB-4E13-99D7-42EA1C0540FC}"/>
    <cellStyle name="Style 93 3 3 2 2 2 2" xfId="28760" xr:uid="{EC3C2F0B-EE11-4DFC-9842-755A6827AB5B}"/>
    <cellStyle name="Style 93 3 3 2 2 3" xfId="12883" xr:uid="{428DD1B4-06B2-44E1-BB38-B4EDF99E4534}"/>
    <cellStyle name="Style 93 3 3 2 2 3 2" xfId="28761" xr:uid="{42BFFBCD-D013-4431-B4D9-9CC661EA21BD}"/>
    <cellStyle name="Style 93 3 3 2 2 4 2" xfId="28762" xr:uid="{8FCB944E-026C-4AF0-AB8A-D1BEE83A751B}"/>
    <cellStyle name="Style 93 3 3 2 3" xfId="5086" xr:uid="{4A8E1ABF-48F5-41E5-B113-B80657A27CC0}"/>
    <cellStyle name="Style 93 3 3 2 3 2" xfId="12884" xr:uid="{9913806F-42D3-4345-8F13-D121B3F5A285}"/>
    <cellStyle name="Style 93 3 3 2 3 2 2" xfId="28763" xr:uid="{3FB4E023-A723-4317-B982-F22A87FC7AEE}"/>
    <cellStyle name="Style 93 3 3 2 3 3 2" xfId="28764" xr:uid="{8436F69B-4C41-4D25-9743-37C0925493BC}"/>
    <cellStyle name="Style 93 3 3 2 4" xfId="12885" xr:uid="{50AAAA43-9D0E-4D58-B86D-A217F002F486}"/>
    <cellStyle name="Style 93 3 3 2 4 2" xfId="12886" xr:uid="{171589DF-F9A3-4118-918F-CDC6BB5FE2A7}"/>
    <cellStyle name="Style 93 3 3 2 4 2 2" xfId="28765" xr:uid="{023E6274-D0F4-40B2-8EAE-FC74465163EC}"/>
    <cellStyle name="Style 93 3 3 2 4 3" xfId="12887" xr:uid="{3F9D9CC2-7943-4DC7-8A4C-FEB8DA441428}"/>
    <cellStyle name="Style 93 3 3 2 4 3 2" xfId="28766" xr:uid="{C8BD4ACA-050B-43EA-9F24-9FE8D8F9CAA3}"/>
    <cellStyle name="Style 93 3 3 2 5" xfId="12888" xr:uid="{F604070D-4DB7-48B5-858F-9E27611A89F2}"/>
    <cellStyle name="Style 93 3 3 2 5 2" xfId="12889" xr:uid="{89188099-3BCA-4426-899E-C9C5D1FB646B}"/>
    <cellStyle name="Style 93 3 3 2 5 2 2" xfId="28767" xr:uid="{73B6B5F2-B829-4BB5-B9E1-095C4F27C615}"/>
    <cellStyle name="Style 93 3 3 2 6" xfId="12890" xr:uid="{FEF94601-67F9-4F99-819E-06DA2AA1275D}"/>
    <cellStyle name="Style 93 3 3 2 6 2" xfId="12891" xr:uid="{FAAFF057-A91D-4FB2-B937-6EB168AA0CF1}"/>
    <cellStyle name="Style 93 3 3 2 6 2 2" xfId="28769" xr:uid="{84488192-926B-46FF-A8E2-1D38649A7316}"/>
    <cellStyle name="Style 93 3 3 2 6 3" xfId="28768" xr:uid="{C16C2D19-AD22-4CF1-ADE6-4CDB3E4B71D4}"/>
    <cellStyle name="Style 93 3 3 2 7" xfId="12892" xr:uid="{A73B6D55-65E7-43E1-BE94-0F5041A6B53D}"/>
    <cellStyle name="Style 93 3 3 2 7 2" xfId="28770" xr:uid="{9BB307EC-5B82-4E53-9724-F7B0C348E5A6}"/>
    <cellStyle name="Style 93 3 3 2 8" xfId="12893" xr:uid="{BB8366CB-65BA-4674-8A2C-1342ECCCFEDC}"/>
    <cellStyle name="Style 93 3 3 2 8 2" xfId="28771" xr:uid="{7DB7DBDB-B003-4A3E-B941-E2DE1C1AB6DA}"/>
    <cellStyle name="Style 93 3 3 2 9" xfId="12894" xr:uid="{0542272F-7D5F-43D8-85E9-F886F0BAB323}"/>
    <cellStyle name="Style 93 3 3 2 9 2" xfId="28772" xr:uid="{234E437B-328D-445B-972E-964F0CF98C03}"/>
    <cellStyle name="Style 93 3 3 3" xfId="2347" xr:uid="{3188AC84-8FA9-4170-B7E9-AB6CBFD8CB2A}"/>
    <cellStyle name="Style 93 3 3 3 10" xfId="12895" xr:uid="{8DC60EDF-3F18-46C6-9DFD-FA9C310B8318}"/>
    <cellStyle name="Style 93 3 3 3 10 2" xfId="28773" xr:uid="{0C2459E0-C504-41B2-ABB3-F9D9CF5C2561}"/>
    <cellStyle name="Style 93 3 3 3 11" xfId="12896" xr:uid="{05A9474E-A75E-4F5D-8F24-DB7925D5E9FE}"/>
    <cellStyle name="Style 93 3 3 3 11 2" xfId="28774" xr:uid="{2BDB9635-5592-4B7C-987A-1F684914C581}"/>
    <cellStyle name="Style 93 3 3 3 12" xfId="19194" xr:uid="{78E3A587-A961-4409-BBD7-870F0AEAB7B5}"/>
    <cellStyle name="Style 93 3 3 3 2" xfId="2348" xr:uid="{4FB067ED-83EE-40EC-BD27-4441AF0EEA81}"/>
    <cellStyle name="Style 93 3 3 3 2 10" xfId="19195" xr:uid="{43C621E8-A2E5-41EA-9286-A45D7DB0ABF5}"/>
    <cellStyle name="Style 93 3 3 3 2 2" xfId="5090" xr:uid="{522576BB-9FC6-48F0-B3F0-FAE3C6EB4926}"/>
    <cellStyle name="Style 93 3 3 3 2 2 2" xfId="12897" xr:uid="{2DCE2094-6282-4892-95D2-B8BB86C9918F}"/>
    <cellStyle name="Style 93 3 3 3 2 2 2 2" xfId="28775" xr:uid="{A97A4D9F-F41A-453F-A1EB-55AEA5DACEF8}"/>
    <cellStyle name="Style 93 3 3 3 2 2 3" xfId="12898" xr:uid="{A4C5C0DC-DFB2-4692-A05B-31CB5ED3FFDC}"/>
    <cellStyle name="Style 93 3 3 3 2 2 3 2" xfId="28776" xr:uid="{824BDE43-2AAA-4C99-8D0D-983DBCDAF020}"/>
    <cellStyle name="Style 93 3 3 3 2 2 4" xfId="12899" xr:uid="{55DAEEDC-B284-4DD9-9CE1-79241896CDF8}"/>
    <cellStyle name="Style 93 3 3 3 2 2 4 2" xfId="28777" xr:uid="{98C449D9-E88E-4F85-B5DB-B8E4313E96A5}"/>
    <cellStyle name="Style 93 3 3 3 2 3" xfId="5089" xr:uid="{1A24E923-1AE7-4F21-A25C-3A572A7594B2}"/>
    <cellStyle name="Style 93 3 3 3 2 3 2" xfId="12900" xr:uid="{417EFF51-8EC7-4670-8595-17C15FDE207C}"/>
    <cellStyle name="Style 93 3 3 3 2 3 2 2" xfId="28778" xr:uid="{D7BB0EE6-2752-445E-A9B3-E9B3056E9691}"/>
    <cellStyle name="Style 93 3 3 3 2 3 3" xfId="12901" xr:uid="{4447B4F9-EAB1-451A-888C-53497A930A8A}"/>
    <cellStyle name="Style 93 3 3 3 2 3 3 2" xfId="28779" xr:uid="{69B5309D-6FCD-4441-8F87-041F89E5470B}"/>
    <cellStyle name="Style 93 3 3 3 2 4" xfId="12902" xr:uid="{99F654E9-EAAD-4A00-8194-6A7A23362DBC}"/>
    <cellStyle name="Style 93 3 3 3 2 4 2" xfId="12903" xr:uid="{921D0F00-CA7C-4D94-8842-005FE43076D4}"/>
    <cellStyle name="Style 93 3 3 3 2 4 2 2" xfId="28780" xr:uid="{9E50FA8C-9145-48D5-A10B-8CCC8853BF90}"/>
    <cellStyle name="Style 93 3 3 3 2 4 3" xfId="12904" xr:uid="{23B43989-9DBC-46E7-91DB-576703480F84}"/>
    <cellStyle name="Style 93 3 3 3 2 4 3 2" xfId="28781" xr:uid="{A2F198C6-8512-4FC7-8D09-1ACE385001B4}"/>
    <cellStyle name="Style 93 3 3 3 2 4 4" xfId="22353" xr:uid="{36A6A7D4-7887-4826-A65C-0221804CF7C6}"/>
    <cellStyle name="Style 93 3 3 3 2 5" xfId="12905" xr:uid="{707C52DF-3240-48E3-BEDB-60C4AB2566E5}"/>
    <cellStyle name="Style 93 3 3 3 2 5 2" xfId="12906" xr:uid="{EE78D8DD-A581-4317-85D2-53A5ADA3DFE0}"/>
    <cellStyle name="Style 93 3 3 3 2 5 2 2" xfId="28783" xr:uid="{6989CA43-8726-42B2-974F-263734C4ACFF}"/>
    <cellStyle name="Style 93 3 3 3 2 5 3" xfId="28782" xr:uid="{E25F4305-0D5B-4FB3-A6DA-75924F50A261}"/>
    <cellStyle name="Style 93 3 3 3 2 6" xfId="12907" xr:uid="{F2EB6A38-E06E-4FCC-8A43-4B5657D1F891}"/>
    <cellStyle name="Style 93 3 3 3 2 6 2" xfId="12908" xr:uid="{B443CE85-E410-4BBA-8801-DEC0AF9ECAE4}"/>
    <cellStyle name="Style 93 3 3 3 2 6 2 2" xfId="28785" xr:uid="{A81C7436-99A0-4AE9-90E1-4C81AE85D8C4}"/>
    <cellStyle name="Style 93 3 3 3 2 6 3" xfId="28784" xr:uid="{08D8AB64-370A-4392-867E-AC837B68CA1F}"/>
    <cellStyle name="Style 93 3 3 3 2 7" xfId="12909" xr:uid="{DD36F244-316C-4AF0-A5BB-374A12B08259}"/>
    <cellStyle name="Style 93 3 3 3 2 7 2" xfId="28786" xr:uid="{286807B0-0BB2-4DA6-86BB-2AEB299D1CCB}"/>
    <cellStyle name="Style 93 3 3 3 2 8" xfId="12910" xr:uid="{47C71155-6A3B-4726-8D7C-BFAACA39371C}"/>
    <cellStyle name="Style 93 3 3 3 2 8 2" xfId="28787" xr:uid="{CEC94C87-CF50-40EB-A70A-2EB9D014A554}"/>
    <cellStyle name="Style 93 3 3 3 2 9" xfId="12911" xr:uid="{A13C3704-7D1F-4812-85C7-55C89B029BB2}"/>
    <cellStyle name="Style 93 3 3 3 2 9 2" xfId="28788" xr:uid="{58720070-6172-490D-AF41-D26AA8E5B6AE}"/>
    <cellStyle name="Style 93 3 3 3 3" xfId="5091" xr:uid="{98E11AEA-24BF-4ECB-AAFB-C31D9D42A2EB}"/>
    <cellStyle name="Style 93 3 3 3 3 2" xfId="5092" xr:uid="{91DCB1A2-B036-4251-8E72-E062BFBD0373}"/>
    <cellStyle name="Style 93 3 3 3 3 2 2" xfId="12912" xr:uid="{2250DF23-ACB5-4BA7-8DE7-5B3A3CCDF360}"/>
    <cellStyle name="Style 93 3 3 3 3 2 2 2" xfId="28789" xr:uid="{439CC3AE-2431-49EB-B984-96A5DB03DBF4}"/>
    <cellStyle name="Style 93 3 3 3 3 2 3" xfId="12913" xr:uid="{76285D49-6F58-4C41-81E1-6440AB384462}"/>
    <cellStyle name="Style 93 3 3 3 3 2 3 2" xfId="28790" xr:uid="{2D37A280-5F3D-4557-9632-8462F57DBF84}"/>
    <cellStyle name="Style 93 3 3 3 3 3" xfId="12914" xr:uid="{F539BEDE-B6D4-4061-B09F-CD4474075B9C}"/>
    <cellStyle name="Style 93 3 3 3 3 3 2" xfId="28791" xr:uid="{8EBC7058-0D54-4FDA-A546-4D92B214BD1B}"/>
    <cellStyle name="Style 93 3 3 3 3 4" xfId="12915" xr:uid="{0CA6BDC3-06EB-4927-9BF3-F75149526357}"/>
    <cellStyle name="Style 93 3 3 3 3 4 2" xfId="28792" xr:uid="{07A96134-959A-4839-9C40-5566317CEDBD}"/>
    <cellStyle name="Style 93 3 3 3 3 5" xfId="12916" xr:uid="{95C33944-B6AB-4E88-BB07-BED332E80CD8}"/>
    <cellStyle name="Style 93 3 3 3 3 5 2" xfId="28793" xr:uid="{38534DF1-F0E0-4572-A0F5-3F8866EA263D}"/>
    <cellStyle name="Style 93 3 3 3 3 6" xfId="12917" xr:uid="{F1F0E174-3C19-4E3E-8D66-43BFEC8CAC9B}"/>
    <cellStyle name="Style 93 3 3 3 3 6 2" xfId="28794" xr:uid="{F1A9DA4D-E5CB-4F1D-B131-12C9DC66C658}"/>
    <cellStyle name="Style 93 3 3 3 3 7" xfId="19196" xr:uid="{81D112DD-FAB3-4AA0-81A8-82324D960107}"/>
    <cellStyle name="Style 93 3 3 3 4" xfId="5093" xr:uid="{B66F57AE-5506-403D-984F-698E60E20F48}"/>
    <cellStyle name="Style 93 3 3 3 4 2" xfId="12918" xr:uid="{196B59B0-0EFD-47E5-99E3-35776E7B3D52}"/>
    <cellStyle name="Style 93 3 3 3 4 2 2" xfId="28795" xr:uid="{B53E67D2-8E41-4AB5-B6A8-BFC1560B8303}"/>
    <cellStyle name="Style 93 3 3 3 4 3" xfId="12919" xr:uid="{A5643C48-9512-4D92-A472-FABDC39C95F2}"/>
    <cellStyle name="Style 93 3 3 3 4 3 2" xfId="28796" xr:uid="{5BD88D15-FD27-4539-B2DC-18881894FCB3}"/>
    <cellStyle name="Style 93 3 3 3 4 4" xfId="12920" xr:uid="{1D4E65FC-EAC7-4882-923F-704445A59E36}"/>
    <cellStyle name="Style 93 3 3 3 4 4 2" xfId="28797" xr:uid="{B3A7F6EE-4175-4987-B336-631FA7B5A620}"/>
    <cellStyle name="Style 93 3 3 3 5" xfId="5094" xr:uid="{D7BD17F6-8D7C-4E86-80FA-31EC1454CF27}"/>
    <cellStyle name="Style 93 3 3 3 5 2" xfId="12921" xr:uid="{038CEC96-1178-4F14-8FB6-4E50DE3E93D3}"/>
    <cellStyle name="Style 93 3 3 3 5 2 2" xfId="28798" xr:uid="{3E5E556C-2DBD-4FAF-A493-6252CD702567}"/>
    <cellStyle name="Style 93 3 3 3 5 3" xfId="12922" xr:uid="{70E778E2-5867-4102-8092-2F16BCBC82CD}"/>
    <cellStyle name="Style 93 3 3 3 5 3 2" xfId="28799" xr:uid="{24C517FF-D53A-4151-988A-2627BBD9512A}"/>
    <cellStyle name="Style 93 3 3 3 6" xfId="5088" xr:uid="{9C7CEAC7-38A4-4522-B907-E043E65054C7}"/>
    <cellStyle name="Style 93 3 3 3 6 2" xfId="12923" xr:uid="{CC8E669E-012A-4D2A-9158-A7BD87F9C20B}"/>
    <cellStyle name="Style 93 3 3 3 6 2 2" xfId="28800" xr:uid="{842985BE-4067-4309-BE5D-5515DCEAD59E}"/>
    <cellStyle name="Style 93 3 3 3 6 3" xfId="12924" xr:uid="{7229C31C-A2B2-4D8A-88B5-B7EBEA973768}"/>
    <cellStyle name="Style 93 3 3 3 6 3 2" xfId="28801" xr:uid="{F5AE19DE-39A8-4D75-905F-3C469310DEF5}"/>
    <cellStyle name="Style 93 3 3 3 7" xfId="12925" xr:uid="{54212C66-871E-40B8-A8DD-7D0B3AAA9BDA}"/>
    <cellStyle name="Style 93 3 3 3 7 2" xfId="12926" xr:uid="{EA7E3A55-A6E5-4A81-94A1-2E45B9F4F91B}"/>
    <cellStyle name="Style 93 3 3 3 7 2 2" xfId="28802" xr:uid="{0B0BED5E-B930-4A5B-BAF9-5F6E4A77C83B}"/>
    <cellStyle name="Style 93 3 3 3 7 3" xfId="12927" xr:uid="{A4BACE68-0016-45E9-AE21-A89C4AD4C7A5}"/>
    <cellStyle name="Style 93 3 3 3 7 3 2" xfId="28803" xr:uid="{8E3A43EE-F11E-4BE9-9852-71DCE5953D59}"/>
    <cellStyle name="Style 93 3 3 3 7 4" xfId="22352" xr:uid="{6C116C0B-FB00-4A34-893E-88865F9013FD}"/>
    <cellStyle name="Style 93 3 3 3 8" xfId="12928" xr:uid="{0BA5D096-3EA5-4B0F-B19D-5DE742176F65}"/>
    <cellStyle name="Style 93 3 3 3 8 2" xfId="28804" xr:uid="{0CD42AC5-0556-4F08-85E5-615A3FED7150}"/>
    <cellStyle name="Style 93 3 3 3 9" xfId="12929" xr:uid="{B6321721-F9A2-4F70-B10F-23CADCFE3E04}"/>
    <cellStyle name="Style 93 3 3 3 9 2" xfId="28805" xr:uid="{9AECA209-E3FF-456D-8AB5-39CC96C24B39}"/>
    <cellStyle name="Style 93 3 3 4" xfId="2349" xr:uid="{D04190C9-ED41-4FAB-9098-8DEB39CFE2CD}"/>
    <cellStyle name="Style 93 3 3 4 10" xfId="12930" xr:uid="{B9DB2AB1-8CD1-4DAB-A0E9-7F3AD2CFC83B}"/>
    <cellStyle name="Style 93 3 3 4 10 2" xfId="28806" xr:uid="{4F72894C-1CCF-4254-AB2A-7391C497D998}"/>
    <cellStyle name="Style 93 3 3 4 11" xfId="19197" xr:uid="{49EB52FC-15FE-48AF-A504-EB6FCB212F11}"/>
    <cellStyle name="Style 93 3 3 4 2" xfId="2350" xr:uid="{F9240797-CDE8-43F9-A6C8-54001C9401ED}"/>
    <cellStyle name="Style 93 3 3 4 2 10" xfId="19198" xr:uid="{A7FB8504-6C4E-42D3-9517-107D6AC7E386}"/>
    <cellStyle name="Style 93 3 3 4 2 2" xfId="5097" xr:uid="{0C1F67E2-5FD7-4FCE-ABEC-1B23C9DFC033}"/>
    <cellStyle name="Style 93 3 3 4 2 2 2" xfId="12931" xr:uid="{A2D87027-8D90-4790-B0E0-BBA06C010995}"/>
    <cellStyle name="Style 93 3 3 4 2 2 2 2" xfId="28807" xr:uid="{46FD4D1C-74CA-4CA8-93A8-E036CD4A1BD1}"/>
    <cellStyle name="Style 93 3 3 4 2 2 3" xfId="12932" xr:uid="{41E46C90-07F5-4A12-92D0-C166E5C9B488}"/>
    <cellStyle name="Style 93 3 3 4 2 2 3 2" xfId="28808" xr:uid="{4FAFEC81-39A0-4117-BD73-8E86E616FDE1}"/>
    <cellStyle name="Style 93 3 3 4 2 2 4" xfId="12933" xr:uid="{36CE7949-656B-4BAC-9898-58506BDC6018}"/>
    <cellStyle name="Style 93 3 3 4 2 2 4 2" xfId="28809" xr:uid="{B497FE2D-D184-4F63-906B-49415E65ADC3}"/>
    <cellStyle name="Style 93 3 3 4 2 3" xfId="5096" xr:uid="{5278B62C-11CD-44E1-9CD2-65C64F18C56D}"/>
    <cellStyle name="Style 93 3 3 4 2 3 2" xfId="12934" xr:uid="{BDFA6119-F81A-46BA-9D67-825B5D061E41}"/>
    <cellStyle name="Style 93 3 3 4 2 3 2 2" xfId="28810" xr:uid="{F16C08FC-4E72-4782-9A3A-9CB90AD2FE9E}"/>
    <cellStyle name="Style 93 3 3 4 2 3 3" xfId="12935" xr:uid="{7D207F3F-6372-4EBB-8780-E92043653C32}"/>
    <cellStyle name="Style 93 3 3 4 2 3 3 2" xfId="28811" xr:uid="{D6840D90-4769-4A36-9BA4-539813C620A8}"/>
    <cellStyle name="Style 93 3 3 4 2 4" xfId="12936" xr:uid="{CBE16D17-6864-4D44-979C-A31DB93CE4A9}"/>
    <cellStyle name="Style 93 3 3 4 2 4 2" xfId="12937" xr:uid="{C5E8D99A-EB65-489C-8443-890E7B8C286F}"/>
    <cellStyle name="Style 93 3 3 4 2 4 2 2" xfId="28812" xr:uid="{ABB0E1FA-8258-450A-A6BA-1F50377E7ADA}"/>
    <cellStyle name="Style 93 3 3 4 2 4 3" xfId="12938" xr:uid="{2C8FA6F2-03F3-45A0-9D6B-D0C9B04D1C06}"/>
    <cellStyle name="Style 93 3 3 4 2 4 3 2" xfId="28813" xr:uid="{B803C441-3A18-444B-8C9B-E7A2278BEEDC}"/>
    <cellStyle name="Style 93 3 3 4 2 4 4" xfId="22355" xr:uid="{5D4C382F-4F75-4866-8FC2-BA8AB2C874C0}"/>
    <cellStyle name="Style 93 3 3 4 2 5" xfId="12939" xr:uid="{B97A338E-B49F-43BA-B450-2CA0CAD306DF}"/>
    <cellStyle name="Style 93 3 3 4 2 5 2" xfId="12940" xr:uid="{2CB5A795-8A32-4793-9254-907D88056B6B}"/>
    <cellStyle name="Style 93 3 3 4 2 5 2 2" xfId="28815" xr:uid="{43CDB448-6F8A-459E-8362-5B58DCE614FF}"/>
    <cellStyle name="Style 93 3 3 4 2 5 3" xfId="28814" xr:uid="{D7A41044-3707-481A-94F7-601386BD9BE8}"/>
    <cellStyle name="Style 93 3 3 4 2 6" xfId="12941" xr:uid="{D82539AD-FBF2-4905-A0C4-7D37574E91E5}"/>
    <cellStyle name="Style 93 3 3 4 2 6 2" xfId="12942" xr:uid="{EFA2567C-4359-4553-8CD7-ECB971626A53}"/>
    <cellStyle name="Style 93 3 3 4 2 6 2 2" xfId="28817" xr:uid="{F021D6D4-04AC-4D33-A4C9-EA326FF8E178}"/>
    <cellStyle name="Style 93 3 3 4 2 6 3" xfId="28816" xr:uid="{53453089-FA4F-4E16-957D-1BF2EC6F0728}"/>
    <cellStyle name="Style 93 3 3 4 2 7" xfId="12943" xr:uid="{A8A87BF4-BB8D-4A00-9063-964880FAFA7D}"/>
    <cellStyle name="Style 93 3 3 4 2 7 2" xfId="28818" xr:uid="{38697683-DCF8-45D2-B19F-CA17EB6382FB}"/>
    <cellStyle name="Style 93 3 3 4 2 8" xfId="12944" xr:uid="{26429582-21DC-4C4B-9E9F-46C0CD758971}"/>
    <cellStyle name="Style 93 3 3 4 2 8 2" xfId="28819" xr:uid="{2B4DAE63-4734-4CF2-A71B-32596D891D45}"/>
    <cellStyle name="Style 93 3 3 4 2 9" xfId="12945" xr:uid="{DB5ABDB3-CE26-4562-91D3-05DE0E370063}"/>
    <cellStyle name="Style 93 3 3 4 2 9 2" xfId="28820" xr:uid="{059D8156-C8DB-4B72-8B5F-80AEE9D68ED0}"/>
    <cellStyle name="Style 93 3 3 4 3" xfId="5098" xr:uid="{4452F5F2-C8A0-4C54-BCB8-A9911885B8D1}"/>
    <cellStyle name="Style 93 3 3 4 3 2" xfId="12946" xr:uid="{0902B754-F7CA-446B-B825-7348970DB24B}"/>
    <cellStyle name="Style 93 3 3 4 3 2 2" xfId="28821" xr:uid="{528E8D61-92F9-46DB-9B4C-DC09A8E8206E}"/>
    <cellStyle name="Style 93 3 3 4 3 3" xfId="12947" xr:uid="{47A8F453-B911-408D-A478-38CD7051741A}"/>
    <cellStyle name="Style 93 3 3 4 3 3 2" xfId="28822" xr:uid="{A295BB7F-5F3D-4FEB-A102-2250114C3A6D}"/>
    <cellStyle name="Style 93 3 3 4 3 4" xfId="12948" xr:uid="{7780957A-F1CF-4896-BF58-392491BFB87E}"/>
    <cellStyle name="Style 93 3 3 4 3 4 2" xfId="28823" xr:uid="{FCD169B0-4AFE-436A-A505-62D9AF9997F0}"/>
    <cellStyle name="Style 93 3 3 4 4" xfId="5095" xr:uid="{A2C5482D-589C-4B05-946E-3842F0244E5D}"/>
    <cellStyle name="Style 93 3 3 4 4 2" xfId="12949" xr:uid="{EE38FAD8-062C-463B-BB31-DF36BFDC835E}"/>
    <cellStyle name="Style 93 3 3 4 4 2 2" xfId="28824" xr:uid="{6912C758-B59F-438E-A8D4-DAA01601FB50}"/>
    <cellStyle name="Style 93 3 3 4 4 3" xfId="12950" xr:uid="{39B6585A-FDC2-4C5A-880C-F7349D61D947}"/>
    <cellStyle name="Style 93 3 3 4 4 3 2" xfId="28825" xr:uid="{DD107638-D80C-4E2C-887E-D84767EA2320}"/>
    <cellStyle name="Style 93 3 3 4 5" xfId="12951" xr:uid="{E4D261B0-3B65-4A28-BFB7-3A3E532DCA49}"/>
    <cellStyle name="Style 93 3 3 4 5 2" xfId="12952" xr:uid="{FD428254-29EC-45EB-B564-5CE5F2B1ED17}"/>
    <cellStyle name="Style 93 3 3 4 5 2 2" xfId="28826" xr:uid="{82DE5303-22E8-43A4-9CCD-278B1EAE4EAB}"/>
    <cellStyle name="Style 93 3 3 4 5 3" xfId="12953" xr:uid="{E7000C74-A7DB-44F0-8ED2-7459CA78B177}"/>
    <cellStyle name="Style 93 3 3 4 5 3 2" xfId="28827" xr:uid="{519B865B-734B-48FC-BBDA-0E1BF846EE70}"/>
    <cellStyle name="Style 93 3 3 4 5 4" xfId="22354" xr:uid="{6F331E90-4730-4337-B0DB-04743B17524C}"/>
    <cellStyle name="Style 93 3 3 4 6" xfId="12954" xr:uid="{431285E6-41E3-42E8-BE49-D7A98990FC0D}"/>
    <cellStyle name="Style 93 3 3 4 6 2" xfId="12955" xr:uid="{DFD146B7-6EFE-453D-AD20-91B188A6C144}"/>
    <cellStyle name="Style 93 3 3 4 6 2 2" xfId="28829" xr:uid="{6D381ADB-D110-469F-A90B-46F71C798523}"/>
    <cellStyle name="Style 93 3 3 4 6 3" xfId="28828" xr:uid="{55E09E34-0DFB-4BCB-B3B6-2B9C308C0E18}"/>
    <cellStyle name="Style 93 3 3 4 7" xfId="12956" xr:uid="{FAB0C363-B252-4938-B102-E799FD7DBB8E}"/>
    <cellStyle name="Style 93 3 3 4 7 2" xfId="12957" xr:uid="{99508C68-462A-400E-88CA-AEC41CF22F52}"/>
    <cellStyle name="Style 93 3 3 4 7 2 2" xfId="28831" xr:uid="{5BC88326-F888-48DA-BC9C-53A35762C740}"/>
    <cellStyle name="Style 93 3 3 4 7 3" xfId="28830" xr:uid="{5D1B693A-35AD-41E0-9F93-20FAD0466C5E}"/>
    <cellStyle name="Style 93 3 3 4 8" xfId="12958" xr:uid="{1A5DB480-5164-4B81-94FB-BC2D3758A89E}"/>
    <cellStyle name="Style 93 3 3 4 8 2" xfId="28832" xr:uid="{A1B7B233-9D65-4F96-A41A-DBD23CA74B49}"/>
    <cellStyle name="Style 93 3 3 4 9" xfId="12959" xr:uid="{873E736B-613A-4028-9140-6E0217C0ECEC}"/>
    <cellStyle name="Style 93 3 3 4 9 2" xfId="28833" xr:uid="{7FF34205-5C66-4BB4-8687-370B7E475FC5}"/>
    <cellStyle name="Style 93 3 3 5" xfId="5099" xr:uid="{ECABA20F-CE97-4D7B-9EC8-9B859E6190D6}"/>
    <cellStyle name="Style 93 3 3 5 2" xfId="12960" xr:uid="{74FB8523-22B4-442D-8A7F-736BD5F4B714}"/>
    <cellStyle name="Style 93 3 3 5 2 2" xfId="12961" xr:uid="{AFD58173-23AD-4148-BD10-20BAFA71D764}"/>
    <cellStyle name="Style 93 3 3 5 2 2 2" xfId="28835" xr:uid="{3EE3CD2D-86D1-4D32-A276-06D548FD5351}"/>
    <cellStyle name="Style 93 3 3 5 2 3" xfId="28834" xr:uid="{DDB5DC12-FE2D-4BF2-A1A2-676C6B595920}"/>
    <cellStyle name="Style 93 3 3 5 3" xfId="12962" xr:uid="{F68E2861-6FB2-4BCB-B1CC-63A546DEB8FD}"/>
    <cellStyle name="Style 93 3 3 5 3 2" xfId="28836" xr:uid="{625A0A38-2059-4C64-B987-D1A2115A3F8B}"/>
    <cellStyle name="Style 93 3 3 5 4" xfId="12963" xr:uid="{EE87E7AE-E4C1-4292-8858-CFD1E307C499}"/>
    <cellStyle name="Style 93 3 3 5 4 2" xfId="28837" xr:uid="{2E402E04-7BF4-429E-86AD-05120D3781DE}"/>
    <cellStyle name="Style 93 3 3 5 5" xfId="12964" xr:uid="{AD3875AE-17EE-40C4-B3A2-5838363E7FFC}"/>
    <cellStyle name="Style 93 3 3 5 5 2" xfId="28838" xr:uid="{67B0BAE8-475C-460E-8EC8-380EA8E9910C}"/>
    <cellStyle name="Style 93 3 3 5 6" xfId="12965" xr:uid="{49ABCB10-5871-4AA5-AE01-5B0626986C03}"/>
    <cellStyle name="Style 93 3 3 5 6 2" xfId="28839" xr:uid="{CCF01758-F024-4E47-B978-8CED96DE1D7E}"/>
    <cellStyle name="Style 93 3 3 6" xfId="5100" xr:uid="{78B238C7-C254-4E47-A6ED-121E2AAE98CE}"/>
    <cellStyle name="Style 93 3 3 6 2" xfId="12966" xr:uid="{EF285910-C97C-4AA4-BE98-CFDF84D6D23B}"/>
    <cellStyle name="Style 93 3 3 6 2 2" xfId="28840" xr:uid="{740AEE0D-A7D0-4421-AA16-72751C3EAEA7}"/>
    <cellStyle name="Style 93 3 3 6 3" xfId="12967" xr:uid="{CA3E96E8-3FEF-47AC-87B7-FD3602BCDFF0}"/>
    <cellStyle name="Style 93 3 3 6 3 2" xfId="28841" xr:uid="{F7A3B8C6-59FC-4285-8D1B-6179965A3613}"/>
    <cellStyle name="Style 93 3 3 6 4" xfId="12968" xr:uid="{57CAB5F9-34E5-4CAD-B5CF-763382E42731}"/>
    <cellStyle name="Style 93 3 3 6 4 2" xfId="28842" xr:uid="{8C0EC438-48E1-4C9A-BF42-AB0E75FCE478}"/>
    <cellStyle name="Style 93 3 3 7" xfId="5085" xr:uid="{BCACCDA5-04DF-4D6D-918F-596B097A49DB}"/>
    <cellStyle name="Style 93 3 3 7 2" xfId="12969" xr:uid="{658872B5-C7D6-4BBD-9CCE-99AA36571B1F}"/>
    <cellStyle name="Style 93 3 3 7 2 2" xfId="28843" xr:uid="{72293608-891F-4B52-A192-2B754BE58710}"/>
    <cellStyle name="Style 93 3 3 7 3" xfId="12970" xr:uid="{33324B64-5B92-47FE-84F1-6C3AD111EA75}"/>
    <cellStyle name="Style 93 3 3 7 3 2" xfId="28844" xr:uid="{122B8624-F19D-497B-B79D-5270F90D449F}"/>
    <cellStyle name="Style 93 3 3 8" xfId="12971" xr:uid="{8188BB73-A195-457C-BF79-7645A6F4C0A5}"/>
    <cellStyle name="Style 93 3 3 8 2" xfId="12972" xr:uid="{C524733F-3097-4F1A-834F-BB6BECE69719}"/>
    <cellStyle name="Style 93 3 3 8 2 2" xfId="28845" xr:uid="{19A58937-DF7D-4A39-A6EC-0032822367E7}"/>
    <cellStyle name="Style 93 3 3 8 3" xfId="12973" xr:uid="{EB84F897-78EA-4B51-BA8C-134BD25473D1}"/>
    <cellStyle name="Style 93 3 3 8 3 2" xfId="28846" xr:uid="{066B783E-02A1-4E36-8990-BEA4936F488B}"/>
    <cellStyle name="Style 93 3 3 8 4" xfId="22351" xr:uid="{7F7D6ED7-0443-45EB-8D33-4A0BB20582AA}"/>
    <cellStyle name="Style 93 3 3 9" xfId="12974" xr:uid="{E93D59BE-2E49-42D3-B6BB-803A995F7705}"/>
    <cellStyle name="Style 93 3 3 9 2" xfId="12975" xr:uid="{27D0EBEC-DA50-4C4A-BE13-1A5ABE023A23}"/>
    <cellStyle name="Style 93 3 3 9 2 2" xfId="28848" xr:uid="{F0942F8C-7EFD-449D-9902-156062A6FF72}"/>
    <cellStyle name="Style 93 3 3 9 3" xfId="28847" xr:uid="{2BAD7996-FEEA-4B29-AF12-146C903C8D3F}"/>
    <cellStyle name="Style 93 3 4" xfId="2351" xr:uid="{B48E2B8B-8849-4AD0-B04F-A682F2955460}"/>
    <cellStyle name="Style 93 3 4 10" xfId="19199" xr:uid="{1FF0707D-D01B-42C2-903D-8F62C77667FE}"/>
    <cellStyle name="Style 93 3 4 2" xfId="5102" xr:uid="{F9BCD037-24F3-48FD-84EF-3BBF034CD9C6}"/>
    <cellStyle name="Style 93 3 4 2 2" xfId="5103" xr:uid="{12BE8267-E1E1-4312-971D-B2A0EC2D182A}"/>
    <cellStyle name="Style 93 3 4 2 2 2" xfId="12976" xr:uid="{F081C888-E320-4891-8E1B-0AD99F056717}"/>
    <cellStyle name="Style 93 3 4 2 2 2 2" xfId="28849" xr:uid="{B2F2EFB5-021B-4C1B-BC2F-188F87EB0887}"/>
    <cellStyle name="Style 93 3 4 2 3" xfId="12977" xr:uid="{F7CAC128-ABF7-45C6-97FD-A47E6A8F16EB}"/>
    <cellStyle name="Style 93 3 4 2 3 2" xfId="28850" xr:uid="{EA695651-2A7B-4CC7-AF44-6C8ECDD791D9}"/>
    <cellStyle name="Style 93 3 4 2 4" xfId="12978" xr:uid="{1DCECDF4-FE87-4F66-8661-E0A401E722A2}"/>
    <cellStyle name="Style 93 3 4 2 4 2" xfId="28851" xr:uid="{87EDF4DD-2A48-40D6-90BF-653F1725D697}"/>
    <cellStyle name="Style 93 3 4 2 5" xfId="19200" xr:uid="{11A0FB68-75B4-448C-B819-1404313FC745}"/>
    <cellStyle name="Style 93 3 4 3" xfId="5104" xr:uid="{D08970CB-5587-4644-85BD-D32404CFE6E0}"/>
    <cellStyle name="Style 93 3 4 3 2" xfId="12979" xr:uid="{B91095A3-0CA7-405E-8222-EB0B0A281EC7}"/>
    <cellStyle name="Style 93 3 4 3 2 2" xfId="28852" xr:uid="{4A4F1872-FA85-4711-9736-1D5AA891D521}"/>
    <cellStyle name="Style 93 3 4 3 3" xfId="12980" xr:uid="{6287D72F-59B9-4DE0-9F04-192C78348F14}"/>
    <cellStyle name="Style 93 3 4 3 3 2" xfId="28853" xr:uid="{05178154-9791-4477-8DD8-7D9B5D87C50B}"/>
    <cellStyle name="Style 93 3 4 4" xfId="5105" xr:uid="{3F9701EE-C927-4570-859A-9075C948E112}"/>
    <cellStyle name="Style 93 3 4 4 2" xfId="12981" xr:uid="{8DAAA52B-DA8C-4BFE-B64B-6970B57D881E}"/>
    <cellStyle name="Style 93 3 4 4 2 2" xfId="28854" xr:uid="{821E6250-E4F2-4344-8673-96CDD621FD71}"/>
    <cellStyle name="Style 93 3 4 4 3" xfId="12982" xr:uid="{25CFDF73-2CD2-4D59-8A6F-B27E8D3D1F2A}"/>
    <cellStyle name="Style 93 3 4 4 3 2" xfId="28855" xr:uid="{A137B121-D821-4830-A2C6-D27DAF25F806}"/>
    <cellStyle name="Style 93 3 4 5" xfId="5101" xr:uid="{68BCAFF4-6B7F-4307-B20B-D103879F1FD3}"/>
    <cellStyle name="Style 93 3 4 5 2" xfId="12983" xr:uid="{1FF5FE64-F2DE-42AD-819C-33910605ADD2}"/>
    <cellStyle name="Style 93 3 4 5 2 2" xfId="28856" xr:uid="{7E6C63F2-51BB-4D94-84B8-CF032BC3A121}"/>
    <cellStyle name="Style 93 3 4 5 3" xfId="12984" xr:uid="{3D897743-5E2E-4545-BFBD-41ACDE991161}"/>
    <cellStyle name="Style 93 3 4 5 3 2" xfId="28857" xr:uid="{86D0E0A7-E82F-47E9-8C4D-30CBA7E6EE7F}"/>
    <cellStyle name="Style 93 3 4 6" xfId="12985" xr:uid="{908C102A-0A71-49A1-897C-C75D43150805}"/>
    <cellStyle name="Style 93 3 4 6 2" xfId="12986" xr:uid="{69D27358-F368-4C8D-A6C2-49821491EE6C}"/>
    <cellStyle name="Style 93 3 4 6 2 2" xfId="28858" xr:uid="{141052C3-ABC6-44A1-BDD3-75023E585317}"/>
    <cellStyle name="Style 93 3 4 6 3" xfId="12987" xr:uid="{014A3141-6C3A-4E4F-A7A7-A3CF4E0227A8}"/>
    <cellStyle name="Style 93 3 4 6 3 2" xfId="28859" xr:uid="{C3EDC964-DB76-45D5-83FF-3C21DE633651}"/>
    <cellStyle name="Style 93 3 4 6 4" xfId="22356" xr:uid="{CAD632BA-2E62-4DEF-9747-2A957206F883}"/>
    <cellStyle name="Style 93 3 4 7" xfId="12988" xr:uid="{976335F5-73D5-4A64-B857-C519DC3336B4}"/>
    <cellStyle name="Style 93 3 4 7 2" xfId="28860" xr:uid="{5DDD8A6C-4162-4E03-BC02-21309C30F7FC}"/>
    <cellStyle name="Style 93 3 4 8" xfId="12989" xr:uid="{C0B867F2-23A1-47BF-9C10-DC5C9FA25282}"/>
    <cellStyle name="Style 93 3 4 8 2" xfId="28861" xr:uid="{5AADF0ED-C970-4678-873D-191E15C1F459}"/>
    <cellStyle name="Style 93 3 4 9" xfId="12990" xr:uid="{5624D62F-EF4A-4998-BB7B-9DC85663CCA5}"/>
    <cellStyle name="Style 93 3 4 9 2" xfId="28862" xr:uid="{2C6BB279-1ED4-4EB6-B57C-FFDCD2A1BBD9}"/>
    <cellStyle name="Style 93 3 5" xfId="5106" xr:uid="{80A92307-0435-4341-9D4F-2DAA59DDA588}"/>
    <cellStyle name="Style 93 3 5 2" xfId="5107" xr:uid="{FD004FAB-9039-42A7-8565-4E69F62063ED}"/>
    <cellStyle name="Style 93 3 5 2 2" xfId="12991" xr:uid="{734F41A5-7BC7-40EC-91F0-3145DBBB122E}"/>
    <cellStyle name="Style 93 3 5 2 2 2" xfId="28863" xr:uid="{0D429460-A1E0-4072-A1CB-A8173A60874D}"/>
    <cellStyle name="Style 93 3 5 3" xfId="12992" xr:uid="{1A1580B3-6CDF-4824-B088-0C866FE0ED43}"/>
    <cellStyle name="Style 93 3 5 3 2" xfId="12993" xr:uid="{21047035-831F-49B7-BBD7-B69AE76E73DB}"/>
    <cellStyle name="Style 93 3 5 3 2 2" xfId="28864" xr:uid="{1F9155AB-F9CB-4240-B842-49DD541A8D94}"/>
    <cellStyle name="Style 93 3 5 4" xfId="12994" xr:uid="{CA934BF4-4F13-4F31-BDEF-DDF8E2984FBC}"/>
    <cellStyle name="Style 93 3 5 4 2" xfId="28865" xr:uid="{8DD81F03-28EA-4CE1-BBBF-8E847F2ADD69}"/>
    <cellStyle name="Style 93 3 5 5" xfId="19201" xr:uid="{7A68D737-75F4-473E-959D-F6E515F34F88}"/>
    <cellStyle name="Style 93 3 6" xfId="5108" xr:uid="{C3A20FC0-FE4E-472A-9B4E-700E5B19D142}"/>
    <cellStyle name="Style 93 3 6 2" xfId="12995" xr:uid="{53E18196-FDBC-4AAE-B253-7D9D76B840C7}"/>
    <cellStyle name="Style 93 3 6 2 2" xfId="28866" xr:uid="{4D146743-6267-493D-ABC4-45E578332CAE}"/>
    <cellStyle name="Style 93 3 6 3" xfId="12996" xr:uid="{9E72EDE4-F71A-4905-BD6A-1C6B7AEA4595}"/>
    <cellStyle name="Style 93 3 6 3 2" xfId="28867" xr:uid="{2F97A9F4-C800-4F75-944E-27BD1E8E18FE}"/>
    <cellStyle name="Style 93 3 7" xfId="5080" xr:uid="{07A2EBC0-E0A6-440D-BF9A-85FE3D468C88}"/>
    <cellStyle name="Style 93 3 7 2" xfId="12997" xr:uid="{E1775915-EA87-459D-A7F3-F1FA9FF18A24}"/>
    <cellStyle name="Style 93 3 7 2 2" xfId="28868" xr:uid="{E44A3AE7-CCE8-450C-AE77-897DFC5D2CFD}"/>
    <cellStyle name="Style 93 3 7 3" xfId="12998" xr:uid="{B176848E-9C89-42C2-AB86-1EE3B7271890}"/>
    <cellStyle name="Style 93 3 7 3 2" xfId="28869" xr:uid="{02DB84E7-A1A0-4E70-AB38-001A814DF563}"/>
    <cellStyle name="Style 93 3 8" xfId="2971" xr:uid="{1EC01FC1-0345-4605-B883-277A3061F503}"/>
    <cellStyle name="Style 93 3 8 2" xfId="12999" xr:uid="{011E0363-5CD5-4F79-9EE7-8E2E269C8128}"/>
    <cellStyle name="Style 93 3 8 2 2" xfId="28870" xr:uid="{3FC381FA-5BD5-4614-8E84-08ECF5BECB3A}"/>
    <cellStyle name="Style 93 3 8 3" xfId="13000" xr:uid="{97A7287A-0E15-4E24-A40D-D6DAE158E32D}"/>
    <cellStyle name="Style 93 3 8 3 2" xfId="28871" xr:uid="{A3277865-E61B-4110-9340-3E4ADEAF50B2}"/>
    <cellStyle name="Style 93 3 8 4" xfId="21325" xr:uid="{C42D3D8E-2C92-4CD0-8733-2E9663FA02D2}"/>
    <cellStyle name="Style 93 3 9" xfId="13001" xr:uid="{7B8353D8-BD67-4164-9D54-9F4F34156960}"/>
    <cellStyle name="Style 93 3 9 2" xfId="13002" xr:uid="{81EC18B5-0785-4A1B-AAAF-83C0D52028A7}"/>
    <cellStyle name="Style 93 3 9 2 2" xfId="28873" xr:uid="{B47A71D0-4EE7-47DE-B0B8-AE8A933B6F7B}"/>
    <cellStyle name="Style 93 3 9 3" xfId="28872" xr:uid="{6A7E2F1A-C5E0-48F4-B853-3DE9E7FC1358}"/>
    <cellStyle name="Style 93 4" xfId="2352" xr:uid="{963A5AAC-4187-4894-82E0-B6ED5A2E2F0A}"/>
    <cellStyle name="Style 93 4 10" xfId="13003" xr:uid="{938BFCDD-764F-4143-8C29-96F054D2AEFC}"/>
    <cellStyle name="Style 93 4 10 2" xfId="28874" xr:uid="{70ACC4F5-9AB4-4188-8C69-4DDDD228E826}"/>
    <cellStyle name="Style 93 4 11" xfId="13004" xr:uid="{657EAC8F-EAD7-4418-8333-7DEDE6192A3C}"/>
    <cellStyle name="Style 93 4 11 2" xfId="28875" xr:uid="{0267A8CE-7BAB-464E-8958-FB7F926BBCD7}"/>
    <cellStyle name="Style 93 4 12" xfId="13005" xr:uid="{A251D9BC-9698-4A04-9D81-4DB7466CE120}"/>
    <cellStyle name="Style 93 4 12 2" xfId="28876" xr:uid="{7F0A5EC5-B0B4-4491-B9D1-CAE042ED9533}"/>
    <cellStyle name="Style 93 4 13" xfId="19202" xr:uid="{E571943C-C72C-4E2B-8AD3-D74805DAA2BA}"/>
    <cellStyle name="Style 93 4 2" xfId="2353" xr:uid="{50A92736-30AC-4A47-8EBB-E34F572B612B}"/>
    <cellStyle name="Style 93 4 2 10" xfId="13006" xr:uid="{64F55968-D925-4DA8-A42F-179F21799F53}"/>
    <cellStyle name="Style 93 4 2 10 2" xfId="28877" xr:uid="{3E4E96E5-8DF1-4EF8-B9CB-0086F06BEE56}"/>
    <cellStyle name="Style 93 4 2 11" xfId="13007" xr:uid="{C5A1089A-59DD-42DC-A34F-246F25F3CDA2}"/>
    <cellStyle name="Style 93 4 2 11 2" xfId="28878" xr:uid="{B0DE3A25-E794-4816-A02A-20FAACC0898E}"/>
    <cellStyle name="Style 93 4 2 12" xfId="13008" xr:uid="{2916DB79-8DF2-48C6-B828-CF7760BC08A1}"/>
    <cellStyle name="Style 93 4 2 12 2" xfId="28879" xr:uid="{15E00B87-4977-49F7-B328-0FE3ACC5DBEB}"/>
    <cellStyle name="Style 93 4 2 13" xfId="13009" xr:uid="{08E6E5D6-4A6B-4CFC-B896-D30857261797}"/>
    <cellStyle name="Style 93 4 2 13 2" xfId="28880" xr:uid="{96E6FCD2-426E-4A47-AA9A-FB28F66C0C1C}"/>
    <cellStyle name="Style 93 4 2 14" xfId="19203" xr:uid="{07651902-A1EA-4F1A-8AC2-F9E5581F3261}"/>
    <cellStyle name="Style 93 4 2 2" xfId="2354" xr:uid="{7E391F21-393A-4411-A163-D730053AE53B}"/>
    <cellStyle name="Style 93 4 2 2 10" xfId="19204" xr:uid="{2A32C960-BCC7-4739-BF25-BED1A6EAE053}"/>
    <cellStyle name="Style 93 4 2 2 2" xfId="5112" xr:uid="{2CEF5862-CB3C-427C-8A8D-4433D7C41D11}"/>
    <cellStyle name="Style 93 4 2 2 2 2" xfId="13010" xr:uid="{249B19FB-9040-4D9B-9127-8036148A3876}"/>
    <cellStyle name="Style 93 4 2 2 2 2 2" xfId="28881" xr:uid="{64A7285B-2781-4CAC-9218-1A56726BA48F}"/>
    <cellStyle name="Style 93 4 2 2 2 3" xfId="13011" xr:uid="{C9C32E5F-2E16-4B03-8D08-8C82BCD4468F}"/>
    <cellStyle name="Style 93 4 2 2 2 3 2" xfId="28882" xr:uid="{ECC41C83-1E82-45BC-B38A-269FAF6839D8}"/>
    <cellStyle name="Style 93 4 2 2 2 4" xfId="13012" xr:uid="{DD468B6A-D4CA-4169-834C-60B93C3B1014}"/>
    <cellStyle name="Style 93 4 2 2 2 4 2" xfId="28883" xr:uid="{1E1173A2-DAC5-4D80-BA97-482C5ACB2340}"/>
    <cellStyle name="Style 93 4 2 2 3" xfId="5111" xr:uid="{F2F292AF-9500-47EA-9A82-8C4CB1F6B0D1}"/>
    <cellStyle name="Style 93 4 2 2 3 2" xfId="13013" xr:uid="{AC4F35C1-FAD0-4F55-86D9-F3B71E6CA75A}"/>
    <cellStyle name="Style 93 4 2 2 3 2 2" xfId="28884" xr:uid="{42AB071B-8431-4E52-B63A-C6707099B8AE}"/>
    <cellStyle name="Style 93 4 2 2 3 3" xfId="13014" xr:uid="{BF593589-D5E6-4AE4-967A-6DB68CD089AA}"/>
    <cellStyle name="Style 93 4 2 2 3 3 2" xfId="28885" xr:uid="{1892B032-2262-47DF-89FF-63631F9EDD16}"/>
    <cellStyle name="Style 93 4 2 2 4" xfId="13015" xr:uid="{97CB8813-EE64-4081-BE13-F8E8A7C37664}"/>
    <cellStyle name="Style 93 4 2 2 4 2" xfId="13016" xr:uid="{783C3A7F-4C02-4FAE-BCC7-97D77F9E6D0D}"/>
    <cellStyle name="Style 93 4 2 2 4 2 2" xfId="28886" xr:uid="{70E19DFA-55C0-463B-B18C-6B1ED3115EF3}"/>
    <cellStyle name="Style 93 4 2 2 4 3" xfId="13017" xr:uid="{67F6760E-ABB6-47BD-A907-125DC96A02B5}"/>
    <cellStyle name="Style 93 4 2 2 4 3 2" xfId="28887" xr:uid="{ED332379-70D0-41AA-B5C3-D30E81D2776A}"/>
    <cellStyle name="Style 93 4 2 2 4 4" xfId="22359" xr:uid="{A0342378-7727-43B0-B8BE-B977E4CC0558}"/>
    <cellStyle name="Style 93 4 2 2 5" xfId="13018" xr:uid="{69F83849-A217-4234-B3D1-CA850B097E7B}"/>
    <cellStyle name="Style 93 4 2 2 5 2" xfId="13019" xr:uid="{55F52FAB-56DE-4BCD-8B4F-240F5BF95CC0}"/>
    <cellStyle name="Style 93 4 2 2 5 2 2" xfId="28889" xr:uid="{ED55F0D9-9E43-4651-B5E2-3DCA36083088}"/>
    <cellStyle name="Style 93 4 2 2 5 3" xfId="28888" xr:uid="{0B49A664-E54A-4878-A0E7-0562517A5651}"/>
    <cellStyle name="Style 93 4 2 2 6" xfId="13020" xr:uid="{C7B81FBC-3D3A-4E77-8FA6-92FD2D48D596}"/>
    <cellStyle name="Style 93 4 2 2 6 2" xfId="13021" xr:uid="{846B177D-20FB-498E-8D80-3D275380F1BF}"/>
    <cellStyle name="Style 93 4 2 2 6 2 2" xfId="28891" xr:uid="{7EFEF0C8-70CF-44C0-9234-FE96B9975ADD}"/>
    <cellStyle name="Style 93 4 2 2 6 3" xfId="28890" xr:uid="{6C656E49-5868-438F-8388-140572CFCB42}"/>
    <cellStyle name="Style 93 4 2 2 7" xfId="13022" xr:uid="{94CA97C5-B1FF-407A-8EE6-4D48D559DCA2}"/>
    <cellStyle name="Style 93 4 2 2 7 2" xfId="28892" xr:uid="{7137C1BC-8EBC-4AAE-B4B7-1AD5C0116159}"/>
    <cellStyle name="Style 93 4 2 2 8" xfId="13023" xr:uid="{75DE6AA1-9B02-4B6E-B880-D7514550228E}"/>
    <cellStyle name="Style 93 4 2 2 8 2" xfId="28893" xr:uid="{3ABE5719-4650-4457-AECB-3EDB2DC710BB}"/>
    <cellStyle name="Style 93 4 2 2 9" xfId="13024" xr:uid="{0B0AC994-3760-44E3-8061-457CBF8C5C81}"/>
    <cellStyle name="Style 93 4 2 2 9 2" xfId="28894" xr:uid="{A29A8EF9-C692-41DF-A707-B7B0EC1D924C}"/>
    <cellStyle name="Style 93 4 2 3" xfId="2355" xr:uid="{9BBAAF2B-0948-4EDD-8FE4-6B7A0C62CB07}"/>
    <cellStyle name="Style 93 4 2 3 10" xfId="13025" xr:uid="{752AD8C7-BCE9-4BD8-8242-0E5C3F1AB647}"/>
    <cellStyle name="Style 93 4 2 3 10 2" xfId="28895" xr:uid="{5039DA73-F27A-4E57-809C-790A2FF01D0C}"/>
    <cellStyle name="Style 93 4 2 3 11" xfId="13026" xr:uid="{864A678B-EDE7-457A-A3DA-964538D188B2}"/>
    <cellStyle name="Style 93 4 2 3 11 2" xfId="28896" xr:uid="{EE739673-46D3-4AA2-AAB9-EC2D26241DAE}"/>
    <cellStyle name="Style 93 4 2 3 12" xfId="19205" xr:uid="{CF7F45A9-D390-473D-B4EB-4FCD7B285CBE}"/>
    <cellStyle name="Style 93 4 2 3 2" xfId="2356" xr:uid="{CEF3B497-4876-47B5-BCB0-8667978C01B8}"/>
    <cellStyle name="Style 93 4 2 3 2 10" xfId="19206" xr:uid="{5335B04C-D42C-4D38-B494-8FB87F3305DB}"/>
    <cellStyle name="Style 93 4 2 3 2 2" xfId="5115" xr:uid="{636E961C-8F23-47C3-929B-B98478A31948}"/>
    <cellStyle name="Style 93 4 2 3 2 2 2" xfId="13027" xr:uid="{777A0515-3797-4B30-B6CF-1B7A6F7B0FE5}"/>
    <cellStyle name="Style 93 4 2 3 2 2 2 2" xfId="28897" xr:uid="{DF813E61-E09C-4321-AC51-CE87E9D7128F}"/>
    <cellStyle name="Style 93 4 2 3 2 2 3" xfId="13028" xr:uid="{856F53EA-3434-4925-B97D-AFEA874863A9}"/>
    <cellStyle name="Style 93 4 2 3 2 2 3 2" xfId="28898" xr:uid="{B5CC5A8A-AF89-4BA6-9BA3-07E88A93B8CE}"/>
    <cellStyle name="Style 93 4 2 3 2 2 4" xfId="13029" xr:uid="{5710AC0F-DE41-4372-A68A-135C1E9DC9E1}"/>
    <cellStyle name="Style 93 4 2 3 2 2 4 2" xfId="28899" xr:uid="{2FE61D1A-0D39-44E4-9F27-A6CB4F68D020}"/>
    <cellStyle name="Style 93 4 2 3 2 3" xfId="5114" xr:uid="{7035027A-6756-4406-AF5A-4A6CE76CBC0F}"/>
    <cellStyle name="Style 93 4 2 3 2 3 2" xfId="13030" xr:uid="{75878CB1-0124-465E-954D-EE5C591B278F}"/>
    <cellStyle name="Style 93 4 2 3 2 3 2 2" xfId="28900" xr:uid="{34A391D6-EAAA-4AAB-94CC-2CEE7086EB7A}"/>
    <cellStyle name="Style 93 4 2 3 2 3 3" xfId="13031" xr:uid="{4F644433-C205-4C27-B338-BE89B81473AC}"/>
    <cellStyle name="Style 93 4 2 3 2 3 3 2" xfId="28901" xr:uid="{D7395187-AE31-44A9-8246-E8B04B0C369E}"/>
    <cellStyle name="Style 93 4 2 3 2 4" xfId="13032" xr:uid="{BF0F7656-552C-4BD0-A7AD-5E343D382ED2}"/>
    <cellStyle name="Style 93 4 2 3 2 4 2" xfId="13033" xr:uid="{3C8F2311-ED21-462B-B0A3-AD2D971707C3}"/>
    <cellStyle name="Style 93 4 2 3 2 4 2 2" xfId="28902" xr:uid="{8ADD52D8-3D9D-4692-8760-038B54F3D134}"/>
    <cellStyle name="Style 93 4 2 3 2 4 3" xfId="13034" xr:uid="{CF32C731-1D59-4390-AAF5-10512583376D}"/>
    <cellStyle name="Style 93 4 2 3 2 4 3 2" xfId="28903" xr:uid="{D31238C1-BF79-460E-A752-B9766826B84E}"/>
    <cellStyle name="Style 93 4 2 3 2 4 4" xfId="22361" xr:uid="{EAA644FB-3FAC-4ECA-A63D-40BD586869D3}"/>
    <cellStyle name="Style 93 4 2 3 2 5" xfId="13035" xr:uid="{9144F965-99A1-4808-BF67-1F4BF00B23FF}"/>
    <cellStyle name="Style 93 4 2 3 2 5 2" xfId="13036" xr:uid="{3D8BBDB8-3A29-4AB5-9017-BF30BADD03F5}"/>
    <cellStyle name="Style 93 4 2 3 2 5 2 2" xfId="28905" xr:uid="{8F321B14-4533-487C-8D4F-116CB8E3D04B}"/>
    <cellStyle name="Style 93 4 2 3 2 5 3" xfId="28904" xr:uid="{C8DA782F-63F8-4845-BA92-CAB130C12BDF}"/>
    <cellStyle name="Style 93 4 2 3 2 6" xfId="13037" xr:uid="{6FFA92F5-60BC-4D6D-8C69-E78C00144B39}"/>
    <cellStyle name="Style 93 4 2 3 2 6 2" xfId="13038" xr:uid="{C0B5715E-74C0-4289-B541-BC68E6C51AEF}"/>
    <cellStyle name="Style 93 4 2 3 2 6 2 2" xfId="28907" xr:uid="{2C9B1F31-EAA1-4E97-948C-E21989961A22}"/>
    <cellStyle name="Style 93 4 2 3 2 6 3" xfId="28906" xr:uid="{E6018FDB-7E43-47E2-AA5F-626E934B6E3C}"/>
    <cellStyle name="Style 93 4 2 3 2 7" xfId="13039" xr:uid="{AE582D71-706C-4935-B777-99A45889BC37}"/>
    <cellStyle name="Style 93 4 2 3 2 7 2" xfId="28908" xr:uid="{E4EEBB5E-A3DE-47E0-A9BE-BDD1CD9956CD}"/>
    <cellStyle name="Style 93 4 2 3 2 8" xfId="13040" xr:uid="{7F2DA2E1-2097-4687-AD58-4F1672B94326}"/>
    <cellStyle name="Style 93 4 2 3 2 8 2" xfId="28909" xr:uid="{07F23B65-AA0B-42C9-96D5-8450E50FE6FC}"/>
    <cellStyle name="Style 93 4 2 3 2 9" xfId="13041" xr:uid="{6020DAF1-8DC5-460F-9B66-3A7975BCA7DC}"/>
    <cellStyle name="Style 93 4 2 3 2 9 2" xfId="28910" xr:uid="{D9CB92E1-223D-4F9D-B4B8-737689B9E0A5}"/>
    <cellStyle name="Style 93 4 2 3 3" xfId="5116" xr:uid="{0AC82E25-2050-4843-89E4-48766EFB78CA}"/>
    <cellStyle name="Style 93 4 2 3 3 2" xfId="5117" xr:uid="{4680F584-4CF8-46BE-9322-A947C7DC4AC4}"/>
    <cellStyle name="Style 93 4 2 3 3 2 2" xfId="13042" xr:uid="{A38984E3-DFB9-4427-A73C-2651122A4884}"/>
    <cellStyle name="Style 93 4 2 3 3 2 2 2" xfId="28911" xr:uid="{D4E89227-1F86-4B84-9AA1-4760BF33BF48}"/>
    <cellStyle name="Style 93 4 2 3 3 2 3" xfId="13043" xr:uid="{4C0A7CA3-A785-42D4-8605-4A6FD93CFC86}"/>
    <cellStyle name="Style 93 4 2 3 3 2 3 2" xfId="28912" xr:uid="{55320C2B-E9C3-4DF1-B14E-70418AD99857}"/>
    <cellStyle name="Style 93 4 2 3 3 3" xfId="13044" xr:uid="{617DE5DA-6CD9-4425-8399-430127712A55}"/>
    <cellStyle name="Style 93 4 2 3 3 3 2" xfId="28913" xr:uid="{7041A591-4919-42C8-A810-2ACEBE3B67D8}"/>
    <cellStyle name="Style 93 4 2 3 3 4" xfId="13045" xr:uid="{91E2C6F2-1427-42A6-8DAC-BA5DA733FB5E}"/>
    <cellStyle name="Style 93 4 2 3 3 4 2" xfId="28914" xr:uid="{F1774CD7-9BC5-4E9C-873E-07AA4EC3DA54}"/>
    <cellStyle name="Style 93 4 2 3 3 5" xfId="13046" xr:uid="{FBA23205-8C2A-4C16-9BE6-BBF63746023C}"/>
    <cellStyle name="Style 93 4 2 3 3 5 2" xfId="28915" xr:uid="{755BCC34-E63C-4262-80E9-F16825D61E56}"/>
    <cellStyle name="Style 93 4 2 3 3 6" xfId="13047" xr:uid="{E469B5FB-042A-496D-9C14-3845B727CA75}"/>
    <cellStyle name="Style 93 4 2 3 3 6 2" xfId="28916" xr:uid="{9E34386B-E204-43AD-B5D3-232F2EFAD499}"/>
    <cellStyle name="Style 93 4 2 3 3 7" xfId="19207" xr:uid="{C8DC3EBE-8674-4016-99F2-79F0B57C380D}"/>
    <cellStyle name="Style 93 4 2 3 4" xfId="5118" xr:uid="{9478871B-86FE-4B89-891E-363D37C9CA42}"/>
    <cellStyle name="Style 93 4 2 3 4 2" xfId="13048" xr:uid="{FCF1C9B9-3A14-4C1A-937E-E475C6F49CF2}"/>
    <cellStyle name="Style 93 4 2 3 4 2 2" xfId="28917" xr:uid="{61EA409C-E49C-49EB-936F-92A48703F639}"/>
    <cellStyle name="Style 93 4 2 3 4 3" xfId="13049" xr:uid="{DB05456B-6495-40F6-B904-09C54A4352EA}"/>
    <cellStyle name="Style 93 4 2 3 4 3 2" xfId="28918" xr:uid="{CF37A1E8-9FF6-456B-BB34-52BE5AAE078B}"/>
    <cellStyle name="Style 93 4 2 3 4 4" xfId="13050" xr:uid="{94600E77-F1F9-48FD-B534-B2D2408E9749}"/>
    <cellStyle name="Style 93 4 2 3 4 4 2" xfId="28919" xr:uid="{D97B2BF2-EAF8-4418-84E3-7DDCF5454729}"/>
    <cellStyle name="Style 93 4 2 3 5" xfId="5119" xr:uid="{78832777-2EE8-4C96-B660-B79B5743E181}"/>
    <cellStyle name="Style 93 4 2 3 5 2" xfId="13051" xr:uid="{4C1187BB-9173-443D-ADE6-D4C97FBDCA0E}"/>
    <cellStyle name="Style 93 4 2 3 5 2 2" xfId="28920" xr:uid="{8539EC99-7A95-4B2C-B96D-53C724B0D23F}"/>
    <cellStyle name="Style 93 4 2 3 5 3" xfId="13052" xr:uid="{56D0CC3C-4004-4BD2-A629-A49850573BCB}"/>
    <cellStyle name="Style 93 4 2 3 5 3 2" xfId="28921" xr:uid="{0E28D359-F857-4143-A1BD-05F566817B19}"/>
    <cellStyle name="Style 93 4 2 3 6" xfId="5113" xr:uid="{733CA2D8-D3BA-419C-809C-B7DACB2E075D}"/>
    <cellStyle name="Style 93 4 2 3 6 2" xfId="13053" xr:uid="{FC188162-90FF-4CC2-AE47-A700DC22FD8F}"/>
    <cellStyle name="Style 93 4 2 3 6 2 2" xfId="28922" xr:uid="{574C70C3-DBB2-4440-950D-CDD673F7FEEF}"/>
    <cellStyle name="Style 93 4 2 3 6 3" xfId="13054" xr:uid="{B9E4D43A-5DED-4E6C-A94C-43626FACBD65}"/>
    <cellStyle name="Style 93 4 2 3 6 3 2" xfId="28923" xr:uid="{1E254890-C608-4836-A091-55DCED724EA5}"/>
    <cellStyle name="Style 93 4 2 3 7" xfId="13055" xr:uid="{3136210D-F7C1-4E74-A224-25D10110E287}"/>
    <cellStyle name="Style 93 4 2 3 7 2" xfId="13056" xr:uid="{521473E7-2F38-4139-800B-4AF3E85B098B}"/>
    <cellStyle name="Style 93 4 2 3 7 2 2" xfId="28924" xr:uid="{9275519D-CEC7-4AE9-9982-89534A9E1B7A}"/>
    <cellStyle name="Style 93 4 2 3 7 3" xfId="13057" xr:uid="{78D2FCAE-A136-43FC-8765-FFE672A96B7F}"/>
    <cellStyle name="Style 93 4 2 3 7 3 2" xfId="28925" xr:uid="{B335CD69-7005-48DE-A711-3E78A91FD3A5}"/>
    <cellStyle name="Style 93 4 2 3 7 4" xfId="22360" xr:uid="{D03009F8-18E9-4745-A716-D28D14F41503}"/>
    <cellStyle name="Style 93 4 2 3 8" xfId="13058" xr:uid="{86CA292D-47CE-43D6-BABE-DF010310024D}"/>
    <cellStyle name="Style 93 4 2 3 8 2" xfId="28926" xr:uid="{8620AB26-18F2-4FBE-B1B4-2FC9109AC5E3}"/>
    <cellStyle name="Style 93 4 2 3 9" xfId="13059" xr:uid="{D8B0E2CE-CAB2-428B-9473-C440B9DC6909}"/>
    <cellStyle name="Style 93 4 2 3 9 2" xfId="28927" xr:uid="{F0CD242B-DA42-4CE0-A974-E0DA598E3C28}"/>
    <cellStyle name="Style 93 4 2 4" xfId="2357" xr:uid="{75BF9126-7C72-4F9B-978D-DA3B2F83E3B7}"/>
    <cellStyle name="Style 93 4 2 4 10" xfId="13060" xr:uid="{54C11B9F-02FA-4C5A-B293-C667A58A6529}"/>
    <cellStyle name="Style 93 4 2 4 10 2" xfId="28928" xr:uid="{EA55C56A-FC23-4769-A70B-6648206BC6B0}"/>
    <cellStyle name="Style 93 4 2 4 11" xfId="19208" xr:uid="{C25544EA-6422-4D7C-86F5-1D0A4E20225B}"/>
    <cellStyle name="Style 93 4 2 4 2" xfId="2358" xr:uid="{0A491826-B8A6-4426-98BA-DC8B3BD609D4}"/>
    <cellStyle name="Style 93 4 2 4 2 10" xfId="19209" xr:uid="{9B80C14D-145A-436D-BBB1-9B50ED157AF3}"/>
    <cellStyle name="Style 93 4 2 4 2 2" xfId="5122" xr:uid="{F2157B02-1852-4D0E-8071-7E1A42B4E0A4}"/>
    <cellStyle name="Style 93 4 2 4 2 2 2" xfId="13061" xr:uid="{1B76296A-E80A-471A-9AF5-F26FF1525D80}"/>
    <cellStyle name="Style 93 4 2 4 2 2 2 2" xfId="28929" xr:uid="{88D13F3F-68F3-4DCB-9AAE-3CF36247BB68}"/>
    <cellStyle name="Style 93 4 2 4 2 2 3" xfId="13062" xr:uid="{7A46D27B-E0A2-419A-A4A3-DBD25CE817CD}"/>
    <cellStyle name="Style 93 4 2 4 2 2 3 2" xfId="28930" xr:uid="{1F11FEFF-99BA-4D29-93CA-27453AB0C2BE}"/>
    <cellStyle name="Style 93 4 2 4 2 2 4" xfId="13063" xr:uid="{9713ECB5-9051-4253-9BED-874B8EF867B8}"/>
    <cellStyle name="Style 93 4 2 4 2 2 4 2" xfId="28931" xr:uid="{1741A8DD-1667-4893-8A42-F92A6D8C67E7}"/>
    <cellStyle name="Style 93 4 2 4 2 3" xfId="5121" xr:uid="{3BAFCAEB-FA31-4EB7-BA9A-AC6CD42CCF99}"/>
    <cellStyle name="Style 93 4 2 4 2 3 2" xfId="13064" xr:uid="{C034D67C-CA80-40DB-8BC1-2B0E5FB7C2EE}"/>
    <cellStyle name="Style 93 4 2 4 2 3 2 2" xfId="28932" xr:uid="{AA207FB3-E9DB-4BDD-843E-E3D0A2880310}"/>
    <cellStyle name="Style 93 4 2 4 2 3 3" xfId="13065" xr:uid="{CE53ACE9-2831-4AC1-9C50-8FD32B594937}"/>
    <cellStyle name="Style 93 4 2 4 2 3 3 2" xfId="28933" xr:uid="{33C8DF77-3E1E-4F4B-800C-199AD3E267F8}"/>
    <cellStyle name="Style 93 4 2 4 2 4" xfId="13066" xr:uid="{92BBF483-B50C-4D49-8847-811A5E09977C}"/>
    <cellStyle name="Style 93 4 2 4 2 4 2" xfId="13067" xr:uid="{EB1A29CE-C082-40BE-BCDD-C6D777BE1ED2}"/>
    <cellStyle name="Style 93 4 2 4 2 4 2 2" xfId="28934" xr:uid="{BE2CE74D-35BB-43BB-9A8E-FDA2845D2A93}"/>
    <cellStyle name="Style 93 4 2 4 2 4 3" xfId="13068" xr:uid="{B1D1F6A1-D4B1-4272-8756-E25F29E3A4B2}"/>
    <cellStyle name="Style 93 4 2 4 2 4 3 2" xfId="28935" xr:uid="{50A12FA4-444E-4EF9-A6F5-ABF05BE80295}"/>
    <cellStyle name="Style 93 4 2 4 2 4 4" xfId="22363" xr:uid="{7189B96C-83A2-4724-A83F-B59775E06231}"/>
    <cellStyle name="Style 93 4 2 4 2 5" xfId="13069" xr:uid="{1122F1FB-5AE3-447A-AF24-C1BDE8B23444}"/>
    <cellStyle name="Style 93 4 2 4 2 5 2" xfId="13070" xr:uid="{288990DA-492E-4D6D-8CD8-712F64EFA71E}"/>
    <cellStyle name="Style 93 4 2 4 2 5 2 2" xfId="28937" xr:uid="{62DEE4EE-9EC3-4F5F-A5C6-769049384750}"/>
    <cellStyle name="Style 93 4 2 4 2 5 3" xfId="28936" xr:uid="{3083B716-3E0F-4D15-9277-DC738054F8F9}"/>
    <cellStyle name="Style 93 4 2 4 2 6" xfId="13071" xr:uid="{DF384E11-6BF6-4C13-A33D-293372A20AEE}"/>
    <cellStyle name="Style 93 4 2 4 2 6 2" xfId="13072" xr:uid="{52190FBE-1B38-4720-A16D-6E2028BD86B7}"/>
    <cellStyle name="Style 93 4 2 4 2 6 2 2" xfId="28939" xr:uid="{077B4825-C586-4F61-8A0C-86C2CF1A1E73}"/>
    <cellStyle name="Style 93 4 2 4 2 6 3" xfId="28938" xr:uid="{C2C1216B-A2C8-4857-AF65-EFA159AD0B42}"/>
    <cellStyle name="Style 93 4 2 4 2 7" xfId="13073" xr:uid="{0AC05448-7908-43F1-94A6-85D4745F2EC6}"/>
    <cellStyle name="Style 93 4 2 4 2 7 2" xfId="28940" xr:uid="{4364FF4E-AB6F-4D0A-9137-64971CFC6526}"/>
    <cellStyle name="Style 93 4 2 4 2 8" xfId="13074" xr:uid="{A46BB242-3F04-40DF-8D9F-68E0A56E27F2}"/>
    <cellStyle name="Style 93 4 2 4 2 8 2" xfId="28941" xr:uid="{14AADE79-8E24-45A7-8682-E856032F9132}"/>
    <cellStyle name="Style 93 4 2 4 2 9" xfId="13075" xr:uid="{A318546A-B095-4588-94A2-75A97B416601}"/>
    <cellStyle name="Style 93 4 2 4 2 9 2" xfId="28942" xr:uid="{4412E23D-F5C6-4E3A-9477-C1E40D18CEDA}"/>
    <cellStyle name="Style 93 4 2 4 3" xfId="5123" xr:uid="{5EFC2D5E-BBCE-4EDD-A363-85B69F59F0E2}"/>
    <cellStyle name="Style 93 4 2 4 3 2" xfId="13076" xr:uid="{D427E177-B705-43AC-A440-AA3A8B8BF142}"/>
    <cellStyle name="Style 93 4 2 4 3 2 2" xfId="28943" xr:uid="{DD44B5D6-CAB2-435B-9F39-EABD281561B5}"/>
    <cellStyle name="Style 93 4 2 4 3 3" xfId="13077" xr:uid="{4FF191D3-3BCC-4468-AB4E-906D6AF52D94}"/>
    <cellStyle name="Style 93 4 2 4 3 3 2" xfId="28944" xr:uid="{6A04F786-3971-4813-8F47-75E97258A726}"/>
    <cellStyle name="Style 93 4 2 4 3 4" xfId="13078" xr:uid="{2BACE404-51D3-4FC9-82CF-B0960D914182}"/>
    <cellStyle name="Style 93 4 2 4 3 4 2" xfId="28945" xr:uid="{596294AA-730C-412D-A4C8-9A1D783712D0}"/>
    <cellStyle name="Style 93 4 2 4 4" xfId="5120" xr:uid="{821B4D26-D897-4C2D-BAB6-4414052EB8FC}"/>
    <cellStyle name="Style 93 4 2 4 4 2" xfId="13079" xr:uid="{48045D37-79B3-48E1-9ADD-85A0A047D00F}"/>
    <cellStyle name="Style 93 4 2 4 4 2 2" xfId="28946" xr:uid="{61E2753D-7482-40CA-94AE-787433B8844F}"/>
    <cellStyle name="Style 93 4 2 4 4 3" xfId="13080" xr:uid="{6FAEB009-AFA8-41B1-812C-84D641C89CA8}"/>
    <cellStyle name="Style 93 4 2 4 4 3 2" xfId="28947" xr:uid="{B78057F6-9F8D-4C63-9695-CC3B3AA8EA28}"/>
    <cellStyle name="Style 93 4 2 4 5" xfId="13081" xr:uid="{6B29A31E-4B11-44CE-BAF5-C0A6618EA03C}"/>
    <cellStyle name="Style 93 4 2 4 5 2" xfId="13082" xr:uid="{A019397A-003B-482F-BCF4-BA4F0BFF23C0}"/>
    <cellStyle name="Style 93 4 2 4 5 2 2" xfId="28948" xr:uid="{00C79F77-A005-4201-B64F-E948A31393B6}"/>
    <cellStyle name="Style 93 4 2 4 5 3" xfId="13083" xr:uid="{421B8C0D-5B91-4C95-977A-086B7C68E426}"/>
    <cellStyle name="Style 93 4 2 4 5 3 2" xfId="28949" xr:uid="{1000C8E1-9B21-41CA-8420-7E1D0B2DE59D}"/>
    <cellStyle name="Style 93 4 2 4 5 4" xfId="22362" xr:uid="{F581B199-CEE3-4A73-A14D-8E44B8316032}"/>
    <cellStyle name="Style 93 4 2 4 6" xfId="13084" xr:uid="{A64A8903-7CAF-462E-B08C-CF220593AFB5}"/>
    <cellStyle name="Style 93 4 2 4 6 2" xfId="13085" xr:uid="{F934D7CE-F229-48B5-8AC5-EACC847E67D6}"/>
    <cellStyle name="Style 93 4 2 4 6 2 2" xfId="28951" xr:uid="{E5E7AEBC-7FE9-4CCB-BE37-6C0AA004B7EA}"/>
    <cellStyle name="Style 93 4 2 4 6 3" xfId="28950" xr:uid="{56A43EB3-3202-44E0-AC0F-B7C17ECDC18F}"/>
    <cellStyle name="Style 93 4 2 4 7" xfId="13086" xr:uid="{156A4E88-86D2-4685-A9FE-8FA2A6A24B74}"/>
    <cellStyle name="Style 93 4 2 4 7 2" xfId="13087" xr:uid="{B066337F-3E31-4B1C-BC1C-1287B527540C}"/>
    <cellStyle name="Style 93 4 2 4 7 2 2" xfId="28953" xr:uid="{9AA51373-C173-4C72-90AB-DBA9D6390B36}"/>
    <cellStyle name="Style 93 4 2 4 7 3" xfId="28952" xr:uid="{54542BDC-58B7-4744-8FAF-1FC87A20A045}"/>
    <cellStyle name="Style 93 4 2 4 8" xfId="13088" xr:uid="{5887778D-823E-4FE2-850A-FE9739ADF157}"/>
    <cellStyle name="Style 93 4 2 4 8 2" xfId="28954" xr:uid="{72BEAFA9-DAEE-4C47-ABAD-87A7E155F724}"/>
    <cellStyle name="Style 93 4 2 4 9" xfId="13089" xr:uid="{F12AE207-B8C3-42DC-8A9F-79B8EC49B3D6}"/>
    <cellStyle name="Style 93 4 2 4 9 2" xfId="28955" xr:uid="{08E68CF8-FD4A-4186-8B9B-A45DF364720F}"/>
    <cellStyle name="Style 93 4 2 5" xfId="5124" xr:uid="{0889A85C-B461-4274-AF20-E3C630D88A28}"/>
    <cellStyle name="Style 93 4 2 5 2" xfId="13090" xr:uid="{4EB36DDA-164A-4E65-9BD7-9E3B2DD75824}"/>
    <cellStyle name="Style 93 4 2 5 2 2" xfId="13091" xr:uid="{5E251EA1-6B20-4E5D-944A-52414AF9D194}"/>
    <cellStyle name="Style 93 4 2 5 2 2 2" xfId="28957" xr:uid="{8EA49393-A778-4DD2-9DAC-6FC170DB08D8}"/>
    <cellStyle name="Style 93 4 2 5 2 3" xfId="28956" xr:uid="{957C19AE-3764-481F-B6E8-366CB5268F96}"/>
    <cellStyle name="Style 93 4 2 5 3" xfId="13092" xr:uid="{F3982EDB-5C30-4673-B8A6-AE54BEF1C5E7}"/>
    <cellStyle name="Style 93 4 2 5 3 2" xfId="28958" xr:uid="{B985236B-A8E9-498E-841B-EAC444561A8E}"/>
    <cellStyle name="Style 93 4 2 5 4" xfId="13093" xr:uid="{2E710677-A184-472A-B603-99744B229C06}"/>
    <cellStyle name="Style 93 4 2 5 4 2" xfId="28959" xr:uid="{27636DFC-F1A8-4D69-9243-066C267747B2}"/>
    <cellStyle name="Style 93 4 2 5 5" xfId="13094" xr:uid="{531DC64D-22C0-4FBC-A15E-7E1952064BEF}"/>
    <cellStyle name="Style 93 4 2 5 5 2" xfId="28960" xr:uid="{A41F5B4C-9062-4280-8CD0-0983FAEFDCA1}"/>
    <cellStyle name="Style 93 4 2 5 6" xfId="13095" xr:uid="{F7A9CA77-6E3C-4D2D-AC27-A6F81CD61D3C}"/>
    <cellStyle name="Style 93 4 2 5 6 2" xfId="28961" xr:uid="{1F33720D-514A-41A6-AF01-C7B0BEB51057}"/>
    <cellStyle name="Style 93 4 2 6" xfId="5125" xr:uid="{6EEE84D3-3594-4169-8A0F-DBF3C2719DB0}"/>
    <cellStyle name="Style 93 4 2 6 2" xfId="13096" xr:uid="{0492C119-1C5F-4AB1-A831-D951554D1A86}"/>
    <cellStyle name="Style 93 4 2 6 2 2" xfId="28962" xr:uid="{46CF54EC-B2DD-4CBF-92E3-ADE3FC739B31}"/>
    <cellStyle name="Style 93 4 2 6 3" xfId="13097" xr:uid="{15E13CE1-4639-4544-85C8-014F86F3F80E}"/>
    <cellStyle name="Style 93 4 2 6 3 2" xfId="28963" xr:uid="{A92D408D-9BF3-47D1-9267-0E0A3422F087}"/>
    <cellStyle name="Style 93 4 2 6 4" xfId="13098" xr:uid="{3DBA2773-6AE9-4133-BFBC-67A1D051F89C}"/>
    <cellStyle name="Style 93 4 2 6 4 2" xfId="28964" xr:uid="{1387610C-BB8B-4B61-9916-4F3C50A8A77B}"/>
    <cellStyle name="Style 93 4 2 7" xfId="5110" xr:uid="{C6A72352-D6D0-4267-98A9-2BBF9158D51D}"/>
    <cellStyle name="Style 93 4 2 7 2" xfId="13099" xr:uid="{C3395D97-F583-4B8B-98DE-ED61091C1505}"/>
    <cellStyle name="Style 93 4 2 7 2 2" xfId="28965" xr:uid="{42F1C90C-D8A8-4AF7-A4BF-ADCE9A77DFE8}"/>
    <cellStyle name="Style 93 4 2 7 3" xfId="13100" xr:uid="{8B57FA4A-937A-423D-85C7-14A48449D4A1}"/>
    <cellStyle name="Style 93 4 2 7 3 2" xfId="28966" xr:uid="{379E1918-8D8D-4554-96EB-8C2ABB3736C7}"/>
    <cellStyle name="Style 93 4 2 8" xfId="13101" xr:uid="{5AC2A30C-AB12-4A28-B119-EA8A99BAD19F}"/>
    <cellStyle name="Style 93 4 2 8 2" xfId="13102" xr:uid="{67A92AE1-E0F1-44AF-A5C0-73850B1123FC}"/>
    <cellStyle name="Style 93 4 2 8 2 2" xfId="28967" xr:uid="{D9FD81FE-58E9-48D0-A3A7-64C2A2362B64}"/>
    <cellStyle name="Style 93 4 2 8 3" xfId="13103" xr:uid="{6748E0CA-50ED-44A6-BA5F-BFD12431EEA9}"/>
    <cellStyle name="Style 93 4 2 8 3 2" xfId="28968" xr:uid="{0DF49992-4B08-4ACA-9741-98C2BCCA64C8}"/>
    <cellStyle name="Style 93 4 2 8 4" xfId="22358" xr:uid="{86A8A8A6-BB48-4F5A-A7AB-B23E2D64AB8C}"/>
    <cellStyle name="Style 93 4 2 9" xfId="13104" xr:uid="{8144C49F-EE93-427C-9C34-40552151EE31}"/>
    <cellStyle name="Style 93 4 2 9 2" xfId="13105" xr:uid="{FB9ED66C-5245-4FA1-869B-62F1A842D4DA}"/>
    <cellStyle name="Style 93 4 2 9 2 2" xfId="28970" xr:uid="{C7524CDF-C107-48C7-85B7-D02A492BC18D}"/>
    <cellStyle name="Style 93 4 2 9 3" xfId="28969" xr:uid="{81050C81-80C5-427E-A935-ADDFEF942F2E}"/>
    <cellStyle name="Style 93 4 3" xfId="2359" xr:uid="{D0C6E61E-33D8-494A-916C-9A13360BB468}"/>
    <cellStyle name="Style 93 4 3 10" xfId="19210" xr:uid="{4A3722C2-1371-4535-9F47-6F9CB1F3B2B9}"/>
    <cellStyle name="Style 93 4 3 2" xfId="5127" xr:uid="{4F44255E-0233-4E16-B813-C52417ECC323}"/>
    <cellStyle name="Style 93 4 3 2 2" xfId="13106" xr:uid="{D094D9EC-4144-4C83-B231-4004F7B44CD4}"/>
    <cellStyle name="Style 93 4 3 2 2 2" xfId="28971" xr:uid="{C4B4BBEB-0D8F-4098-ABE0-DD03749DF06F}"/>
    <cellStyle name="Style 93 4 3 2 3" xfId="13107" xr:uid="{0F366C48-729D-465A-9858-4624120EA024}"/>
    <cellStyle name="Style 93 4 3 2 3 2" xfId="28972" xr:uid="{A88338D6-6A7D-4230-8248-09DF2EDA2B5F}"/>
    <cellStyle name="Style 93 4 3 2 4" xfId="13108" xr:uid="{807E15B0-61CC-4066-87E1-DA99FBA45641}"/>
    <cellStyle name="Style 93 4 3 2 4 2" xfId="28973" xr:uid="{FF2E9FA9-3BB5-49AB-A191-5376F0BE4676}"/>
    <cellStyle name="Style 93 4 3 3" xfId="5126" xr:uid="{39CBC972-B88B-48FA-B97F-574BB5709AD8}"/>
    <cellStyle name="Style 93 4 3 3 2" xfId="13109" xr:uid="{0F5A8D99-A864-4073-B091-F17EA63D7B59}"/>
    <cellStyle name="Style 93 4 3 3 2 2" xfId="28974" xr:uid="{010C1941-21AF-4E4D-86F2-880A773676F0}"/>
    <cellStyle name="Style 93 4 3 3 3" xfId="13110" xr:uid="{2179AAB3-5650-43FA-AEC9-84CCD8E96D37}"/>
    <cellStyle name="Style 93 4 3 3 3 2" xfId="28975" xr:uid="{A2775B62-4CBE-461F-B597-74557ABD96A7}"/>
    <cellStyle name="Style 93 4 3 4" xfId="13111" xr:uid="{0D9165E7-89C6-4B62-9E2C-D5E48A59FCBA}"/>
    <cellStyle name="Style 93 4 3 4 2" xfId="13112" xr:uid="{3A28F4D0-F0DC-480B-A5D0-B829079C0E1A}"/>
    <cellStyle name="Style 93 4 3 4 2 2" xfId="28976" xr:uid="{1CA712BF-2F66-445C-A438-994AA52B9027}"/>
    <cellStyle name="Style 93 4 3 4 3" xfId="13113" xr:uid="{25075FC0-C7E7-4A85-B5B5-F0F792A06AB8}"/>
    <cellStyle name="Style 93 4 3 4 3 2" xfId="28977" xr:uid="{AF58DAB2-20B6-499D-8C8B-0062B4202115}"/>
    <cellStyle name="Style 93 4 3 4 4" xfId="22364" xr:uid="{FF61FCF1-E8A7-4161-BC76-F4786505DBFE}"/>
    <cellStyle name="Style 93 4 3 5" xfId="13114" xr:uid="{0D6F12B4-03D4-491A-A8F0-007CC1ED5F40}"/>
    <cellStyle name="Style 93 4 3 5 2" xfId="13115" xr:uid="{676DA707-C02C-47E8-B5C7-3C0EE65FAC2E}"/>
    <cellStyle name="Style 93 4 3 5 2 2" xfId="28979" xr:uid="{2647B717-174C-4EFE-9C82-F8787713D1CA}"/>
    <cellStyle name="Style 93 4 3 5 3" xfId="28978" xr:uid="{8B736712-9D04-4583-9D27-ED7350BFFAAF}"/>
    <cellStyle name="Style 93 4 3 6" xfId="13116" xr:uid="{621587E0-C270-4C28-8D5E-3EE6CF893282}"/>
    <cellStyle name="Style 93 4 3 6 2" xfId="13117" xr:uid="{5D813D0F-8112-4388-B900-0F46451DD6AD}"/>
    <cellStyle name="Style 93 4 3 6 2 2" xfId="28981" xr:uid="{67A38B5D-CB46-469D-ABE6-5A1CDB3D1ACF}"/>
    <cellStyle name="Style 93 4 3 6 3" xfId="28980" xr:uid="{8D616BAA-6ED0-44C4-9BBF-7557F16F116E}"/>
    <cellStyle name="Style 93 4 3 7" xfId="13118" xr:uid="{B0EBFC1F-A10D-49DD-BE26-767129C19E8E}"/>
    <cellStyle name="Style 93 4 3 7 2" xfId="28982" xr:uid="{0AC4722E-F683-459D-B4DD-6C78EA6AF626}"/>
    <cellStyle name="Style 93 4 3 8" xfId="13119" xr:uid="{F9DC46A3-7AA7-4646-A86F-B3B6A13CEA42}"/>
    <cellStyle name="Style 93 4 3 8 2" xfId="28983" xr:uid="{7F252290-3385-4D83-8869-3CFACA377C66}"/>
    <cellStyle name="Style 93 4 3 9" xfId="13120" xr:uid="{CD2D5378-98DF-4A5A-B418-6C7F1C9EFB27}"/>
    <cellStyle name="Style 93 4 3 9 2" xfId="28984" xr:uid="{0BC686C4-5F81-4702-B864-9E93EB149AD5}"/>
    <cellStyle name="Style 93 4 4" xfId="5128" xr:uid="{5D682F56-B44D-4B98-AFB1-4A387DB93C95}"/>
    <cellStyle name="Style 93 4 4 2" xfId="5129" xr:uid="{7A39770A-2C2B-423A-B51F-05618E2DDE12}"/>
    <cellStyle name="Style 93 4 4 2 2" xfId="13121" xr:uid="{170F1339-7DC8-4307-BBFF-39D55675E16E}"/>
    <cellStyle name="Style 93 4 4 2 2 2" xfId="28985" xr:uid="{DDC2596A-FC10-4198-9D5E-9EED96D6D188}"/>
    <cellStyle name="Style 93 4 4 2 3" xfId="13122" xr:uid="{D2B9B40E-4D74-42FE-8DDD-37E9DD969144}"/>
    <cellStyle name="Style 93 4 4 2 3 2" xfId="28986" xr:uid="{097F2DA5-3339-460D-9D20-EC40E6B9F818}"/>
    <cellStyle name="Style 93 4 4 3" xfId="5130" xr:uid="{BA299ACB-CA93-42A2-A7C6-6C94A6C02F42}"/>
    <cellStyle name="Style 93 4 4 3 2" xfId="13123" xr:uid="{82EDD423-75DB-4ADD-8D28-37A8FB0D71ED}"/>
    <cellStyle name="Style 93 4 4 3 2 2" xfId="28987" xr:uid="{EC8CA5D3-2903-4C9C-A396-3E84A81FF8E2}"/>
    <cellStyle name="Style 93 4 4 4" xfId="13124" xr:uid="{609CE1A1-E0AA-4776-937B-43DCB42BE32F}"/>
    <cellStyle name="Style 93 4 4 4 2" xfId="28988" xr:uid="{703694BD-D2A9-4526-8AE8-46EAD70C2412}"/>
    <cellStyle name="Style 93 4 4 5" xfId="13125" xr:uid="{F94F6C62-EA8D-42A3-8A29-F71B4F100D56}"/>
    <cellStyle name="Style 93 4 4 5 2" xfId="28989" xr:uid="{179EA946-74E9-417F-AD8E-E0EF658CB46C}"/>
    <cellStyle name="Style 93 4 4 6" xfId="13126" xr:uid="{2AE0C4F0-4D47-49B9-A549-EE5F66782206}"/>
    <cellStyle name="Style 93 4 4 6 2" xfId="28990" xr:uid="{A52B764A-29E1-44E2-AD4D-4FB2D9C5D3DA}"/>
    <cellStyle name="Style 93 4 4 7" xfId="19211" xr:uid="{BC8C84D6-00A9-4C71-B782-A60FEA4273B1}"/>
    <cellStyle name="Style 93 4 5" xfId="5131" xr:uid="{A28E7D24-805F-4C76-B11C-E36FC9C09838}"/>
    <cellStyle name="Style 93 4 5 2" xfId="13127" xr:uid="{09CC1292-B713-425D-BB49-D6441F139647}"/>
    <cellStyle name="Style 93 4 5 2 2" xfId="28991" xr:uid="{1F51CB8B-8CF0-4657-9529-E283A5510374}"/>
    <cellStyle name="Style 93 4 5 3" xfId="13128" xr:uid="{1A6A4A08-A4C5-41D1-A2E7-0FE3E014A897}"/>
    <cellStyle name="Style 93 4 5 3 2" xfId="28992" xr:uid="{47B038DD-BE25-4BF2-BE8F-DB518C988268}"/>
    <cellStyle name="Style 93 4 5 4" xfId="13129" xr:uid="{7921AF3F-30FB-466F-8C54-B32AE979D35F}"/>
    <cellStyle name="Style 93 4 5 4 2" xfId="28993" xr:uid="{51D59063-1DF0-4AF9-BB6D-292D2DA8FCF3}"/>
    <cellStyle name="Style 93 4 6" xfId="5109" xr:uid="{5FAF8629-D442-4ADB-A9FF-AE3EE56CD483}"/>
    <cellStyle name="Style 93 4 6 2" xfId="13130" xr:uid="{014DEF81-AD50-4715-BE70-E0C91FFFCD9F}"/>
    <cellStyle name="Style 93 4 6 2 2" xfId="28994" xr:uid="{91EEB170-1382-4E2E-99C5-4CDA969920E6}"/>
    <cellStyle name="Style 93 4 6 3" xfId="13131" xr:uid="{8B3BDA27-14C6-4836-B398-3ED251C37F18}"/>
    <cellStyle name="Style 93 4 6 3 2" xfId="28995" xr:uid="{74A3C277-8F8A-4C61-A493-203E4F100234}"/>
    <cellStyle name="Style 93 4 7" xfId="2973" xr:uid="{6EC6E449-278F-4FEF-A997-BC5313A3C8DC}"/>
    <cellStyle name="Style 93 4 7 2" xfId="13132" xr:uid="{85B6C10D-1C7B-44CB-A9B8-F493047514CC}"/>
    <cellStyle name="Style 93 4 7 2 2" xfId="28996" xr:uid="{40B90758-17DA-4AD1-9FB4-CFEA93BB1606}"/>
    <cellStyle name="Style 93 4 7 3" xfId="13133" xr:uid="{71CB4FBE-790C-4602-87C1-309BEEDF5FC1}"/>
    <cellStyle name="Style 93 4 7 3 2" xfId="28997" xr:uid="{2ADFC020-636A-4D09-9C44-60DD1D3CA960}"/>
    <cellStyle name="Style 93 4 7 4" xfId="21327" xr:uid="{C6FAD6F6-AB20-4544-A55C-9D341A388460}"/>
    <cellStyle name="Style 93 4 8" xfId="13134" xr:uid="{9F522716-5EBE-4F6B-9FB3-E3C806DEE69F}"/>
    <cellStyle name="Style 93 4 8 2" xfId="13135" xr:uid="{5855BE9D-F521-415A-960F-8CDCD5AE53C0}"/>
    <cellStyle name="Style 93 4 8 2 2" xfId="28998" xr:uid="{F4910416-AD35-4E47-BEA1-36F723CE3D4B}"/>
    <cellStyle name="Style 93 4 8 3" xfId="13136" xr:uid="{DEC384E9-8FCE-496D-B2E9-D7165BCA7186}"/>
    <cellStyle name="Style 93 4 8 3 2" xfId="28999" xr:uid="{642C0FA5-F129-4413-8EFF-AC058B420705}"/>
    <cellStyle name="Style 93 4 8 4" xfId="22357" xr:uid="{97743C43-E368-473C-AB63-633418294F67}"/>
    <cellStyle name="Style 93 4 9" xfId="13137" xr:uid="{D23B5E93-9BE6-43D5-9C6E-B5995D225005}"/>
    <cellStyle name="Style 93 4 9 2" xfId="29000" xr:uid="{08E5B339-CB17-4635-8589-AEB9660FD76C}"/>
    <cellStyle name="Style 93 5" xfId="2360" xr:uid="{64BCAF45-C840-4133-B987-D43FBF1E59DA}"/>
    <cellStyle name="Style 93 5 10" xfId="13138" xr:uid="{729BE084-2883-4765-BB5D-F9BA07CA919E}"/>
    <cellStyle name="Style 93 5 10 2" xfId="29001" xr:uid="{16738356-6AF5-4AFE-AD1E-D881B750D7FA}"/>
    <cellStyle name="Style 93 5 11" xfId="13139" xr:uid="{7C7325B0-1C1A-40BB-833C-AE4F63C3C21D}"/>
    <cellStyle name="Style 93 5 11 2" xfId="29002" xr:uid="{72731B71-A07B-4CB8-8DC6-2D36FE6CE9B6}"/>
    <cellStyle name="Style 93 5 12" xfId="13140" xr:uid="{34A5D074-0988-406E-8CFD-00823B6E5351}"/>
    <cellStyle name="Style 93 5 12 2" xfId="29003" xr:uid="{91ABE561-2118-41CC-B78C-AD406E56109C}"/>
    <cellStyle name="Style 93 5 13" xfId="19212" xr:uid="{5D1F9455-3037-4EA0-AA55-E4FE11858542}"/>
    <cellStyle name="Style 93 5 2" xfId="2361" xr:uid="{E457D244-89D6-49BE-967F-8B3FC64FD05F}"/>
    <cellStyle name="Style 93 5 2 10" xfId="13141" xr:uid="{1EC3F021-3E4A-454F-B932-7CE6A57E77D7}"/>
    <cellStyle name="Style 93 5 2 10 2" xfId="29004" xr:uid="{C58AE537-9563-4832-8E59-2ABB4944FF36}"/>
    <cellStyle name="Style 93 5 2 11" xfId="13142" xr:uid="{4D115C43-2139-48B1-9C01-F206969ABDB7}"/>
    <cellStyle name="Style 93 5 2 11 2" xfId="29005" xr:uid="{AC793BCB-BCE6-418C-A1DA-3B88AD5C7629}"/>
    <cellStyle name="Style 93 5 2 12" xfId="13143" xr:uid="{B4424F3F-6D85-436A-8133-B1F96F7056C2}"/>
    <cellStyle name="Style 93 5 2 12 2" xfId="29006" xr:uid="{F636B25A-E253-412F-B4A4-8CCBDFEE16CF}"/>
    <cellStyle name="Style 93 5 2 13" xfId="19213" xr:uid="{3AD3C6BA-FE60-419B-85D0-036636FDC5FE}"/>
    <cellStyle name="Style 93 5 2 2" xfId="2362" xr:uid="{2957B7BF-7FD0-4DB0-94C9-A179F361AEE7}"/>
    <cellStyle name="Style 93 5 2 2 10" xfId="19214" xr:uid="{AC20C2AC-2F24-4123-83F6-322EFDFABEFD}"/>
    <cellStyle name="Style 93 5 2 2 2" xfId="5135" xr:uid="{6BE07D06-4C98-4507-B804-D39F7F884924}"/>
    <cellStyle name="Style 93 5 2 2 2 2" xfId="13144" xr:uid="{92D690B2-494C-4A2B-BD1D-4748C131DD61}"/>
    <cellStyle name="Style 93 5 2 2 2 2 2" xfId="29007" xr:uid="{624BEF0C-6C84-489D-8F00-D1CD92DBA6F4}"/>
    <cellStyle name="Style 93 5 2 2 2 3" xfId="13145" xr:uid="{4F56ED1B-8EDA-48F0-B70D-71B0AD0DD389}"/>
    <cellStyle name="Style 93 5 2 2 2 3 2" xfId="29008" xr:uid="{F707DA4A-8870-44DB-8C8A-F4C57DBCBD48}"/>
    <cellStyle name="Style 93 5 2 2 2 4" xfId="13146" xr:uid="{E73CCA09-DACF-48B9-9D87-DD6352773651}"/>
    <cellStyle name="Style 93 5 2 2 2 4 2" xfId="29009" xr:uid="{D56AB899-C7C9-415D-8B17-89433C7FF4D4}"/>
    <cellStyle name="Style 93 5 2 2 3" xfId="5134" xr:uid="{E649479A-71E9-455F-AB3F-2C38B4ABCF42}"/>
    <cellStyle name="Style 93 5 2 2 3 2" xfId="13147" xr:uid="{D4177D83-730F-419E-8FCC-8A3E0C1B8FE4}"/>
    <cellStyle name="Style 93 5 2 2 3 2 2" xfId="29010" xr:uid="{A0C00815-AD68-44CA-8512-E007B0D81B93}"/>
    <cellStyle name="Style 93 5 2 2 3 3" xfId="13148" xr:uid="{591648A8-6127-43BA-B5FF-C09E87DAD6F4}"/>
    <cellStyle name="Style 93 5 2 2 3 3 2" xfId="29011" xr:uid="{FD11C959-99F7-4A0D-8C70-6AF375E99C8D}"/>
    <cellStyle name="Style 93 5 2 2 4" xfId="13149" xr:uid="{6AD7DE74-FABE-4995-9BFF-B548C458DF96}"/>
    <cellStyle name="Style 93 5 2 2 4 2" xfId="13150" xr:uid="{1678F77B-CB35-482E-9B08-389EDCA1A4A4}"/>
    <cellStyle name="Style 93 5 2 2 4 2 2" xfId="29012" xr:uid="{597495B6-0D22-4504-87DA-577295B4E1B7}"/>
    <cellStyle name="Style 93 5 2 2 4 3" xfId="13151" xr:uid="{5AC3C6F8-C59A-41B2-8DEA-9A678A607391}"/>
    <cellStyle name="Style 93 5 2 2 4 3 2" xfId="29013" xr:uid="{CB78DB8E-799C-4CBA-BA39-431B3AAC3B19}"/>
    <cellStyle name="Style 93 5 2 2 4 4" xfId="22367" xr:uid="{8AFF8867-B8CB-401E-AD3C-2166A503384E}"/>
    <cellStyle name="Style 93 5 2 2 5" xfId="13152" xr:uid="{2F841138-FAE1-4C06-8112-9701F9F5EF54}"/>
    <cellStyle name="Style 93 5 2 2 5 2" xfId="13153" xr:uid="{20EA98A3-3726-45FC-8824-4920420FCE7D}"/>
    <cellStyle name="Style 93 5 2 2 5 2 2" xfId="29015" xr:uid="{C62BDDD0-18AA-4519-B279-32CF6EDCFB8B}"/>
    <cellStyle name="Style 93 5 2 2 5 3" xfId="29014" xr:uid="{37D44329-DAB1-495F-B6C9-02956311B76F}"/>
    <cellStyle name="Style 93 5 2 2 6" xfId="13154" xr:uid="{B46CCB84-8071-4C0B-BB57-CE49599445A1}"/>
    <cellStyle name="Style 93 5 2 2 6 2" xfId="13155" xr:uid="{43CB6CEA-0C23-4397-9026-9182A977D84A}"/>
    <cellStyle name="Style 93 5 2 2 6 2 2" xfId="29017" xr:uid="{F7E4DBCC-0910-490B-B459-EE9DE80BB108}"/>
    <cellStyle name="Style 93 5 2 2 6 3" xfId="29016" xr:uid="{A585B821-23D3-4CD0-BA23-02CCEAAEE8F9}"/>
    <cellStyle name="Style 93 5 2 2 7" xfId="13156" xr:uid="{39B47AFA-BF00-40CB-890E-C05A66066830}"/>
    <cellStyle name="Style 93 5 2 2 7 2" xfId="29018" xr:uid="{88C4381A-1733-4DF6-BAFE-F6FEE5004DDA}"/>
    <cellStyle name="Style 93 5 2 2 8" xfId="13157" xr:uid="{CEBB4EBD-C858-496C-9C57-B91819B339EC}"/>
    <cellStyle name="Style 93 5 2 2 8 2" xfId="29019" xr:uid="{98721722-4A09-4965-B6F4-5F2AE92114C9}"/>
    <cellStyle name="Style 93 5 2 2 9" xfId="13158" xr:uid="{5A7537B9-3A85-423B-A486-3590DC80960E}"/>
    <cellStyle name="Style 93 5 2 2 9 2" xfId="29020" xr:uid="{C4CFAA5A-8231-48B2-A611-E5955F42137B}"/>
    <cellStyle name="Style 93 5 2 3" xfId="2363" xr:uid="{5ECD3BCC-7DC3-489A-8D03-4E1064FF9779}"/>
    <cellStyle name="Style 93 5 2 3 10" xfId="13159" xr:uid="{3370FD80-D307-41CA-AFC2-12EE37BBAE33}"/>
    <cellStyle name="Style 93 5 2 3 10 2" xfId="29021" xr:uid="{A990CBB9-44A0-4657-9035-9035E96806BB}"/>
    <cellStyle name="Style 93 5 2 3 11" xfId="13160" xr:uid="{C2CC101D-C469-4F16-B02E-9072AA995E16}"/>
    <cellStyle name="Style 93 5 2 3 11 2" xfId="29022" xr:uid="{7F6F3F53-9679-4B40-9E5E-DE614B051EA9}"/>
    <cellStyle name="Style 93 5 2 3 12" xfId="19215" xr:uid="{32A604D4-E216-4506-9D27-4B7A91A61B62}"/>
    <cellStyle name="Style 93 5 2 3 2" xfId="2364" xr:uid="{CB7A095C-A63B-4EE8-889D-BA05513FCB3E}"/>
    <cellStyle name="Style 93 5 2 3 2 10" xfId="19216" xr:uid="{D34E87A3-8856-45F5-BAF6-E38113353586}"/>
    <cellStyle name="Style 93 5 2 3 2 2" xfId="5138" xr:uid="{341FF7BC-1E68-4559-9D2C-2F534A79C66A}"/>
    <cellStyle name="Style 93 5 2 3 2 2 2" xfId="13161" xr:uid="{F85BA141-975A-4A32-BFB0-D3E06BE77179}"/>
    <cellStyle name="Style 93 5 2 3 2 2 2 2" xfId="29023" xr:uid="{B1464F65-6E76-44EB-953A-C2782BF636DC}"/>
    <cellStyle name="Style 93 5 2 3 2 2 3" xfId="13162" xr:uid="{608DD610-D9BE-4689-B8C8-C4B7C6A22BE1}"/>
    <cellStyle name="Style 93 5 2 3 2 2 3 2" xfId="29024" xr:uid="{9467346D-0D08-4B2F-BA70-F3BAB0383777}"/>
    <cellStyle name="Style 93 5 2 3 2 2 4" xfId="13163" xr:uid="{BBCA6916-6F4C-40B3-A90D-AB45CB4A5878}"/>
    <cellStyle name="Style 93 5 2 3 2 2 4 2" xfId="29025" xr:uid="{4A0C45F6-D91A-494C-81D9-F3B3F4440317}"/>
    <cellStyle name="Style 93 5 2 3 2 3" xfId="5137" xr:uid="{28EA8AED-4044-4AA6-B966-5CD802D0D575}"/>
    <cellStyle name="Style 93 5 2 3 2 3 2" xfId="13164" xr:uid="{E2C1341D-081C-43DE-B3CD-88903E9FB97A}"/>
    <cellStyle name="Style 93 5 2 3 2 3 2 2" xfId="29026" xr:uid="{FDAF1B18-F0F6-4FB1-974E-14D637B88A7D}"/>
    <cellStyle name="Style 93 5 2 3 2 3 3" xfId="13165" xr:uid="{17534BB2-E20F-4C29-86C4-46F3DF6E6E54}"/>
    <cellStyle name="Style 93 5 2 3 2 3 3 2" xfId="29027" xr:uid="{E05415E2-C0D9-407B-A44A-22655957181B}"/>
    <cellStyle name="Style 93 5 2 3 2 4" xfId="13166" xr:uid="{6F23DA6D-F876-4CF3-80D4-6FB03A589C85}"/>
    <cellStyle name="Style 93 5 2 3 2 4 2" xfId="13167" xr:uid="{426BFE95-D7C7-47CB-84DF-CEF28EE82AB4}"/>
    <cellStyle name="Style 93 5 2 3 2 4 2 2" xfId="29028" xr:uid="{9652131A-F818-40DF-8F3A-7EC2825CF8CC}"/>
    <cellStyle name="Style 93 5 2 3 2 4 3" xfId="13168" xr:uid="{FB52F7A8-F472-42B5-B7D0-23609371D2CF}"/>
    <cellStyle name="Style 93 5 2 3 2 4 3 2" xfId="29029" xr:uid="{AE17D42E-045A-4E4C-8D12-B929BD0579CC}"/>
    <cellStyle name="Style 93 5 2 3 2 4 4" xfId="22369" xr:uid="{9BCB7881-0159-413C-BA1E-AFC9DC71FADB}"/>
    <cellStyle name="Style 93 5 2 3 2 5" xfId="13169" xr:uid="{98321774-B06D-4CDA-B72C-A2634EB14C86}"/>
    <cellStyle name="Style 93 5 2 3 2 5 2" xfId="13170" xr:uid="{3264FBC8-B8A8-454F-A756-44AADB3BEB50}"/>
    <cellStyle name="Style 93 5 2 3 2 5 2 2" xfId="29031" xr:uid="{FB9E5033-4EEF-4DA4-8381-A28008536DD7}"/>
    <cellStyle name="Style 93 5 2 3 2 5 3" xfId="29030" xr:uid="{C9DCD16E-D0B0-4FD6-B37E-27107ECDCE50}"/>
    <cellStyle name="Style 93 5 2 3 2 6" xfId="13171" xr:uid="{D1ED0B13-1F89-4D3D-9B94-9E1437C3AD94}"/>
    <cellStyle name="Style 93 5 2 3 2 6 2" xfId="13172" xr:uid="{D848C196-35CC-4F92-A77F-53B4E5658DD4}"/>
    <cellStyle name="Style 93 5 2 3 2 6 2 2" xfId="29033" xr:uid="{145F9C23-C3BB-43F2-A4C0-14AC87E132D7}"/>
    <cellStyle name="Style 93 5 2 3 2 6 3" xfId="29032" xr:uid="{F6A94FEA-A640-4832-A5AA-0F969E15AFD4}"/>
    <cellStyle name="Style 93 5 2 3 2 7" xfId="13173" xr:uid="{94AA392E-3051-4161-B389-61041108E37D}"/>
    <cellStyle name="Style 93 5 2 3 2 7 2" xfId="29034" xr:uid="{748D713B-39CF-477E-908D-BB2ED37037DC}"/>
    <cellStyle name="Style 93 5 2 3 2 8" xfId="13174" xr:uid="{280034F3-4864-4E8D-93A6-58F18758252B}"/>
    <cellStyle name="Style 93 5 2 3 2 8 2" xfId="29035" xr:uid="{1B4D6845-149A-460D-9280-FE09A7909370}"/>
    <cellStyle name="Style 93 5 2 3 2 9" xfId="13175" xr:uid="{ECF8B3A0-87B8-42E5-AB4E-BD2A76FF53B6}"/>
    <cellStyle name="Style 93 5 2 3 2 9 2" xfId="29036" xr:uid="{2917431E-D8E1-4AB3-AF82-A98F64827F8F}"/>
    <cellStyle name="Style 93 5 2 3 3" xfId="5139" xr:uid="{18F9A098-F10F-4870-993C-3D5C817B96E5}"/>
    <cellStyle name="Style 93 5 2 3 3 2" xfId="5140" xr:uid="{3A397108-B488-49E9-94F1-F49A96DCCDA0}"/>
    <cellStyle name="Style 93 5 2 3 3 2 2" xfId="13176" xr:uid="{F3C2619F-DDDF-4E2E-81FE-AEB223013AE0}"/>
    <cellStyle name="Style 93 5 2 3 3 2 2 2" xfId="29037" xr:uid="{29EEFB14-091A-4A1B-82DA-9575AEFA2C87}"/>
    <cellStyle name="Style 93 5 2 3 3 2 3" xfId="13177" xr:uid="{BBBDAD26-6D75-4B59-8D46-170BA5108387}"/>
    <cellStyle name="Style 93 5 2 3 3 2 3 2" xfId="29038" xr:uid="{AC24BBB2-F38F-4A9F-8510-4199C9A08E5A}"/>
    <cellStyle name="Style 93 5 2 3 3 3" xfId="13178" xr:uid="{0B42B33E-4247-4861-8D9D-FFDFFFFBCD59}"/>
    <cellStyle name="Style 93 5 2 3 3 3 2" xfId="29039" xr:uid="{06D775A2-2386-4C34-9989-72020242A28B}"/>
    <cellStyle name="Style 93 5 2 3 3 4" xfId="13179" xr:uid="{4E41C349-BA42-429F-A761-80C882370366}"/>
    <cellStyle name="Style 93 5 2 3 3 4 2" xfId="29040" xr:uid="{EC954FA6-5BA7-41B3-8B21-C9D232D0A436}"/>
    <cellStyle name="Style 93 5 2 3 3 5" xfId="13180" xr:uid="{36ED06BB-2FBE-4BA7-9800-1136861F67E3}"/>
    <cellStyle name="Style 93 5 2 3 3 5 2" xfId="29041" xr:uid="{64A3BC53-FA0A-4CA2-9176-E52CF0AAADB5}"/>
    <cellStyle name="Style 93 5 2 3 3 6" xfId="13181" xr:uid="{0C27F95A-882F-4990-AF66-D0BA7C6D7325}"/>
    <cellStyle name="Style 93 5 2 3 3 6 2" xfId="29042" xr:uid="{02AE081B-BF20-4AA8-AFBD-FD3D31F48DA5}"/>
    <cellStyle name="Style 93 5 2 3 3 7" xfId="19217" xr:uid="{662AE328-047E-4A45-B86D-199A5C0C9CC1}"/>
    <cellStyle name="Style 93 5 2 3 4" xfId="5141" xr:uid="{226B80F2-A8B7-4238-9FB3-584411A28254}"/>
    <cellStyle name="Style 93 5 2 3 4 2" xfId="13182" xr:uid="{A9D3ABC2-4B8F-472D-89D3-49197EC62D25}"/>
    <cellStyle name="Style 93 5 2 3 4 2 2" xfId="29043" xr:uid="{CB2C451D-ABCC-491C-ABA9-385752C9B8EB}"/>
    <cellStyle name="Style 93 5 2 3 4 3" xfId="13183" xr:uid="{46FCA4A2-FFBA-4A26-899C-B7D3C483EBC6}"/>
    <cellStyle name="Style 93 5 2 3 4 3 2" xfId="29044" xr:uid="{81FBA5E8-A031-4AEA-A56E-72AC997B743B}"/>
    <cellStyle name="Style 93 5 2 3 4 4" xfId="13184" xr:uid="{B8B84322-60DB-4339-A476-9916BF122D6E}"/>
    <cellStyle name="Style 93 5 2 3 4 4 2" xfId="29045" xr:uid="{D4C5015C-C693-411A-BF26-5B8DF1BB9FDA}"/>
    <cellStyle name="Style 93 5 2 3 5" xfId="5142" xr:uid="{4D55157D-9163-48D4-874D-50253A3C0525}"/>
    <cellStyle name="Style 93 5 2 3 5 2" xfId="13185" xr:uid="{45188B02-E03A-467B-AA20-AC240F023E35}"/>
    <cellStyle name="Style 93 5 2 3 5 2 2" xfId="29046" xr:uid="{765F30F8-3519-42C3-8DEC-C9256D1A5599}"/>
    <cellStyle name="Style 93 5 2 3 5 3" xfId="13186" xr:uid="{BCDE2B4E-BA7D-425D-A4F9-5E5DB502AC2C}"/>
    <cellStyle name="Style 93 5 2 3 5 3 2" xfId="29047" xr:uid="{96ED192C-C06C-4BFE-92CE-6EA8EB8ACF69}"/>
    <cellStyle name="Style 93 5 2 3 6" xfId="5136" xr:uid="{F230F5B1-F1C0-49CF-B172-F87CCE5956AE}"/>
    <cellStyle name="Style 93 5 2 3 6 2" xfId="13187" xr:uid="{689EE530-E673-40D0-8021-F82F72F7FE51}"/>
    <cellStyle name="Style 93 5 2 3 6 2 2" xfId="29048" xr:uid="{8C1599C0-3090-4D22-B6CA-3FAF0A0D5961}"/>
    <cellStyle name="Style 93 5 2 3 6 3" xfId="13188" xr:uid="{EA0A7E10-052A-4EC0-935E-6413107AFFDB}"/>
    <cellStyle name="Style 93 5 2 3 6 3 2" xfId="29049" xr:uid="{39586BC5-DDD5-4F00-A285-5241C3EF2329}"/>
    <cellStyle name="Style 93 5 2 3 7" xfId="13189" xr:uid="{2C66DE9C-69B2-4B5F-A518-62272F21593A}"/>
    <cellStyle name="Style 93 5 2 3 7 2" xfId="13190" xr:uid="{A1313E5A-D8B1-43D6-9208-B2B90AE6B7E9}"/>
    <cellStyle name="Style 93 5 2 3 7 2 2" xfId="29050" xr:uid="{60253A1C-1305-4B8D-B37E-947A73F82E4E}"/>
    <cellStyle name="Style 93 5 2 3 7 3" xfId="13191" xr:uid="{B2D49B95-47E4-4031-8D74-3F794DBEAEC7}"/>
    <cellStyle name="Style 93 5 2 3 7 3 2" xfId="29051" xr:uid="{7DB70B6E-C972-4CC6-949E-6E9F9B4BAC85}"/>
    <cellStyle name="Style 93 5 2 3 7 4" xfId="22368" xr:uid="{B1E291D9-623D-4B41-A634-83E695C87FA0}"/>
    <cellStyle name="Style 93 5 2 3 8" xfId="13192" xr:uid="{F1911FE1-4590-430F-9D1C-FE99A99C90D0}"/>
    <cellStyle name="Style 93 5 2 3 8 2" xfId="29052" xr:uid="{D301F582-67EF-4FBB-8136-477D00C34947}"/>
    <cellStyle name="Style 93 5 2 3 9" xfId="13193" xr:uid="{E59C212D-4DCC-4AF6-A1E0-178162A7518A}"/>
    <cellStyle name="Style 93 5 2 3 9 2" xfId="29053" xr:uid="{41534767-764E-433F-B583-24F80A71E3BE}"/>
    <cellStyle name="Style 93 5 2 4" xfId="2365" xr:uid="{D69204AA-3075-4645-9050-9DCF15A4D492}"/>
    <cellStyle name="Style 93 5 2 4 10" xfId="13194" xr:uid="{78BB4300-9602-42BE-B6C2-05A6EB1D5C29}"/>
    <cellStyle name="Style 93 5 2 4 10 2" xfId="29054" xr:uid="{AED34464-B471-48AA-8366-A8AF65D16EAE}"/>
    <cellStyle name="Style 93 5 2 4 11" xfId="19218" xr:uid="{0345E066-A9D0-40C0-91FE-E18DB0E9758F}"/>
    <cellStyle name="Style 93 5 2 4 2" xfId="2366" xr:uid="{3ABC23C3-E6B1-46A2-A782-E7F7A4F96106}"/>
    <cellStyle name="Style 93 5 2 4 2 10" xfId="19219" xr:uid="{13DA750D-79A3-421C-9A8F-EADAE3A15A08}"/>
    <cellStyle name="Style 93 5 2 4 2 2" xfId="5145" xr:uid="{102F3DE0-B5DE-4332-9873-319F439CF0CA}"/>
    <cellStyle name="Style 93 5 2 4 2 2 2" xfId="13195" xr:uid="{11A5F463-3FED-44CC-BDAB-187A294D1595}"/>
    <cellStyle name="Style 93 5 2 4 2 2 2 2" xfId="29055" xr:uid="{84CCEC95-9784-4A7E-B155-393762AE6366}"/>
    <cellStyle name="Style 93 5 2 4 2 2 3" xfId="13196" xr:uid="{206E4E77-83FE-4E44-B7E3-A3C9F91FA8DA}"/>
    <cellStyle name="Style 93 5 2 4 2 2 3 2" xfId="29056" xr:uid="{3556AE5B-7550-4880-A6F2-7589BE95F7D9}"/>
    <cellStyle name="Style 93 5 2 4 2 2 4" xfId="13197" xr:uid="{3B5F2078-CD13-4615-98BE-4752692975DC}"/>
    <cellStyle name="Style 93 5 2 4 2 2 4 2" xfId="29057" xr:uid="{5BA48793-3E96-45A9-AF62-43C1CC17BB85}"/>
    <cellStyle name="Style 93 5 2 4 2 3" xfId="5144" xr:uid="{B94B2D54-87AA-42BE-BA11-668437CAF74B}"/>
    <cellStyle name="Style 93 5 2 4 2 3 2" xfId="13198" xr:uid="{391F6528-F49F-455E-8861-DC0BA337AF93}"/>
    <cellStyle name="Style 93 5 2 4 2 3 2 2" xfId="29058" xr:uid="{135BA7B8-FFCC-44FD-9799-064466232BC2}"/>
    <cellStyle name="Style 93 5 2 4 2 3 3" xfId="13199" xr:uid="{F27E2566-D5CA-4770-A7DC-4A4E06AF0CBB}"/>
    <cellStyle name="Style 93 5 2 4 2 3 3 2" xfId="29059" xr:uid="{61CC00CE-FF60-4DA4-81A5-2391E3BE8741}"/>
    <cellStyle name="Style 93 5 2 4 2 4" xfId="13200" xr:uid="{FF79ED28-CC80-4D59-8FA9-571E3F6F1876}"/>
    <cellStyle name="Style 93 5 2 4 2 4 2" xfId="13201" xr:uid="{9EF4D2F4-D662-4ED8-896E-CDA4A0BFFCA9}"/>
    <cellStyle name="Style 93 5 2 4 2 4 2 2" xfId="29060" xr:uid="{D8BA4DF7-E149-4416-9E25-89ADEF31033C}"/>
    <cellStyle name="Style 93 5 2 4 2 4 3" xfId="13202" xr:uid="{069CD58D-45C2-4275-948E-387486561C46}"/>
    <cellStyle name="Style 93 5 2 4 2 4 3 2" xfId="29061" xr:uid="{66305EAC-AFD3-4474-BA74-52F1FE9CE649}"/>
    <cellStyle name="Style 93 5 2 4 2 4 4" xfId="22371" xr:uid="{5ED8BDBE-31B4-4EFB-A203-8DBB837FE21A}"/>
    <cellStyle name="Style 93 5 2 4 2 5" xfId="13203" xr:uid="{7CBD0911-4169-4766-9AC8-FF22BABAD664}"/>
    <cellStyle name="Style 93 5 2 4 2 5 2" xfId="13204" xr:uid="{2661BB69-7433-4FF3-9E69-D989FCC41A9D}"/>
    <cellStyle name="Style 93 5 2 4 2 5 2 2" xfId="29063" xr:uid="{9D7BD073-1E6B-416A-BDD8-3FD84A7C9B1A}"/>
    <cellStyle name="Style 93 5 2 4 2 5 3" xfId="29062" xr:uid="{4F2238D9-6F82-4EC8-A785-66597D7F06CB}"/>
    <cellStyle name="Style 93 5 2 4 2 6" xfId="13205" xr:uid="{C583C7A8-BF5E-4232-8CD8-2C43E2450642}"/>
    <cellStyle name="Style 93 5 2 4 2 6 2" xfId="13206" xr:uid="{486E2A6C-C245-4670-84BD-C1AE707104E3}"/>
    <cellStyle name="Style 93 5 2 4 2 6 2 2" xfId="29065" xr:uid="{4885981A-05F6-4A47-9E80-A1047C883912}"/>
    <cellStyle name="Style 93 5 2 4 2 6 3" xfId="29064" xr:uid="{EE99EC72-D3F2-43F4-AE88-EB31824A162D}"/>
    <cellStyle name="Style 93 5 2 4 2 7" xfId="13207" xr:uid="{75CC90D2-9E08-4632-B0B3-075494BC4E24}"/>
    <cellStyle name="Style 93 5 2 4 2 7 2" xfId="29066" xr:uid="{2BFC9424-29F2-4E4B-AB72-BF892165332B}"/>
    <cellStyle name="Style 93 5 2 4 2 8" xfId="13208" xr:uid="{4C3428C8-466B-4F8C-96A0-B3A25808DB57}"/>
    <cellStyle name="Style 93 5 2 4 2 8 2" xfId="29067" xr:uid="{E8A974AF-FE48-4FF6-A689-A1CEC5104597}"/>
    <cellStyle name="Style 93 5 2 4 2 9" xfId="13209" xr:uid="{4C267C08-1D5E-4495-BA34-2DD61EA35B7C}"/>
    <cellStyle name="Style 93 5 2 4 2 9 2" xfId="29068" xr:uid="{E711B363-87FD-4877-8E95-852C7783C2C7}"/>
    <cellStyle name="Style 93 5 2 4 3" xfId="5146" xr:uid="{BBD72473-9C12-4695-99E6-8714C0A03E5F}"/>
    <cellStyle name="Style 93 5 2 4 3 2" xfId="13210" xr:uid="{2284B3C6-A301-4569-96E8-38D801F0279C}"/>
    <cellStyle name="Style 93 5 2 4 3 2 2" xfId="29069" xr:uid="{6A86D01C-E6E2-4862-993C-68024E3AE84F}"/>
    <cellStyle name="Style 93 5 2 4 3 3" xfId="13211" xr:uid="{88D025CE-DA22-42C2-A4DD-78F6595F4F07}"/>
    <cellStyle name="Style 93 5 2 4 3 3 2" xfId="29070" xr:uid="{8ABC04AF-8637-4649-96FD-C5B5845DF7F1}"/>
    <cellStyle name="Style 93 5 2 4 3 4" xfId="13212" xr:uid="{E8C7B2B5-42D6-4ECF-9B6C-E7E99585B541}"/>
    <cellStyle name="Style 93 5 2 4 3 4 2" xfId="29071" xr:uid="{224FA635-5C6F-4723-8245-21DEF9A64FA8}"/>
    <cellStyle name="Style 93 5 2 4 4" xfId="5143" xr:uid="{5D39EA26-55E0-46C5-89BF-6E5F155305A7}"/>
    <cellStyle name="Style 93 5 2 4 4 2" xfId="13213" xr:uid="{BBA9D48D-354F-4699-B775-0579325B986C}"/>
    <cellStyle name="Style 93 5 2 4 4 2 2" xfId="29072" xr:uid="{480582A7-D33B-4473-AD62-A80E321FC6CC}"/>
    <cellStyle name="Style 93 5 2 4 4 3" xfId="13214" xr:uid="{6E93C229-36EC-4D7A-8C86-4E7F31D02344}"/>
    <cellStyle name="Style 93 5 2 4 4 3 2" xfId="29073" xr:uid="{D893FB26-A604-46B2-8D2B-41715C129F54}"/>
    <cellStyle name="Style 93 5 2 4 5" xfId="13215" xr:uid="{384358AD-3115-4D97-8E26-C80D1340B720}"/>
    <cellStyle name="Style 93 5 2 4 5 2" xfId="13216" xr:uid="{992C42F8-1C5E-4227-AC6F-F5E7182655B5}"/>
    <cellStyle name="Style 93 5 2 4 5 2 2" xfId="29074" xr:uid="{69308CBF-2E9D-4D12-B159-3BED92E1BD51}"/>
    <cellStyle name="Style 93 5 2 4 5 3" xfId="13217" xr:uid="{13AF9397-D7EF-4DBA-840F-488B3C89C408}"/>
    <cellStyle name="Style 93 5 2 4 5 3 2" xfId="29075" xr:uid="{6B288959-AE2E-4C42-9B10-FDE200CF60E2}"/>
    <cellStyle name="Style 93 5 2 4 5 4" xfId="22370" xr:uid="{901B629D-0FC3-4A3B-AE47-BDF24E59CF43}"/>
    <cellStyle name="Style 93 5 2 4 6" xfId="13218" xr:uid="{E0BA9296-38B0-4765-BFCD-D52EECBBC919}"/>
    <cellStyle name="Style 93 5 2 4 6 2" xfId="13219" xr:uid="{1F93738B-AA1F-41D5-BF17-48FBD3BC3B43}"/>
    <cellStyle name="Style 93 5 2 4 6 2 2" xfId="29077" xr:uid="{7577E327-4FC4-40E3-9F71-0EAC58A9375A}"/>
    <cellStyle name="Style 93 5 2 4 6 3" xfId="29076" xr:uid="{FF2C9C3B-010C-47C6-8224-E8AF459D66A1}"/>
    <cellStyle name="Style 93 5 2 4 7" xfId="13220" xr:uid="{6BAD493E-25C6-4AE2-8A8E-734803F24E27}"/>
    <cellStyle name="Style 93 5 2 4 7 2" xfId="13221" xr:uid="{17EACEB9-82D8-439C-8A9B-209BA626F982}"/>
    <cellStyle name="Style 93 5 2 4 7 2 2" xfId="29079" xr:uid="{4FE63E12-AAFB-4BEE-9453-56CC6726807A}"/>
    <cellStyle name="Style 93 5 2 4 7 3" xfId="29078" xr:uid="{CC5D902D-5F51-4AD9-AB1D-8D029E576635}"/>
    <cellStyle name="Style 93 5 2 4 8" xfId="13222" xr:uid="{739A303D-3532-49E3-8F61-6792204A981D}"/>
    <cellStyle name="Style 93 5 2 4 8 2" xfId="29080" xr:uid="{FE9D37A9-7BEC-4CE6-85AC-2649EB81D814}"/>
    <cellStyle name="Style 93 5 2 4 9" xfId="13223" xr:uid="{3C870DA9-EA34-4C08-AB70-06CAE5DBA34C}"/>
    <cellStyle name="Style 93 5 2 4 9 2" xfId="29081" xr:uid="{5C475F2F-EC37-459F-8AA6-469256E735A8}"/>
    <cellStyle name="Style 93 5 2 5" xfId="5147" xr:uid="{17C01DB4-1606-4D8F-8948-9AD91494C824}"/>
    <cellStyle name="Style 93 5 2 5 2" xfId="13224" xr:uid="{F827948D-15F7-42A3-9AC1-30B7DF3050C5}"/>
    <cellStyle name="Style 93 5 2 5 2 2" xfId="29082" xr:uid="{378F59F7-EA99-4710-A378-2C9079ED8D7E}"/>
    <cellStyle name="Style 93 5 2 5 3" xfId="13225" xr:uid="{09B4D0A8-519D-4357-B5BD-291C9E185103}"/>
    <cellStyle name="Style 93 5 2 5 3 2" xfId="29083" xr:uid="{0983BE6B-D142-4BAA-9129-C78D47E054A0}"/>
    <cellStyle name="Style 93 5 2 5 4" xfId="13226" xr:uid="{091D521F-83AE-4139-B158-10F6D66537B3}"/>
    <cellStyle name="Style 93 5 2 5 4 2" xfId="29084" xr:uid="{0DFA3AE3-1ADF-4DD6-93B9-64389171B14C}"/>
    <cellStyle name="Style 93 5 2 6" xfId="5148" xr:uid="{CD77126A-4C84-4C72-876F-608BF71164B4}"/>
    <cellStyle name="Style 93 5 2 6 2" xfId="13227" xr:uid="{E1036ECF-507E-4F58-A2B0-119F9092A7F0}"/>
    <cellStyle name="Style 93 5 2 6 2 2" xfId="29085" xr:uid="{9FA50BE7-E1AE-4EC5-86A9-49A0199901F6}"/>
    <cellStyle name="Style 93 5 2 6 3" xfId="13228" xr:uid="{94CFCF73-065E-4818-B831-7AE86CEBB50D}"/>
    <cellStyle name="Style 93 5 2 6 3 2" xfId="29086" xr:uid="{219C09D3-7B52-49C7-8D32-A78A082A4A3E}"/>
    <cellStyle name="Style 93 5 2 7" xfId="5133" xr:uid="{85A7C386-DB24-466D-8DC5-F5F89834AC60}"/>
    <cellStyle name="Style 93 5 2 7 2" xfId="13229" xr:uid="{37EC9DB4-7EEC-409B-9CE0-DC8A14B98DE6}"/>
    <cellStyle name="Style 93 5 2 7 2 2" xfId="29087" xr:uid="{2CFA7AC5-A059-4991-A6C7-15CC01FEDB41}"/>
    <cellStyle name="Style 93 5 2 7 3" xfId="13230" xr:uid="{537E7E8F-D840-4B75-92C7-95E24DBC020E}"/>
    <cellStyle name="Style 93 5 2 7 3 2" xfId="29088" xr:uid="{788AD776-BA90-46D1-BF3E-EF567E284E2E}"/>
    <cellStyle name="Style 93 5 2 8" xfId="13231" xr:uid="{082E405D-4099-4D11-87F5-A90C28240D83}"/>
    <cellStyle name="Style 93 5 2 8 2" xfId="13232" xr:uid="{0623BAC6-F63E-4661-B224-F29CD516B1C8}"/>
    <cellStyle name="Style 93 5 2 8 2 2" xfId="29089" xr:uid="{77D0E962-30F3-4866-96D2-B9CEE0390C75}"/>
    <cellStyle name="Style 93 5 2 8 3" xfId="13233" xr:uid="{F261B425-22CD-4BE4-8F50-3F232597E596}"/>
    <cellStyle name="Style 93 5 2 8 3 2" xfId="29090" xr:uid="{90B0247E-5F16-4659-BAF3-4EAA33178A97}"/>
    <cellStyle name="Style 93 5 2 8 4" xfId="22366" xr:uid="{FDAFCA0D-32BF-4F2A-A554-E409F8AD352B}"/>
    <cellStyle name="Style 93 5 2 9" xfId="13234" xr:uid="{E5CEBDB5-3BE9-4F02-ADF7-6DF77D0403C4}"/>
    <cellStyle name="Style 93 5 2 9 2" xfId="13235" xr:uid="{613AEE62-F7F0-4EAD-B93D-949B306BF133}"/>
    <cellStyle name="Style 93 5 2 9 2 2" xfId="29092" xr:uid="{1FD90AD0-242C-4B18-819E-761ED3EC457F}"/>
    <cellStyle name="Style 93 5 2 9 3" xfId="29091" xr:uid="{454DC0F0-D08E-4063-ADED-6B7A5109CA98}"/>
    <cellStyle name="Style 93 5 3" xfId="2367" xr:uid="{3CD93F7A-1A29-4A0D-BACC-D7E0A25662F2}"/>
    <cellStyle name="Style 93 5 3 10" xfId="19220" xr:uid="{71E067DC-6D74-4AC2-8A16-4162E8B82A3C}"/>
    <cellStyle name="Style 93 5 3 2" xfId="5150" xr:uid="{B11033CA-C620-4266-8BAA-699B8BC33168}"/>
    <cellStyle name="Style 93 5 3 2 2" xfId="13236" xr:uid="{A5C10509-F7F5-41B3-A0C2-30FB2C3DBCCE}"/>
    <cellStyle name="Style 93 5 3 2 2 2" xfId="29093" xr:uid="{460F2FC1-0179-454A-A168-7CA7A6A5FC1E}"/>
    <cellStyle name="Style 93 5 3 2 3" xfId="13237" xr:uid="{267AE3E6-A207-4466-9E64-F3D515CB7575}"/>
    <cellStyle name="Style 93 5 3 2 3 2" xfId="29094" xr:uid="{3D5BF339-6130-454E-8A7B-6F1E33E03C01}"/>
    <cellStyle name="Style 93 5 3 2 4" xfId="13238" xr:uid="{A3DB5DBB-EDCA-415B-91AD-7ED310CCEA63}"/>
    <cellStyle name="Style 93 5 3 2 4 2" xfId="29095" xr:uid="{9B932D79-5D1D-4900-8A2A-D0825164D5DC}"/>
    <cellStyle name="Style 93 5 3 3" xfId="5149" xr:uid="{C6767015-C594-4ED4-999E-C87EBD6CF03A}"/>
    <cellStyle name="Style 93 5 3 3 2" xfId="13239" xr:uid="{239091E4-7A40-4B78-9261-AE5F337483E4}"/>
    <cellStyle name="Style 93 5 3 3 2 2" xfId="29096" xr:uid="{DB17F7ED-7E49-42E9-BD16-EE4CDD8C7F9F}"/>
    <cellStyle name="Style 93 5 3 3 3" xfId="13240" xr:uid="{B3CF90E2-722C-4A85-B38B-625FC3422911}"/>
    <cellStyle name="Style 93 5 3 3 3 2" xfId="29097" xr:uid="{C37E59A5-2F46-427D-BF8D-914A3E553D7E}"/>
    <cellStyle name="Style 93 5 3 4" xfId="13241" xr:uid="{B01DECF7-D60B-408C-8806-C4AC2E402A81}"/>
    <cellStyle name="Style 93 5 3 4 2" xfId="13242" xr:uid="{8803A6F5-6004-4F59-B63C-DC4D19E6DC87}"/>
    <cellStyle name="Style 93 5 3 4 2 2" xfId="29098" xr:uid="{05A1CDF8-5D9B-4102-ABAD-10DEE1B931A3}"/>
    <cellStyle name="Style 93 5 3 4 3" xfId="13243" xr:uid="{36B8FC66-9CDA-4619-865C-F1AB7DD1BA10}"/>
    <cellStyle name="Style 93 5 3 4 3 2" xfId="29099" xr:uid="{E3949932-F038-48FC-8CFC-A2D57CB48EC3}"/>
    <cellStyle name="Style 93 5 3 4 4" xfId="22372" xr:uid="{230913AB-48F0-48AC-AC73-786C07BF6716}"/>
    <cellStyle name="Style 93 5 3 5" xfId="13244" xr:uid="{F8842A1A-8CF7-4144-AB63-08B4AB52BBF3}"/>
    <cellStyle name="Style 93 5 3 5 2" xfId="13245" xr:uid="{5DA503E9-9D42-41E5-8585-47AC9A739721}"/>
    <cellStyle name="Style 93 5 3 5 2 2" xfId="29101" xr:uid="{B950E680-A2B8-4AEA-A954-4D1D3AC7FE6D}"/>
    <cellStyle name="Style 93 5 3 5 3" xfId="29100" xr:uid="{1FF743E9-C646-4A82-AE38-B1B15E479C72}"/>
    <cellStyle name="Style 93 5 3 6" xfId="13246" xr:uid="{30A480B3-D46F-4366-A5CD-CC2CEC6FFA5B}"/>
    <cellStyle name="Style 93 5 3 6 2" xfId="13247" xr:uid="{E4FDB0BC-11AE-4B1E-BD3D-24C97C5CAEE7}"/>
    <cellStyle name="Style 93 5 3 6 2 2" xfId="29103" xr:uid="{0006B5EB-9950-46B4-ABC2-0AFD2498C95F}"/>
    <cellStyle name="Style 93 5 3 6 3" xfId="29102" xr:uid="{5CD31B83-AA90-4932-B0E6-AA6D82AF41C2}"/>
    <cellStyle name="Style 93 5 3 7" xfId="13248" xr:uid="{9F790C6B-6B8C-4EEC-AEA4-B9675A5702CB}"/>
    <cellStyle name="Style 93 5 3 7 2" xfId="29104" xr:uid="{4D1B82C6-E7B0-4677-9116-34BD846BCD8E}"/>
    <cellStyle name="Style 93 5 3 8" xfId="13249" xr:uid="{274C1B09-4A74-4173-82D9-9BFD0E0A0D26}"/>
    <cellStyle name="Style 93 5 3 8 2" xfId="29105" xr:uid="{ED2AECA4-FFE2-486A-AF4C-5E4631402E59}"/>
    <cellStyle name="Style 93 5 3 9" xfId="13250" xr:uid="{E7539B9E-8BC7-42BD-B62E-C24617FAEFCB}"/>
    <cellStyle name="Style 93 5 3 9 2" xfId="29106" xr:uid="{6B0089ED-4B8A-416C-B311-92D43209F46C}"/>
    <cellStyle name="Style 93 5 4" xfId="5151" xr:uid="{A30A8A50-4219-4E29-8505-2EB26EDD7445}"/>
    <cellStyle name="Style 93 5 4 2" xfId="5152" xr:uid="{BC7891D1-7F9A-4FF7-A988-40A873883627}"/>
    <cellStyle name="Style 93 5 4 2 2" xfId="13251" xr:uid="{EF62C877-7914-4548-8C1A-F30B349632D5}"/>
    <cellStyle name="Style 93 5 4 2 2 2" xfId="29107" xr:uid="{B40EDE67-1F7D-4914-B345-4686B1723AA8}"/>
    <cellStyle name="Style 93 5 4 2 3" xfId="13252" xr:uid="{0B47ADE7-5EED-49F1-8C97-D74696D44E87}"/>
    <cellStyle name="Style 93 5 4 2 3 2" xfId="29108" xr:uid="{A4838D03-6597-4141-8535-2FED25CC3658}"/>
    <cellStyle name="Style 93 5 4 3" xfId="5153" xr:uid="{6FAA0372-A2DD-44CD-B148-AE83264D951C}"/>
    <cellStyle name="Style 93 5 4 3 2" xfId="13253" xr:uid="{5F5945E4-439E-4CB3-B34D-0C988183E0C1}"/>
    <cellStyle name="Style 93 5 4 3 2 2" xfId="29109" xr:uid="{DA26D8DE-2DA3-4C84-95B1-0115C67E70EF}"/>
    <cellStyle name="Style 93 5 4 4" xfId="13254" xr:uid="{086C6A54-1E37-43EF-B882-D48C06A1C216}"/>
    <cellStyle name="Style 93 5 4 4 2" xfId="29110" xr:uid="{96936FA8-3A61-4919-A047-CDDBF4758269}"/>
    <cellStyle name="Style 93 5 4 5" xfId="13255" xr:uid="{FDFCEE59-B0FD-4FD5-86E2-2B82ED872217}"/>
    <cellStyle name="Style 93 5 4 5 2" xfId="29111" xr:uid="{6A0D81D2-C7C0-4A5F-B705-C62B78757571}"/>
    <cellStyle name="Style 93 5 4 6" xfId="13256" xr:uid="{9DC40ACD-03C1-4AE2-A04D-AD18024E0152}"/>
    <cellStyle name="Style 93 5 4 6 2" xfId="29112" xr:uid="{7952A8F1-EE6D-4539-AE79-43FB70B46C98}"/>
    <cellStyle name="Style 93 5 4 7" xfId="19221" xr:uid="{F6A835E0-7049-4886-99E7-0165C8675B7B}"/>
    <cellStyle name="Style 93 5 5" xfId="5154" xr:uid="{8C14C7ED-142C-4167-9440-58A598193DEB}"/>
    <cellStyle name="Style 93 5 5 2" xfId="13257" xr:uid="{8B6261A6-F02D-4B16-92BE-899479D50CBD}"/>
    <cellStyle name="Style 93 5 5 2 2" xfId="29113" xr:uid="{99CEAEEF-315A-410F-B194-5D2D6BF1FB14}"/>
    <cellStyle name="Style 93 5 5 3" xfId="13258" xr:uid="{1609B26C-B234-4BCA-8D70-1718C23858CB}"/>
    <cellStyle name="Style 93 5 5 3 2" xfId="29114" xr:uid="{34EECD75-6DB6-4B1D-90DE-CA51B8A8E90E}"/>
    <cellStyle name="Style 93 5 5 4" xfId="13259" xr:uid="{435C2E34-3362-4021-BD73-89AF1ED64816}"/>
    <cellStyle name="Style 93 5 5 4 2" xfId="29115" xr:uid="{71578FEB-E297-4443-8D3D-237062DF460A}"/>
    <cellStyle name="Style 93 5 6" xfId="5132" xr:uid="{E432723D-69F6-45E6-BFDB-20370DE180CE}"/>
    <cellStyle name="Style 93 5 6 2" xfId="13260" xr:uid="{C3590C4D-B179-4BD5-8A2B-976BBC7AE8B1}"/>
    <cellStyle name="Style 93 5 6 2 2" xfId="29116" xr:uid="{1A5951C4-903D-4BE6-8B46-48997A967776}"/>
    <cellStyle name="Style 93 5 6 3" xfId="13261" xr:uid="{B3A66C0F-67F2-4FA0-AF45-F834198AC0C2}"/>
    <cellStyle name="Style 93 5 6 3 2" xfId="29117" xr:uid="{AD3E83B6-3B94-4566-896D-98F8052E744B}"/>
    <cellStyle name="Style 93 5 7" xfId="2974" xr:uid="{61AE841D-B16A-44EC-A41D-5C3ECBA052EB}"/>
    <cellStyle name="Style 93 5 7 2" xfId="13262" xr:uid="{B95D403D-F993-4B24-AC41-880B26DA949F}"/>
    <cellStyle name="Style 93 5 7 2 2" xfId="29118" xr:uid="{F1B7DDAA-0191-48CE-B797-6CF62127B3A0}"/>
    <cellStyle name="Style 93 5 7 3" xfId="13263" xr:uid="{97EAC7E4-A095-4F7C-870F-2BCBE59E141F}"/>
    <cellStyle name="Style 93 5 7 3 2" xfId="29119" xr:uid="{ECD42997-ED00-45C6-9973-BEA6129E26C1}"/>
    <cellStyle name="Style 93 5 7 4" xfId="21328" xr:uid="{29BACF37-B0A9-4CB6-974E-5B2AF2F32347}"/>
    <cellStyle name="Style 93 5 8" xfId="13264" xr:uid="{033034E6-6D43-4D53-8339-B9B0DEA37F44}"/>
    <cellStyle name="Style 93 5 8 2" xfId="13265" xr:uid="{5ECD96B1-6EC5-461C-BFEE-DE2F25E4719D}"/>
    <cellStyle name="Style 93 5 8 2 2" xfId="29120" xr:uid="{A98D17C7-A02C-43B8-A7A0-959A84A3DD71}"/>
    <cellStyle name="Style 93 5 8 3" xfId="13266" xr:uid="{B58CB2C8-65C0-4858-8A7E-58F1104326B9}"/>
    <cellStyle name="Style 93 5 8 3 2" xfId="29121" xr:uid="{CB1BC4AF-2A7A-4B4A-A241-E773892BF7A7}"/>
    <cellStyle name="Style 93 5 8 4" xfId="22365" xr:uid="{4B3CCF88-B0B3-4829-9631-BFD23E5B163A}"/>
    <cellStyle name="Style 93 5 9" xfId="13267" xr:uid="{87E9075C-3221-494F-BA59-4AB1DA41B715}"/>
    <cellStyle name="Style 93 5 9 2" xfId="29122" xr:uid="{F0BE5AEB-E0D6-46D7-A9F1-3FCA1E36F68B}"/>
    <cellStyle name="Style 93 6" xfId="2368" xr:uid="{CF3D89C7-D5B5-4265-8979-23899FDCA730}"/>
    <cellStyle name="Style 93 6 10" xfId="13268" xr:uid="{24463244-941E-4CF1-875A-6B407B7B96C8}"/>
    <cellStyle name="Style 93 6 10 2" xfId="29123" xr:uid="{370B378B-3082-4839-96C8-27828DF4BE09}"/>
    <cellStyle name="Style 93 6 11" xfId="13269" xr:uid="{C5F6F1AB-68E8-4A9F-A836-89F9AF7D6CB7}"/>
    <cellStyle name="Style 93 6 11 2" xfId="29124" xr:uid="{8EDC1FBE-E9DE-46F8-B878-365A6E02A763}"/>
    <cellStyle name="Style 93 6 12" xfId="13270" xr:uid="{DBDC8358-C13F-4B07-95A1-36348A172DE2}"/>
    <cellStyle name="Style 93 6 12 2" xfId="29125" xr:uid="{59F59EE9-129E-49F2-AA79-E238E27F7A4B}"/>
    <cellStyle name="Style 93 6 13" xfId="13271" xr:uid="{3A5AC443-BB34-4A75-9AE1-8A26220B88F8}"/>
    <cellStyle name="Style 93 6 13 2" xfId="29126" xr:uid="{FBC2D051-46FA-4C74-B608-382BE7A34041}"/>
    <cellStyle name="Style 93 6 14" xfId="19222" xr:uid="{D515EFFF-1A83-40A5-9FF8-A410CC8DFB59}"/>
    <cellStyle name="Style 93 6 2" xfId="2369" xr:uid="{25F369F4-2FBE-4B65-AF38-68B838E7A5D2}"/>
    <cellStyle name="Style 93 6 2 10" xfId="19223" xr:uid="{61B5A9CC-7787-4096-B77B-5191C03B3052}"/>
    <cellStyle name="Style 93 6 2 2" xfId="5157" xr:uid="{D80F4D39-3BE3-4CE1-BA7D-EE99F575D1A5}"/>
    <cellStyle name="Style 93 6 2 2 2" xfId="13272" xr:uid="{06328247-35CA-4892-8FED-3681F6779800}"/>
    <cellStyle name="Style 93 6 2 2 2 2" xfId="29127" xr:uid="{950063DF-DD2E-4978-A3A0-1F62A6A0812A}"/>
    <cellStyle name="Style 93 6 2 2 3" xfId="13273" xr:uid="{600C8041-0A39-4166-8FCA-A6C8E508F638}"/>
    <cellStyle name="Style 93 6 2 2 3 2" xfId="29128" xr:uid="{AD8A4111-3446-47C4-89B2-9927C5F7635D}"/>
    <cellStyle name="Style 93 6 2 2 4" xfId="13274" xr:uid="{54DE6044-61E6-472C-8084-49315A20B49D}"/>
    <cellStyle name="Style 93 6 2 2 4 2" xfId="29129" xr:uid="{C53CAA52-57A0-41E7-B584-FFB14A85FC5F}"/>
    <cellStyle name="Style 93 6 2 3" xfId="5156" xr:uid="{83B1FE97-969B-4F9E-853A-3017B43AD925}"/>
    <cellStyle name="Style 93 6 2 3 2" xfId="13275" xr:uid="{931A64E2-C87A-4995-8DCC-A40407F36C8F}"/>
    <cellStyle name="Style 93 6 2 3 2 2" xfId="29130" xr:uid="{9D3A7B23-3F1F-419A-ACEF-255635D9BF34}"/>
    <cellStyle name="Style 93 6 2 3 3" xfId="13276" xr:uid="{2F60AD71-E08A-4C9D-94DC-436E3E5187AB}"/>
    <cellStyle name="Style 93 6 2 3 3 2" xfId="29131" xr:uid="{0350213C-83A6-4A17-8FA9-D02476B06CA3}"/>
    <cellStyle name="Style 93 6 2 4" xfId="13277" xr:uid="{728F64FD-1A73-49C8-8B07-7236B7B77361}"/>
    <cellStyle name="Style 93 6 2 4 2" xfId="13278" xr:uid="{7FDD01EA-551B-40E9-939A-E2F6C97E3C6A}"/>
    <cellStyle name="Style 93 6 2 4 2 2" xfId="29132" xr:uid="{F278CB58-D52B-4736-9960-3DF18071EF46}"/>
    <cellStyle name="Style 93 6 2 4 3" xfId="13279" xr:uid="{D5D29E98-F9FE-4D9E-BAD7-FC24059479CD}"/>
    <cellStyle name="Style 93 6 2 4 3 2" xfId="29133" xr:uid="{A6905F7C-9811-4CF0-91D7-825DBD01F10A}"/>
    <cellStyle name="Style 93 6 2 4 4" xfId="22374" xr:uid="{8BD55A79-2BA6-4CDE-A892-2413F77D59D6}"/>
    <cellStyle name="Style 93 6 2 5" xfId="13280" xr:uid="{F3FBF2BF-F981-46B3-A199-12A6AAFEB8D8}"/>
    <cellStyle name="Style 93 6 2 5 2" xfId="13281" xr:uid="{00292D8B-2F90-43E3-B09C-F09E20E03F03}"/>
    <cellStyle name="Style 93 6 2 5 2 2" xfId="29135" xr:uid="{01AFB5B1-0C06-4254-BBE8-379772BD75E7}"/>
    <cellStyle name="Style 93 6 2 5 3" xfId="29134" xr:uid="{998875FE-4294-41FB-8220-7B5AB3B26EB6}"/>
    <cellStyle name="Style 93 6 2 6" xfId="13282" xr:uid="{0DA73ACD-302A-41B0-9DD9-281AB6218955}"/>
    <cellStyle name="Style 93 6 2 6 2" xfId="13283" xr:uid="{51EAC9EE-66F2-4533-9BF4-3F32662A4885}"/>
    <cellStyle name="Style 93 6 2 6 2 2" xfId="29137" xr:uid="{41F2B436-5DF8-4590-82A1-0DDD228153A7}"/>
    <cellStyle name="Style 93 6 2 6 3" xfId="29136" xr:uid="{49452357-CD80-45BB-B987-93AC6318A0D1}"/>
    <cellStyle name="Style 93 6 2 7" xfId="13284" xr:uid="{9707CDDA-50CB-4B16-92C6-167EE6170E94}"/>
    <cellStyle name="Style 93 6 2 7 2" xfId="29138" xr:uid="{E0F72BEF-52BA-4FA3-9730-57017AF266E8}"/>
    <cellStyle name="Style 93 6 2 8" xfId="13285" xr:uid="{FFA182DC-7CEB-4F15-9A8E-ACD73F9077F9}"/>
    <cellStyle name="Style 93 6 2 8 2" xfId="29139" xr:uid="{1805DE50-0FBB-4DED-95CF-455A00DFA6B6}"/>
    <cellStyle name="Style 93 6 2 9" xfId="13286" xr:uid="{D0A4C084-058D-4428-917E-1CC1A4CA07E2}"/>
    <cellStyle name="Style 93 6 2 9 2" xfId="29140" xr:uid="{31D9664E-0E88-4857-9A94-164C9D6220F1}"/>
    <cellStyle name="Style 93 6 3" xfId="2370" xr:uid="{BAC55A58-E806-47BA-B272-D61F79745897}"/>
    <cellStyle name="Style 93 6 3 10" xfId="13287" xr:uid="{91F55AF6-80DE-4F03-8F20-C6F06D9B220E}"/>
    <cellStyle name="Style 93 6 3 10 2" xfId="29141" xr:uid="{FA103D6F-BFED-46DD-AD9E-991334C8E24A}"/>
    <cellStyle name="Style 93 6 3 11" xfId="13288" xr:uid="{59BF8ABC-331D-4E4B-B15F-5D5078B38CFE}"/>
    <cellStyle name="Style 93 6 3 11 2" xfId="29142" xr:uid="{1C498B52-5F70-4DB4-A7BC-47F0C1480DF3}"/>
    <cellStyle name="Style 93 6 3 12" xfId="19224" xr:uid="{A4CD4078-12A2-47DA-9736-F69B9957EC91}"/>
    <cellStyle name="Style 93 6 3 2" xfId="2371" xr:uid="{A75A0226-704C-4385-A885-91D6B46F84C7}"/>
    <cellStyle name="Style 93 6 3 2 10" xfId="19225" xr:uid="{03D8F8C2-BF70-415A-B3E0-9673A2FA5039}"/>
    <cellStyle name="Style 93 6 3 2 2" xfId="5160" xr:uid="{A36E0A0C-CCE2-4D47-B884-E7968AABFBAE}"/>
    <cellStyle name="Style 93 6 3 2 2 2" xfId="13289" xr:uid="{9A39133B-EB78-4946-AA56-B0360D595725}"/>
    <cellStyle name="Style 93 6 3 2 2 2 2" xfId="29143" xr:uid="{DAEAE063-F175-41AB-816B-7E5E5C50B465}"/>
    <cellStyle name="Style 93 6 3 2 2 3" xfId="13290" xr:uid="{7E9105EE-01EB-4840-A338-789E3F558185}"/>
    <cellStyle name="Style 93 6 3 2 2 3 2" xfId="29144" xr:uid="{4A90C818-780C-46BE-9035-3BBE6385DA3B}"/>
    <cellStyle name="Style 93 6 3 2 2 4" xfId="13291" xr:uid="{AFB6F11B-ACA7-4DA4-96DF-25FDFF4E26DC}"/>
    <cellStyle name="Style 93 6 3 2 2 4 2" xfId="29145" xr:uid="{74BFA429-6C46-4ABA-9203-9E9217B02A3B}"/>
    <cellStyle name="Style 93 6 3 2 3" xfId="5159" xr:uid="{604C16C9-2D93-41DC-BF61-178C5BD2226A}"/>
    <cellStyle name="Style 93 6 3 2 3 2" xfId="13292" xr:uid="{E6C55303-76EB-4D65-833E-7988DD08A3F5}"/>
    <cellStyle name="Style 93 6 3 2 3 2 2" xfId="29146" xr:uid="{5055791B-A68B-4030-8F35-D7B1AEF67470}"/>
    <cellStyle name="Style 93 6 3 2 3 3" xfId="13293" xr:uid="{9824CEA3-1C8E-4399-8785-CE32971404FE}"/>
    <cellStyle name="Style 93 6 3 2 3 3 2" xfId="29147" xr:uid="{95656EE7-477D-490A-9BFE-A9D434A13C8A}"/>
    <cellStyle name="Style 93 6 3 2 4" xfId="13294" xr:uid="{ED6C4FDF-3EFB-4FB3-97CA-F992B9A1B95F}"/>
    <cellStyle name="Style 93 6 3 2 4 2" xfId="13295" xr:uid="{1CF47DE4-BE41-43D5-B2D6-59F06A80D345}"/>
    <cellStyle name="Style 93 6 3 2 4 2 2" xfId="29148" xr:uid="{5481E0C0-BCD3-473F-81AB-AF9A7EE3DA40}"/>
    <cellStyle name="Style 93 6 3 2 4 3" xfId="13296" xr:uid="{7DC9545B-1433-4EDA-9039-94B5B2E564C4}"/>
    <cellStyle name="Style 93 6 3 2 4 3 2" xfId="29149" xr:uid="{95AB0623-B2EE-438C-9514-98854D49280A}"/>
    <cellStyle name="Style 93 6 3 2 4 4" xfId="22376" xr:uid="{B2F9661B-944E-49FD-926A-E660B773A0A4}"/>
    <cellStyle name="Style 93 6 3 2 5" xfId="13297" xr:uid="{A7FF5F5B-264F-42CF-BA1C-4952A87F4DB6}"/>
    <cellStyle name="Style 93 6 3 2 5 2" xfId="13298" xr:uid="{5C27B160-4A76-4964-9244-7FDD8ADC5C14}"/>
    <cellStyle name="Style 93 6 3 2 5 2 2" xfId="29151" xr:uid="{71BC1762-5253-45E4-9FF5-6468655A95A8}"/>
    <cellStyle name="Style 93 6 3 2 5 3" xfId="29150" xr:uid="{DCDD05A3-0A4B-4CF1-A0E8-10F8FDB0DBA8}"/>
    <cellStyle name="Style 93 6 3 2 6" xfId="13299" xr:uid="{408FE138-4EE3-4B0B-A5E8-E0BE52D47ADF}"/>
    <cellStyle name="Style 93 6 3 2 6 2" xfId="13300" xr:uid="{5D96F1DF-485A-432A-A908-36D8EA5B7359}"/>
    <cellStyle name="Style 93 6 3 2 6 2 2" xfId="29153" xr:uid="{A4436525-F228-4F65-8C3E-9B82ECC98885}"/>
    <cellStyle name="Style 93 6 3 2 6 3" xfId="29152" xr:uid="{A4206D99-9066-467C-9E7E-7FF4C36494AD}"/>
    <cellStyle name="Style 93 6 3 2 7" xfId="13301" xr:uid="{4F133AEB-49E0-492C-A781-BA3C1912AE64}"/>
    <cellStyle name="Style 93 6 3 2 7 2" xfId="29154" xr:uid="{23150B07-6F1B-4EA8-9275-10BCEA237414}"/>
    <cellStyle name="Style 93 6 3 2 8" xfId="13302" xr:uid="{45F72224-D8A4-480F-B211-39EBDEE635B6}"/>
    <cellStyle name="Style 93 6 3 2 8 2" xfId="29155" xr:uid="{F8788FB4-BD39-48CB-9996-12957FC9A0C9}"/>
    <cellStyle name="Style 93 6 3 2 9" xfId="13303" xr:uid="{D0A73F1D-3061-423C-80C7-25BF595B9810}"/>
    <cellStyle name="Style 93 6 3 2 9 2" xfId="29156" xr:uid="{574A04D8-1C6B-4C4E-9969-C95E63A656C1}"/>
    <cellStyle name="Style 93 6 3 3" xfId="5161" xr:uid="{2271E71E-000B-42D3-BFB0-557A25AC7333}"/>
    <cellStyle name="Style 93 6 3 3 2" xfId="5162" xr:uid="{EB7F5A65-8483-49D4-8F2A-887D7B9696CC}"/>
    <cellStyle name="Style 93 6 3 3 2 2" xfId="13304" xr:uid="{92B98992-A941-4585-BFBF-10C8B191174C}"/>
    <cellStyle name="Style 93 6 3 3 2 2 2" xfId="29157" xr:uid="{A5C4C70A-F769-4C09-B026-A97004D29CDC}"/>
    <cellStyle name="Style 93 6 3 3 2 3" xfId="13305" xr:uid="{3D6A32F5-D5B3-4B56-BA71-547A45C35210}"/>
    <cellStyle name="Style 93 6 3 3 2 3 2" xfId="29158" xr:uid="{3B5CDE13-C61D-4684-A78E-F82DDC539505}"/>
    <cellStyle name="Style 93 6 3 3 3" xfId="13306" xr:uid="{BF0A2FF4-8BED-4AAC-AA01-CC2B8A02C5E8}"/>
    <cellStyle name="Style 93 6 3 3 3 2" xfId="29159" xr:uid="{C5A07D2B-EA5F-47CD-9D44-1403BB732544}"/>
    <cellStyle name="Style 93 6 3 3 4" xfId="13307" xr:uid="{FEC1934E-3D00-41A9-9B99-37085C83E861}"/>
    <cellStyle name="Style 93 6 3 3 4 2" xfId="29160" xr:uid="{7943F26C-4B3C-4494-BA21-393928A9D994}"/>
    <cellStyle name="Style 93 6 3 3 5" xfId="13308" xr:uid="{7530E560-DA28-42F8-97F5-2492FD06D485}"/>
    <cellStyle name="Style 93 6 3 3 5 2" xfId="29161" xr:uid="{681FCC96-3B2F-4377-A377-28F562F6BFD9}"/>
    <cellStyle name="Style 93 6 3 3 6" xfId="13309" xr:uid="{A34E381F-3CAD-4D3E-9805-503BAEDA4F8A}"/>
    <cellStyle name="Style 93 6 3 3 6 2" xfId="29162" xr:uid="{9414E4EF-8DA9-4766-8262-A5CE1B48B4BF}"/>
    <cellStyle name="Style 93 6 3 3 7" xfId="19226" xr:uid="{CBE5BD73-ECF6-4A26-AD09-BCB9948CB8ED}"/>
    <cellStyle name="Style 93 6 3 4" xfId="5163" xr:uid="{30FCACE1-B48A-4D89-954F-E0198B53A237}"/>
    <cellStyle name="Style 93 6 3 4 2" xfId="13310" xr:uid="{8F59FFA8-15BA-4EF8-A966-AF5216D94D49}"/>
    <cellStyle name="Style 93 6 3 4 2 2" xfId="29163" xr:uid="{FE78CE47-8B5D-4A2D-9D76-235A14394C6E}"/>
    <cellStyle name="Style 93 6 3 4 3" xfId="13311" xr:uid="{C087EEC1-7097-4744-BBDE-73F476B3ECEF}"/>
    <cellStyle name="Style 93 6 3 4 3 2" xfId="29164" xr:uid="{32B878F2-F0DC-4980-B7F4-D6B648AB69A8}"/>
    <cellStyle name="Style 93 6 3 4 4" xfId="13312" xr:uid="{55AEF334-FB95-4135-80D5-BDBC6F7B336A}"/>
    <cellStyle name="Style 93 6 3 4 4 2" xfId="29165" xr:uid="{1E59EA2B-6A06-439A-A177-BB2DF3593EB4}"/>
    <cellStyle name="Style 93 6 3 5" xfId="5164" xr:uid="{262AE78D-32C6-4ABD-A634-62DBE67C02DB}"/>
    <cellStyle name="Style 93 6 3 5 2" xfId="13313" xr:uid="{79667A18-E8D5-4B3D-A3C0-1987CDC13E66}"/>
    <cellStyle name="Style 93 6 3 5 2 2" xfId="29166" xr:uid="{FFD66C47-D698-4C73-BBB1-784120D65DD3}"/>
    <cellStyle name="Style 93 6 3 5 3" xfId="13314" xr:uid="{6CBFB79B-1942-4AFF-A882-9A38260A3B1D}"/>
    <cellStyle name="Style 93 6 3 5 3 2" xfId="29167" xr:uid="{CFDB39B4-0985-4101-AF46-F412222751C6}"/>
    <cellStyle name="Style 93 6 3 6" xfId="5158" xr:uid="{13E2E798-E0B5-4711-B66D-D670AE6B8AD5}"/>
    <cellStyle name="Style 93 6 3 6 2" xfId="13315" xr:uid="{8AF840FB-95D8-4647-A702-D04DD825CC6A}"/>
    <cellStyle name="Style 93 6 3 6 2 2" xfId="29168" xr:uid="{999C4C1F-9267-448A-807C-3393D422BBCD}"/>
    <cellStyle name="Style 93 6 3 6 3" xfId="13316" xr:uid="{D8FA29E6-BF2D-449D-9C7A-AF26C05E2CE7}"/>
    <cellStyle name="Style 93 6 3 6 3 2" xfId="29169" xr:uid="{0AEE32C0-C198-4423-9091-2FDFF040D548}"/>
    <cellStyle name="Style 93 6 3 7" xfId="13317" xr:uid="{79720597-EF26-4174-868B-1536CE4921A7}"/>
    <cellStyle name="Style 93 6 3 7 2" xfId="13318" xr:uid="{57C084F8-79BE-4ACF-84A0-684A260E8F83}"/>
    <cellStyle name="Style 93 6 3 7 2 2" xfId="29170" xr:uid="{C50A13A8-4EE5-424B-BEAE-831C834FD1D5}"/>
    <cellStyle name="Style 93 6 3 7 3" xfId="13319" xr:uid="{DCED25A2-DC04-4A99-9F45-01422471D565}"/>
    <cellStyle name="Style 93 6 3 7 3 2" xfId="29171" xr:uid="{BAACA7C7-DBBC-454C-AE6C-2C90EBD44A08}"/>
    <cellStyle name="Style 93 6 3 7 4" xfId="22375" xr:uid="{F746C0F7-B490-4581-80A5-88C272012022}"/>
    <cellStyle name="Style 93 6 3 8" xfId="13320" xr:uid="{1FEE616E-1A13-4725-B463-8876DCEC7912}"/>
    <cellStyle name="Style 93 6 3 8 2" xfId="29172" xr:uid="{93254176-BC92-4F7B-879F-33B7D3E33812}"/>
    <cellStyle name="Style 93 6 3 9" xfId="13321" xr:uid="{ED199277-769F-4007-9FCB-4892DD1A24A2}"/>
    <cellStyle name="Style 93 6 3 9 2" xfId="29173" xr:uid="{EBC1C0C9-034C-4472-8F57-0A5C24416473}"/>
    <cellStyle name="Style 93 6 4" xfId="2372" xr:uid="{8A57FF0D-C3DA-4A37-8E44-9B01FC17E95A}"/>
    <cellStyle name="Style 93 6 4 10" xfId="13322" xr:uid="{313DA5EE-8401-49BD-8FD3-8088A6688C1A}"/>
    <cellStyle name="Style 93 6 4 10 2" xfId="29174" xr:uid="{7D290787-9FC8-4A4D-9B1A-0A61AFB5D716}"/>
    <cellStyle name="Style 93 6 4 11" xfId="19227" xr:uid="{2E765FFC-E868-4FAA-8731-44122BB62766}"/>
    <cellStyle name="Style 93 6 4 2" xfId="2373" xr:uid="{F81557B7-165D-4519-A777-8F3975933B74}"/>
    <cellStyle name="Style 93 6 4 2 10" xfId="19228" xr:uid="{93029B47-8A0F-4EBB-B08F-88415480CB55}"/>
    <cellStyle name="Style 93 6 4 2 2" xfId="5167" xr:uid="{9F12D0E9-CD78-4907-9A9B-C362E754BC69}"/>
    <cellStyle name="Style 93 6 4 2 2 2" xfId="13323" xr:uid="{4390D592-E052-4608-BBD8-70F5443A2B51}"/>
    <cellStyle name="Style 93 6 4 2 2 2 2" xfId="29175" xr:uid="{34242848-1F0A-4F74-979F-1A447476BB72}"/>
    <cellStyle name="Style 93 6 4 2 2 3" xfId="13324" xr:uid="{5EF9C9A8-6327-4A1B-A861-E8643D31B8D9}"/>
    <cellStyle name="Style 93 6 4 2 2 3 2" xfId="29176" xr:uid="{D722E451-158E-427E-8D20-4A15DB31F4AB}"/>
    <cellStyle name="Style 93 6 4 2 2 4" xfId="13325" xr:uid="{CBE8E25F-9085-44D2-8FFE-8EDF6954A160}"/>
    <cellStyle name="Style 93 6 4 2 2 4 2" xfId="29177" xr:uid="{98595CF2-E82A-4A0D-A2C8-1EB3D6E79628}"/>
    <cellStyle name="Style 93 6 4 2 3" xfId="5166" xr:uid="{4EFE76A5-F016-4EE0-B527-71711A888362}"/>
    <cellStyle name="Style 93 6 4 2 3 2" xfId="13326" xr:uid="{48A4B3DD-A263-4168-9FBF-C044D0597B37}"/>
    <cellStyle name="Style 93 6 4 2 3 2 2" xfId="29178" xr:uid="{51ABA127-5BF8-402D-811C-114870D17288}"/>
    <cellStyle name="Style 93 6 4 2 3 3" xfId="13327" xr:uid="{AA99E71D-30AD-41DE-8E28-0C3FAD49E370}"/>
    <cellStyle name="Style 93 6 4 2 3 3 2" xfId="29179" xr:uid="{598AAC12-2A9B-471E-AD92-A94FA8E106FE}"/>
    <cellStyle name="Style 93 6 4 2 4" xfId="13328" xr:uid="{E134585F-7233-465B-BF94-2F5F034B5E01}"/>
    <cellStyle name="Style 93 6 4 2 4 2" xfId="13329" xr:uid="{7266C259-9CD6-4801-B316-7053F8FB2AE8}"/>
    <cellStyle name="Style 93 6 4 2 4 2 2" xfId="29180" xr:uid="{22F713FA-582B-47BA-9798-804F2C4620B5}"/>
    <cellStyle name="Style 93 6 4 2 4 3" xfId="13330" xr:uid="{AC15CD9C-0FC8-459F-89DE-BDE32B604DA9}"/>
    <cellStyle name="Style 93 6 4 2 4 3 2" xfId="29181" xr:uid="{38947819-FD23-438E-8FA9-E1C5D6CD6431}"/>
    <cellStyle name="Style 93 6 4 2 4 4" xfId="22378" xr:uid="{CF0CCCCF-EA6C-4C68-B3A8-C9F1EBA8DDFD}"/>
    <cellStyle name="Style 93 6 4 2 5" xfId="13331" xr:uid="{588F3A55-E2D2-4FF7-BF63-6E8EFB1AD464}"/>
    <cellStyle name="Style 93 6 4 2 5 2" xfId="13332" xr:uid="{AD855B06-09EC-4B99-B93E-75D8E236F8B6}"/>
    <cellStyle name="Style 93 6 4 2 5 2 2" xfId="29183" xr:uid="{358E3362-ECFC-4B70-8FE0-0EE2D178DCCC}"/>
    <cellStyle name="Style 93 6 4 2 5 3" xfId="29182" xr:uid="{81A481F5-D7A9-4A5D-95BF-23D35A1AE664}"/>
    <cellStyle name="Style 93 6 4 2 6" xfId="13333" xr:uid="{6ABAD531-0882-4959-936F-9AAA7D3C3021}"/>
    <cellStyle name="Style 93 6 4 2 6 2" xfId="13334" xr:uid="{659F57FB-BDB4-42EA-B649-4EF168895605}"/>
    <cellStyle name="Style 93 6 4 2 6 2 2" xfId="29185" xr:uid="{EB747411-5470-4846-B8AF-9503622BF723}"/>
    <cellStyle name="Style 93 6 4 2 6 3" xfId="29184" xr:uid="{E89D5B32-C58C-41ED-A460-9C6AB697C66B}"/>
    <cellStyle name="Style 93 6 4 2 7" xfId="13335" xr:uid="{DB0E1715-90E7-46A8-BA79-363BDE833B37}"/>
    <cellStyle name="Style 93 6 4 2 7 2" xfId="29186" xr:uid="{6CCEC76F-FAD4-41B1-9F12-1321C13E6155}"/>
    <cellStyle name="Style 93 6 4 2 8" xfId="13336" xr:uid="{1C9F68E0-24C7-4E17-8B94-E4C6DF1B588E}"/>
    <cellStyle name="Style 93 6 4 2 8 2" xfId="29187" xr:uid="{B844255B-4F18-4990-9D78-A5F04E619669}"/>
    <cellStyle name="Style 93 6 4 2 9" xfId="13337" xr:uid="{A85475C7-7B5D-4C9F-9277-A65011A28EF5}"/>
    <cellStyle name="Style 93 6 4 2 9 2" xfId="29188" xr:uid="{AF8EC514-7E09-4FD2-8E2B-80D48D4E2CBD}"/>
    <cellStyle name="Style 93 6 4 3" xfId="5168" xr:uid="{23A9E135-FD63-4CF3-B49A-41A69A859BB3}"/>
    <cellStyle name="Style 93 6 4 3 2" xfId="13338" xr:uid="{33E7E631-2CA7-47DF-8D73-6F8F182103CD}"/>
    <cellStyle name="Style 93 6 4 3 2 2" xfId="29189" xr:uid="{1328AB81-ED6C-485A-8BF7-9C9EC19AAB61}"/>
    <cellStyle name="Style 93 6 4 3 3" xfId="13339" xr:uid="{89CC0397-5C13-4B66-A38B-80E1F097833E}"/>
    <cellStyle name="Style 93 6 4 3 3 2" xfId="29190" xr:uid="{4BB78259-55C5-41F5-967A-98ECF6FC85CD}"/>
    <cellStyle name="Style 93 6 4 3 4" xfId="13340" xr:uid="{A1C43FE7-304E-4633-B93B-56E939BD4AA0}"/>
    <cellStyle name="Style 93 6 4 3 4 2" xfId="29191" xr:uid="{638DC1F7-94A5-4267-8483-7717EC31F94E}"/>
    <cellStyle name="Style 93 6 4 4" xfId="5165" xr:uid="{F25EAE8F-F8F1-42EA-AFD2-FF69ADA28281}"/>
    <cellStyle name="Style 93 6 4 4 2" xfId="13341" xr:uid="{BC17388D-853F-4DEF-8B3D-B2E17694CADB}"/>
    <cellStyle name="Style 93 6 4 4 2 2" xfId="29192" xr:uid="{C86DFFEE-2BCB-4F68-AF9A-09DACAF3FE16}"/>
    <cellStyle name="Style 93 6 4 4 3" xfId="13342" xr:uid="{ABB22D62-7067-480B-B56F-EA80A4392962}"/>
    <cellStyle name="Style 93 6 4 4 3 2" xfId="29193" xr:uid="{DCBD371A-48DE-452E-B30B-51586CE267AE}"/>
    <cellStyle name="Style 93 6 4 5" xfId="13343" xr:uid="{27F93770-BE83-4C59-98D2-6AE8C199CDF7}"/>
    <cellStyle name="Style 93 6 4 5 2" xfId="13344" xr:uid="{9381EB16-E660-4049-A985-1E50DE45D599}"/>
    <cellStyle name="Style 93 6 4 5 2 2" xfId="29194" xr:uid="{AEE79070-0F97-45E4-BAC2-2FF47DDFFD62}"/>
    <cellStyle name="Style 93 6 4 5 3" xfId="13345" xr:uid="{0749EC95-6D87-4F6C-8F4E-437BDBB07496}"/>
    <cellStyle name="Style 93 6 4 5 3 2" xfId="29195" xr:uid="{585DC305-E504-4627-AD3A-F932523B3696}"/>
    <cellStyle name="Style 93 6 4 5 4" xfId="22377" xr:uid="{9E6D0F51-0E47-4909-9D2C-FF9E356141B6}"/>
    <cellStyle name="Style 93 6 4 6" xfId="13346" xr:uid="{6B99C8B7-D84C-4778-8C08-4B17F9917418}"/>
    <cellStyle name="Style 93 6 4 6 2" xfId="13347" xr:uid="{781EAB3A-6F3C-47E6-9130-0D7A4A340EAA}"/>
    <cellStyle name="Style 93 6 4 6 2 2" xfId="29197" xr:uid="{B1CCCE8B-369E-4CB1-BC98-CF06FC5D3E2E}"/>
    <cellStyle name="Style 93 6 4 6 3" xfId="29196" xr:uid="{812FCAEE-1715-483B-B528-A76FD730F55D}"/>
    <cellStyle name="Style 93 6 4 7" xfId="13348" xr:uid="{71A2B353-6AF9-450C-ADFA-ED746E915422}"/>
    <cellStyle name="Style 93 6 4 7 2" xfId="13349" xr:uid="{AFD3CCDE-08F1-413E-8045-6784AC68EC37}"/>
    <cellStyle name="Style 93 6 4 7 2 2" xfId="29199" xr:uid="{3BC0024F-519A-4A8D-959A-D8FF03A9A14D}"/>
    <cellStyle name="Style 93 6 4 7 3" xfId="29198" xr:uid="{1D15AEC4-7FCE-4FBA-B309-8E7E348DAB20}"/>
    <cellStyle name="Style 93 6 4 8" xfId="13350" xr:uid="{087D276F-3290-4B2B-AD0F-A00234BB12B9}"/>
    <cellStyle name="Style 93 6 4 8 2" xfId="29200" xr:uid="{E0EB3429-2542-4A1C-B2E0-B33BCFB3BD07}"/>
    <cellStyle name="Style 93 6 4 9" xfId="13351" xr:uid="{3220CD70-973C-4938-89F6-C14D65F7F152}"/>
    <cellStyle name="Style 93 6 4 9 2" xfId="29201" xr:uid="{9CC4A418-FAD5-4DB6-A6A3-993E5DADF316}"/>
    <cellStyle name="Style 93 6 5" xfId="5169" xr:uid="{A9867265-D7C1-4644-837D-02F88F03B7F0}"/>
    <cellStyle name="Style 93 6 5 2" xfId="13352" xr:uid="{F8C527FB-B950-41B8-82DA-56501F1FA2BF}"/>
    <cellStyle name="Style 93 6 5 2 2" xfId="13353" xr:uid="{0CF909D0-DA59-48BA-9AAC-8A9BAE4A7D1A}"/>
    <cellStyle name="Style 93 6 5 2 2 2" xfId="29203" xr:uid="{6576198B-DBD9-402B-BA46-6B751D6B95B0}"/>
    <cellStyle name="Style 93 6 5 2 3" xfId="29202" xr:uid="{CD74FE1F-6549-4F05-B697-FAF1D326D829}"/>
    <cellStyle name="Style 93 6 5 3" xfId="13354" xr:uid="{CD693FBB-C6D4-49D9-B71C-7FD5157A0ECF}"/>
    <cellStyle name="Style 93 6 5 3 2" xfId="29204" xr:uid="{1DDB0118-4C98-4CE4-B312-52BD46DD8130}"/>
    <cellStyle name="Style 93 6 5 4" xfId="13355" xr:uid="{5469E07A-EBFA-4D2D-B146-95A89AB2137D}"/>
    <cellStyle name="Style 93 6 5 4 2" xfId="29205" xr:uid="{3C5C5A06-0F06-442C-AC18-C9AD1140F287}"/>
    <cellStyle name="Style 93 6 5 5" xfId="13356" xr:uid="{720F5DB8-E5A2-4673-8AA8-23C847E3980E}"/>
    <cellStyle name="Style 93 6 5 5 2" xfId="29206" xr:uid="{6ACD35A2-AA15-4AF0-9F7E-A3AE7B93C8AB}"/>
    <cellStyle name="Style 93 6 5 6" xfId="13357" xr:uid="{C3DA55CA-656F-489F-B6A2-9F8CAE1D29FF}"/>
    <cellStyle name="Style 93 6 5 6 2" xfId="29207" xr:uid="{E67DB53E-92D2-453A-B507-C73BDF012D9B}"/>
    <cellStyle name="Style 93 6 6" xfId="5170" xr:uid="{F4051FA2-EC51-4FCE-9DA1-F443FDFCCDD5}"/>
    <cellStyle name="Style 93 6 6 2" xfId="13358" xr:uid="{005B0EBB-756C-46A0-A60E-8B7B1335B342}"/>
    <cellStyle name="Style 93 6 6 2 2" xfId="29208" xr:uid="{CC15AE4D-D77F-44C1-9F91-58AFAE2EE10D}"/>
    <cellStyle name="Style 93 6 6 3" xfId="13359" xr:uid="{9CBF4896-8F8B-44F2-B736-98B6E4C41602}"/>
    <cellStyle name="Style 93 6 6 3 2" xfId="29209" xr:uid="{94E8D09F-A46A-42D8-95A5-4DBDD48F69C5}"/>
    <cellStyle name="Style 93 6 6 4" xfId="13360" xr:uid="{7AAC170B-EB70-494F-992A-CC38F64AF694}"/>
    <cellStyle name="Style 93 6 6 4 2" xfId="29210" xr:uid="{E0E6EDE6-F58C-4DE2-AD8B-202170CABF03}"/>
    <cellStyle name="Style 93 6 7" xfId="5155" xr:uid="{FB4812D2-457D-4628-AA5A-14EB4E0BF60E}"/>
    <cellStyle name="Style 93 6 7 2" xfId="13361" xr:uid="{C3DBC64C-DE68-4AB4-AF0D-92126AE41379}"/>
    <cellStyle name="Style 93 6 7 2 2" xfId="29211" xr:uid="{6618ED44-4715-4873-B384-87DB4F93FBAB}"/>
    <cellStyle name="Style 93 6 7 3" xfId="13362" xr:uid="{83BB80F2-394D-45DD-8DDC-D637B0312226}"/>
    <cellStyle name="Style 93 6 7 3 2" xfId="29212" xr:uid="{FE650CEA-00DF-4213-A4E6-C96B3283D5CC}"/>
    <cellStyle name="Style 93 6 8" xfId="13363" xr:uid="{61066802-A369-4DC1-9AF6-5EB8A48CF06F}"/>
    <cellStyle name="Style 93 6 8 2" xfId="13364" xr:uid="{88DEFBCD-D881-436B-A2BF-6CA09DD80D53}"/>
    <cellStyle name="Style 93 6 8 2 2" xfId="29213" xr:uid="{3C04CD6F-69A1-401C-BFDB-729B535E1139}"/>
    <cellStyle name="Style 93 6 8 3" xfId="13365" xr:uid="{5BFB2654-6DE0-4154-883B-57226CA48E50}"/>
    <cellStyle name="Style 93 6 8 3 2" xfId="29214" xr:uid="{81CF0391-E0D6-47C2-808A-983113879344}"/>
    <cellStyle name="Style 93 6 8 4" xfId="22373" xr:uid="{3C216414-9180-44A5-A1AD-988831F13CC6}"/>
    <cellStyle name="Style 93 6 9" xfId="13366" xr:uid="{C2BFADF9-43BE-4EF5-A1B1-07D25347C4D9}"/>
    <cellStyle name="Style 93 6 9 2" xfId="13367" xr:uid="{BBED39DD-8EA5-42BD-AF7F-FB7AAC7694B9}"/>
    <cellStyle name="Style 93 6 9 2 2" xfId="29216" xr:uid="{C35AFBBF-DF63-4740-BEC3-D03CE7C38F0D}"/>
    <cellStyle name="Style 93 6 9 3" xfId="29215" xr:uid="{98BA86FF-0489-4F13-B201-F327A847A3E3}"/>
    <cellStyle name="Style 93 7" xfId="2374" xr:uid="{12FC8CD4-547B-4CE8-B87D-08868A5B50FB}"/>
    <cellStyle name="Style 93 7 10" xfId="13368" xr:uid="{F7C07F35-FB9D-4882-9127-23C189AD963C}"/>
    <cellStyle name="Style 93 7 10 2" xfId="29217" xr:uid="{54135C6F-B228-4320-8C44-11C8F31D3328}"/>
    <cellStyle name="Style 93 7 11" xfId="13369" xr:uid="{313BEF76-1436-41FC-9A17-2F87AE7BC88A}"/>
    <cellStyle name="Style 93 7 11 2" xfId="29218" xr:uid="{D87D4118-47A0-4E80-9CCE-59BB852AB102}"/>
    <cellStyle name="Style 93 7 12" xfId="19229" xr:uid="{58FC1EE9-3618-4A03-A733-F2F2C229B034}"/>
    <cellStyle name="Style 93 7 2" xfId="2375" xr:uid="{6FDC8793-5DA9-4FCD-A3FF-97838EEF337A}"/>
    <cellStyle name="Style 93 7 2 10" xfId="19230" xr:uid="{E3788E31-7E53-4009-9B78-82C37D1B0AFB}"/>
    <cellStyle name="Style 93 7 2 2" xfId="5173" xr:uid="{D115B531-E3C1-44E4-BF14-0E3CFFFEC747}"/>
    <cellStyle name="Style 93 7 2 2 2" xfId="13370" xr:uid="{2C94D965-6D67-4E24-BBBE-CFDF682C7ABE}"/>
    <cellStyle name="Style 93 7 2 2 2 2" xfId="29219" xr:uid="{CE9A4DD6-3BC8-44AA-80EE-62D2443DD510}"/>
    <cellStyle name="Style 93 7 2 2 3" xfId="13371" xr:uid="{7E3C1287-95B9-4A09-8580-ED8FBDA4F1F8}"/>
    <cellStyle name="Style 93 7 2 2 3 2" xfId="29220" xr:uid="{8DCCC815-1C0D-414B-B738-5B098FE23E1E}"/>
    <cellStyle name="Style 93 7 2 2 4" xfId="13372" xr:uid="{B75F43AB-307E-4462-8749-FF90C2A06E0A}"/>
    <cellStyle name="Style 93 7 2 2 4 2" xfId="29221" xr:uid="{D7E7B0EE-3E3A-4A93-9AE4-B1DC67C3CCC7}"/>
    <cellStyle name="Style 93 7 2 3" xfId="5172" xr:uid="{63EEA6C2-4CB4-4890-91B2-A63E23DD8728}"/>
    <cellStyle name="Style 93 7 2 3 2" xfId="13373" xr:uid="{9B6ECF50-8A17-4558-B36C-DC97EA91B7FC}"/>
    <cellStyle name="Style 93 7 2 3 2 2" xfId="29222" xr:uid="{D1E14A9D-7234-48A7-8D49-A2B1FEA33EF2}"/>
    <cellStyle name="Style 93 7 2 3 3" xfId="13374" xr:uid="{459E3950-CA9E-4141-B067-65B2EF79415F}"/>
    <cellStyle name="Style 93 7 2 3 3 2" xfId="29223" xr:uid="{5B61FCEF-1790-47AF-8903-3F65FE48F85E}"/>
    <cellStyle name="Style 93 7 2 4" xfId="13375" xr:uid="{701ADD82-F268-48D8-B78B-10E8442D69BA}"/>
    <cellStyle name="Style 93 7 2 4 2" xfId="13376" xr:uid="{C2CDBEE1-D5A0-409B-96C3-BB55BBBDD92F}"/>
    <cellStyle name="Style 93 7 2 4 2 2" xfId="29224" xr:uid="{756CF4CA-7A5C-4E48-9A98-E15DDF63B5BA}"/>
    <cellStyle name="Style 93 7 2 4 3" xfId="13377" xr:uid="{343B3120-8613-42A7-AC84-4E83BB7D1692}"/>
    <cellStyle name="Style 93 7 2 4 3 2" xfId="29225" xr:uid="{44EC4729-7C40-413B-A763-DA491D6BDFD1}"/>
    <cellStyle name="Style 93 7 2 4 4" xfId="22380" xr:uid="{798F6596-B04A-4850-9971-148E33B50CA3}"/>
    <cellStyle name="Style 93 7 2 5" xfId="13378" xr:uid="{69853EF3-CD75-42AA-9E7A-058DF5414CE5}"/>
    <cellStyle name="Style 93 7 2 5 2" xfId="13379" xr:uid="{B6915CE2-F6E7-4525-BA6D-063E75E53263}"/>
    <cellStyle name="Style 93 7 2 5 2 2" xfId="29227" xr:uid="{10830ECC-87B5-40C8-AAFF-9BF8A9DBCF53}"/>
    <cellStyle name="Style 93 7 2 5 3" xfId="29226" xr:uid="{4C808930-01B2-41EF-845E-3CD1387AA776}"/>
    <cellStyle name="Style 93 7 2 6" xfId="13380" xr:uid="{8664AFF7-C2D4-4B70-8076-E6026CC654B7}"/>
    <cellStyle name="Style 93 7 2 6 2" xfId="13381" xr:uid="{01BF0EFE-8E40-423F-857D-69CEFDBEFFB2}"/>
    <cellStyle name="Style 93 7 2 6 2 2" xfId="29229" xr:uid="{BA93D454-BC53-4B4E-BE03-6DFE9D6AC0F8}"/>
    <cellStyle name="Style 93 7 2 6 3" xfId="29228" xr:uid="{928AC28A-591D-4317-99ED-0E676CD26352}"/>
    <cellStyle name="Style 93 7 2 7" xfId="13382" xr:uid="{46EC2C3E-A087-4421-ABC6-EA81E3829C4B}"/>
    <cellStyle name="Style 93 7 2 7 2" xfId="29230" xr:uid="{7C858D80-1C90-49A3-B01F-8FAD978964E6}"/>
    <cellStyle name="Style 93 7 2 8" xfId="13383" xr:uid="{4B97558F-EEE9-4B22-AD89-63EC5EB6202D}"/>
    <cellStyle name="Style 93 7 2 8 2" xfId="29231" xr:uid="{9B969F48-66FB-4C8B-AF4E-B58D49EA6556}"/>
    <cellStyle name="Style 93 7 2 9" xfId="13384" xr:uid="{A924B076-9BDC-4F30-9C63-BC495F84BEF2}"/>
    <cellStyle name="Style 93 7 2 9 2" xfId="29232" xr:uid="{2B1B523A-C213-4FDC-AF9D-5D0CB3CA0207}"/>
    <cellStyle name="Style 93 7 3" xfId="5174" xr:uid="{D31376CE-10FA-40BC-B8D3-204D92BA47F4}"/>
    <cellStyle name="Style 93 7 3 2" xfId="5175" xr:uid="{E403BBD6-1D41-4A5D-82BF-B84254F9A180}"/>
    <cellStyle name="Style 93 7 3 2 2" xfId="13385" xr:uid="{D654CCEE-BBFA-4FC1-B10B-22E470FC56DF}"/>
    <cellStyle name="Style 93 7 3 2 2 2" xfId="29233" xr:uid="{40CD7076-C254-4032-98EE-80A873033AC9}"/>
    <cellStyle name="Style 93 7 3 2 3" xfId="13386" xr:uid="{B4F23F6D-B6FC-4539-8B8A-BECA859600AB}"/>
    <cellStyle name="Style 93 7 3 2 3 2" xfId="29234" xr:uid="{635E8B4A-7958-497D-A28E-0D17730D8839}"/>
    <cellStyle name="Style 93 7 3 3" xfId="13387" xr:uid="{41D59AAD-0E91-4DB7-BBB1-16F1610F81AE}"/>
    <cellStyle name="Style 93 7 3 3 2" xfId="29235" xr:uid="{7FCF37E4-708E-46AA-855A-58D22A370DEA}"/>
    <cellStyle name="Style 93 7 3 4" xfId="13388" xr:uid="{F2F197EF-5359-436E-98E5-A04C725ABF0F}"/>
    <cellStyle name="Style 93 7 3 4 2" xfId="29236" xr:uid="{73E8F2B6-94B4-48AC-AE0B-FEFF7A8E09CD}"/>
    <cellStyle name="Style 93 7 3 5" xfId="13389" xr:uid="{C834CC1F-ACA5-4229-83AF-CE68ECA15E99}"/>
    <cellStyle name="Style 93 7 3 5 2" xfId="29237" xr:uid="{7816B745-F81F-4567-8B33-7B9467D5D73E}"/>
    <cellStyle name="Style 93 7 3 6" xfId="13390" xr:uid="{A168C58E-7E94-439F-BD5B-F71428785B40}"/>
    <cellStyle name="Style 93 7 3 6 2" xfId="29238" xr:uid="{4932828E-A27F-4EC7-96E6-9633D456D2CD}"/>
    <cellStyle name="Style 93 7 3 7" xfId="19231" xr:uid="{578AA978-7252-43D1-940C-6183D07C4BC3}"/>
    <cellStyle name="Style 93 7 4" xfId="5176" xr:uid="{2BAE0BCC-165B-44CF-990F-C0999AB0CF77}"/>
    <cellStyle name="Style 93 7 4 2" xfId="13391" xr:uid="{99B61FA8-6FC7-4832-B71C-114B6813FD6C}"/>
    <cellStyle name="Style 93 7 4 2 2" xfId="29239" xr:uid="{116CFAAA-278D-4BFC-9721-0CD7CFBF4E31}"/>
    <cellStyle name="Style 93 7 4 3" xfId="13392" xr:uid="{5E384760-8CA9-46EB-AC7E-9506D2E3F08A}"/>
    <cellStyle name="Style 93 7 4 3 2" xfId="29240" xr:uid="{ED192311-B65C-43BD-9599-E956ADBAE0FA}"/>
    <cellStyle name="Style 93 7 4 4" xfId="13393" xr:uid="{07515A3D-F673-4FC0-8FB6-63DF8F29061B}"/>
    <cellStyle name="Style 93 7 4 4 2" xfId="29241" xr:uid="{485C304A-E04D-4809-A25C-3CCC26CDCCEF}"/>
    <cellStyle name="Style 93 7 5" xfId="5177" xr:uid="{4DC91E93-0A4D-4DB4-BB09-5389239EE617}"/>
    <cellStyle name="Style 93 7 5 2" xfId="13394" xr:uid="{8407704B-D5B7-487A-AF23-90FEEF453CA1}"/>
    <cellStyle name="Style 93 7 5 2 2" xfId="29242" xr:uid="{9CC27D60-6E73-43A0-AD82-381A9724A610}"/>
    <cellStyle name="Style 93 7 5 3" xfId="13395" xr:uid="{D654A61A-530A-4303-80BA-6C3F823B15E1}"/>
    <cellStyle name="Style 93 7 5 3 2" xfId="29243" xr:uid="{20EC9564-7159-4F25-B62A-F3196F5BD855}"/>
    <cellStyle name="Style 93 7 6" xfId="5171" xr:uid="{83EEDF24-AD03-47E8-9EBB-5997601DD8BB}"/>
    <cellStyle name="Style 93 7 6 2" xfId="13396" xr:uid="{7E8D898C-2312-4671-95C7-F32BB2E42FF7}"/>
    <cellStyle name="Style 93 7 6 2 2" xfId="29244" xr:uid="{594F6A2C-A79E-4F1D-AE53-AA8987E29AA6}"/>
    <cellStyle name="Style 93 7 6 3" xfId="13397" xr:uid="{34504F00-85F7-4D03-BE38-CF6DD0ACDC86}"/>
    <cellStyle name="Style 93 7 6 3 2" xfId="29245" xr:uid="{A4793819-4395-4C83-8FB4-414BC0B15119}"/>
    <cellStyle name="Style 93 7 7" xfId="13398" xr:uid="{17CAAEC6-40A8-4A0B-B271-40BABA68400A}"/>
    <cellStyle name="Style 93 7 7 2" xfId="13399" xr:uid="{5D5C901A-D523-4BF7-A222-E27BCC90D79C}"/>
    <cellStyle name="Style 93 7 7 2 2" xfId="29246" xr:uid="{BA8E2E77-F06D-469A-B431-E58776BAD3E9}"/>
    <cellStyle name="Style 93 7 7 3" xfId="13400" xr:uid="{064368A3-DF62-458D-8206-1A409B4FFBA0}"/>
    <cellStyle name="Style 93 7 7 3 2" xfId="29247" xr:uid="{6079DFEE-A20A-4DA2-A185-FA8A04EE51CE}"/>
    <cellStyle name="Style 93 7 7 4" xfId="22379" xr:uid="{17B7880B-EDE3-4670-A815-1E3E7EB17FC6}"/>
    <cellStyle name="Style 93 7 8" xfId="13401" xr:uid="{CDDB4D81-DEDE-426C-9144-03B438540747}"/>
    <cellStyle name="Style 93 7 8 2" xfId="29248" xr:uid="{86F5CFC0-2D14-4BAD-9399-48DC7148996A}"/>
    <cellStyle name="Style 93 7 9" xfId="13402" xr:uid="{D1344132-A99E-4870-A7F8-6C6AEB8F2775}"/>
    <cellStyle name="Style 93 7 9 2" xfId="29249" xr:uid="{5DCAB4B2-A01E-4BA9-BD78-226038178165}"/>
    <cellStyle name="Style 93 8" xfId="2376" xr:uid="{AB50FE61-E213-4336-9347-E6C87B22C322}"/>
    <cellStyle name="Style 93 8 10" xfId="13403" xr:uid="{909E6DEA-3DD2-4FD1-AB06-BB32E3E6EEDC}"/>
    <cellStyle name="Style 93 8 10 2" xfId="29250" xr:uid="{2120288B-97EF-40C4-9CB7-A4739D999D50}"/>
    <cellStyle name="Style 93 8 11" xfId="19232" xr:uid="{FAAC4045-8721-410C-BD82-7032D67FA8BD}"/>
    <cellStyle name="Style 93 8 2" xfId="2377" xr:uid="{941B62AB-98CD-4538-A681-247E768D1E92}"/>
    <cellStyle name="Style 93 8 2 10" xfId="19233" xr:uid="{0F801707-7E79-4787-BB3D-A09933E35E59}"/>
    <cellStyle name="Style 93 8 2 2" xfId="5180" xr:uid="{E2A081BD-B800-4BBE-9F8E-6572526BE564}"/>
    <cellStyle name="Style 93 8 2 2 2" xfId="13404" xr:uid="{3FBC842B-D282-4DF9-BDAC-73880A86D99F}"/>
    <cellStyle name="Style 93 8 2 2 2 2" xfId="29251" xr:uid="{37CE3167-BD7F-40C4-98FA-0C82E514D54D}"/>
    <cellStyle name="Style 93 8 2 2 3" xfId="13405" xr:uid="{7F4FCE5E-81FE-48AB-BB56-A7FD54DCCEA9}"/>
    <cellStyle name="Style 93 8 2 2 3 2" xfId="29252" xr:uid="{F93E6568-9311-47F8-9931-0C68C7BAD9FA}"/>
    <cellStyle name="Style 93 8 2 2 4" xfId="13406" xr:uid="{F344AE60-744D-49E6-A6DD-90AC124B5785}"/>
    <cellStyle name="Style 93 8 2 2 4 2" xfId="29253" xr:uid="{FCD2A4EE-5B9B-4A35-9EA6-F534CC805B3A}"/>
    <cellStyle name="Style 93 8 2 3" xfId="5179" xr:uid="{B86C39BB-0938-4DAA-8644-4E68DB78233C}"/>
    <cellStyle name="Style 93 8 2 3 2" xfId="13407" xr:uid="{9A9FA5C4-0261-427C-88D4-42186B176BCE}"/>
    <cellStyle name="Style 93 8 2 3 2 2" xfId="29254" xr:uid="{2499F267-9E88-47BD-B640-20878397580E}"/>
    <cellStyle name="Style 93 8 2 3 3" xfId="13408" xr:uid="{CE648612-F9A0-4304-967E-5FB91714E1D9}"/>
    <cellStyle name="Style 93 8 2 3 3 2" xfId="29255" xr:uid="{DFF3508A-58C2-4952-BFFA-52D126ACCB18}"/>
    <cellStyle name="Style 93 8 2 4" xfId="13409" xr:uid="{54E0B0A1-A200-4C2F-9DEF-77DEE81228A7}"/>
    <cellStyle name="Style 93 8 2 4 2" xfId="13410" xr:uid="{4AE96AA5-8F48-4F1F-BEE2-1349F83DD8FC}"/>
    <cellStyle name="Style 93 8 2 4 2 2" xfId="29256" xr:uid="{E138A52C-6744-4D99-A499-A694209F83FD}"/>
    <cellStyle name="Style 93 8 2 4 3" xfId="13411" xr:uid="{610DD683-3350-446B-A0EC-4A459DB67439}"/>
    <cellStyle name="Style 93 8 2 4 3 2" xfId="29257" xr:uid="{2DBB0729-4D5B-49B5-9D2B-FE2411F49D34}"/>
    <cellStyle name="Style 93 8 2 4 4" xfId="22382" xr:uid="{DCB30B41-2DDB-4404-965D-0055DBE02E74}"/>
    <cellStyle name="Style 93 8 2 5" xfId="13412" xr:uid="{0F27C449-7562-4F19-92DD-6BC1318B662B}"/>
    <cellStyle name="Style 93 8 2 5 2" xfId="13413" xr:uid="{0DBEC8AE-231B-45F3-9A9A-6DA690EE346B}"/>
    <cellStyle name="Style 93 8 2 5 2 2" xfId="29259" xr:uid="{6597DC21-2AD5-4C6C-A146-8A92F39E2F8E}"/>
    <cellStyle name="Style 93 8 2 5 3" xfId="29258" xr:uid="{95707A23-8F27-407B-8625-B6A8C42B751E}"/>
    <cellStyle name="Style 93 8 2 6" xfId="13414" xr:uid="{DE6AA710-100B-45FF-AC0A-F634A46E9F5A}"/>
    <cellStyle name="Style 93 8 2 6 2" xfId="13415" xr:uid="{16371E2A-14EE-48E4-A2C5-C61350877E37}"/>
    <cellStyle name="Style 93 8 2 6 2 2" xfId="29261" xr:uid="{B0CD16D4-7EAB-4A5D-88BD-8BBAE3FC617D}"/>
    <cellStyle name="Style 93 8 2 6 3" xfId="29260" xr:uid="{EAFD2869-E101-4B19-A95E-15F013C29152}"/>
    <cellStyle name="Style 93 8 2 7" xfId="13416" xr:uid="{64542881-2DB9-4AE4-BE94-02B0FB9FADAE}"/>
    <cellStyle name="Style 93 8 2 7 2" xfId="29262" xr:uid="{C70C0CEC-6B07-483A-AEC0-76D33368ADCC}"/>
    <cellStyle name="Style 93 8 2 8" xfId="13417" xr:uid="{B74ECBF9-8D0A-46A0-BEEB-BAAEBABA563C}"/>
    <cellStyle name="Style 93 8 2 8 2" xfId="29263" xr:uid="{877DD969-244E-4CE1-95C3-73166FE2862F}"/>
    <cellStyle name="Style 93 8 2 9" xfId="13418" xr:uid="{4B83551A-4774-4EE8-B9C0-BB43AD3A09BE}"/>
    <cellStyle name="Style 93 8 2 9 2" xfId="29264" xr:uid="{31C138C7-8989-4267-9310-A54106D75DB8}"/>
    <cellStyle name="Style 93 8 3" xfId="5181" xr:uid="{4C121D65-970A-4B43-9254-7942DEDEF4BB}"/>
    <cellStyle name="Style 93 8 3 2" xfId="5182" xr:uid="{E35D8CD1-18D5-451F-8232-ABB022E9D455}"/>
    <cellStyle name="Style 93 8 3 2 2" xfId="13419" xr:uid="{B907EAA3-B68B-4E68-ABAC-B171564A4BF0}"/>
    <cellStyle name="Style 93 8 3 2 2 2" xfId="29265" xr:uid="{9F766098-45C7-43D1-BFE3-EE564C280250}"/>
    <cellStyle name="Style 93 8 3 3" xfId="13420" xr:uid="{DCDD1F42-66B6-4EDE-938D-CC909B12BCB4}"/>
    <cellStyle name="Style 93 8 3 3 2" xfId="29266" xr:uid="{4C2449F9-C17A-492E-81C5-1CBD12F3A620}"/>
    <cellStyle name="Style 93 8 3 4" xfId="13421" xr:uid="{5EEAB7C5-F895-4F2A-81A9-93302C3DD211}"/>
    <cellStyle name="Style 93 8 3 4 2" xfId="29267" xr:uid="{531F2C9B-A875-4E79-B5B2-4B47A4868B6C}"/>
    <cellStyle name="Style 93 8 3 5" xfId="19234" xr:uid="{A1E6AD16-750F-4AD9-AECD-35A00EE806DC}"/>
    <cellStyle name="Style 93 8 4" xfId="5183" xr:uid="{42D16A22-3D06-4464-9027-FC421F11DAB8}"/>
    <cellStyle name="Style 93 8 4 2" xfId="13422" xr:uid="{6B78BA7A-5CBB-4BDB-920D-8E22BF6C9B1D}"/>
    <cellStyle name="Style 93 8 4 2 2" xfId="29268" xr:uid="{B269CCEC-B66E-4D86-AAA0-BAC05CA91EF3}"/>
    <cellStyle name="Style 93 8 4 3" xfId="13423" xr:uid="{BB440C45-7BC8-423C-9EB8-0C1E684458C2}"/>
    <cellStyle name="Style 93 8 4 3 2" xfId="29269" xr:uid="{C69D5938-9C5C-4C11-A888-6F777AA4CF51}"/>
    <cellStyle name="Style 93 8 5" xfId="5184" xr:uid="{5F67CC6F-0970-42A1-9536-8CEB755EAB34}"/>
    <cellStyle name="Style 93 8 5 2" xfId="13424" xr:uid="{01F0F03E-E462-4BB1-88AE-F477DEEC410B}"/>
    <cellStyle name="Style 93 8 5 2 2" xfId="29270" xr:uid="{9D57935D-E6A0-4B63-8731-8AD00ED842D9}"/>
    <cellStyle name="Style 93 8 5 3" xfId="13425" xr:uid="{D812C8FF-960A-4447-88D5-8462E564CD41}"/>
    <cellStyle name="Style 93 8 5 3 2" xfId="29271" xr:uid="{C8E2EA8A-DB47-43B3-B9B4-6E1B59A8D552}"/>
    <cellStyle name="Style 93 8 6" xfId="5178" xr:uid="{B7794E4D-DC68-4B2E-B505-73D734E14CC4}"/>
    <cellStyle name="Style 93 8 6 2" xfId="13426" xr:uid="{1C363558-C22D-4C22-A931-402BA4C6A641}"/>
    <cellStyle name="Style 93 8 6 2 2" xfId="29272" xr:uid="{21BA0821-E694-4DB7-AA07-77B2057B1ADD}"/>
    <cellStyle name="Style 93 8 6 3" xfId="13427" xr:uid="{8F42F730-7F3E-4AE9-B449-1BC00811FAC2}"/>
    <cellStyle name="Style 93 8 6 3 2" xfId="29273" xr:uid="{A16218AF-BA4E-403D-8BEF-8C4CDF0DF083}"/>
    <cellStyle name="Style 93 8 7" xfId="13428" xr:uid="{3DB0C96E-F77A-466C-B86C-A45D8E416706}"/>
    <cellStyle name="Style 93 8 7 2" xfId="13429" xr:uid="{2A0FB5A2-2B88-4E1D-85D5-656AE64FFB78}"/>
    <cellStyle name="Style 93 8 7 2 2" xfId="29274" xr:uid="{BEF85836-4509-425D-BB4D-BCB824E25B4C}"/>
    <cellStyle name="Style 93 8 7 3" xfId="13430" xr:uid="{1871F0C1-193B-4746-B88D-EFC5CF9437DC}"/>
    <cellStyle name="Style 93 8 7 3 2" xfId="29275" xr:uid="{285BAD2F-189C-4157-99B7-413EF211CB80}"/>
    <cellStyle name="Style 93 8 7 4" xfId="22381" xr:uid="{55B16E05-7D34-433A-B0BA-735178A26DCC}"/>
    <cellStyle name="Style 93 8 8" xfId="13431" xr:uid="{AD64F864-2D9F-494C-96A6-778036CEE867}"/>
    <cellStyle name="Style 93 8 8 2" xfId="29276" xr:uid="{569352E8-3F79-4BAF-89C9-92A4E4025415}"/>
    <cellStyle name="Style 93 8 9" xfId="13432" xr:uid="{FA145723-F547-4B51-B60D-B0AC8CA8263D}"/>
    <cellStyle name="Style 93 8 9 2" xfId="29277" xr:uid="{BE471827-E089-44BD-BFAA-FAF149453FD1}"/>
    <cellStyle name="Style 93 9" xfId="2378" xr:uid="{290BD2AE-DECE-4E3A-9EB9-18A268F78B4A}"/>
    <cellStyle name="Style 93 9 10" xfId="13433" xr:uid="{180885E0-A08B-4FCA-B86B-8162E2896B9B}"/>
    <cellStyle name="Style 93 9 10 2" xfId="29278" xr:uid="{514F7218-6EE0-4CC9-B63F-61D2E9233F62}"/>
    <cellStyle name="Style 93 9 11" xfId="19235" xr:uid="{6F0A11BC-B8EE-45C7-A2BE-06015D2FAF0A}"/>
    <cellStyle name="Style 93 9 2" xfId="2379" xr:uid="{9D02ECBD-38CE-4BE9-AE9A-67879915C017}"/>
    <cellStyle name="Style 93 9 2 2" xfId="5186" xr:uid="{3D0067BF-AF8C-483E-9560-D21FB735CE01}"/>
    <cellStyle name="Style 93 9 2 2 2" xfId="13434" xr:uid="{75782062-F2F9-4F63-858A-040434446A83}"/>
    <cellStyle name="Style 93 9 2 2 2 2" xfId="29279" xr:uid="{469C7590-01BD-4AC4-A4C3-C64419256469}"/>
    <cellStyle name="Style 93 9 2 2 3" xfId="13435" xr:uid="{CA19F12F-846A-4486-B37A-77047AA29FD8}"/>
    <cellStyle name="Style 93 9 2 2 3 2" xfId="29280" xr:uid="{C9B3C108-1C5C-4802-9184-8900C54198BE}"/>
    <cellStyle name="Style 93 9 2 2 4" xfId="13436" xr:uid="{CACADABF-4A5F-4126-A87F-20FD0D7221EA}"/>
    <cellStyle name="Style 93 9 2 2 4 2" xfId="29281" xr:uid="{DBAD6C13-BF81-49B8-995D-92F6586CBCE0}"/>
    <cellStyle name="Style 93 9 2 3" xfId="13437" xr:uid="{24A3B12C-2DA8-415D-81BA-B5595D5E25E7}"/>
    <cellStyle name="Style 93 9 2 3 2" xfId="13438" xr:uid="{7E0E2EF5-04F1-44CF-B239-EEC86A6FAD2A}"/>
    <cellStyle name="Style 93 9 2 3 2 2" xfId="29282" xr:uid="{419303F4-741B-4B9B-BB0F-7EAC0C25D5F5}"/>
    <cellStyle name="Style 93 9 2 3 3" xfId="13439" xr:uid="{EC979416-4635-4CC6-963C-564CD7CB7589}"/>
    <cellStyle name="Style 93 9 2 3 3 2" xfId="29283" xr:uid="{00337104-F096-4FFA-88BD-1B21EABE0605}"/>
    <cellStyle name="Style 93 9 2 3 4" xfId="22384" xr:uid="{68C911AF-0248-4BF0-9F94-D9F851FAF902}"/>
    <cellStyle name="Style 93 9 2 4" xfId="13440" xr:uid="{3003A173-A8D1-4FF6-A2C9-30F001081154}"/>
    <cellStyle name="Style 93 9 2 4 2" xfId="13441" xr:uid="{3ED08ED9-3CB4-458C-9165-524D8ABD27CB}"/>
    <cellStyle name="Style 93 9 2 4 2 2" xfId="29285" xr:uid="{3B6AC0AD-11AC-46D7-847F-FEE80AF86874}"/>
    <cellStyle name="Style 93 9 2 4 3" xfId="29284" xr:uid="{8BC10ECF-821F-459D-B63C-49D4BFBA39A7}"/>
    <cellStyle name="Style 93 9 2 5" xfId="13442" xr:uid="{5D719BD7-353F-42B6-AC37-97193F55E7D7}"/>
    <cellStyle name="Style 93 9 2 5 2" xfId="13443" xr:uid="{64DE4E91-2351-4918-B5BA-E05E25638F8B}"/>
    <cellStyle name="Style 93 9 2 5 2 2" xfId="29287" xr:uid="{B46450F1-31F6-494D-87B5-F1FF2C570FEE}"/>
    <cellStyle name="Style 93 9 2 5 3" xfId="29286" xr:uid="{BEDCAC7B-0FD2-4037-B8BD-55F53D6B98B0}"/>
    <cellStyle name="Style 93 9 2 6" xfId="13444" xr:uid="{70ED00CD-D7E0-40EE-9DC9-1BFD5ACCBC3E}"/>
    <cellStyle name="Style 93 9 2 6 2" xfId="29288" xr:uid="{DE2ED9B5-6952-45D3-BA68-5AC6693A5C1C}"/>
    <cellStyle name="Style 93 9 2 7" xfId="13445" xr:uid="{FCEF75D8-C635-4819-AD8A-1B3B25436F6D}"/>
    <cellStyle name="Style 93 9 2 7 2" xfId="29289" xr:uid="{79546C82-106D-4180-9355-EF7123501AAC}"/>
    <cellStyle name="Style 93 9 2 8" xfId="13446" xr:uid="{8606AE70-A4A4-4742-9543-3C45F93DA179}"/>
    <cellStyle name="Style 93 9 2 8 2" xfId="29290" xr:uid="{AF5964FA-63AD-44F6-8A02-CB877CBDF51E}"/>
    <cellStyle name="Style 93 9 3" xfId="2796" xr:uid="{D8AF9485-541B-41D6-9757-0A076BF92C2A}"/>
    <cellStyle name="Style 93 9 3 2" xfId="5187" xr:uid="{21E6132A-5FF8-4B25-AF8C-B7981AF49137}"/>
    <cellStyle name="Style 93 9 3 2 2" xfId="13447" xr:uid="{04D4742F-B63D-42C5-A827-0FDB0DFC1040}"/>
    <cellStyle name="Style 93 9 3 2 2 2" xfId="29291" xr:uid="{D627E3C5-54DE-4ED0-87F8-A76181C1DF0F}"/>
    <cellStyle name="Style 93 9 3 2 3" xfId="22542" xr:uid="{F49D876E-13E0-409E-AB51-0DA6EEE548B2}"/>
    <cellStyle name="Style 93 9 3 3" xfId="13448" xr:uid="{AD63DBED-524E-49B2-A495-05B2705D84A4}"/>
    <cellStyle name="Style 93 9 3 3 2" xfId="29292" xr:uid="{B79E4FF6-500F-4955-9149-F141E668FE95}"/>
    <cellStyle name="Style 93 9 3 4" xfId="13449" xr:uid="{3CDE49F1-3762-4DD3-846F-DB3BA147D849}"/>
    <cellStyle name="Style 93 9 3 4 2" xfId="29293" xr:uid="{ADC5A536-FC5A-4BD0-A646-4B15D600DD9B}"/>
    <cellStyle name="Style 93 9 4" xfId="5185" xr:uid="{4E23A9BA-D27A-4DBD-A565-38478C0E1041}"/>
    <cellStyle name="Style 93 9 4 2" xfId="13450" xr:uid="{8C2BA5C1-4FE1-4F99-8EA8-74A6CC6FE356}"/>
    <cellStyle name="Style 93 9 4 2 2" xfId="29294" xr:uid="{EB4AAEE2-244F-4EDA-B21F-81583B6DE033}"/>
    <cellStyle name="Style 93 9 4 3" xfId="13451" xr:uid="{5AC84AE9-56E4-4BCB-83F7-0C61EAA34924}"/>
    <cellStyle name="Style 93 9 4 3 2" xfId="29295" xr:uid="{B9E03CA9-EED5-4CC3-89F1-FFD28C2A625B}"/>
    <cellStyle name="Style 93 9 5" xfId="13452" xr:uid="{F2AC05F0-271D-4EDA-9586-5E50950B40B7}"/>
    <cellStyle name="Style 93 9 5 2" xfId="13453" xr:uid="{CC1E4715-A906-4064-892C-E894FAABE2D4}"/>
    <cellStyle name="Style 93 9 5 2 2" xfId="29296" xr:uid="{BDFD6128-E2A4-49EF-8EE8-126D5C8ED53E}"/>
    <cellStyle name="Style 93 9 5 3" xfId="13454" xr:uid="{D8ED5287-FA24-47BA-B766-027F4EE7A0DA}"/>
    <cellStyle name="Style 93 9 5 3 2" xfId="29297" xr:uid="{DD459E76-D317-426D-BBA2-E2D00C648FCB}"/>
    <cellStyle name="Style 93 9 5 4" xfId="22383" xr:uid="{68E07514-906D-4B55-B9DA-F3EC19BA02B3}"/>
    <cellStyle name="Style 93 9 6" xfId="13455" xr:uid="{7D664A8D-5618-47FE-B78A-B1067977AD67}"/>
    <cellStyle name="Style 93 9 6 2" xfId="13456" xr:uid="{A30F499A-A37E-44BA-BDF9-825F39160C31}"/>
    <cellStyle name="Style 93 9 6 2 2" xfId="29299" xr:uid="{0A71E528-D22A-4EFD-ADC0-DEA8A6040539}"/>
    <cellStyle name="Style 93 9 6 3" xfId="29298" xr:uid="{4E2C3FA9-DF46-49F7-A668-CBE46174C0CB}"/>
    <cellStyle name="Style 93 9 7" xfId="13457" xr:uid="{E96F5429-5766-4E53-B11E-75B1571246E4}"/>
    <cellStyle name="Style 93 9 7 2" xfId="13458" xr:uid="{8BCD70BA-8F83-4878-BA0C-D4134D46421D}"/>
    <cellStyle name="Style 93 9 7 2 2" xfId="29301" xr:uid="{D9080069-5DC7-4657-8CAB-3A34A9C9F08E}"/>
    <cellStyle name="Style 93 9 7 3" xfId="29300" xr:uid="{D06EA1B1-D42A-43CC-B39B-681298526167}"/>
    <cellStyle name="Style 93 9 8" xfId="13459" xr:uid="{811AE95A-FFE6-4545-9D14-A05D71EEDF5C}"/>
    <cellStyle name="Style 93 9 8 2" xfId="29302" xr:uid="{043228DC-1C7F-426A-9E37-EA6108800B79}"/>
    <cellStyle name="Style 93 9 9" xfId="13460" xr:uid="{32EBE284-9E45-45C3-84F0-F45542FB8A11}"/>
    <cellStyle name="Style 93 9 9 2" xfId="29303" xr:uid="{C45E6929-BBF8-45CA-87DD-26DC05B4C92B}"/>
    <cellStyle name="Style 93_ADDON" xfId="20537" xr:uid="{8ECF1B02-2D1B-4E4F-B7A7-25E648FDF5E7}"/>
    <cellStyle name="Style 94" xfId="2380" xr:uid="{CB7DF262-CD39-4386-BCD5-3C49D9216ADD}"/>
    <cellStyle name="Style 94 10" xfId="5188" xr:uid="{23C67929-9467-4674-96BF-5A1F7EE99E2E}"/>
    <cellStyle name="Style 94 10 2" xfId="13461" xr:uid="{30217BAC-4BA2-48D1-8FC8-8A6B4056D8F4}"/>
    <cellStyle name="Style 94 10 2 2" xfId="29304" xr:uid="{65194B95-B4CD-4F60-BA6D-3D06201E599B}"/>
    <cellStyle name="Style 94 10 3" xfId="13462" xr:uid="{9EBE65E3-8B85-4ED0-A0A7-DD405E75441F}"/>
    <cellStyle name="Style 94 10 3 2" xfId="29305" xr:uid="{E0ED7527-5FF7-4A27-BCE8-34D2964B1F4F}"/>
    <cellStyle name="Style 94 11" xfId="13463" xr:uid="{D8800A3A-46BC-4F60-BAFE-69B35ED02D1A}"/>
    <cellStyle name="Style 94 11 2" xfId="13464" xr:uid="{A4AAC9CF-F33A-4449-9759-44875EF2261B}"/>
    <cellStyle name="Style 94 11 2 2" xfId="29306" xr:uid="{7E61D97F-AA8A-4029-8ABD-8DF3C681CFA2}"/>
    <cellStyle name="Style 94 11 3" xfId="13465" xr:uid="{6FBD82F3-EDCE-4588-B94D-89C0F002A201}"/>
    <cellStyle name="Style 94 11 3 2" xfId="29307" xr:uid="{F66C68C7-3AF0-468B-AB95-3112E5908584}"/>
    <cellStyle name="Style 94 11 4" xfId="21329" xr:uid="{5986BD8F-FA79-4613-8DC6-B8F1982538B1}"/>
    <cellStyle name="Style 94 12" xfId="13466" xr:uid="{7D1DBB19-0BD7-4FA9-8B02-30D6AC55B86B}"/>
    <cellStyle name="Style 94 12 2" xfId="29308" xr:uid="{52650AF5-2911-4BC3-A984-99D06A4A9962}"/>
    <cellStyle name="Style 94 13" xfId="13467" xr:uid="{D9450703-B56A-4433-8163-9C93D004465D}"/>
    <cellStyle name="Style 94 13 2" xfId="29309" xr:uid="{7D1F1385-748A-4D27-8100-8604AA54FDDA}"/>
    <cellStyle name="Style 94 14" xfId="13468" xr:uid="{7A369B13-625B-4596-B25B-FC94E24CD1DB}"/>
    <cellStyle name="Style 94 14 2" xfId="29310" xr:uid="{9E76C215-82EC-41C2-8953-73277DC90A75}"/>
    <cellStyle name="Style 94 15" xfId="13469" xr:uid="{BB8770D9-A683-4986-9D0C-769AA2C76519}"/>
    <cellStyle name="Style 94 15 2" xfId="29311" xr:uid="{F9CE6A07-C238-4D32-ADD4-A1DF7AA5909A}"/>
    <cellStyle name="Style 94 16" xfId="19236" xr:uid="{8FC067CB-A65E-4A32-BF6F-A570C3E74D6E}"/>
    <cellStyle name="Style 94 2" xfId="2381" xr:uid="{48061ECA-85B6-43BA-B378-00B7D8F51C9F}"/>
    <cellStyle name="Style 94 2 10" xfId="13470" xr:uid="{87FBA0C7-69B1-4E4E-B0FC-F4E77DD754AC}"/>
    <cellStyle name="Style 94 2 10 2" xfId="29312" xr:uid="{6924E003-EB4D-4FA8-BD65-AE691D74521C}"/>
    <cellStyle name="Style 94 2 11" xfId="13471" xr:uid="{E43FEE1C-3468-49FD-B5B5-8DC2D0AB844B}"/>
    <cellStyle name="Style 94 2 11 2" xfId="29313" xr:uid="{4455B93E-00C2-4BAF-BBC6-BE9D6216430C}"/>
    <cellStyle name="Style 94 2 12" xfId="19237" xr:uid="{9EB6B17E-6D21-4707-89F8-28E717214CBB}"/>
    <cellStyle name="Style 94 2 2" xfId="5190" xr:uid="{A57E377E-5FFC-43AF-B391-5C823C85C516}"/>
    <cellStyle name="Style 94 2 2 2" xfId="13472" xr:uid="{89F9EA98-E3FB-4946-A011-E18A2A973149}"/>
    <cellStyle name="Style 94 2 2 2 2" xfId="13473" xr:uid="{2AF50A21-4E5A-4A42-BBC8-55459FF6F3D7}"/>
    <cellStyle name="Style 94 2 2 2 2 2" xfId="29315" xr:uid="{40C2F479-4973-4273-B857-260B55A58A0F}"/>
    <cellStyle name="Style 94 2 2 2 3" xfId="29314" xr:uid="{6C303384-2008-423B-AB4F-B55C462BCDB7}"/>
    <cellStyle name="Style 94 2 2 3" xfId="13474" xr:uid="{268EDCBF-4C58-4E5F-9031-E0746BEFCC3B}"/>
    <cellStyle name="Style 94 2 2 3 2" xfId="29316" xr:uid="{58C51A0B-679F-4BE8-B025-A5A2D7FF8B05}"/>
    <cellStyle name="Style 94 2 2 4" xfId="13475" xr:uid="{0BC43547-279A-4979-9A0A-AC28B944D552}"/>
    <cellStyle name="Style 94 2 2 4 2" xfId="29317" xr:uid="{9123EEEA-4761-448F-8BD3-7E6048DDBE3D}"/>
    <cellStyle name="Style 94 2 2 5" xfId="13476" xr:uid="{678B1265-CE5D-47C3-A836-54E37C0BC37A}"/>
    <cellStyle name="Style 94 2 2 5 2" xfId="29318" xr:uid="{86DF8ADE-5B71-4F8E-8DDA-0A43D96DD3ED}"/>
    <cellStyle name="Style 94 2 2 6" xfId="13477" xr:uid="{0DCE58AA-AA7D-4A03-BEB3-56E321B8EAE0}"/>
    <cellStyle name="Style 94 2 2 6 2" xfId="29319" xr:uid="{6C31EC31-8E79-4EF9-B0AE-2A1653325D79}"/>
    <cellStyle name="Style 94 2 3" xfId="5189" xr:uid="{7B5D82BA-62D9-4724-B289-6491FD4975BD}"/>
    <cellStyle name="Style 94 2 3 2" xfId="13478" xr:uid="{87F95D2D-D8C7-48C2-B844-6DBB84754045}"/>
    <cellStyle name="Style 94 2 3 2 2" xfId="29320" xr:uid="{D03D6008-AFCF-4B67-9A4D-728DAC17DEEF}"/>
    <cellStyle name="Style 94 2 3 3" xfId="13479" xr:uid="{A2DE14AA-4E1D-420D-AA4E-E9CF7695D23A}"/>
    <cellStyle name="Style 94 2 3 3 2" xfId="29321" xr:uid="{47E4EE76-B09F-4143-8E6B-A1DC3BFA8A02}"/>
    <cellStyle name="Style 94 2 3 4" xfId="13480" xr:uid="{FFE04B0D-3AC9-48F6-95B7-6F83B156D187}"/>
    <cellStyle name="Style 94 2 3 4 2" xfId="29322" xr:uid="{1CB395B2-49A6-4EF6-A2A7-09B23CB959F3}"/>
    <cellStyle name="Style 94 2 4" xfId="13481" xr:uid="{7F7ED420-0177-4DED-AAE9-C3C586FAD150}"/>
    <cellStyle name="Style 94 2 4 2" xfId="13482" xr:uid="{B8FF3CA3-F57C-4146-BEB2-DBA28A17426E}"/>
    <cellStyle name="Style 94 2 4 2 2" xfId="29324" xr:uid="{72B05934-B726-4E1E-8E74-10EC327ED410}"/>
    <cellStyle name="Style 94 2 4 3" xfId="29323" xr:uid="{862BCA3F-7465-4AC0-AA79-3E7FE7DAD35E}"/>
    <cellStyle name="Style 94 2 5" xfId="13483" xr:uid="{E2FF6DBB-6D10-4B7F-BA06-AD83D29039DC}"/>
    <cellStyle name="Style 94 2 5 2" xfId="13484" xr:uid="{F917065C-F9D8-4E2A-A715-141CAF07C021}"/>
    <cellStyle name="Style 94 2 5 2 2" xfId="29326" xr:uid="{EE96C0C3-E078-41CF-86BE-F2CC51FAC794}"/>
    <cellStyle name="Style 94 2 5 3" xfId="29325" xr:uid="{1C559A78-DD66-4CCF-AD2C-0812AB1124B4}"/>
    <cellStyle name="Style 94 2 6" xfId="13485" xr:uid="{B7180CAB-D7AD-404D-AE52-A63D55939166}"/>
    <cellStyle name="Style 94 2 6 2" xfId="13486" xr:uid="{25BABF2C-4DB2-4670-9C2E-CD430A157DEA}"/>
    <cellStyle name="Style 94 2 6 2 2" xfId="29328" xr:uid="{CA298499-C229-4483-8630-8283A813352C}"/>
    <cellStyle name="Style 94 2 6 3" xfId="29327" xr:uid="{D4D7B9B4-E04C-4B67-B60E-14D5E8BBAC04}"/>
    <cellStyle name="Style 94 2 7" xfId="13487" xr:uid="{6684BD85-1389-40B2-B7A7-3DFD6A86637A}"/>
    <cellStyle name="Style 94 2 7 2" xfId="29329" xr:uid="{DEADE0C3-EAE0-45CB-AB9A-46BBB2BDB8F7}"/>
    <cellStyle name="Style 94 2 8" xfId="13488" xr:uid="{611099D3-9EE6-435A-A7D7-99B8F22154D7}"/>
    <cellStyle name="Style 94 2 8 2" xfId="29330" xr:uid="{FEF3812F-7F4F-4011-9070-E6A3F0305837}"/>
    <cellStyle name="Style 94 2 9" xfId="13489" xr:uid="{29830FE2-922C-4535-9825-7EEEB4491CAB}"/>
    <cellStyle name="Style 94 2 9 2" xfId="29331" xr:uid="{B1284023-E9F3-47DA-9982-69A494648B74}"/>
    <cellStyle name="Style 94 3" xfId="2382" xr:uid="{03A4F253-4026-4FFA-8506-EF5296C1B71B}"/>
    <cellStyle name="Style 94 3 10" xfId="13490" xr:uid="{DB59C2E5-31FD-41DC-9AA1-16F9740F7209}"/>
    <cellStyle name="Style 94 3 10 2" xfId="29332" xr:uid="{7FCFBE27-F3C4-46BA-8647-2F0BF188C045}"/>
    <cellStyle name="Style 94 3 11" xfId="13491" xr:uid="{A57026C5-11A2-43BA-96FC-D499555B44A6}"/>
    <cellStyle name="Style 94 3 11 2" xfId="29333" xr:uid="{F23E3AA0-E892-46FD-BBD4-BC461D476A04}"/>
    <cellStyle name="Style 94 3 12" xfId="13492" xr:uid="{323354BB-5422-4AC8-A1DE-E8E58FDDE740}"/>
    <cellStyle name="Style 94 3 12 2" xfId="29334" xr:uid="{9D5F3146-E831-425E-8C01-AF1B91873544}"/>
    <cellStyle name="Style 94 3 13" xfId="13493" xr:uid="{177B9A59-3D14-4FBE-83B8-B46B707B60C9}"/>
    <cellStyle name="Style 94 3 13 2" xfId="29335" xr:uid="{217E8C86-B19E-4C86-8BEE-764BD2F2D039}"/>
    <cellStyle name="Style 94 3 14" xfId="19238" xr:uid="{9FD830D3-DD55-42B6-86E4-6E6DC0D68052}"/>
    <cellStyle name="Style 94 3 2" xfId="2383" xr:uid="{B1491E6F-7739-4671-896D-DCA793202209}"/>
    <cellStyle name="Style 94 3 2 10" xfId="19239" xr:uid="{BE120C96-7F31-482D-8613-BB16A1F229DB}"/>
    <cellStyle name="Style 94 3 2 2" xfId="5193" xr:uid="{660A8784-02F9-46CC-86D2-4A048CA5E83E}"/>
    <cellStyle name="Style 94 3 2 2 2" xfId="13494" xr:uid="{8B06CB63-BDB4-4AFA-BE42-0D54C6209062}"/>
    <cellStyle name="Style 94 3 2 2 2 2" xfId="29336" xr:uid="{037B8962-3962-4A08-B6D3-8D69FBA3DF2E}"/>
    <cellStyle name="Style 94 3 2 2 3" xfId="13495" xr:uid="{9368E166-7E29-443D-AE6E-F8976410BADB}"/>
    <cellStyle name="Style 94 3 2 2 3 2" xfId="29337" xr:uid="{B80937D2-A5D4-4614-859E-0DF8E6F8A103}"/>
    <cellStyle name="Style 94 3 2 2 4" xfId="13496" xr:uid="{62E05E71-DC5D-4DF0-97A2-DA59E9BFC38C}"/>
    <cellStyle name="Style 94 3 2 2 4 2" xfId="29338" xr:uid="{189C3E66-811E-46AF-8FE7-45097DB1A0C6}"/>
    <cellStyle name="Style 94 3 2 3" xfId="5192" xr:uid="{CA8627FC-6C08-49E9-934E-0313AE5CD5DD}"/>
    <cellStyle name="Style 94 3 2 3 2" xfId="13497" xr:uid="{006F3276-38C3-419F-97FB-A99BF52614D1}"/>
    <cellStyle name="Style 94 3 2 3 2 2" xfId="29339" xr:uid="{932DECBA-F9F5-49BA-BE87-CAE6361ED833}"/>
    <cellStyle name="Style 94 3 2 3 3" xfId="13498" xr:uid="{F0D0E90B-5BA3-402F-A019-B9323BFAFDDF}"/>
    <cellStyle name="Style 94 3 2 3 3 2" xfId="29340" xr:uid="{70080A4F-9071-49CF-B480-F4994ED1570F}"/>
    <cellStyle name="Style 94 3 2 4" xfId="13499" xr:uid="{4DB8ED04-28DF-4A49-BB90-78B1DB5F953F}"/>
    <cellStyle name="Style 94 3 2 4 2" xfId="13500" xr:uid="{304C09E8-6D23-4F42-9255-074F4FFD3DAE}"/>
    <cellStyle name="Style 94 3 2 4 2 2" xfId="29342" xr:uid="{9A5BDC75-0E92-49A3-83C1-255E1A8A064C}"/>
    <cellStyle name="Style 94 3 2 4 3" xfId="29341" xr:uid="{799C4A1A-FD0C-4B43-98A8-DE04B0AEB002}"/>
    <cellStyle name="Style 94 3 2 5" xfId="13501" xr:uid="{22AD76C3-ACB2-4F21-8761-2CC068E7E365}"/>
    <cellStyle name="Style 94 3 2 5 2" xfId="13502" xr:uid="{462D9C93-3C93-453B-A4AE-4E2889E7E87E}"/>
    <cellStyle name="Style 94 3 2 5 2 2" xfId="29344" xr:uid="{33807D77-AE8B-47A0-9D66-39C2A588CE38}"/>
    <cellStyle name="Style 94 3 2 5 3" xfId="29343" xr:uid="{A7436204-985C-47A0-8AC8-C9F9FB8794EC}"/>
    <cellStyle name="Style 94 3 2 6" xfId="13503" xr:uid="{72F330B2-C2ED-46B9-9089-CBB77DE292AD}"/>
    <cellStyle name="Style 94 3 2 6 2" xfId="13504" xr:uid="{16F26F19-21BC-4AFE-B178-E176900BFBF3}"/>
    <cellStyle name="Style 94 3 2 6 2 2" xfId="29346" xr:uid="{55FB8DD1-75C2-4845-97A6-EE0EE499E599}"/>
    <cellStyle name="Style 94 3 2 6 3" xfId="29345" xr:uid="{2BCE6916-820A-44C4-84F9-F9CCAA651703}"/>
    <cellStyle name="Style 94 3 2 7" xfId="13505" xr:uid="{07557DF2-95C0-42D5-94BA-AC468206D059}"/>
    <cellStyle name="Style 94 3 2 7 2" xfId="29347" xr:uid="{E3CBDD04-741B-493B-AC3B-CF2CFE1D09DB}"/>
    <cellStyle name="Style 94 3 2 8" xfId="13506" xr:uid="{B9430298-5DE8-47AE-B6F4-D6DE0F181050}"/>
    <cellStyle name="Style 94 3 2 8 2" xfId="29348" xr:uid="{A27A35EE-6420-4C52-8A1C-9731352E1189}"/>
    <cellStyle name="Style 94 3 2 9" xfId="13507" xr:uid="{8A3BF489-F901-4D6B-B206-ECB2D1FDB358}"/>
    <cellStyle name="Style 94 3 2 9 2" xfId="29349" xr:uid="{0FC4E877-BB68-4032-B80C-F19219E68E8D}"/>
    <cellStyle name="Style 94 3 3" xfId="2384" xr:uid="{37C687B7-2C2B-4F75-86BA-BF9C89D39A0D}"/>
    <cellStyle name="Style 94 3 3 10" xfId="13508" xr:uid="{819A112A-0F0E-4904-BDE7-8FC2A159154D}"/>
    <cellStyle name="Style 94 3 3 10 2" xfId="29350" xr:uid="{12382D5D-F2E5-49CE-9327-659E30A6CB30}"/>
    <cellStyle name="Style 94 3 3 11" xfId="13509" xr:uid="{B715C45C-3518-45D8-AE1A-36AC370AD3A1}"/>
    <cellStyle name="Style 94 3 3 11 2" xfId="29351" xr:uid="{01F02FFD-6FF0-415C-899E-95F8428E2701}"/>
    <cellStyle name="Style 94 3 3 12" xfId="19240" xr:uid="{0DAB7831-0354-4FFB-BD5C-08D390E2748C}"/>
    <cellStyle name="Style 94 3 3 2" xfId="2385" xr:uid="{37195485-CC7F-404F-A15D-0F52A6385EA5}"/>
    <cellStyle name="Style 94 3 3 2 10" xfId="19241" xr:uid="{7BFC00A7-EF16-40EF-8FDE-E2B15CECD26F}"/>
    <cellStyle name="Style 94 3 3 2 2" xfId="5196" xr:uid="{53576332-41D6-4B9A-98E1-010D07911F2D}"/>
    <cellStyle name="Style 94 3 3 2 2 2" xfId="13510" xr:uid="{4EB4E425-0393-400D-9647-FA9A46DD9A31}"/>
    <cellStyle name="Style 94 3 3 2 2 2 2" xfId="29352" xr:uid="{227F6901-9BCB-4E0B-99EB-8642C1F88BDF}"/>
    <cellStyle name="Style 94 3 3 2 2 3" xfId="13511" xr:uid="{AD0BEF9D-9F3D-4F27-BE81-9DF7C3727BB1}"/>
    <cellStyle name="Style 94 3 3 2 2 3 2" xfId="29353" xr:uid="{2D27DD2C-D13B-4884-B8C4-47371900CE08}"/>
    <cellStyle name="Style 94 3 3 2 2 4" xfId="13512" xr:uid="{5F09DD2B-AE31-46EA-89AE-0A915613A857}"/>
    <cellStyle name="Style 94 3 3 2 2 4 2" xfId="29354" xr:uid="{6195211A-D696-4C80-8D20-8BD856489D12}"/>
    <cellStyle name="Style 94 3 3 2 3" xfId="5195" xr:uid="{E28CA51D-9C15-43B9-919D-D09EFD0BF699}"/>
    <cellStyle name="Style 94 3 3 2 3 2" xfId="13513" xr:uid="{36DE2AAD-8643-4099-99A7-B5071E20AABD}"/>
    <cellStyle name="Style 94 3 3 2 3 2 2" xfId="29355" xr:uid="{8D6FEA10-5EE6-4F02-8CDA-5468BDB5FEC6}"/>
    <cellStyle name="Style 94 3 3 2 3 3" xfId="13514" xr:uid="{1C110249-CDC8-44A2-BB52-A06317EC155C}"/>
    <cellStyle name="Style 94 3 3 2 3 3 2" xfId="29356" xr:uid="{FAB58CED-DC59-4662-8DA8-FB6256F4E1C6}"/>
    <cellStyle name="Style 94 3 3 2 4" xfId="13515" xr:uid="{2D7EF286-05ED-4C6E-AAC8-BE2DB7BE47A4}"/>
    <cellStyle name="Style 94 3 3 2 4 2" xfId="13516" xr:uid="{C0E0BD64-ED2A-45A8-BB8D-C8B80F0339BB}"/>
    <cellStyle name="Style 94 3 3 2 4 2 2" xfId="29358" xr:uid="{299AFDBD-48CC-46BD-B96A-8093B8ADF425}"/>
    <cellStyle name="Style 94 3 3 2 4 3" xfId="29357" xr:uid="{46024540-5E30-4525-B402-9F3CFAB2F800}"/>
    <cellStyle name="Style 94 3 3 2 5" xfId="13517" xr:uid="{CF68B5E8-E962-496D-96BF-45CE82058EBD}"/>
    <cellStyle name="Style 94 3 3 2 5 2" xfId="13518" xr:uid="{A78F6728-448B-4212-8551-AE60244A28B1}"/>
    <cellStyle name="Style 94 3 3 2 5 2 2" xfId="29360" xr:uid="{F92D379A-F736-4304-AF3D-180F9292F73D}"/>
    <cellStyle name="Style 94 3 3 2 5 3" xfId="29359" xr:uid="{51BE4C66-4106-4331-8509-B7395E885D2A}"/>
    <cellStyle name="Style 94 3 3 2 6" xfId="13519" xr:uid="{269A738A-0DFF-4584-A900-4FCDF719F48D}"/>
    <cellStyle name="Style 94 3 3 2 6 2" xfId="13520" xr:uid="{7B228EE6-2F33-42A8-80F6-F0339717BFA8}"/>
    <cellStyle name="Style 94 3 3 2 6 2 2" xfId="29362" xr:uid="{FA1FD14E-7374-4CAE-B5D1-899AF428E526}"/>
    <cellStyle name="Style 94 3 3 2 6 3" xfId="29361" xr:uid="{153AD71F-67B0-4A18-85EC-D70D9BE3EB47}"/>
    <cellStyle name="Style 94 3 3 2 7" xfId="13521" xr:uid="{2ADDC55C-4E5C-44DD-90E4-563F478F1F2C}"/>
    <cellStyle name="Style 94 3 3 2 7 2" xfId="29363" xr:uid="{74EFBCA8-D4A3-4DC1-BAAE-6910B2102020}"/>
    <cellStyle name="Style 94 3 3 2 8" xfId="13522" xr:uid="{7888947B-118F-4227-B28D-3655A4A454CA}"/>
    <cellStyle name="Style 94 3 3 2 8 2" xfId="29364" xr:uid="{920CD99B-2AC4-4CCD-89FA-6EAF2E782D4B}"/>
    <cellStyle name="Style 94 3 3 2 9" xfId="13523" xr:uid="{4857ACBE-0AA2-48FD-B1DD-2B1FD6D42A4E}"/>
    <cellStyle name="Style 94 3 3 2 9 2" xfId="29365" xr:uid="{5C18BA19-A65D-41B0-A9F0-7E85C5A60AAD}"/>
    <cellStyle name="Style 94 3 3 3" xfId="5197" xr:uid="{8F4F95B2-C3FE-4A7C-9683-3D27A7D3B6EB}"/>
    <cellStyle name="Style 94 3 3 3 2" xfId="5198" xr:uid="{7A82E164-2E68-4707-B76F-3D9AE4C9D978}"/>
    <cellStyle name="Style 94 3 3 3 2 2" xfId="13524" xr:uid="{90BD654A-E323-4087-8BA7-0267FC9FCDAE}"/>
    <cellStyle name="Style 94 3 3 3 2 2 2" xfId="29366" xr:uid="{DF33E749-E503-40DA-831E-5A61146C396B}"/>
    <cellStyle name="Style 94 3 3 3 2 3" xfId="13525" xr:uid="{16C0B28D-33C4-4D78-B5F1-676AF7203C03}"/>
    <cellStyle name="Style 94 3 3 3 2 3 2" xfId="29367" xr:uid="{45E85BF9-B27B-4FE1-A3C6-159BB3CFC951}"/>
    <cellStyle name="Style 94 3 3 3 3" xfId="13526" xr:uid="{0C24BDFC-DBD3-41EC-B60D-84C88ABB20BF}"/>
    <cellStyle name="Style 94 3 3 3 3 2" xfId="29368" xr:uid="{59732FB0-DCDD-4D7A-9AF1-83AE423F6A81}"/>
    <cellStyle name="Style 94 3 3 3 4" xfId="13527" xr:uid="{44E765E5-71D0-44AD-8E4B-8BF703C43564}"/>
    <cellStyle name="Style 94 3 3 3 4 2" xfId="29369" xr:uid="{CE75F660-7CAF-49EF-A5AF-C68F109E1C55}"/>
    <cellStyle name="Style 94 3 3 3 5" xfId="13528" xr:uid="{18F78DA8-E872-43F1-B842-861AF43C9DEC}"/>
    <cellStyle name="Style 94 3 3 3 5 2" xfId="29370" xr:uid="{92CFB1C4-A16A-4EF5-BE40-EAE4996CD170}"/>
    <cellStyle name="Style 94 3 3 3 6" xfId="13529" xr:uid="{8351A51F-955C-414A-A763-1F4047BDA3DA}"/>
    <cellStyle name="Style 94 3 3 3 6 2" xfId="29371" xr:uid="{A803DF7E-3114-4A1E-BE17-3BC25B15E499}"/>
    <cellStyle name="Style 94 3 3 3 7" xfId="19242" xr:uid="{0E09499E-3F2E-4FA0-8A95-40715EAA0F0D}"/>
    <cellStyle name="Style 94 3 3 4" xfId="5199" xr:uid="{4A0C8E4D-5E5F-4034-8AD2-9F40B1AE97F2}"/>
    <cellStyle name="Style 94 3 3 4 2" xfId="13530" xr:uid="{7CEADD54-4167-4876-A6FD-0BEEBC7CBCE2}"/>
    <cellStyle name="Style 94 3 3 4 2 2" xfId="29372" xr:uid="{009B17B9-BBB4-46F4-BFA2-F19A170546E0}"/>
    <cellStyle name="Style 94 3 3 4 3" xfId="13531" xr:uid="{EA513681-06B2-4115-9E8B-CF7802789CEF}"/>
    <cellStyle name="Style 94 3 3 4 3 2" xfId="29373" xr:uid="{4E2F057B-AF92-45E7-B118-3D83D895511B}"/>
    <cellStyle name="Style 94 3 3 4 4" xfId="13532" xr:uid="{7E5AFB93-281B-44B9-BF81-87CCE11A6970}"/>
    <cellStyle name="Style 94 3 3 4 4 2" xfId="29374" xr:uid="{4667C33B-3C7C-45A1-8CD4-106C65F8D3EE}"/>
    <cellStyle name="Style 94 3 3 5" xfId="5200" xr:uid="{39AAEEEF-85A4-40E2-936D-CEBDD2ACC5B7}"/>
    <cellStyle name="Style 94 3 3 5 2" xfId="13533" xr:uid="{1574736A-A08E-4EF0-959D-F79DF75E4B2E}"/>
    <cellStyle name="Style 94 3 3 5 2 2" xfId="29375" xr:uid="{21ED3838-0DA5-4B34-AF39-FD21C371C04A}"/>
    <cellStyle name="Style 94 3 3 5 3" xfId="13534" xr:uid="{B082A526-A08F-4609-9797-E5CDC4B2EAE2}"/>
    <cellStyle name="Style 94 3 3 5 3 2" xfId="29376" xr:uid="{5F85AF46-C54C-468E-8450-E2F0488AD8F8}"/>
    <cellStyle name="Style 94 3 3 6" xfId="5194" xr:uid="{74927BB6-01EF-4C7A-9C5E-9A4ADECED8E8}"/>
    <cellStyle name="Style 94 3 3 6 2" xfId="13535" xr:uid="{6645AC4E-6CB6-41DB-8323-219C197AA4E2}"/>
    <cellStyle name="Style 94 3 3 6 2 2" xfId="29377" xr:uid="{9A7FE220-F823-4AEC-B5FB-A639DCE411F1}"/>
    <cellStyle name="Style 94 3 3 6 3" xfId="13536" xr:uid="{AD2275E9-D247-4CF4-A4A1-CD521097844F}"/>
    <cellStyle name="Style 94 3 3 6 3 2" xfId="29378" xr:uid="{DB31F049-DA95-456B-8413-D849679DADF0}"/>
    <cellStyle name="Style 94 3 3 7" xfId="13537" xr:uid="{4C95369D-DA97-424B-A6D2-158A8A6D0CFC}"/>
    <cellStyle name="Style 94 3 3 7 2" xfId="13538" xr:uid="{1144D854-043E-4A9F-9AC7-64C5947E5159}"/>
    <cellStyle name="Style 94 3 3 7 2 2" xfId="29380" xr:uid="{5C46D0AA-F9A3-4503-B5EF-CA00AD3BC95C}"/>
    <cellStyle name="Style 94 3 3 7 3" xfId="29379" xr:uid="{80198DB3-E914-4D24-8373-2B18AA59823E}"/>
    <cellStyle name="Style 94 3 3 8" xfId="13539" xr:uid="{A4780189-9F12-40E8-BB5D-D630339B11A5}"/>
    <cellStyle name="Style 94 3 3 8 2" xfId="29381" xr:uid="{618FA22C-A7FC-48C3-B4B2-9A3D77C85727}"/>
    <cellStyle name="Style 94 3 3 9" xfId="13540" xr:uid="{3163FECF-C1B9-4920-BE4B-48AEA1EA4B3B}"/>
    <cellStyle name="Style 94 3 3 9 2" xfId="29382" xr:uid="{DF41A63B-F985-4501-92A0-6CD39CEAB0B6}"/>
    <cellStyle name="Style 94 3 4" xfId="2386" xr:uid="{1A59A717-7C9F-4E07-9610-A17C7B294D67}"/>
    <cellStyle name="Style 94 3 4 10" xfId="13541" xr:uid="{E8393FF3-C27C-4C93-9E80-9C95C065FF29}"/>
    <cellStyle name="Style 94 3 4 10 2" xfId="29383" xr:uid="{4B5C3464-9759-4B84-B84B-696012AFA4D9}"/>
    <cellStyle name="Style 94 3 4 11" xfId="19243" xr:uid="{AD23C7F9-CE45-43D6-8C06-FE19C9D01D01}"/>
    <cellStyle name="Style 94 3 4 2" xfId="2387" xr:uid="{FB4D146C-0CB9-474F-91A6-6FF580B6D4F1}"/>
    <cellStyle name="Style 94 3 4 2 10" xfId="19244" xr:uid="{2C00E6D0-AB58-4138-A05E-F1D18801B93D}"/>
    <cellStyle name="Style 94 3 4 2 2" xfId="5203" xr:uid="{F775AE73-D6FA-4BA8-82E4-8B3FE51FBAB6}"/>
    <cellStyle name="Style 94 3 4 2 2 2" xfId="13542" xr:uid="{579752A2-3700-42CD-ACAF-E58E75010ED1}"/>
    <cellStyle name="Style 94 3 4 2 2 2 2" xfId="29384" xr:uid="{85E27116-6E03-4C91-AB69-8743ABB9BBE9}"/>
    <cellStyle name="Style 94 3 4 2 2 3" xfId="13543" xr:uid="{013C2AB7-DB99-4836-95E0-3DFAEB62601B}"/>
    <cellStyle name="Style 94 3 4 2 2 3 2" xfId="29385" xr:uid="{806CDF1E-198B-419A-A256-E833422890E9}"/>
    <cellStyle name="Style 94 3 4 2 2 4" xfId="13544" xr:uid="{ABCEC1E0-89C0-4B08-AB6D-2B5B352A2287}"/>
    <cellStyle name="Style 94 3 4 2 2 4 2" xfId="29386" xr:uid="{AF61536C-1D23-45B5-8AF5-D8BCA083F563}"/>
    <cellStyle name="Style 94 3 4 2 3" xfId="5202" xr:uid="{F245AA40-22AE-4A14-A98B-EA72F65CEBE6}"/>
    <cellStyle name="Style 94 3 4 2 3 2" xfId="13545" xr:uid="{D91A0B54-2686-482A-A2F3-DAC8CEB2A017}"/>
    <cellStyle name="Style 94 3 4 2 3 2 2" xfId="29387" xr:uid="{44701C20-3907-4B55-9B79-D376A52BB1E1}"/>
    <cellStyle name="Style 94 3 4 2 3 3" xfId="13546" xr:uid="{5CEA0A0B-7685-4D21-A7C9-6D31030F27EA}"/>
    <cellStyle name="Style 94 3 4 2 3 3 2" xfId="29388" xr:uid="{38BD93BB-14D2-4202-8E1C-8EEB83A0A823}"/>
    <cellStyle name="Style 94 3 4 2 4" xfId="13547" xr:uid="{B93C7112-A4F4-4C63-B728-75EA4BC54EED}"/>
    <cellStyle name="Style 94 3 4 2 4 2" xfId="13548" xr:uid="{A87FB289-B5BC-49A8-8AD5-285E0F97BBA5}"/>
    <cellStyle name="Style 94 3 4 2 4 2 2" xfId="29390" xr:uid="{56FEE272-554F-44F2-995E-768315803C83}"/>
    <cellStyle name="Style 94 3 4 2 4 3" xfId="29389" xr:uid="{BBA48CA7-D187-430A-A3EB-9ADF2A1E3870}"/>
    <cellStyle name="Style 94 3 4 2 5" xfId="13549" xr:uid="{67F0BFDB-D572-4B55-9B0F-2B4C00F92AB6}"/>
    <cellStyle name="Style 94 3 4 2 5 2" xfId="13550" xr:uid="{E7426609-0419-4E4F-B563-631C4FA48A83}"/>
    <cellStyle name="Style 94 3 4 2 5 2 2" xfId="29392" xr:uid="{AAD5D02E-6A99-428E-A07E-A5BECB944AFF}"/>
    <cellStyle name="Style 94 3 4 2 5 3" xfId="29391" xr:uid="{71BC253B-1163-4E32-B483-8EBCA6941601}"/>
    <cellStyle name="Style 94 3 4 2 6" xfId="13551" xr:uid="{E7A92573-2152-43CE-B578-015FF76AB56D}"/>
    <cellStyle name="Style 94 3 4 2 6 2" xfId="13552" xr:uid="{E056E021-4BC3-434E-B210-EC0D434BAFA2}"/>
    <cellStyle name="Style 94 3 4 2 6 2 2" xfId="29394" xr:uid="{70EF3FE1-E816-4F70-B72F-5EDC2F64B228}"/>
    <cellStyle name="Style 94 3 4 2 6 3" xfId="29393" xr:uid="{A961893B-1A1F-455D-BA37-2ABB5EA8139E}"/>
    <cellStyle name="Style 94 3 4 2 7" xfId="13553" xr:uid="{7649EB50-ECE7-4561-8340-EDC6F01303CD}"/>
    <cellStyle name="Style 94 3 4 2 7 2" xfId="29395" xr:uid="{4D02F76D-91C2-446E-A554-8433B09BB00C}"/>
    <cellStyle name="Style 94 3 4 2 8" xfId="13554" xr:uid="{28670F2B-1F36-408C-B189-A7B699084E8B}"/>
    <cellStyle name="Style 94 3 4 2 8 2" xfId="29396" xr:uid="{F1B7400C-ACEB-433F-8AAD-B7EB7E79BE50}"/>
    <cellStyle name="Style 94 3 4 2 9" xfId="13555" xr:uid="{8AE86E16-4542-47FA-9F7A-F3BDAF66F77C}"/>
    <cellStyle name="Style 94 3 4 2 9 2" xfId="29397" xr:uid="{0A03B180-3C69-4686-AB98-ABEF475CB6D3}"/>
    <cellStyle name="Style 94 3 4 3" xfId="5204" xr:uid="{08EBD679-A92D-4CC1-8511-0BE487FBF979}"/>
    <cellStyle name="Style 94 3 4 3 2" xfId="13556" xr:uid="{003636BD-A9D1-4B4C-A149-4939BAD6EE72}"/>
    <cellStyle name="Style 94 3 4 3 2 2" xfId="29398" xr:uid="{96AC5F52-D6E4-41D9-A9C2-CA291C1C84BB}"/>
    <cellStyle name="Style 94 3 4 3 3" xfId="13557" xr:uid="{955FFD74-4343-4335-8631-1F949CC1F8AE}"/>
    <cellStyle name="Style 94 3 4 3 3 2" xfId="29399" xr:uid="{EF01E1A2-C988-418E-BBFC-398DCB992146}"/>
    <cellStyle name="Style 94 3 4 3 4" xfId="13558" xr:uid="{B1BF72F5-4FF4-4544-8E45-096567EA3E18}"/>
    <cellStyle name="Style 94 3 4 3 4 2" xfId="29400" xr:uid="{7EFA2B6D-5739-4684-9A3D-35F6A4D546C5}"/>
    <cellStyle name="Style 94 3 4 4" xfId="5201" xr:uid="{E0E81878-CEED-4393-8427-3C889B229ABA}"/>
    <cellStyle name="Style 94 3 4 4 2" xfId="13559" xr:uid="{B6C905F5-5155-4660-8F63-74A98B6B3ADA}"/>
    <cellStyle name="Style 94 3 4 4 2 2" xfId="29401" xr:uid="{F82657B5-F2D4-4944-AFFC-43943FFEF70D}"/>
    <cellStyle name="Style 94 3 4 4 3" xfId="13560" xr:uid="{A056FEC2-9821-4596-9227-986CBCBF4ECD}"/>
    <cellStyle name="Style 94 3 4 4 3 2" xfId="29402" xr:uid="{EC900CD8-D5AC-4CC8-B0B8-135E00D3291E}"/>
    <cellStyle name="Style 94 3 4 5" xfId="13561" xr:uid="{96DEBFE8-CDAF-46C3-8985-DD2C2900F2E3}"/>
    <cellStyle name="Style 94 3 4 5 2" xfId="13562" xr:uid="{F799FF12-1C1E-4235-8F91-3DBF38383B66}"/>
    <cellStyle name="Style 94 3 4 5 2 2" xfId="29404" xr:uid="{C77FF9B9-A022-4034-92EF-27F2A1003FED}"/>
    <cellStyle name="Style 94 3 4 5 3" xfId="29403" xr:uid="{977161D7-D49A-450D-9895-0C87EB5FE12A}"/>
    <cellStyle name="Style 94 3 4 6" xfId="13563" xr:uid="{F75E2E13-8881-40DF-B85F-0501F7E0E343}"/>
    <cellStyle name="Style 94 3 4 6 2" xfId="13564" xr:uid="{77262038-A5B7-471F-8CB8-959EB911C6EC}"/>
    <cellStyle name="Style 94 3 4 6 2 2" xfId="29406" xr:uid="{9BE990EE-ECB7-4591-9EDE-412578CACDE8}"/>
    <cellStyle name="Style 94 3 4 6 3" xfId="29405" xr:uid="{EEC627E7-9E7D-4D60-BA38-3F70443B03F8}"/>
    <cellStyle name="Style 94 3 4 7" xfId="13565" xr:uid="{153AC6A2-772A-4406-B7C3-B536C8C8721A}"/>
    <cellStyle name="Style 94 3 4 7 2" xfId="13566" xr:uid="{DAF77811-3E73-4E3B-B0C8-72DA43F18DAA}"/>
    <cellStyle name="Style 94 3 4 7 2 2" xfId="29408" xr:uid="{AC499264-C468-4A4C-9EC6-8839FEDC4E42}"/>
    <cellStyle name="Style 94 3 4 7 3" xfId="29407" xr:uid="{0F57F8FC-22F4-49EA-AC61-A71C1737A10D}"/>
    <cellStyle name="Style 94 3 4 8" xfId="13567" xr:uid="{6D6D3610-28A5-41A2-931F-144C21C4D0BE}"/>
    <cellStyle name="Style 94 3 4 8 2" xfId="29409" xr:uid="{E78DF1DC-1A88-418C-B8D0-DC849EBFCECA}"/>
    <cellStyle name="Style 94 3 4 9" xfId="13568" xr:uid="{998EE416-4B98-409D-9F0B-B6E4E2590ED1}"/>
    <cellStyle name="Style 94 3 4 9 2" xfId="29410" xr:uid="{525DEB51-7C45-477E-A119-BAB68EEA4C1D}"/>
    <cellStyle name="Style 94 3 5" xfId="5205" xr:uid="{E1D1D099-5E4D-40AA-A32D-C5BAA23B357A}"/>
    <cellStyle name="Style 94 3 5 2" xfId="13569" xr:uid="{67BE9617-12ED-42ED-A075-C3CF2DF471AD}"/>
    <cellStyle name="Style 94 3 5 2 2" xfId="13570" xr:uid="{9BCA1A36-109C-43EF-8DB4-55F66A8F3FD7}"/>
    <cellStyle name="Style 94 3 5 2 2 2" xfId="29412" xr:uid="{76ECD32E-23E4-491C-B31F-4E94646382E0}"/>
    <cellStyle name="Style 94 3 5 2 3" xfId="29411" xr:uid="{74E2310A-98DF-4F4B-BF27-B05EDA63755D}"/>
    <cellStyle name="Style 94 3 5 3" xfId="13571" xr:uid="{64432DBB-83EE-4D09-B05A-63CDF751315B}"/>
    <cellStyle name="Style 94 3 5 3 2" xfId="29413" xr:uid="{DCFBE90E-BB48-4BAA-B527-65852F0FFBFC}"/>
    <cellStyle name="Style 94 3 5 4" xfId="13572" xr:uid="{2CE647D9-48B5-453A-990E-FFC398155FDF}"/>
    <cellStyle name="Style 94 3 5 4 2" xfId="29414" xr:uid="{82626320-7F64-4ACA-959E-C7FE305E5151}"/>
    <cellStyle name="Style 94 3 5 5" xfId="13573" xr:uid="{DCA8A945-EF2F-4F2E-9217-853336139CA0}"/>
    <cellStyle name="Style 94 3 5 5 2" xfId="29415" xr:uid="{EA159145-CA9B-42D0-811C-1FFC7D7E832A}"/>
    <cellStyle name="Style 94 3 5 6" xfId="13574" xr:uid="{B6DF99C1-FC03-4308-8F07-0736A9BD44BD}"/>
    <cellStyle name="Style 94 3 5 6 2" xfId="29416" xr:uid="{95838C3F-EEC5-4D0C-B8C5-057D4C280ADC}"/>
    <cellStyle name="Style 94 3 6" xfId="5206" xr:uid="{43BC2E20-403E-46CE-9E53-4FA42C825D9B}"/>
    <cellStyle name="Style 94 3 6 2" xfId="13575" xr:uid="{65E77CE8-2DCC-4DBE-A0A0-05722C68A4FC}"/>
    <cellStyle name="Style 94 3 6 2 2" xfId="29417" xr:uid="{2AFD8849-6969-48D3-BE07-24B5FA18B5F5}"/>
    <cellStyle name="Style 94 3 6 3" xfId="13576" xr:uid="{3066A707-4B67-4812-91D5-5125911F9B80}"/>
    <cellStyle name="Style 94 3 6 3 2" xfId="29418" xr:uid="{903DA3EF-6D1E-4BC4-9921-140C092A4B5C}"/>
    <cellStyle name="Style 94 3 6 4" xfId="13577" xr:uid="{BA1F3719-8B8F-432A-AE62-B55B027E906D}"/>
    <cellStyle name="Style 94 3 6 4 2" xfId="29419" xr:uid="{60D56A44-6B0F-4608-ABB3-FA6BF07F541A}"/>
    <cellStyle name="Style 94 3 7" xfId="5191" xr:uid="{C1BD3162-1E25-43C5-B2CD-FBF0754B1646}"/>
    <cellStyle name="Style 94 3 7 2" xfId="13578" xr:uid="{1EF14E49-37B4-410D-99E7-D3C1DEB644C1}"/>
    <cellStyle name="Style 94 3 7 2 2" xfId="29420" xr:uid="{6670827E-48A2-472F-8044-73CB0EE3C4C1}"/>
    <cellStyle name="Style 94 3 7 3" xfId="13579" xr:uid="{498D57CB-B3F5-428B-9C91-75B24A069A20}"/>
    <cellStyle name="Style 94 3 7 3 2" xfId="29421" xr:uid="{B823A266-24D1-4658-B954-B564D2803EA4}"/>
    <cellStyle name="Style 94 3 8" xfId="13580" xr:uid="{4ED98979-3399-4AED-8508-EBF452D8B4C0}"/>
    <cellStyle name="Style 94 3 8 2" xfId="13581" xr:uid="{802C49B6-2D43-45F3-8D3B-6075B63F8A33}"/>
    <cellStyle name="Style 94 3 8 2 2" xfId="29423" xr:uid="{5EF1B312-A20D-464E-9435-AD6920AD5252}"/>
    <cellStyle name="Style 94 3 8 3" xfId="29422" xr:uid="{A3895051-967C-4529-A1B8-B09D663D4E72}"/>
    <cellStyle name="Style 94 3 9" xfId="13582" xr:uid="{9EA438C5-4FFA-47E1-96AF-41366594BD1B}"/>
    <cellStyle name="Style 94 3 9 2" xfId="13583" xr:uid="{83737ED7-BAA3-4DF8-8F79-6536EFC8406D}"/>
    <cellStyle name="Style 94 3 9 2 2" xfId="29425" xr:uid="{59E93693-7C22-48DD-8A6D-581D91FEC5AD}"/>
    <cellStyle name="Style 94 3 9 3" xfId="29424" xr:uid="{C0BEFE73-CD92-4B21-A7E8-8A39D73F73EF}"/>
    <cellStyle name="Style 94 4" xfId="2388" xr:uid="{9FA7A184-3629-4B4B-8020-F5F612C63C2C}"/>
    <cellStyle name="Style 94 4 10" xfId="13584" xr:uid="{0E4F009F-BE78-4733-8ED2-EA5375747662}"/>
    <cellStyle name="Style 94 4 10 2" xfId="29426" xr:uid="{C317E4A5-8FBE-48B8-BA45-59E26238A689}"/>
    <cellStyle name="Style 94 4 11" xfId="13585" xr:uid="{68A476B0-1493-4760-93AD-36363E11C8C3}"/>
    <cellStyle name="Style 94 4 11 2" xfId="29427" xr:uid="{9FD0BD66-640D-4ADC-8108-B3F5F82A5CB7}"/>
    <cellStyle name="Style 94 4 12" xfId="19245" xr:uid="{B815AFED-4682-4278-96E2-22183CDF5C58}"/>
    <cellStyle name="Style 94 4 2" xfId="2389" xr:uid="{D731236C-DE1B-45B1-90BA-EDE73FD874EE}"/>
    <cellStyle name="Style 94 4 2 10" xfId="19246" xr:uid="{4CC9E38E-29BC-46C5-AAAB-62D6A83EDAB3}"/>
    <cellStyle name="Style 94 4 2 2" xfId="5209" xr:uid="{32ADDD32-076E-41E6-B625-B0A5327FE5C2}"/>
    <cellStyle name="Style 94 4 2 2 2" xfId="13586" xr:uid="{1096C089-6784-43E9-AEDB-258F1A3AFD01}"/>
    <cellStyle name="Style 94 4 2 2 2 2" xfId="29428" xr:uid="{C6229B05-26A3-45B2-8347-C9F25CAF5B37}"/>
    <cellStyle name="Style 94 4 2 2 3" xfId="13587" xr:uid="{ED6F782A-E5C2-4EC8-BECA-366CCCE39DAB}"/>
    <cellStyle name="Style 94 4 2 2 3 2" xfId="29429" xr:uid="{51EC24F4-7193-4F04-86D7-BFB883797152}"/>
    <cellStyle name="Style 94 4 2 2 4" xfId="13588" xr:uid="{35987651-39F6-49A9-A8EA-6B135863D6A2}"/>
    <cellStyle name="Style 94 4 2 2 4 2" xfId="29430" xr:uid="{81428C13-0C21-41FD-AB6B-A75F3B6F9E9F}"/>
    <cellStyle name="Style 94 4 2 3" xfId="5208" xr:uid="{594B2A1A-DA29-47C3-ABD2-A27CBB26FCF9}"/>
    <cellStyle name="Style 94 4 2 3 2" xfId="13589" xr:uid="{45222978-D795-4705-8A1E-DB8AECCB663F}"/>
    <cellStyle name="Style 94 4 2 3 2 2" xfId="29431" xr:uid="{8E5B6847-ECD8-4F41-9F55-D0FE697BBDB7}"/>
    <cellStyle name="Style 94 4 2 3 3" xfId="13590" xr:uid="{284C61C5-0F31-4E5C-8A6C-B4E53B741FFE}"/>
    <cellStyle name="Style 94 4 2 3 3 2" xfId="29432" xr:uid="{FDEBF7F9-3A69-4B85-A046-14F43CFC205D}"/>
    <cellStyle name="Style 94 4 2 4" xfId="13591" xr:uid="{81A789F4-A2B5-4F72-B602-9FCCD46C1F12}"/>
    <cellStyle name="Style 94 4 2 4 2" xfId="13592" xr:uid="{B008F7ED-8751-4018-96EC-1F82741DA285}"/>
    <cellStyle name="Style 94 4 2 4 2 2" xfId="29434" xr:uid="{22966F81-D3A4-4617-B770-BA804A26421B}"/>
    <cellStyle name="Style 94 4 2 4 3" xfId="29433" xr:uid="{3408C489-2FC9-4DC3-BE91-74ECE7DF4DDB}"/>
    <cellStyle name="Style 94 4 2 5" xfId="13593" xr:uid="{3105C990-A8E5-4B77-8645-B04ED9A59C31}"/>
    <cellStyle name="Style 94 4 2 5 2" xfId="13594" xr:uid="{AD5B52D4-D8DD-45F2-A14D-112648EA12A9}"/>
    <cellStyle name="Style 94 4 2 5 2 2" xfId="29436" xr:uid="{246B5679-EEC3-4D91-80FC-472A060D46DB}"/>
    <cellStyle name="Style 94 4 2 5 3" xfId="29435" xr:uid="{EBAD9092-CFBE-4515-9CED-3D1136635931}"/>
    <cellStyle name="Style 94 4 2 6" xfId="13595" xr:uid="{A36CB17D-95D2-4804-A955-34DCF1F57DCC}"/>
    <cellStyle name="Style 94 4 2 6 2" xfId="13596" xr:uid="{C859DD53-90FA-404A-AAE3-69F51235D13D}"/>
    <cellStyle name="Style 94 4 2 6 2 2" xfId="29438" xr:uid="{DE2BD926-EB79-448D-91FE-97FD1A24FC54}"/>
    <cellStyle name="Style 94 4 2 6 3" xfId="29437" xr:uid="{E4C5C65C-FE7C-4EA7-B1BE-99C10F0A07EB}"/>
    <cellStyle name="Style 94 4 2 7" xfId="13597" xr:uid="{34B5FFFA-7E0A-4343-A440-BD7757E5F32B}"/>
    <cellStyle name="Style 94 4 2 7 2" xfId="29439" xr:uid="{BCC90691-C332-499F-93AE-DA9DE494AD18}"/>
    <cellStyle name="Style 94 4 2 8" xfId="13598" xr:uid="{82D4220E-492B-43A5-B42B-FB850B469B2D}"/>
    <cellStyle name="Style 94 4 2 8 2" xfId="29440" xr:uid="{254924C7-43C1-4CC3-A1DA-1FD0B3199D64}"/>
    <cellStyle name="Style 94 4 2 9" xfId="13599" xr:uid="{27486F02-39AB-4D0E-88FA-1F36C37CFB1F}"/>
    <cellStyle name="Style 94 4 2 9 2" xfId="29441" xr:uid="{97CC4DD1-A820-4937-BDF0-D438184B2008}"/>
    <cellStyle name="Style 94 4 3" xfId="5210" xr:uid="{22D2EE79-261A-447A-A736-75214C247FEE}"/>
    <cellStyle name="Style 94 4 3 2" xfId="5211" xr:uid="{12C970BD-0000-48B2-AD58-600B80E5475C}"/>
    <cellStyle name="Style 94 4 3 2 2" xfId="13600" xr:uid="{35EF7BE7-8914-4ACE-BFB1-4E53AA9F38FB}"/>
    <cellStyle name="Style 94 4 3 2 2 2" xfId="29442" xr:uid="{66E365E8-0C4F-4B83-86DF-3FA2D67398C5}"/>
    <cellStyle name="Style 94 4 3 2 3" xfId="13601" xr:uid="{37342C89-E426-436B-9698-8FD56B0E7D3D}"/>
    <cellStyle name="Style 94 4 3 2 3 2" xfId="29443" xr:uid="{89F88645-6FE9-4958-81C1-BB4D1DA858A7}"/>
    <cellStyle name="Style 94 4 3 3" xfId="13602" xr:uid="{229DA414-0149-4A11-B38D-B5CE20178263}"/>
    <cellStyle name="Style 94 4 3 3 2" xfId="29444" xr:uid="{892349F2-A59D-4C50-8DE5-5926E1586F7E}"/>
    <cellStyle name="Style 94 4 3 4" xfId="13603" xr:uid="{4B0C9D45-3BCE-4FE7-95CA-AADB426F8B96}"/>
    <cellStyle name="Style 94 4 3 4 2" xfId="29445" xr:uid="{79D55EF4-9142-4F67-B735-E55E16EB7407}"/>
    <cellStyle name="Style 94 4 3 5" xfId="13604" xr:uid="{2D072916-6865-4EDD-87F6-A51B3445185A}"/>
    <cellStyle name="Style 94 4 3 5 2" xfId="29446" xr:uid="{CE5A8587-AB72-494C-BD42-1E3E8CD0B70A}"/>
    <cellStyle name="Style 94 4 3 6" xfId="13605" xr:uid="{A12B6027-1465-4CA6-B5BD-F6A8EB667398}"/>
    <cellStyle name="Style 94 4 3 6 2" xfId="29447" xr:uid="{4BFEB81A-BA70-41F4-B0FD-4D328C27C17D}"/>
    <cellStyle name="Style 94 4 3 7" xfId="19247" xr:uid="{53B62241-B1F2-4B0F-918A-1A82F8D68AC4}"/>
    <cellStyle name="Style 94 4 4" xfId="5212" xr:uid="{82FAE69C-76B2-4E25-9AE9-AA69AEBAE894}"/>
    <cellStyle name="Style 94 4 4 2" xfId="13606" xr:uid="{16E8085A-74F3-4CCD-AB7B-D7D6C271AB18}"/>
    <cellStyle name="Style 94 4 4 2 2" xfId="29448" xr:uid="{525D31E7-5587-4C06-8C88-AF5C9F0DCA74}"/>
    <cellStyle name="Style 94 4 4 3" xfId="13607" xr:uid="{28113B3A-FA05-454C-815E-EFEAB55C467C}"/>
    <cellStyle name="Style 94 4 4 3 2" xfId="29449" xr:uid="{2FE3A58B-B29D-4090-8DA2-C0A172FC4AB9}"/>
    <cellStyle name="Style 94 4 4 4" xfId="13608" xr:uid="{E5116B23-671B-4FDB-B29C-EF6B80C6AC39}"/>
    <cellStyle name="Style 94 4 4 4 2" xfId="29450" xr:uid="{927F9B02-1EE4-4135-93AF-AD93CFAAB191}"/>
    <cellStyle name="Style 94 4 5" xfId="5213" xr:uid="{F11212C9-6FD5-46D4-90AC-EEB5BE209154}"/>
    <cellStyle name="Style 94 4 5 2" xfId="13609" xr:uid="{4625CD2F-3605-4DF7-AE78-9A945BB707FA}"/>
    <cellStyle name="Style 94 4 5 2 2" xfId="29451" xr:uid="{5DDF719C-3D5C-4353-AFB9-B1C85AE0C34F}"/>
    <cellStyle name="Style 94 4 5 3" xfId="13610" xr:uid="{E8E57AB5-5630-4C73-AE5C-63AF88A881CD}"/>
    <cellStyle name="Style 94 4 5 3 2" xfId="29452" xr:uid="{75386327-A5C3-4E0E-B73B-4C4F02C6BD44}"/>
    <cellStyle name="Style 94 4 6" xfId="5207" xr:uid="{7F4CF4CE-4BF3-4A94-A4BA-6ACD8D966E15}"/>
    <cellStyle name="Style 94 4 6 2" xfId="13611" xr:uid="{D8E1DBCC-4E0C-4C1C-958B-79E32442BC2C}"/>
    <cellStyle name="Style 94 4 6 2 2" xfId="29453" xr:uid="{D2810030-D924-46D9-A225-BAA8DF2CE4FA}"/>
    <cellStyle name="Style 94 4 6 3" xfId="13612" xr:uid="{46A7AB20-B436-4BA1-90BA-5B1E6A0C9816}"/>
    <cellStyle name="Style 94 4 6 3 2" xfId="29454" xr:uid="{D0FB4877-ACCA-41FC-831B-B08BAFEDC9FC}"/>
    <cellStyle name="Style 94 4 7" xfId="13613" xr:uid="{FD63A09C-525E-4DE4-A4EE-F1324C3BE166}"/>
    <cellStyle name="Style 94 4 7 2" xfId="13614" xr:uid="{57FDB709-7D86-4414-9073-9E1605B46F74}"/>
    <cellStyle name="Style 94 4 7 2 2" xfId="29456" xr:uid="{40EB356F-AD34-4B34-A760-FAF47E9FA124}"/>
    <cellStyle name="Style 94 4 7 3" xfId="29455" xr:uid="{07A0B1C4-1A6C-471F-9100-1BEC9381A570}"/>
    <cellStyle name="Style 94 4 8" xfId="13615" xr:uid="{ADB4B814-3DB2-4B33-AE94-936E8386CC36}"/>
    <cellStyle name="Style 94 4 8 2" xfId="29457" xr:uid="{A12DA3E5-D05C-4CBD-A3FC-90E6BBB0AD77}"/>
    <cellStyle name="Style 94 4 9" xfId="13616" xr:uid="{B938C63C-FB72-4DD6-B531-B590A83E56FF}"/>
    <cellStyle name="Style 94 4 9 2" xfId="29458" xr:uid="{B3EAE057-496C-4C63-BAC3-274438BB7655}"/>
    <cellStyle name="Style 94 5" xfId="2390" xr:uid="{93F6893F-83FB-4FF4-BEEF-BF560A793942}"/>
    <cellStyle name="Style 94 5 10" xfId="13617" xr:uid="{FE2D8A6D-E091-401A-97B0-B8DA51C315BB}"/>
    <cellStyle name="Style 94 5 10 2" xfId="29459" xr:uid="{21DC08C0-9349-4F9E-8747-503301085E56}"/>
    <cellStyle name="Style 94 5 11" xfId="19248" xr:uid="{30B2FAD7-DD92-4BFC-8DE6-4685FC6C70BC}"/>
    <cellStyle name="Style 94 5 2" xfId="2391" xr:uid="{761ADC5D-AB32-4E4F-8843-207ACEFAF252}"/>
    <cellStyle name="Style 94 5 2 10" xfId="19249" xr:uid="{B5EC9937-4A2B-4C37-9AA1-72986B91C98B}"/>
    <cellStyle name="Style 94 5 2 2" xfId="5216" xr:uid="{A895ED3F-5C50-4874-AB50-086E75A2865F}"/>
    <cellStyle name="Style 94 5 2 2 2" xfId="13618" xr:uid="{5D3F0F4A-10C7-4EE5-BB85-B56D63CC85D8}"/>
    <cellStyle name="Style 94 5 2 2 2 2" xfId="29460" xr:uid="{32CA1658-A3AD-48D2-8A02-B2F0269AD3FA}"/>
    <cellStyle name="Style 94 5 2 2 3" xfId="13619" xr:uid="{6B71801C-D1C3-487B-AE8F-CB1E63893B74}"/>
    <cellStyle name="Style 94 5 2 2 3 2" xfId="29461" xr:uid="{A7663FCD-0667-4626-A703-F1DF2659FD78}"/>
    <cellStyle name="Style 94 5 2 2 4" xfId="13620" xr:uid="{3C33DBD6-8D13-47E4-9F27-8560DA7A4304}"/>
    <cellStyle name="Style 94 5 2 2 4 2" xfId="29462" xr:uid="{2382F19C-1527-49C4-80D6-BA72C0DCA7DE}"/>
    <cellStyle name="Style 94 5 2 3" xfId="5215" xr:uid="{4A25D0B9-410F-4E10-9B16-AB89AD91766F}"/>
    <cellStyle name="Style 94 5 2 3 2" xfId="13621" xr:uid="{7DB4E6EB-17F8-4E24-B18E-80B4AAAD7FD5}"/>
    <cellStyle name="Style 94 5 2 3 2 2" xfId="29463" xr:uid="{88DFECA3-8E84-46F5-9B63-26F54D21E557}"/>
    <cellStyle name="Style 94 5 2 3 3" xfId="13622" xr:uid="{E3606296-784A-48F6-9FC5-27A2E0FBBD83}"/>
    <cellStyle name="Style 94 5 2 3 3 2" xfId="29464" xr:uid="{8CB4683E-164C-4363-AB19-A5D75B004DA0}"/>
    <cellStyle name="Style 94 5 2 4" xfId="13623" xr:uid="{91A4E75C-C21F-43BF-A17B-F386A4610B51}"/>
    <cellStyle name="Style 94 5 2 4 2" xfId="13624" xr:uid="{46881A4D-33C9-4F8A-869B-A24DA64345C8}"/>
    <cellStyle name="Style 94 5 2 4 2 2" xfId="29466" xr:uid="{0B15561F-9DB9-411A-8AC4-BABC38659C71}"/>
    <cellStyle name="Style 94 5 2 4 3" xfId="29465" xr:uid="{2249667A-08FE-4D30-BAF6-A0D877FD8292}"/>
    <cellStyle name="Style 94 5 2 5" xfId="13625" xr:uid="{C41D6AB9-7F6D-4691-98C0-FBB5FF17B185}"/>
    <cellStyle name="Style 94 5 2 5 2" xfId="13626" xr:uid="{CFDFD4C7-0E8A-456B-B4CC-67CE763A2084}"/>
    <cellStyle name="Style 94 5 2 5 2 2" xfId="29468" xr:uid="{0E09F31B-857C-47B9-9C38-13B76E36D3DD}"/>
    <cellStyle name="Style 94 5 2 5 3" xfId="29467" xr:uid="{468D782A-A35B-4EB7-9001-99A38292F054}"/>
    <cellStyle name="Style 94 5 2 6" xfId="13627" xr:uid="{68CFF84D-7911-4876-BE59-BBCFFA9A6726}"/>
    <cellStyle name="Style 94 5 2 6 2" xfId="13628" xr:uid="{B80BDAAC-CDC6-43D3-9C14-CE37B1979DD5}"/>
    <cellStyle name="Style 94 5 2 6 2 2" xfId="29470" xr:uid="{CA75697E-E992-4D56-8DB3-E203A284DB8F}"/>
    <cellStyle name="Style 94 5 2 6 3" xfId="29469" xr:uid="{371B90C3-6B5F-4A9F-A998-3D5631505D11}"/>
    <cellStyle name="Style 94 5 2 7" xfId="13629" xr:uid="{D98AEF44-A87A-41DC-A021-466265F4DB67}"/>
    <cellStyle name="Style 94 5 2 7 2" xfId="29471" xr:uid="{C639B48E-FA1E-485C-9942-DA57D42865BD}"/>
    <cellStyle name="Style 94 5 2 8" xfId="13630" xr:uid="{F355B182-689F-4E64-B958-43938B3D5AB1}"/>
    <cellStyle name="Style 94 5 2 8 2" xfId="29472" xr:uid="{28B20D64-2498-44CB-93DE-D856181FB2C0}"/>
    <cellStyle name="Style 94 5 2 9" xfId="13631" xr:uid="{020E1EFA-6BEC-42ED-8EEB-4F1128DC13BA}"/>
    <cellStyle name="Style 94 5 2 9 2" xfId="29473" xr:uid="{EFB1BE47-8B00-4C30-BA29-EA1FCB16264D}"/>
    <cellStyle name="Style 94 5 3" xfId="5217" xr:uid="{EFC67D16-AB30-4562-8E8C-15CAC596AA75}"/>
    <cellStyle name="Style 94 5 3 2" xfId="13632" xr:uid="{0DE8B8D9-1FBD-4884-AA35-4B78D081859E}"/>
    <cellStyle name="Style 94 5 3 2 2" xfId="29474" xr:uid="{D5896589-469A-4C88-AC1E-8E7FF048725F}"/>
    <cellStyle name="Style 94 5 3 3" xfId="13633" xr:uid="{2144A6A0-616F-4A7B-8EE0-F4F9ABD5772A}"/>
    <cellStyle name="Style 94 5 3 3 2" xfId="29475" xr:uid="{B0D4CF1F-0880-496B-9E30-91DF8F9E2AF9}"/>
    <cellStyle name="Style 94 5 3 4" xfId="13634" xr:uid="{2DCE6832-DA6B-4A54-8E61-CD489F9A73F5}"/>
    <cellStyle name="Style 94 5 3 4 2" xfId="29476" xr:uid="{0F2802C5-AB7B-467F-A863-04D0012D0271}"/>
    <cellStyle name="Style 94 5 4" xfId="5214" xr:uid="{BBCD7831-6FFA-4665-9640-4C4153437B1F}"/>
    <cellStyle name="Style 94 5 4 2" xfId="13635" xr:uid="{58EF46E3-389D-4066-AE65-2FEC970D10EA}"/>
    <cellStyle name="Style 94 5 4 2 2" xfId="29477" xr:uid="{EEA27C6D-54CC-49D1-9CDD-97211FD74759}"/>
    <cellStyle name="Style 94 5 4 3" xfId="13636" xr:uid="{3DDACF2D-A2EA-4064-A76B-5E7275506029}"/>
    <cellStyle name="Style 94 5 4 3 2" xfId="29478" xr:uid="{5A088CCB-EE47-474B-B157-AEB59CA9CFAB}"/>
    <cellStyle name="Style 94 5 5" xfId="13637" xr:uid="{DBBBF4BF-AFC3-42ED-8D3E-BFBF4B4F6095}"/>
    <cellStyle name="Style 94 5 5 2" xfId="13638" xr:uid="{FD2C22B0-5A9E-4628-A12D-F04B07F52204}"/>
    <cellStyle name="Style 94 5 5 2 2" xfId="29480" xr:uid="{EE644E7D-98BC-4197-A132-0CAAF3719818}"/>
    <cellStyle name="Style 94 5 5 3" xfId="29479" xr:uid="{4D416F5D-87A3-4BD2-B634-49C38D8F2FD5}"/>
    <cellStyle name="Style 94 5 6" xfId="13639" xr:uid="{06329A52-DD7D-44B2-832E-5370AD493284}"/>
    <cellStyle name="Style 94 5 6 2" xfId="13640" xr:uid="{07F36019-E8EE-4BB3-99BA-CB3A5BCB1405}"/>
    <cellStyle name="Style 94 5 6 2 2" xfId="29482" xr:uid="{8492072A-0DE1-4F8E-8394-7F4358992B2F}"/>
    <cellStyle name="Style 94 5 6 3" xfId="29481" xr:uid="{B8AD6AA1-E248-433B-AED7-05D33C1F7074}"/>
    <cellStyle name="Style 94 5 7" xfId="13641" xr:uid="{01265ABA-A0ED-43E1-BD57-798833B08934}"/>
    <cellStyle name="Style 94 5 7 2" xfId="13642" xr:uid="{22592088-E2EA-45E7-A906-3208A5B5C560}"/>
    <cellStyle name="Style 94 5 7 2 2" xfId="29484" xr:uid="{9BF130C6-C036-4CF7-9441-CA7DE20CCCCC}"/>
    <cellStyle name="Style 94 5 7 3" xfId="29483" xr:uid="{97E03945-5721-4CD6-B78D-E2BEEFDB05EB}"/>
    <cellStyle name="Style 94 5 8" xfId="13643" xr:uid="{F180BE21-3061-4934-A457-944B69F2F083}"/>
    <cellStyle name="Style 94 5 8 2" xfId="29485" xr:uid="{99376337-F8AB-46D6-A35A-8851C16D8885}"/>
    <cellStyle name="Style 94 5 9" xfId="13644" xr:uid="{CD9B117E-9384-4499-ACC9-6B223ADAB49E}"/>
    <cellStyle name="Style 94 5 9 2" xfId="29486" xr:uid="{FEF45070-DF7D-4D92-B35C-6678D3932356}"/>
    <cellStyle name="Style 94 6" xfId="2392" xr:uid="{AA252CD6-7A44-4B1C-BAF4-0744B598CCBA}"/>
    <cellStyle name="Style 94 6 10" xfId="13645" xr:uid="{81E6FBA4-D1DF-4BF4-A89F-9586EBE19502}"/>
    <cellStyle name="Style 94 6 10 2" xfId="29487" xr:uid="{90387ED7-1CC7-4DB3-BBB3-6CDCAECC94BC}"/>
    <cellStyle name="Style 94 6 11" xfId="19250" xr:uid="{BA30AFCA-71FC-4045-9A90-719507818946}"/>
    <cellStyle name="Style 94 6 2" xfId="2393" xr:uid="{50EE4C16-92BF-4290-9AB3-4C30ADC8C733}"/>
    <cellStyle name="Style 94 6 2 2" xfId="5219" xr:uid="{F249031B-540C-4DE0-A22B-675303515CA6}"/>
    <cellStyle name="Style 94 6 2 2 2" xfId="13646" xr:uid="{DBC44226-4652-43AE-BD23-66F213CEC2D9}"/>
    <cellStyle name="Style 94 6 2 2 2 2" xfId="29488" xr:uid="{CF0664F9-588E-4F73-8354-AD2448A08443}"/>
    <cellStyle name="Style 94 6 2 2 3" xfId="13647" xr:uid="{8D435828-445D-431B-8DFD-E1531457BD95}"/>
    <cellStyle name="Style 94 6 2 2 3 2" xfId="29489" xr:uid="{480DE2A5-DC8E-4259-8D93-AE50919347D3}"/>
    <cellStyle name="Style 94 6 2 2 4" xfId="13648" xr:uid="{99ECE123-5F1F-433D-B550-683F6BFA3AC5}"/>
    <cellStyle name="Style 94 6 2 2 4 2" xfId="29490" xr:uid="{19CC5AFB-4969-4067-BC8E-7309D560E0C1}"/>
    <cellStyle name="Style 94 6 2 3" xfId="13649" xr:uid="{7D8211CF-4791-4E28-9A35-7ECC0183755F}"/>
    <cellStyle name="Style 94 6 2 3 2" xfId="13650" xr:uid="{6FDF3B4F-6A27-4535-A20F-9BBF4F27F53D}"/>
    <cellStyle name="Style 94 6 2 3 2 2" xfId="29492" xr:uid="{E27AD4B4-FFD0-44C8-9DA6-F799460912F2}"/>
    <cellStyle name="Style 94 6 2 3 3" xfId="29491" xr:uid="{5B2A7A29-CEB1-42FE-8237-A2075617BD28}"/>
    <cellStyle name="Style 94 6 2 4" xfId="13651" xr:uid="{7DC8F9D3-06AE-4B2E-8EBD-34F99CDAB67E}"/>
    <cellStyle name="Style 94 6 2 4 2" xfId="13652" xr:uid="{866E6BF6-E3D7-4C41-AB55-5F11642EBD95}"/>
    <cellStyle name="Style 94 6 2 4 2 2" xfId="29494" xr:uid="{37E4B326-F471-4DAB-BA63-D3530142393C}"/>
    <cellStyle name="Style 94 6 2 4 3" xfId="29493" xr:uid="{410AFB0D-F1E8-4B55-91D0-E2387A40444E}"/>
    <cellStyle name="Style 94 6 2 5" xfId="13653" xr:uid="{B4DA2609-8A4A-4E34-9A56-42FE094D4EA1}"/>
    <cellStyle name="Style 94 6 2 5 2" xfId="13654" xr:uid="{99D259C7-5D65-47C2-A841-6B48DFA3E86D}"/>
    <cellStyle name="Style 94 6 2 5 2 2" xfId="29496" xr:uid="{1E1CDB0C-AB58-4FFA-B1B2-788AC83BAA05}"/>
    <cellStyle name="Style 94 6 2 5 3" xfId="29495" xr:uid="{805777FC-DAE0-49F7-800E-C9CD82257EED}"/>
    <cellStyle name="Style 94 6 2 6" xfId="13655" xr:uid="{405E732F-331D-4669-AFBC-9D145FA85A9E}"/>
    <cellStyle name="Style 94 6 2 6 2" xfId="13656" xr:uid="{DE19D42F-A222-42EC-8AD6-0C7879D63B86}"/>
    <cellStyle name="Style 94 6 2 6 2 2" xfId="29498" xr:uid="{2F9DC661-F579-4A52-88E1-971CC6114C8E}"/>
    <cellStyle name="Style 94 6 2 6 3" xfId="29497" xr:uid="{2EA12BC3-89D7-409C-B08B-8189B85E49EC}"/>
    <cellStyle name="Style 94 6 2 7" xfId="13657" xr:uid="{953DB23B-E6C4-447C-BC2F-4FD17CF6C1CF}"/>
    <cellStyle name="Style 94 6 2 7 2" xfId="29499" xr:uid="{63CA820E-36A8-4A23-9AB3-7E2618EA6797}"/>
    <cellStyle name="Style 94 6 2 8" xfId="13658" xr:uid="{8C62FC24-D99D-454B-B419-E08FD1EE71E6}"/>
    <cellStyle name="Style 94 6 2 8 2" xfId="29500" xr:uid="{097E0940-0106-4209-BBAD-B88F4F3253F6}"/>
    <cellStyle name="Style 94 6 3" xfId="2798" xr:uid="{74F8C498-9C1D-4C16-B422-4EC0D0662554}"/>
    <cellStyle name="Style 94 6 3 2" xfId="5220" xr:uid="{63CCD169-C233-4DFE-A685-58B068110E5D}"/>
    <cellStyle name="Style 94 6 3 2 2" xfId="13659" xr:uid="{F7BDB476-5FA5-4A25-B3E9-1CAACDDE6662}"/>
    <cellStyle name="Style 94 6 3 2 2 2" xfId="29501" xr:uid="{678E9DB9-E41F-4CFB-8259-76E08010F02E}"/>
    <cellStyle name="Style 94 6 3 2 3" xfId="22544" xr:uid="{E21D95D8-170F-4467-839F-9B9BFA122395}"/>
    <cellStyle name="Style 94 6 3 3" xfId="13660" xr:uid="{ED0C5494-EE9F-4AD3-A600-6CDD12B9128C}"/>
    <cellStyle name="Style 94 6 3 3 2" xfId="29502" xr:uid="{CB75F56B-F6A8-44F0-81D7-E62D2762AA99}"/>
    <cellStyle name="Style 94 6 3 4" xfId="13661" xr:uid="{7EAC98AA-35FC-4430-B675-A0C54D21D9EE}"/>
    <cellStyle name="Style 94 6 3 4 2" xfId="29503" xr:uid="{E3F2A681-E992-49F5-8FE3-03C2871CBE00}"/>
    <cellStyle name="Style 94 6 4" xfId="5218" xr:uid="{8A18550E-7428-4F08-9426-B6DBA0E58AD9}"/>
    <cellStyle name="Style 94 6 4 2" xfId="13662" xr:uid="{63FCC68C-8FE8-45BF-85E7-ECD0AFB6A860}"/>
    <cellStyle name="Style 94 6 4 2 2" xfId="29504" xr:uid="{551C7519-3343-4DA3-AF8F-52E61008F561}"/>
    <cellStyle name="Style 94 6 4 3" xfId="13663" xr:uid="{E434335B-698E-4ECE-9334-A443D513341C}"/>
    <cellStyle name="Style 94 6 4 3 2" xfId="29505" xr:uid="{32FCC8B1-DABE-4F20-B7E3-F9B365492014}"/>
    <cellStyle name="Style 94 6 5" xfId="13664" xr:uid="{DF7D1CA5-6E5C-4FFE-9DB2-4AFD37F2BCD4}"/>
    <cellStyle name="Style 94 6 5 2" xfId="13665" xr:uid="{92A96732-192C-48F2-8A1B-5FE147B7D62A}"/>
    <cellStyle name="Style 94 6 5 2 2" xfId="29507" xr:uid="{0690C259-EF4A-4726-B5DA-6F4826AC4F2E}"/>
    <cellStyle name="Style 94 6 5 3" xfId="29506" xr:uid="{8A3070AD-53A1-4735-9844-BD3FF1D7D0AE}"/>
    <cellStyle name="Style 94 6 6" xfId="13666" xr:uid="{654459FF-1514-47D9-B8EA-41B444A29B5D}"/>
    <cellStyle name="Style 94 6 6 2" xfId="13667" xr:uid="{4294E131-5931-4A72-8AD2-8F8B3955B0B1}"/>
    <cellStyle name="Style 94 6 6 2 2" xfId="29509" xr:uid="{9F5048AA-5B6C-4F5B-9C65-F67ED72E7219}"/>
    <cellStyle name="Style 94 6 6 3" xfId="29508" xr:uid="{B86F9F41-AA97-46D8-A1AA-9233D41E966C}"/>
    <cellStyle name="Style 94 6 7" xfId="13668" xr:uid="{B9863834-1BE6-46FA-8B5E-3ABFCA683057}"/>
    <cellStyle name="Style 94 6 7 2" xfId="13669" xr:uid="{5E3773D9-F0D4-47E1-835C-E250301CF7B6}"/>
    <cellStyle name="Style 94 6 7 2 2" xfId="29511" xr:uid="{05481AEE-BF0A-408F-8902-071011C909C2}"/>
    <cellStyle name="Style 94 6 7 3" xfId="29510" xr:uid="{9D6A2987-6370-494C-B694-06628E181EFE}"/>
    <cellStyle name="Style 94 6 8" xfId="13670" xr:uid="{D68D61AB-FBD6-4FD1-BD2F-88AA023D5E16}"/>
    <cellStyle name="Style 94 6 8 2" xfId="29512" xr:uid="{5D5F7B40-7703-4EAD-8E27-666AC9A38C1A}"/>
    <cellStyle name="Style 94 6 9" xfId="13671" xr:uid="{F0517481-E63D-4AC1-852B-3183C56A3B7F}"/>
    <cellStyle name="Style 94 6 9 2" xfId="29513" xr:uid="{BD7178F6-08CB-40E4-81A4-4C2BF3D4B347}"/>
    <cellStyle name="Style 94 7" xfId="2797" xr:uid="{2B03B871-A29C-43A2-80ED-90556C5AD15A}"/>
    <cellStyle name="Style 94 7 2" xfId="5222" xr:uid="{88C028A6-0FE2-4F91-A5D5-52A81FF1F6B2}"/>
    <cellStyle name="Style 94 7 2 2" xfId="13672" xr:uid="{723E4703-E1E2-4F4F-8002-96D2471EA701}"/>
    <cellStyle name="Style 94 7 2 2 2" xfId="29514" xr:uid="{E1B64B3E-2007-41D3-9B28-A6BD96AA2381}"/>
    <cellStyle name="Style 94 7 3" xfId="5223" xr:uid="{DBB7FC90-1075-401C-833D-EBC7C882C12D}"/>
    <cellStyle name="Style 94 7 3 2" xfId="13673" xr:uid="{085DE374-3DC5-4EB4-936B-30DC8BDAA702}"/>
    <cellStyle name="Style 94 7 3 2 2" xfId="29515" xr:uid="{20D2E1C4-D892-4FA5-9BA2-93248EE4796C}"/>
    <cellStyle name="Style 94 7 4" xfId="5221" xr:uid="{9273CD86-0124-4B3C-ACBF-5A76172D39C3}"/>
    <cellStyle name="Style 94 7 4 2" xfId="22543" xr:uid="{9979D9E4-873C-411A-8D64-AA378554A775}"/>
    <cellStyle name="Style 94 7 5" xfId="13674" xr:uid="{A419B245-AC85-47D1-B824-BA02CAC09159}"/>
    <cellStyle name="Style 94 7 5 2" xfId="29516" xr:uid="{06AA6867-5D40-40C9-90E8-2EC17218CC58}"/>
    <cellStyle name="Style 94 7 6" xfId="19251" xr:uid="{4477E353-6407-4065-A0A0-830F012C503B}"/>
    <cellStyle name="Style 94 8" xfId="5224" xr:uid="{7E7650BD-9FC7-4F1F-B87D-597F81CB303F}"/>
    <cellStyle name="Style 94 8 2" xfId="13675" xr:uid="{0BBAEBC6-87F5-4CB4-B80C-E1FBE6CF7C3B}"/>
    <cellStyle name="Style 94 8 2 2" xfId="29517" xr:uid="{99303121-0933-4D98-8698-3243EB7A5015}"/>
    <cellStyle name="Style 94 8 3" xfId="13676" xr:uid="{CA5EFCB3-52D1-47FD-A601-4F86C629D2D4}"/>
    <cellStyle name="Style 94 8 3 2" xfId="29518" xr:uid="{66EB8E92-0A00-4044-8517-A8A3DF94DEE8}"/>
    <cellStyle name="Style 94 9" xfId="5225" xr:uid="{145A543B-E37D-4A1E-AE35-4D30D2DE7023}"/>
    <cellStyle name="Style 94 9 2" xfId="13677" xr:uid="{079AFB13-5F2D-415B-862E-58A06EA23B0C}"/>
    <cellStyle name="Style 94 9 2 2" xfId="29519" xr:uid="{DA1BD7F0-1B0F-4742-98F3-62AD6A249A79}"/>
    <cellStyle name="Style 94 9 3" xfId="13678" xr:uid="{8DBA8673-695C-425D-91B8-DB77EF0BA89A}"/>
    <cellStyle name="Style 94 9 3 2" xfId="29520" xr:uid="{65ABCE21-F196-4778-8338-6DD63EA332E2}"/>
    <cellStyle name="Style 94_ADDON" xfId="20502" xr:uid="{4A3C9458-D3B1-4CC8-912E-8C5885ADCA3B}"/>
    <cellStyle name="Style 95" xfId="2394" xr:uid="{D8746969-382C-41DB-9282-13FE1B9795EA}"/>
    <cellStyle name="Style 95 10" xfId="5226" xr:uid="{1ECCBD6D-7D88-443E-BDC5-F0F3E81E6B1E}"/>
    <cellStyle name="Style 95 10 2" xfId="13679" xr:uid="{920985B2-A2DA-48E2-86FC-4ED66AABFEFE}"/>
    <cellStyle name="Style 95 10 2 2" xfId="29521" xr:uid="{FA946A03-6EF8-43D6-AF0E-2510E78E69E6}"/>
    <cellStyle name="Style 95 10 3" xfId="13680" xr:uid="{CD53B0A7-C51A-4706-927B-96CFB62DA56C}"/>
    <cellStyle name="Style 95 10 3 2" xfId="29522" xr:uid="{4FE8C32C-E3A5-47C8-96AF-7DD8707DE16D}"/>
    <cellStyle name="Style 95 11" xfId="13681" xr:uid="{2EDB288D-027D-483A-AAEE-AEB0897CF5F8}"/>
    <cellStyle name="Style 95 11 2" xfId="13682" xr:uid="{602D7B1F-62F2-4311-9CE8-633B314F5EF9}"/>
    <cellStyle name="Style 95 11 2 2" xfId="29523" xr:uid="{3072FFE6-4236-4D11-816E-734D83E86172}"/>
    <cellStyle name="Style 95 11 3" xfId="13683" xr:uid="{C1101178-21B5-4718-8125-508945F4B31B}"/>
    <cellStyle name="Style 95 11 3 2" xfId="29524" xr:uid="{9BC6F382-9270-4D28-8F14-553B69E72425}"/>
    <cellStyle name="Style 95 11 4" xfId="21330" xr:uid="{5333ED58-ED63-4F9F-945C-34C37920AE4D}"/>
    <cellStyle name="Style 95 12" xfId="13684" xr:uid="{92B212B4-290C-4F4B-B998-76AFD92C4163}"/>
    <cellStyle name="Style 95 12 2" xfId="13685" xr:uid="{F23C0EEF-B5BD-4129-B56B-8CA16BD25014}"/>
    <cellStyle name="Style 95 12 2 2" xfId="29526" xr:uid="{3AA529B7-7390-48A7-BE36-4962D9FC18B0}"/>
    <cellStyle name="Style 95 12 3" xfId="29525" xr:uid="{8E6DE3E4-3C54-4A0E-90DC-061B170F76EF}"/>
    <cellStyle name="Style 95 13" xfId="13686" xr:uid="{728A4756-3D81-40CA-A99D-E7CB66CCE770}"/>
    <cellStyle name="Style 95 13 2" xfId="29527" xr:uid="{5F48CF3F-2E0C-44BB-AA98-265AEE3F3F11}"/>
    <cellStyle name="Style 95 14" xfId="13687" xr:uid="{BFD4E18B-57C3-4B08-9B8E-347221F6F6EF}"/>
    <cellStyle name="Style 95 14 2" xfId="29528" xr:uid="{A8864CD6-29EE-40FE-A51C-CD7DA1AF6670}"/>
    <cellStyle name="Style 95 15" xfId="13688" xr:uid="{995B5033-FC03-4184-A163-4C5FD539227C}"/>
    <cellStyle name="Style 95 15 2" xfId="29529" xr:uid="{934EBB50-0248-49EF-80E0-E75D64389D41}"/>
    <cellStyle name="Style 95 2" xfId="2395" xr:uid="{74481E5E-0205-48D9-8258-28E4AA369FA9}"/>
    <cellStyle name="Style 95 2 10" xfId="13689" xr:uid="{2E157B13-4ECE-4ECE-8B73-60D7B0F17046}"/>
    <cellStyle name="Style 95 2 10 2" xfId="13690" xr:uid="{B9547066-02CB-4AFE-A502-C254B6E848D1}"/>
    <cellStyle name="Style 95 2 10 2 2" xfId="29531" xr:uid="{64DC2268-E583-4824-9D05-63B2DC41BE6E}"/>
    <cellStyle name="Style 95 2 10 3" xfId="29530" xr:uid="{9B22D7F6-1CA2-4264-8074-48EB17DB9176}"/>
    <cellStyle name="Style 95 2 11" xfId="13691" xr:uid="{7E85F163-5667-4EB9-AF2D-00FC9819BB65}"/>
    <cellStyle name="Style 95 2 11 2" xfId="13692" xr:uid="{037F4711-9CDC-4F6D-ADFC-4F3245DCA39F}"/>
    <cellStyle name="Style 95 2 11 2 2" xfId="29533" xr:uid="{075C4017-FA4F-4CFC-8DCD-28C31BC06123}"/>
    <cellStyle name="Style 95 2 11 3" xfId="29532" xr:uid="{199FC44C-0F48-41FC-9495-F64D630A798E}"/>
    <cellStyle name="Style 95 2 12" xfId="13693" xr:uid="{05BC8BF6-0515-4FD5-A26E-1E2938BE1515}"/>
    <cellStyle name="Style 95 2 12 2" xfId="29534" xr:uid="{F70113E6-8681-401A-998E-63FE51D4A60D}"/>
    <cellStyle name="Style 95 2 13" xfId="13694" xr:uid="{B2CA6F6A-6155-4F79-8144-E412C8F6441F}"/>
    <cellStyle name="Style 95 2 13 2" xfId="29535" xr:uid="{1A2EE103-2EB0-4A2F-8E8F-719D47221C50}"/>
    <cellStyle name="Style 95 2 14" xfId="13695" xr:uid="{1ED609BD-D990-494B-B9C4-6FDFD44BC2C3}"/>
    <cellStyle name="Style 95 2 14 2" xfId="29536" xr:uid="{E0FC556C-D15B-40A7-8FF9-B0673C185850}"/>
    <cellStyle name="Style 95 2 2" xfId="2396" xr:uid="{FFABD080-8E54-4E96-B7B9-5F08A8F6188D}"/>
    <cellStyle name="Style 95 2 2 10" xfId="13696" xr:uid="{FAA2EF59-4A57-45DC-8B0C-1EBFA75DF7D3}"/>
    <cellStyle name="Style 95 2 2 10 2" xfId="13697" xr:uid="{6D9BE296-FDF2-4AC8-828E-F1F1628D7145}"/>
    <cellStyle name="Style 95 2 2 10 2 2" xfId="29538" xr:uid="{1123FEE4-40EF-48E3-B39B-0070A7BE615D}"/>
    <cellStyle name="Style 95 2 2 10 3" xfId="29537" xr:uid="{2AD29E52-04EE-4C73-BF51-154337D2DDD9}"/>
    <cellStyle name="Style 95 2 2 11" xfId="13698" xr:uid="{B82591C8-A1E1-41C9-9EF0-A6E506AB6DA5}"/>
    <cellStyle name="Style 95 2 2 11 2" xfId="29539" xr:uid="{8F1251E1-2372-4C19-BCFF-BC870E3B9A3E}"/>
    <cellStyle name="Style 95 2 2 12" xfId="13699" xr:uid="{7921A2DA-48BE-4A3A-8C5A-E1BBC5E974E3}"/>
    <cellStyle name="Style 95 2 2 12 2" xfId="29540" xr:uid="{CB330463-653F-480D-AC74-05E7280DACF2}"/>
    <cellStyle name="Style 95 2 2 2" xfId="2397" xr:uid="{589D3510-F4E1-415C-8D1F-358A722AEBC8}"/>
    <cellStyle name="Style 95 2 2 2 10" xfId="13700" xr:uid="{4D5CC6DC-4FFE-4982-BD17-ACB0C2E0F31E}"/>
    <cellStyle name="Style 95 2 2 2 10 2" xfId="29541" xr:uid="{2E603DE7-E36C-4EC8-8910-DA09096AF5F4}"/>
    <cellStyle name="Style 95 2 2 2 11" xfId="13701" xr:uid="{DB3C2EF1-A9FA-4579-8B28-A012932AEA36}"/>
    <cellStyle name="Style 95 2 2 2 11 2" xfId="29542" xr:uid="{E6950423-6CE8-4DF2-82A1-24C38B7C7FD5}"/>
    <cellStyle name="Style 95 2 2 2 2" xfId="2398" xr:uid="{07011DE4-A56C-446A-8EC6-F307B6FD6D2B}"/>
    <cellStyle name="Style 95 2 2 2 2 10" xfId="13702" xr:uid="{4E48F75C-12AB-4565-8923-35D159ED2908}"/>
    <cellStyle name="Style 95 2 2 2 2 10 2" xfId="29543" xr:uid="{FA900E58-16C7-439E-BF43-B9862E2AEEED}"/>
    <cellStyle name="Style 95 2 2 2 2 2" xfId="2399" xr:uid="{872E3CE8-1108-481A-86C9-1E7044289C39}"/>
    <cellStyle name="Style 95 2 2 2 2 2 2" xfId="5231" xr:uid="{B2CD8EBD-3077-44B6-9567-A5C4E87068D8}"/>
    <cellStyle name="Style 95 2 2 2 2 2 2 2" xfId="13703" xr:uid="{FE5699C7-3BDF-4974-B1EE-D37D333E64D3}"/>
    <cellStyle name="Style 95 2 2 2 2 2 2 2 2" xfId="29544" xr:uid="{E1F30B48-32E8-4CD7-894E-9879869BA27D}"/>
    <cellStyle name="Style 95 2 2 2 2 2 2 3" xfId="13704" xr:uid="{0EBEFE22-0047-43FC-B41C-AFD967940624}"/>
    <cellStyle name="Style 95 2 2 2 2 2 2 3 2" xfId="29545" xr:uid="{40708DAE-A8F4-459D-B5B9-7A748FA2A695}"/>
    <cellStyle name="Style 95 2 2 2 2 2 2 4" xfId="13705" xr:uid="{DB57C67A-3D52-49B9-A582-D6910E73658B}"/>
    <cellStyle name="Style 95 2 2 2 2 2 2 4 2" xfId="29546" xr:uid="{88761409-B3F3-4731-AD6F-1CCB82F5842B}"/>
    <cellStyle name="Style 95 2 2 2 2 2 3" xfId="13706" xr:uid="{6A9C5D36-0633-461B-BD5F-B3281F826B2F}"/>
    <cellStyle name="Style 95 2 2 2 2 2 3 2" xfId="13707" xr:uid="{3381CAF5-15A3-4EDC-A3E6-F7226674FE7C}"/>
    <cellStyle name="Style 95 2 2 2 2 2 3 2 2" xfId="29547" xr:uid="{947E56D8-775D-47A7-BFD2-26F2B4E9486F}"/>
    <cellStyle name="Style 95 2 2 2 2 2 3 3" xfId="13708" xr:uid="{8F0E1A0E-E162-4217-98A0-BC8292243D3D}"/>
    <cellStyle name="Style 95 2 2 2 2 2 3 3 2" xfId="29548" xr:uid="{98C9C2DE-ED36-4D68-9832-40F0587D09CE}"/>
    <cellStyle name="Style 95 2 2 2 2 2 4" xfId="13709" xr:uid="{9AA4B5E0-919F-42B9-942D-36F54B0B3688}"/>
    <cellStyle name="Style 95 2 2 2 2 2 4 2" xfId="13710" xr:uid="{4136C10C-57F6-4F3B-B60B-B7E97FE076BA}"/>
    <cellStyle name="Style 95 2 2 2 2 2 4 2 2" xfId="29550" xr:uid="{DC3F5545-376D-4700-A79D-790BE86A6B27}"/>
    <cellStyle name="Style 95 2 2 2 2 2 4 3" xfId="29549" xr:uid="{7F1FE116-A89D-4490-BD85-21F955233F2A}"/>
    <cellStyle name="Style 95 2 2 2 2 2 5" xfId="13711" xr:uid="{7CF2941E-17B4-44D1-B82F-12F43D13EBCB}"/>
    <cellStyle name="Style 95 2 2 2 2 2 5 2" xfId="13712" xr:uid="{A9AF5D61-DADC-4841-A99F-80BB555F0DC0}"/>
    <cellStyle name="Style 95 2 2 2 2 2 5 2 2" xfId="29552" xr:uid="{DC53182A-23D5-4015-97EF-1523DDD0A181}"/>
    <cellStyle name="Style 95 2 2 2 2 2 5 3" xfId="29551" xr:uid="{18D7F577-28A6-4569-B82C-4113A8E97E93}"/>
    <cellStyle name="Style 95 2 2 2 2 2 6" xfId="13713" xr:uid="{3D9289BF-97FD-47C8-816E-0A0F6D2D8D55}"/>
    <cellStyle name="Style 95 2 2 2 2 2 6 2" xfId="13714" xr:uid="{A278001F-F4E2-48C4-92A7-B21261499492}"/>
    <cellStyle name="Style 95 2 2 2 2 2 6 2 2" xfId="29554" xr:uid="{82241FAC-7476-4A2A-8D5B-06CB9F65A482}"/>
    <cellStyle name="Style 95 2 2 2 2 2 6 3" xfId="29553" xr:uid="{8D4A6CE6-5D44-426A-A62B-ECD1AC3BC9AF}"/>
    <cellStyle name="Style 95 2 2 2 2 2 7" xfId="13715" xr:uid="{FA4ABC4A-3E17-41EC-A534-13964DBF8CE6}"/>
    <cellStyle name="Style 95 2 2 2 2 2 7 2" xfId="29555" xr:uid="{F09B0CB7-AA40-4751-86F6-30E299EEC74B}"/>
    <cellStyle name="Style 95 2 2 2 2 2 8" xfId="13716" xr:uid="{FE042274-DE97-428C-B093-7BE56D4722D5}"/>
    <cellStyle name="Style 95 2 2 2 2 2 8 2" xfId="29556" xr:uid="{C4443F72-06B0-4277-8270-5AC54C5536C7}"/>
    <cellStyle name="Style 95 2 2 2 2 3" xfId="5230" xr:uid="{E348DE0A-5AC9-4BA8-AF1E-D60AC36CB52E}"/>
    <cellStyle name="Style 95 2 2 2 2 3 2" xfId="13717" xr:uid="{88075FB8-0CDA-4C23-8DCB-3D44EF7181ED}"/>
    <cellStyle name="Style 95 2 2 2 2 3 2 2" xfId="29557" xr:uid="{C177EA5F-FC60-4D68-95B5-94BD6AE859BB}"/>
    <cellStyle name="Style 95 2 2 2 2 3 3" xfId="13718" xr:uid="{7B5AA4CD-86BF-4C95-ACD9-E1D9D130468A}"/>
    <cellStyle name="Style 95 2 2 2 2 3 3 2" xfId="29558" xr:uid="{FB621A2A-AEEC-4177-AA48-0A7341C1B850}"/>
    <cellStyle name="Style 95 2 2 2 2 3 4" xfId="13719" xr:uid="{379F2ED4-5940-4BF4-9E4E-B2C7F8956A4E}"/>
    <cellStyle name="Style 95 2 2 2 2 3 4 2" xfId="29559" xr:uid="{F8E45FEA-38C2-45B9-A655-F683658259F2}"/>
    <cellStyle name="Style 95 2 2 2 2 4" xfId="13720" xr:uid="{582BAC9E-13C6-422F-98F4-2D725BE63564}"/>
    <cellStyle name="Style 95 2 2 2 2 4 2" xfId="13721" xr:uid="{2A47DE6A-7F9D-458B-AFB8-E40FA763E33A}"/>
    <cellStyle name="Style 95 2 2 2 2 4 2 2" xfId="29560" xr:uid="{D85F7B45-6F6B-44D9-8C21-68E39FBA1C93}"/>
    <cellStyle name="Style 95 2 2 2 2 4 3" xfId="13722" xr:uid="{7C2BADDA-317A-437B-BFBE-28695906B2FF}"/>
    <cellStyle name="Style 95 2 2 2 2 4 3 2" xfId="29561" xr:uid="{7D2B0872-8A0E-4C1E-B7D6-347120C7B5DC}"/>
    <cellStyle name="Style 95 2 2 2 2 5" xfId="13723" xr:uid="{AFC6D4D2-15CA-42D5-9656-4BD398D3F178}"/>
    <cellStyle name="Style 95 2 2 2 2 5 2" xfId="13724" xr:uid="{0F72E993-F9A6-4190-A7BE-18B3372C1558}"/>
    <cellStyle name="Style 95 2 2 2 2 5 2 2" xfId="29563" xr:uid="{F220554A-A1CB-4A14-94EC-E52580F044A7}"/>
    <cellStyle name="Style 95 2 2 2 2 5 3" xfId="29562" xr:uid="{3C06D4CC-F97F-41C2-8700-F1BC945C076F}"/>
    <cellStyle name="Style 95 2 2 2 2 6" xfId="13725" xr:uid="{6D722C3F-8DFD-4D0F-9C01-C35ECE9015FA}"/>
    <cellStyle name="Style 95 2 2 2 2 6 2" xfId="13726" xr:uid="{AD64459A-5B37-427A-BE9D-113E34C73C93}"/>
    <cellStyle name="Style 95 2 2 2 2 6 2 2" xfId="29565" xr:uid="{E9C47FE1-D1FB-475D-A85E-B28BD660358C}"/>
    <cellStyle name="Style 95 2 2 2 2 6 3" xfId="29564" xr:uid="{0F8850E8-C724-41AC-B244-5E686BF19711}"/>
    <cellStyle name="Style 95 2 2 2 2 7" xfId="13727" xr:uid="{7E82590A-16B7-4BD0-9558-67B0DE40C2BB}"/>
    <cellStyle name="Style 95 2 2 2 2 7 2" xfId="13728" xr:uid="{0870BDD4-C323-418B-9274-80AA0B171337}"/>
    <cellStyle name="Style 95 2 2 2 2 7 2 2" xfId="29567" xr:uid="{5EB2CE64-0E5C-4AB5-953E-DC5318A1BE7F}"/>
    <cellStyle name="Style 95 2 2 2 2 7 3" xfId="29566" xr:uid="{AAA680A2-E382-4774-B72E-B9CB0277CAB8}"/>
    <cellStyle name="Style 95 2 2 2 2 8" xfId="13729" xr:uid="{6B491928-9567-4A82-8AD3-A7C94A692389}"/>
    <cellStyle name="Style 95 2 2 2 2 8 2" xfId="13730" xr:uid="{4653C2A2-15C8-46ED-9C84-B10CC0D0EADA}"/>
    <cellStyle name="Style 95 2 2 2 2 8 2 2" xfId="29569" xr:uid="{9F381EBE-BC59-4F71-9226-814C86F2E451}"/>
    <cellStyle name="Style 95 2 2 2 2 8 3" xfId="29568" xr:uid="{447CED75-B6D3-4C75-8F2F-65A01C457305}"/>
    <cellStyle name="Style 95 2 2 2 2 9" xfId="13731" xr:uid="{C30D5B54-0B94-46DF-8FE7-79023F3341C5}"/>
    <cellStyle name="Style 95 2 2 2 2 9 2" xfId="29570" xr:uid="{2F826F81-273A-4C2C-83E4-7B22BC5DA14E}"/>
    <cellStyle name="Style 95 2 2 2 3" xfId="2400" xr:uid="{92E15CFA-45CD-47DB-86E1-913B988C84EB}"/>
    <cellStyle name="Style 95 2 2 2 3 2" xfId="5232" xr:uid="{ACD8E6EC-D1A4-4213-9176-7E1B4B7D4A9D}"/>
    <cellStyle name="Style 95 2 2 2 3 2 2" xfId="13732" xr:uid="{07382A5F-EC6A-4079-A63E-7129048C796B}"/>
    <cellStyle name="Style 95 2 2 2 3 2 2 2" xfId="29571" xr:uid="{6C88FEFA-A490-405E-94DD-A31CBB4D2BAC}"/>
    <cellStyle name="Style 95 2 2 2 3 2 3" xfId="13733" xr:uid="{4C4B942A-60A3-4DB6-8406-93406F850BF1}"/>
    <cellStyle name="Style 95 2 2 2 3 2 3 2" xfId="29572" xr:uid="{AE223DCF-7CD5-4189-838A-F05CB17364DB}"/>
    <cellStyle name="Style 95 2 2 2 3 2 4" xfId="13734" xr:uid="{572B7910-7035-4497-99A8-234E86CC5BC4}"/>
    <cellStyle name="Style 95 2 2 2 3 2 4 2" xfId="29573" xr:uid="{43545D4D-91DF-4B09-A853-82436FE18560}"/>
    <cellStyle name="Style 95 2 2 2 3 3" xfId="13735" xr:uid="{BF25038F-54AE-45FF-8AF4-AAB1570F1797}"/>
    <cellStyle name="Style 95 2 2 2 3 3 2" xfId="13736" xr:uid="{61D87FA7-7E1C-43EC-AB5C-F546B00E7813}"/>
    <cellStyle name="Style 95 2 2 2 3 3 2 2" xfId="29574" xr:uid="{6D5F9CBE-1243-4FF8-923B-0AD501ED2146}"/>
    <cellStyle name="Style 95 2 2 2 3 3 3" xfId="13737" xr:uid="{37118551-6070-4807-8CCE-F3976E97C93F}"/>
    <cellStyle name="Style 95 2 2 2 3 3 3 2" xfId="29575" xr:uid="{4D7F8408-0AA6-4D0A-8202-A1E15739E4A0}"/>
    <cellStyle name="Style 95 2 2 2 3 4" xfId="13738" xr:uid="{8EE9F5D9-50B9-4336-99D2-7EB151F8FC3F}"/>
    <cellStyle name="Style 95 2 2 2 3 4 2" xfId="13739" xr:uid="{E1E871DE-DA44-4887-9C80-35E27E74DF40}"/>
    <cellStyle name="Style 95 2 2 2 3 4 2 2" xfId="29577" xr:uid="{2209CEFB-E318-4192-B443-732949469B1A}"/>
    <cellStyle name="Style 95 2 2 2 3 4 3" xfId="29576" xr:uid="{750A154C-AC12-4F90-8D0A-7216F5CE169B}"/>
    <cellStyle name="Style 95 2 2 2 3 5" xfId="13740" xr:uid="{E60B6929-54DC-45CA-A2AC-3ADE8C4B167E}"/>
    <cellStyle name="Style 95 2 2 2 3 5 2" xfId="13741" xr:uid="{81007B4B-43FB-4ED4-98ED-CFC0007E1F9A}"/>
    <cellStyle name="Style 95 2 2 2 3 5 2 2" xfId="29579" xr:uid="{89B191A3-14C5-4866-AD42-18A035BCC0EB}"/>
    <cellStyle name="Style 95 2 2 2 3 5 3" xfId="29578" xr:uid="{5203F098-8280-49F4-BCAE-5BE26D839DB5}"/>
    <cellStyle name="Style 95 2 2 2 3 6" xfId="13742" xr:uid="{3145CF9C-3F0F-4796-B5CF-C69E894C2747}"/>
    <cellStyle name="Style 95 2 2 2 3 6 2" xfId="13743" xr:uid="{C2B3D613-ED09-409A-B5A8-8598AA4205BC}"/>
    <cellStyle name="Style 95 2 2 2 3 6 2 2" xfId="29581" xr:uid="{9B1AA745-048C-4BE5-90D2-DBCB6EA44C77}"/>
    <cellStyle name="Style 95 2 2 2 3 6 3" xfId="29580" xr:uid="{DE3C5A11-D50F-417A-BA19-0B468F0544CD}"/>
    <cellStyle name="Style 95 2 2 2 3 7" xfId="13744" xr:uid="{C5466140-2814-4136-8BC6-3AF3992D502E}"/>
    <cellStyle name="Style 95 2 2 2 3 7 2" xfId="29582" xr:uid="{D82462E7-35F1-4112-AE29-4E0136C7D565}"/>
    <cellStyle name="Style 95 2 2 2 3 8" xfId="13745" xr:uid="{6982FF82-A7D5-487D-9424-6EF46A2D33DE}"/>
    <cellStyle name="Style 95 2 2 2 3 8 2" xfId="29583" xr:uid="{7EE60558-B36C-4360-99B0-2800DC22BCF6}"/>
    <cellStyle name="Style 95 2 2 2 4" xfId="5229" xr:uid="{A5D1A6E9-4D6A-476E-B347-7F1041488BAC}"/>
    <cellStyle name="Style 95 2 2 2 4 2" xfId="13746" xr:uid="{F70377C7-3806-4508-B8B2-CA0F05C646AD}"/>
    <cellStyle name="Style 95 2 2 2 4 2 2" xfId="29584" xr:uid="{FF6E7B78-0E31-44D6-BAB5-8A72BA5258E4}"/>
    <cellStyle name="Style 95 2 2 2 4 3" xfId="13747" xr:uid="{E9C3E6A7-9C32-4898-B675-435EDD20476D}"/>
    <cellStyle name="Style 95 2 2 2 4 3 2" xfId="29585" xr:uid="{C3DF8580-E6E4-4A84-B7FF-2786BD780354}"/>
    <cellStyle name="Style 95 2 2 2 4 4" xfId="13748" xr:uid="{E984A45E-0AB6-4902-A9FF-BD644E2419A7}"/>
    <cellStyle name="Style 95 2 2 2 4 4 2" xfId="29586" xr:uid="{51EBE422-9596-4CEB-944F-FA015D93F84B}"/>
    <cellStyle name="Style 95 2 2 2 5" xfId="13749" xr:uid="{040ACA4C-7384-4CB8-9D7C-CB2B6DF4A39A}"/>
    <cellStyle name="Style 95 2 2 2 5 2" xfId="13750" xr:uid="{9841CDC0-715D-4B0F-824A-B7106FBDB1C0}"/>
    <cellStyle name="Style 95 2 2 2 5 2 2" xfId="29587" xr:uid="{59B8902F-FE52-4A32-AF89-353AD89ECD35}"/>
    <cellStyle name="Style 95 2 2 2 5 3" xfId="13751" xr:uid="{3D024E79-1E37-4969-B6F1-72E30B8FCFDF}"/>
    <cellStyle name="Style 95 2 2 2 5 3 2" xfId="29588" xr:uid="{D62789DD-B570-40BE-83EE-5764B640672C}"/>
    <cellStyle name="Style 95 2 2 2 6" xfId="13752" xr:uid="{35FE8B6D-23D6-472E-9A35-656871C3F46C}"/>
    <cellStyle name="Style 95 2 2 2 6 2" xfId="13753" xr:uid="{DEEFFF04-0543-4CA0-B9F2-113EA18FC8B4}"/>
    <cellStyle name="Style 95 2 2 2 6 2 2" xfId="29590" xr:uid="{3CD91DF6-BECC-4000-9625-E2D44953D866}"/>
    <cellStyle name="Style 95 2 2 2 6 3" xfId="29589" xr:uid="{C4F5CC99-B9F2-486A-8A40-DC7E72BA316E}"/>
    <cellStyle name="Style 95 2 2 2 7" xfId="13754" xr:uid="{093CED6D-64A3-4054-B112-3D18F19B094C}"/>
    <cellStyle name="Style 95 2 2 2 7 2" xfId="13755" xr:uid="{AC81DC68-5DB2-48B8-A54A-CEE4BA1F8FBD}"/>
    <cellStyle name="Style 95 2 2 2 7 2 2" xfId="29592" xr:uid="{CC430281-0BC7-40B3-A5DC-BF2F8D6F82A2}"/>
    <cellStyle name="Style 95 2 2 2 7 3" xfId="29591" xr:uid="{DED3EAA6-D7E4-4187-9A16-FBE11D7689D7}"/>
    <cellStyle name="Style 95 2 2 2 8" xfId="13756" xr:uid="{2B3EB712-C645-453E-8577-CDF286FBEAFB}"/>
    <cellStyle name="Style 95 2 2 2 8 2" xfId="13757" xr:uid="{60A856E0-D02B-4FCB-9E43-451F969FD6F0}"/>
    <cellStyle name="Style 95 2 2 2 8 2 2" xfId="29594" xr:uid="{F20190BD-7637-4C75-BFB5-FE92D0850ECF}"/>
    <cellStyle name="Style 95 2 2 2 8 3" xfId="29593" xr:uid="{EFEE638F-A8BB-4092-94A9-DABDB95D9DD7}"/>
    <cellStyle name="Style 95 2 2 2 9" xfId="13758" xr:uid="{62EDB996-C83A-4784-A1AD-B31FEBD92652}"/>
    <cellStyle name="Style 95 2 2 2 9 2" xfId="13759" xr:uid="{66A639B6-FA7D-49B1-8C09-9C532A2D0D01}"/>
    <cellStyle name="Style 95 2 2 2 9 2 2" xfId="29596" xr:uid="{BB7FD8F1-8C7D-43E3-9482-62516FC9A4A0}"/>
    <cellStyle name="Style 95 2 2 2 9 3" xfId="29595" xr:uid="{14397239-995D-4396-84BA-A48BFDDAFA78}"/>
    <cellStyle name="Style 95 2 2 3" xfId="2401" xr:uid="{D4320D7F-927F-4106-B755-50556ED9C03D}"/>
    <cellStyle name="Style 95 2 2 3 10" xfId="13760" xr:uid="{38B5C3E0-4039-4AAD-AF2B-B5927EDE31CA}"/>
    <cellStyle name="Style 95 2 2 3 10 2" xfId="29597" xr:uid="{25B6C8AF-7CC4-4C9B-A163-6021545D55B8}"/>
    <cellStyle name="Style 95 2 2 3 2" xfId="2402" xr:uid="{6D0F3FCD-4E10-4554-A927-A82AA092D8F3}"/>
    <cellStyle name="Style 95 2 2 3 2 2" xfId="5234" xr:uid="{32F6DD79-4ACA-4E93-8E05-F581AB8BD652}"/>
    <cellStyle name="Style 95 2 2 3 2 2 2" xfId="13761" xr:uid="{DFE89EF3-040F-44F0-8140-7766B6F54B61}"/>
    <cellStyle name="Style 95 2 2 3 2 2 2 2" xfId="29598" xr:uid="{21CE03D8-AAF3-4C1D-B670-C7C75A3953A6}"/>
    <cellStyle name="Style 95 2 2 3 2 2 3" xfId="13762" xr:uid="{FE631406-4742-40DB-A289-85C4D62BC627}"/>
    <cellStyle name="Style 95 2 2 3 2 2 3 2" xfId="29599" xr:uid="{3C4A8EA1-9F63-42A6-92C4-E9E5BDAAE2E9}"/>
    <cellStyle name="Style 95 2 2 3 2 2 4" xfId="13763" xr:uid="{3358C431-6307-4AE2-A319-382210EDEF2C}"/>
    <cellStyle name="Style 95 2 2 3 2 2 4 2" xfId="29600" xr:uid="{C06DD3C8-0FB2-4D42-B850-353CFC2370B9}"/>
    <cellStyle name="Style 95 2 2 3 2 3" xfId="13764" xr:uid="{13F589C9-8384-45F7-A017-17B07261EB4C}"/>
    <cellStyle name="Style 95 2 2 3 2 3 2" xfId="13765" xr:uid="{F3D20FD5-73F1-455D-B766-8375E42FB413}"/>
    <cellStyle name="Style 95 2 2 3 2 3 2 2" xfId="29601" xr:uid="{115BEC96-4B1A-49DA-B64A-45A3728A57AA}"/>
    <cellStyle name="Style 95 2 2 3 2 3 3" xfId="13766" xr:uid="{B78845D8-36B4-4A34-8C67-BBB262B7742B}"/>
    <cellStyle name="Style 95 2 2 3 2 3 3 2" xfId="29602" xr:uid="{BC69CF64-206D-4D55-BDD9-9C15C0521873}"/>
    <cellStyle name="Style 95 2 2 3 2 4" xfId="13767" xr:uid="{3E51513D-0310-43DE-938A-B2796A684F13}"/>
    <cellStyle name="Style 95 2 2 3 2 4 2" xfId="13768" xr:uid="{D51FFCD7-5C39-4134-9580-221823BA4352}"/>
    <cellStyle name="Style 95 2 2 3 2 4 2 2" xfId="29604" xr:uid="{1FC8D1D4-68D6-41C1-9BA9-22E2A3617199}"/>
    <cellStyle name="Style 95 2 2 3 2 4 3" xfId="29603" xr:uid="{48A24F88-6EDA-4BA6-8AC9-79F42D902F96}"/>
    <cellStyle name="Style 95 2 2 3 2 5" xfId="13769" xr:uid="{91B75420-6FB6-4900-B856-9E55E0F9A1CB}"/>
    <cellStyle name="Style 95 2 2 3 2 5 2" xfId="13770" xr:uid="{B2880871-8BF9-421E-B5FB-CF543A3E3B24}"/>
    <cellStyle name="Style 95 2 2 3 2 5 2 2" xfId="29606" xr:uid="{2D867FAC-C747-41F7-B632-2544AD1CE568}"/>
    <cellStyle name="Style 95 2 2 3 2 5 3" xfId="29605" xr:uid="{772B059D-4FF5-48B7-AAD6-2C16F4AA346C}"/>
    <cellStyle name="Style 95 2 2 3 2 6" xfId="13771" xr:uid="{7E4BF6B4-963E-4ECD-A0C5-D5F1BC4C02AA}"/>
    <cellStyle name="Style 95 2 2 3 2 6 2" xfId="13772" xr:uid="{888E0758-F3E4-4B55-8556-4C4FAFB20171}"/>
    <cellStyle name="Style 95 2 2 3 2 6 2 2" xfId="29608" xr:uid="{1C93F628-15A9-4EF7-A07D-EC3E1D8E8B33}"/>
    <cellStyle name="Style 95 2 2 3 2 6 3" xfId="29607" xr:uid="{4BB04C03-BC0A-454D-ADC6-A6A186239694}"/>
    <cellStyle name="Style 95 2 2 3 2 7" xfId="13773" xr:uid="{613E7B9D-D2E5-4081-A0BF-155878AD4D8A}"/>
    <cellStyle name="Style 95 2 2 3 2 7 2" xfId="29609" xr:uid="{81F43316-5F00-4E81-AB36-B5401ED3D07F}"/>
    <cellStyle name="Style 95 2 2 3 2 8" xfId="13774" xr:uid="{B957CD1F-166D-4873-A9E9-D62F64A7988D}"/>
    <cellStyle name="Style 95 2 2 3 2 8 2" xfId="29610" xr:uid="{582F9EC7-2E1C-48CD-A63E-B2C8699DC2C4}"/>
    <cellStyle name="Style 95 2 2 3 3" xfId="5233" xr:uid="{155E2BE5-EB79-4DD3-B769-E4F954B17CDB}"/>
    <cellStyle name="Style 95 2 2 3 3 2" xfId="13775" xr:uid="{E8AC5A3F-3638-441E-B8A8-B574A5E6CE1D}"/>
    <cellStyle name="Style 95 2 2 3 3 2 2" xfId="29611" xr:uid="{D755A587-B5C3-4DE5-B721-5650E329170D}"/>
    <cellStyle name="Style 95 2 2 3 3 3" xfId="13776" xr:uid="{AFDD78BE-7856-4F06-A96D-7D2033AD5277}"/>
    <cellStyle name="Style 95 2 2 3 3 3 2" xfId="29612" xr:uid="{B0CFE63B-33B5-4E3A-A920-5383D0F0FC7D}"/>
    <cellStyle name="Style 95 2 2 3 3 4" xfId="13777" xr:uid="{43549F9C-6A34-4BC1-B96F-E0D6AAD7523D}"/>
    <cellStyle name="Style 95 2 2 3 3 4 2" xfId="29613" xr:uid="{65091EF0-DED9-4567-BAB5-CCDB876B704C}"/>
    <cellStyle name="Style 95 2 2 3 4" xfId="13778" xr:uid="{C66CEF0B-E692-40E2-8F17-C33E3692D546}"/>
    <cellStyle name="Style 95 2 2 3 4 2" xfId="13779" xr:uid="{62593DFD-2B90-48FE-8C93-0A40A8F7CBF3}"/>
    <cellStyle name="Style 95 2 2 3 4 2 2" xfId="29614" xr:uid="{59CF0FF5-1D69-4A81-A7EC-D26581222E71}"/>
    <cellStyle name="Style 95 2 2 3 4 3" xfId="13780" xr:uid="{58FBD5C4-22E2-4F44-B091-51C5EA17055E}"/>
    <cellStyle name="Style 95 2 2 3 4 3 2" xfId="29615" xr:uid="{C0D5FDA8-D621-4B85-8098-FB3A91B6585F}"/>
    <cellStyle name="Style 95 2 2 3 5" xfId="13781" xr:uid="{4192841C-38CC-447B-805A-32F34D5B374E}"/>
    <cellStyle name="Style 95 2 2 3 5 2" xfId="13782" xr:uid="{502316E4-C94C-4B5F-8EE8-2C99584C34DE}"/>
    <cellStyle name="Style 95 2 2 3 5 2 2" xfId="29617" xr:uid="{BC2AB4DA-67B4-449C-A330-FEF9F63C8132}"/>
    <cellStyle name="Style 95 2 2 3 5 3" xfId="29616" xr:uid="{902C813D-D4FF-4046-8CB1-D22D1A3D937E}"/>
    <cellStyle name="Style 95 2 2 3 6" xfId="13783" xr:uid="{CA9116F6-6E05-46C0-9EBF-75A0A2E513E9}"/>
    <cellStyle name="Style 95 2 2 3 6 2" xfId="13784" xr:uid="{18F01D36-5A22-4B6D-BC4C-5235764E3430}"/>
    <cellStyle name="Style 95 2 2 3 6 2 2" xfId="29619" xr:uid="{D0B81A59-C6CA-482F-AB2A-DAB814BAE709}"/>
    <cellStyle name="Style 95 2 2 3 6 3" xfId="29618" xr:uid="{B93196DA-C820-4790-ACD6-63160FF297C0}"/>
    <cellStyle name="Style 95 2 2 3 7" xfId="13785" xr:uid="{473B4E28-984C-499F-93CB-BD76E76378FB}"/>
    <cellStyle name="Style 95 2 2 3 7 2" xfId="13786" xr:uid="{8234AEFB-0C18-4627-9BE2-2B393B0CFAE9}"/>
    <cellStyle name="Style 95 2 2 3 7 2 2" xfId="29621" xr:uid="{740D0CBC-2002-4F06-A660-C2EADF3D3F7B}"/>
    <cellStyle name="Style 95 2 2 3 7 3" xfId="29620" xr:uid="{9E6B3658-261E-4E28-9D91-EA99CB1ED9F1}"/>
    <cellStyle name="Style 95 2 2 3 8" xfId="13787" xr:uid="{1A3E8EC6-AAB5-4F76-BDC4-FDCCFD4DC8E7}"/>
    <cellStyle name="Style 95 2 2 3 8 2" xfId="13788" xr:uid="{46280403-4D78-48FF-BF40-4E68B9F5E74E}"/>
    <cellStyle name="Style 95 2 2 3 8 2 2" xfId="29623" xr:uid="{E0DDE9A1-E1EA-4CCB-8265-208A7C2DFD35}"/>
    <cellStyle name="Style 95 2 2 3 8 3" xfId="29622" xr:uid="{8C24FACD-9C56-4831-AD1D-F0C404615D02}"/>
    <cellStyle name="Style 95 2 2 3 9" xfId="13789" xr:uid="{3EEFAC92-AE40-4533-A9A1-21B1E23D44BB}"/>
    <cellStyle name="Style 95 2 2 3 9 2" xfId="29624" xr:uid="{C90940BF-51A0-4CA4-9DDB-078771C12D0A}"/>
    <cellStyle name="Style 95 2 2 4" xfId="2403" xr:uid="{AEE24B56-7D6F-40E5-9AA2-EFA3B2C69B08}"/>
    <cellStyle name="Style 95 2 2 4 2" xfId="5235" xr:uid="{2BBB2B2A-5106-4E7C-B06A-A5C34240B7DF}"/>
    <cellStyle name="Style 95 2 2 4 2 2" xfId="13790" xr:uid="{46636334-2210-4844-B67D-682AF2E0EBB3}"/>
    <cellStyle name="Style 95 2 2 4 2 2 2" xfId="29625" xr:uid="{C1AEE0C4-1F76-4471-A056-13782577F79E}"/>
    <cellStyle name="Style 95 2 2 4 2 3" xfId="13791" xr:uid="{5E8E4D0F-8689-42CE-A2A4-88299C246C78}"/>
    <cellStyle name="Style 95 2 2 4 2 3 2" xfId="29626" xr:uid="{C7667833-5B9B-42AB-BD7C-430EA0B42E07}"/>
    <cellStyle name="Style 95 2 2 4 2 4" xfId="13792" xr:uid="{A4835E97-7B9E-4170-A204-7809B953CC9A}"/>
    <cellStyle name="Style 95 2 2 4 2 4 2" xfId="29627" xr:uid="{AC5F72AA-E7BD-4DB9-98BF-95DDD82E91D6}"/>
    <cellStyle name="Style 95 2 2 4 3" xfId="13793" xr:uid="{A135BBA7-E9C3-4626-A970-F4F90ED7DF32}"/>
    <cellStyle name="Style 95 2 2 4 3 2" xfId="13794" xr:uid="{71F23463-6853-4BD8-9A77-1357C1AEECAB}"/>
    <cellStyle name="Style 95 2 2 4 3 2 2" xfId="29628" xr:uid="{E66B84CB-639F-4C6D-9E0C-4A834953F334}"/>
    <cellStyle name="Style 95 2 2 4 3 3" xfId="13795" xr:uid="{2E2AE090-EB11-4A11-9A7B-DB7995E5332B}"/>
    <cellStyle name="Style 95 2 2 4 3 3 2" xfId="29629" xr:uid="{EBE7C839-BB3A-4E21-9501-3CC36FBB92AF}"/>
    <cellStyle name="Style 95 2 2 4 4" xfId="13796" xr:uid="{3D07E60B-B564-4224-A12A-AAF359960482}"/>
    <cellStyle name="Style 95 2 2 4 4 2" xfId="13797" xr:uid="{877CC74B-914F-452C-90F4-F55B5CF68169}"/>
    <cellStyle name="Style 95 2 2 4 4 2 2" xfId="29631" xr:uid="{5389E354-C45A-44D1-9F29-BE66DD9DE5BC}"/>
    <cellStyle name="Style 95 2 2 4 4 3" xfId="29630" xr:uid="{0F7C5DAF-3AE8-41C9-8B58-F26DF3CA94DC}"/>
    <cellStyle name="Style 95 2 2 4 5" xfId="13798" xr:uid="{2182DAED-D636-433D-A635-41A6AD729643}"/>
    <cellStyle name="Style 95 2 2 4 5 2" xfId="13799" xr:uid="{D3BE7FFF-0F7B-4DBC-A85F-B988DF85FDD5}"/>
    <cellStyle name="Style 95 2 2 4 5 2 2" xfId="29633" xr:uid="{970B7B41-5BB7-41F2-B0C7-ED5F730B13CC}"/>
    <cellStyle name="Style 95 2 2 4 5 3" xfId="29632" xr:uid="{8CDEF500-A842-4F60-BD0F-7938C0908834}"/>
    <cellStyle name="Style 95 2 2 4 6" xfId="13800" xr:uid="{4E43236A-CC57-468D-BCA3-62706CA3C471}"/>
    <cellStyle name="Style 95 2 2 4 6 2" xfId="13801" xr:uid="{849E00BA-84A5-4B97-A81E-61EFF9825B4C}"/>
    <cellStyle name="Style 95 2 2 4 6 2 2" xfId="29635" xr:uid="{0B80E293-4F90-43D9-A2A7-982DDEAB456C}"/>
    <cellStyle name="Style 95 2 2 4 6 3" xfId="29634" xr:uid="{6D4D9D4B-32B8-459A-AB11-734AC7EEF3D5}"/>
    <cellStyle name="Style 95 2 2 4 7" xfId="13802" xr:uid="{0A0B867C-522A-4B24-9158-99D7A87943B1}"/>
    <cellStyle name="Style 95 2 2 4 7 2" xfId="29636" xr:uid="{4F9677E9-6B95-47FA-8245-192E7E7915BF}"/>
    <cellStyle name="Style 95 2 2 4 8" xfId="13803" xr:uid="{48602ADB-88A1-4CBF-BBDD-3F8DB8C15562}"/>
    <cellStyle name="Style 95 2 2 4 8 2" xfId="29637" xr:uid="{47DA8B7D-6E47-491C-A8AF-9351A0CC0459}"/>
    <cellStyle name="Style 95 2 2 5" xfId="5228" xr:uid="{2EB05CE6-F8CF-4777-BB23-16CDC6E3538B}"/>
    <cellStyle name="Style 95 2 2 5 2" xfId="13804" xr:uid="{AD9C9EB4-1742-4788-AA4B-C7FFB88D9AD3}"/>
    <cellStyle name="Style 95 2 2 5 2 2" xfId="29638" xr:uid="{6D9D1883-57AA-4AB5-902D-C8BD9CA2441D}"/>
    <cellStyle name="Style 95 2 2 5 3" xfId="13805" xr:uid="{22050FAE-C291-4011-8F54-392B9B9AE216}"/>
    <cellStyle name="Style 95 2 2 5 3 2" xfId="29639" xr:uid="{17CB0AF5-1ABC-440E-A409-F03396C3303C}"/>
    <cellStyle name="Style 95 2 2 5 4" xfId="13806" xr:uid="{536B31ED-3B88-461E-B994-493F0FE5E7BA}"/>
    <cellStyle name="Style 95 2 2 5 4 2" xfId="29640" xr:uid="{69C2C3D0-FD20-44CD-99C9-9A576D7BA07A}"/>
    <cellStyle name="Style 95 2 2 6" xfId="13807" xr:uid="{E99D0E61-7A88-415F-8858-F72378E5C8F4}"/>
    <cellStyle name="Style 95 2 2 6 2" xfId="13808" xr:uid="{3F6CA5F7-3016-4128-BAA4-1E806550BE17}"/>
    <cellStyle name="Style 95 2 2 6 2 2" xfId="29641" xr:uid="{786E894A-A079-444A-9FC7-817EBA23AFDD}"/>
    <cellStyle name="Style 95 2 2 6 3" xfId="13809" xr:uid="{1904EAE4-FB1C-45AE-82A9-CBB0CEC66871}"/>
    <cellStyle name="Style 95 2 2 6 3 2" xfId="29642" xr:uid="{45EAC2CF-20BA-4FB8-A89A-665C234CA11D}"/>
    <cellStyle name="Style 95 2 2 7" xfId="13810" xr:uid="{C6537F31-D4B8-4435-9344-0B5E5EA62FBF}"/>
    <cellStyle name="Style 95 2 2 7 2" xfId="13811" xr:uid="{0961A5F1-6D15-4948-A80E-6D4D51185D8B}"/>
    <cellStyle name="Style 95 2 2 7 2 2" xfId="29644" xr:uid="{C91E723A-C8BC-4A13-98C5-D4561A225A0E}"/>
    <cellStyle name="Style 95 2 2 7 3" xfId="29643" xr:uid="{2CC5344A-E071-486E-8C64-6664AFE560BC}"/>
    <cellStyle name="Style 95 2 2 8" xfId="13812" xr:uid="{F6082538-DE78-440E-AE19-2AAE4F48867F}"/>
    <cellStyle name="Style 95 2 2 8 2" xfId="13813" xr:uid="{416A52FE-02F8-42EF-938C-60A83AD548CE}"/>
    <cellStyle name="Style 95 2 2 8 2 2" xfId="29646" xr:uid="{8661B2A9-31AB-4FCD-A37A-D75E29B7CDA5}"/>
    <cellStyle name="Style 95 2 2 8 3" xfId="29645" xr:uid="{4B88BABF-9C2A-4FF5-AB0E-81086BA9FFE8}"/>
    <cellStyle name="Style 95 2 2 9" xfId="13814" xr:uid="{5929DB89-4111-4E5E-B8E1-567D67A5AC41}"/>
    <cellStyle name="Style 95 2 2 9 2" xfId="13815" xr:uid="{2D65A06E-33F4-4E7E-92DB-9744F74E985F}"/>
    <cellStyle name="Style 95 2 2 9 2 2" xfId="29648" xr:uid="{D1BED277-BA2A-4CCB-898F-5B01B01EC941}"/>
    <cellStyle name="Style 95 2 2 9 3" xfId="29647" xr:uid="{B62C2C64-0917-4D37-B5D2-8CDB0A4A7B80}"/>
    <cellStyle name="Style 95 2 3" xfId="2404" xr:uid="{7E1C5C54-9EEA-4D64-B6A4-F12EECB7F640}"/>
    <cellStyle name="Style 95 2 3 10" xfId="13816" xr:uid="{D5FD47F7-FD0E-403A-8F55-0173D2DAFACE}"/>
    <cellStyle name="Style 95 2 3 10 2" xfId="29649" xr:uid="{C23A6A59-6A5C-4226-B007-E0FDBEBD64C4}"/>
    <cellStyle name="Style 95 2 3 11" xfId="13817" xr:uid="{B46C5A65-D3A2-42A5-BE9B-8AA2AC96E28D}"/>
    <cellStyle name="Style 95 2 3 11 2" xfId="29650" xr:uid="{D9E205F0-83EA-4CBF-BB9E-28A91789AF8A}"/>
    <cellStyle name="Style 95 2 3 2" xfId="2405" xr:uid="{9878E18D-3E61-437C-8C6F-D948DCDA128D}"/>
    <cellStyle name="Style 95 2 3 2 10" xfId="13818" xr:uid="{01889D7F-03B6-490B-85D3-8151AF863EED}"/>
    <cellStyle name="Style 95 2 3 2 10 2" xfId="29651" xr:uid="{8837C7B2-5A3F-41B6-AC5B-93DCFE768A76}"/>
    <cellStyle name="Style 95 2 3 2 2" xfId="2406" xr:uid="{837D6D46-6370-46CD-8C75-341A2BB28123}"/>
    <cellStyle name="Style 95 2 3 2 2 2" xfId="5238" xr:uid="{38115D17-46E8-4BB8-B264-DA127CA010A7}"/>
    <cellStyle name="Style 95 2 3 2 2 2 2" xfId="13819" xr:uid="{F5A7AA67-C67B-4B33-BB01-B0E768A62A34}"/>
    <cellStyle name="Style 95 2 3 2 2 2 2 2" xfId="29652" xr:uid="{37065219-DD1C-4824-ADD1-0E436EB2DB1D}"/>
    <cellStyle name="Style 95 2 3 2 2 2 3" xfId="13820" xr:uid="{7DE0F979-13C3-4775-8D19-6381EA47DE0C}"/>
    <cellStyle name="Style 95 2 3 2 2 2 3 2" xfId="29653" xr:uid="{2EBC310F-E862-40FD-BC83-2E6BB0204794}"/>
    <cellStyle name="Style 95 2 3 2 2 2 4" xfId="13821" xr:uid="{C12AB0B9-64CF-4C1E-BA45-68DCF236EADF}"/>
    <cellStyle name="Style 95 2 3 2 2 2 4 2" xfId="29654" xr:uid="{59A71693-09FD-40BF-8FA4-BF20A179455B}"/>
    <cellStyle name="Style 95 2 3 2 2 3" xfId="13822" xr:uid="{6626D18B-26E0-49B2-B43D-B341BE2DA92C}"/>
    <cellStyle name="Style 95 2 3 2 2 3 2" xfId="13823" xr:uid="{B92EB817-1EA3-4231-89B5-728D812B9C08}"/>
    <cellStyle name="Style 95 2 3 2 2 3 2 2" xfId="29655" xr:uid="{E28EE596-1A81-49FA-8071-95D76D4D8090}"/>
    <cellStyle name="Style 95 2 3 2 2 3 3" xfId="13824" xr:uid="{813C899D-3A8E-4E58-A8A3-A013E6A6E61C}"/>
    <cellStyle name="Style 95 2 3 2 2 3 3 2" xfId="29656" xr:uid="{98092126-705F-4D66-9EB2-A7CD7E30A3A3}"/>
    <cellStyle name="Style 95 2 3 2 2 4" xfId="13825" xr:uid="{86BF4C69-903A-43A7-8CDE-1DBAECA8143C}"/>
    <cellStyle name="Style 95 2 3 2 2 4 2" xfId="13826" xr:uid="{E0830F08-2D0F-4B99-9D95-AD1956D37346}"/>
    <cellStyle name="Style 95 2 3 2 2 4 2 2" xfId="29658" xr:uid="{844F4CB9-C5C4-43C9-9414-766B81D7B66A}"/>
    <cellStyle name="Style 95 2 3 2 2 4 3" xfId="29657" xr:uid="{A72963C4-8505-4038-9F9F-4C40B82C0FF5}"/>
    <cellStyle name="Style 95 2 3 2 2 5" xfId="13827" xr:uid="{6929589E-6B0B-41FF-8484-4556D03C0420}"/>
    <cellStyle name="Style 95 2 3 2 2 5 2" xfId="13828" xr:uid="{96E4FFAC-A4AD-4C28-A91C-5478049C2907}"/>
    <cellStyle name="Style 95 2 3 2 2 5 2 2" xfId="29660" xr:uid="{96AF91E1-6861-49C2-A024-7063025AD763}"/>
    <cellStyle name="Style 95 2 3 2 2 5 3" xfId="29659" xr:uid="{2D536573-A2F8-47EB-A336-977A1BB44F2A}"/>
    <cellStyle name="Style 95 2 3 2 2 6" xfId="13829" xr:uid="{5EAE7A03-E6CC-4DA2-9353-F895ABB13414}"/>
    <cellStyle name="Style 95 2 3 2 2 6 2" xfId="13830" xr:uid="{81356F5F-2122-43C5-B7B3-E4EF3EA16CC6}"/>
    <cellStyle name="Style 95 2 3 2 2 6 2 2" xfId="29662" xr:uid="{885E3363-F58B-4048-9FDD-4778AD2E43BA}"/>
    <cellStyle name="Style 95 2 3 2 2 6 3" xfId="29661" xr:uid="{B18AB884-BFEA-448D-9242-587061B3E37C}"/>
    <cellStyle name="Style 95 2 3 2 2 7" xfId="13831" xr:uid="{53D061CD-A2C2-4754-90EC-3FCB1C5981F6}"/>
    <cellStyle name="Style 95 2 3 2 2 7 2" xfId="29663" xr:uid="{15AB8159-97BA-4BF6-8638-7D971883F711}"/>
    <cellStyle name="Style 95 2 3 2 2 8" xfId="13832" xr:uid="{A9105749-E3CB-476E-8407-A10E525746D2}"/>
    <cellStyle name="Style 95 2 3 2 2 8 2" xfId="29664" xr:uid="{C3794E88-FD55-43CA-8115-C9DE72A7DAD1}"/>
    <cellStyle name="Style 95 2 3 2 3" xfId="5237" xr:uid="{76BEDC79-58F2-4F61-85FF-FCC749A2F2EB}"/>
    <cellStyle name="Style 95 2 3 2 3 2" xfId="13833" xr:uid="{9DC18F64-FC07-4208-8FFA-AAC4292CEBF0}"/>
    <cellStyle name="Style 95 2 3 2 3 2 2" xfId="29665" xr:uid="{564A37C7-C847-4FE8-9DA7-9B681D51CD5F}"/>
    <cellStyle name="Style 95 2 3 2 3 3" xfId="13834" xr:uid="{108E8E1D-0011-4DF5-9D09-B0215CC01519}"/>
    <cellStyle name="Style 95 2 3 2 3 3 2" xfId="29666" xr:uid="{E73FFD6D-2D44-485F-BB12-E5197026148E}"/>
    <cellStyle name="Style 95 2 3 2 3 4" xfId="13835" xr:uid="{73C82C21-4386-4FCD-941E-EC76145986ED}"/>
    <cellStyle name="Style 95 2 3 2 3 4 2" xfId="29667" xr:uid="{FEDBD330-B01D-4657-93EC-CCA954EF9A23}"/>
    <cellStyle name="Style 95 2 3 2 4" xfId="13836" xr:uid="{391E054F-F664-4D63-8D95-BE682C65E8CE}"/>
    <cellStyle name="Style 95 2 3 2 4 2" xfId="13837" xr:uid="{C43098A8-D3CC-4566-9D9E-557612F13E27}"/>
    <cellStyle name="Style 95 2 3 2 4 2 2" xfId="29668" xr:uid="{F915FBD0-E13D-476D-BB6D-CF412BEFD0AD}"/>
    <cellStyle name="Style 95 2 3 2 4 3" xfId="13838" xr:uid="{09769A74-5B4C-46CD-A111-542D23578F2F}"/>
    <cellStyle name="Style 95 2 3 2 4 3 2" xfId="29669" xr:uid="{C9A2512E-C215-43A5-9F7F-A906BCBD4DA5}"/>
    <cellStyle name="Style 95 2 3 2 5" xfId="13839" xr:uid="{752BA880-BBB6-46B0-A68C-8AC0CDA277FC}"/>
    <cellStyle name="Style 95 2 3 2 5 2" xfId="13840" xr:uid="{BE680D45-7A4A-4709-8D14-57B5F07BC92F}"/>
    <cellStyle name="Style 95 2 3 2 5 2 2" xfId="29671" xr:uid="{73E3076C-D33A-4D42-B6F5-7B621F2CB097}"/>
    <cellStyle name="Style 95 2 3 2 5 3" xfId="29670" xr:uid="{006CDCBE-54DA-4AEA-8F28-11CC3AA78B38}"/>
    <cellStyle name="Style 95 2 3 2 6" xfId="13841" xr:uid="{A66B1353-6951-42FC-A3FE-14A2E2E619BB}"/>
    <cellStyle name="Style 95 2 3 2 6 2" xfId="13842" xr:uid="{F34CBF19-D6C9-4E44-B6F5-6183847F6DAD}"/>
    <cellStyle name="Style 95 2 3 2 6 2 2" xfId="29673" xr:uid="{B114FFEB-9BB1-46C2-8516-3AF45E45218C}"/>
    <cellStyle name="Style 95 2 3 2 6 3" xfId="29672" xr:uid="{597C9D4C-4FC2-49BC-8C90-F3241957FC69}"/>
    <cellStyle name="Style 95 2 3 2 7" xfId="13843" xr:uid="{BAABC268-56E6-4A78-9B5D-C5EFE9E3FB2B}"/>
    <cellStyle name="Style 95 2 3 2 7 2" xfId="13844" xr:uid="{4AAD575F-B981-4DEE-ABB3-786957624C68}"/>
    <cellStyle name="Style 95 2 3 2 7 2 2" xfId="29675" xr:uid="{78D8BCF6-E0A0-4FF2-9CD0-D2AF251C1D28}"/>
    <cellStyle name="Style 95 2 3 2 7 3" xfId="29674" xr:uid="{054ACD7E-2610-4F15-9FAC-045E81BE1C65}"/>
    <cellStyle name="Style 95 2 3 2 8" xfId="13845" xr:uid="{94F702B8-EA7D-47CD-BCC7-067439515141}"/>
    <cellStyle name="Style 95 2 3 2 8 2" xfId="13846" xr:uid="{B8115BE0-1EBD-452C-B1BD-2E315A3839D8}"/>
    <cellStyle name="Style 95 2 3 2 8 2 2" xfId="29677" xr:uid="{EA522BFA-9619-4C7A-89D0-8E118962EAD9}"/>
    <cellStyle name="Style 95 2 3 2 8 3" xfId="29676" xr:uid="{B478A163-93C6-4702-B23E-71B8DA815028}"/>
    <cellStyle name="Style 95 2 3 2 9" xfId="13847" xr:uid="{C34ACC9A-AA5B-4169-84E4-D590B0EC8DC3}"/>
    <cellStyle name="Style 95 2 3 2 9 2" xfId="29678" xr:uid="{87204F5F-24F5-46D7-8FF6-F1D9887F20DA}"/>
    <cellStyle name="Style 95 2 3 3" xfId="2407" xr:uid="{745B9D16-2379-4877-815D-E88FDF6BEC88}"/>
    <cellStyle name="Style 95 2 3 3 2" xfId="5239" xr:uid="{5BE1C99D-9912-43F6-ACDD-0F6B8FC6DC7C}"/>
    <cellStyle name="Style 95 2 3 3 2 2" xfId="13848" xr:uid="{0B5E3122-0D44-412A-B2E1-DDABEB7E8FF0}"/>
    <cellStyle name="Style 95 2 3 3 2 2 2" xfId="29679" xr:uid="{B7A32E84-0C16-4541-B721-2C443DE18732}"/>
    <cellStyle name="Style 95 2 3 3 2 3" xfId="13849" xr:uid="{F1E06D45-849D-4922-BBC5-B8AA8AE2FB81}"/>
    <cellStyle name="Style 95 2 3 3 2 3 2" xfId="29680" xr:uid="{239D8285-AEC8-4559-854A-949B1B329967}"/>
    <cellStyle name="Style 95 2 3 3 2 4" xfId="13850" xr:uid="{EC3308C8-A056-40B7-9986-6E33F6B79A42}"/>
    <cellStyle name="Style 95 2 3 3 2 4 2" xfId="29681" xr:uid="{2396B079-B5B9-4887-806E-669EE0434954}"/>
    <cellStyle name="Style 95 2 3 3 3" xfId="13851" xr:uid="{072EE921-982D-416A-97FA-3712A48443EE}"/>
    <cellStyle name="Style 95 2 3 3 3 2" xfId="13852" xr:uid="{4B605670-2C5C-4CEC-BA7E-62B66A9930AC}"/>
    <cellStyle name="Style 95 2 3 3 3 2 2" xfId="29682" xr:uid="{75EF5F03-F1B2-4A45-85A8-1B23A3EF6A20}"/>
    <cellStyle name="Style 95 2 3 3 3 3" xfId="13853" xr:uid="{1A31F282-BA4D-44CC-BA85-2DC583D764A8}"/>
    <cellStyle name="Style 95 2 3 3 3 3 2" xfId="29683" xr:uid="{355714B5-9AE4-4380-9330-BDCC99F8954C}"/>
    <cellStyle name="Style 95 2 3 3 4" xfId="13854" xr:uid="{B7290A1D-93A8-438B-BE3B-4C8F154D8DD9}"/>
    <cellStyle name="Style 95 2 3 3 4 2" xfId="13855" xr:uid="{3A66CADF-87C0-427E-B3D4-BF39382B75C9}"/>
    <cellStyle name="Style 95 2 3 3 4 2 2" xfId="29685" xr:uid="{0CF9CA5B-9FAB-495C-AFFC-C916BDDEF9A9}"/>
    <cellStyle name="Style 95 2 3 3 4 3" xfId="29684" xr:uid="{16627D15-97EE-4776-86EF-D4F3DBA4D081}"/>
    <cellStyle name="Style 95 2 3 3 5" xfId="13856" xr:uid="{AED5D567-EBC1-4946-A096-7B34CDA3033E}"/>
    <cellStyle name="Style 95 2 3 3 5 2" xfId="13857" xr:uid="{09B6A591-41D5-4614-9A31-E04BA2C4AC36}"/>
    <cellStyle name="Style 95 2 3 3 5 2 2" xfId="29687" xr:uid="{73FCDB7C-B660-4A45-B794-64B0D63F254E}"/>
    <cellStyle name="Style 95 2 3 3 5 3" xfId="29686" xr:uid="{176CE75C-8046-47D6-B615-6C0199858342}"/>
    <cellStyle name="Style 95 2 3 3 6" xfId="13858" xr:uid="{6C006814-90F1-4FB4-8D0A-97040059F99E}"/>
    <cellStyle name="Style 95 2 3 3 6 2" xfId="13859" xr:uid="{63284F2E-936E-4C63-B263-F7761B07C143}"/>
    <cellStyle name="Style 95 2 3 3 6 2 2" xfId="29689" xr:uid="{3505A041-2FA9-46CD-93B2-2AD09D238037}"/>
    <cellStyle name="Style 95 2 3 3 6 3" xfId="29688" xr:uid="{9D2D7DD4-9E43-421C-BE27-BDCC8E85A3F0}"/>
    <cellStyle name="Style 95 2 3 3 7" xfId="13860" xr:uid="{D514F409-56A3-4573-8A14-831EBFB6B2BA}"/>
    <cellStyle name="Style 95 2 3 3 7 2" xfId="29690" xr:uid="{87251BCD-CFD5-4B9C-985B-91007C8AD143}"/>
    <cellStyle name="Style 95 2 3 3 8" xfId="13861" xr:uid="{C59E02EE-6328-4DB6-AE1B-6E9CD052D144}"/>
    <cellStyle name="Style 95 2 3 3 8 2" xfId="29691" xr:uid="{3C68A9DB-4D43-4DCA-B41E-5C773203ECE2}"/>
    <cellStyle name="Style 95 2 3 4" xfId="5236" xr:uid="{32332952-2FB8-4881-A326-2D9CD15ED668}"/>
    <cellStyle name="Style 95 2 3 4 2" xfId="13862" xr:uid="{81AFD4E4-03E7-465E-B35D-60E0718EE985}"/>
    <cellStyle name="Style 95 2 3 4 2 2" xfId="29692" xr:uid="{8AC46FA2-E868-46D3-A449-D6B544EE63EB}"/>
    <cellStyle name="Style 95 2 3 4 3" xfId="13863" xr:uid="{112BFC19-A869-4025-80FA-EF4BB80E48AC}"/>
    <cellStyle name="Style 95 2 3 4 3 2" xfId="29693" xr:uid="{F0852954-8EBB-4C85-9ED1-6CF3117B55A8}"/>
    <cellStyle name="Style 95 2 3 4 4" xfId="13864" xr:uid="{BC241D7B-0369-4464-9DDE-A17D5FE07D78}"/>
    <cellStyle name="Style 95 2 3 4 4 2" xfId="29694" xr:uid="{5C7DA8A2-CDFF-422C-A67D-89AE209AB26B}"/>
    <cellStyle name="Style 95 2 3 5" xfId="13865" xr:uid="{E6F1B6AB-B038-4240-B783-F8B019CE26AC}"/>
    <cellStyle name="Style 95 2 3 5 2" xfId="13866" xr:uid="{A940427F-9F60-41F0-B9F8-692A8C584F7A}"/>
    <cellStyle name="Style 95 2 3 5 2 2" xfId="29695" xr:uid="{AEECB7ED-9872-49FF-9829-E70485D22C5A}"/>
    <cellStyle name="Style 95 2 3 5 3" xfId="13867" xr:uid="{F86481A3-47FA-41CB-BB41-A40220C47E03}"/>
    <cellStyle name="Style 95 2 3 5 3 2" xfId="29696" xr:uid="{86AC20DA-20AC-4DB7-917A-267A49A4083D}"/>
    <cellStyle name="Style 95 2 3 6" xfId="13868" xr:uid="{B12794C0-D1E4-4F6D-A8A6-E83937396FD4}"/>
    <cellStyle name="Style 95 2 3 6 2" xfId="13869" xr:uid="{3784DBFD-1A9C-40E5-AC3C-C9440A826095}"/>
    <cellStyle name="Style 95 2 3 6 2 2" xfId="29698" xr:uid="{E90068DF-6976-4060-B09F-63DFD3E17A23}"/>
    <cellStyle name="Style 95 2 3 6 3" xfId="29697" xr:uid="{4EB5AD23-71FC-4D59-8F64-447B1B55BF56}"/>
    <cellStyle name="Style 95 2 3 7" xfId="13870" xr:uid="{76CD9C06-B906-41AA-8EDB-D2CB9E80FB21}"/>
    <cellStyle name="Style 95 2 3 7 2" xfId="13871" xr:uid="{61329139-CC91-4348-8C91-7ABB39BB67F7}"/>
    <cellStyle name="Style 95 2 3 7 2 2" xfId="29700" xr:uid="{6608C705-7F55-402F-811D-E2EE4A0A9A62}"/>
    <cellStyle name="Style 95 2 3 7 3" xfId="29699" xr:uid="{ACC38AAF-18E9-45E5-AE89-4DD78D2E8D3B}"/>
    <cellStyle name="Style 95 2 3 8" xfId="13872" xr:uid="{313485E1-5FDF-4D69-9317-DC84CFE52D6F}"/>
    <cellStyle name="Style 95 2 3 8 2" xfId="13873" xr:uid="{D8DABAD5-2E41-4E5F-AED3-6EB67839AFDE}"/>
    <cellStyle name="Style 95 2 3 8 2 2" xfId="29702" xr:uid="{A567AA4E-E005-498E-8F54-1597DD3A0E96}"/>
    <cellStyle name="Style 95 2 3 8 3" xfId="29701" xr:uid="{EEB8A0D8-B7C6-463A-BBCA-BC6FF7663D61}"/>
    <cellStyle name="Style 95 2 3 9" xfId="13874" xr:uid="{F01BB038-4839-4EE6-B62B-2C39021AED7D}"/>
    <cellStyle name="Style 95 2 3 9 2" xfId="13875" xr:uid="{BA276F3C-0325-49CB-AB43-270B6085018F}"/>
    <cellStyle name="Style 95 2 3 9 2 2" xfId="29704" xr:uid="{178B5AED-C558-4077-BCC5-FFD3712FD5BC}"/>
    <cellStyle name="Style 95 2 3 9 3" xfId="29703" xr:uid="{BA5A94E1-8EEA-4222-A184-2F99A69306F1}"/>
    <cellStyle name="Style 95 2 4" xfId="2408" xr:uid="{3AAEEB16-63C0-48B2-9418-F20CCA8F536C}"/>
    <cellStyle name="Style 95 2 4 10" xfId="13876" xr:uid="{DD7D34FD-F677-46EC-A5CA-A89011062A4D}"/>
    <cellStyle name="Style 95 2 4 10 2" xfId="29705" xr:uid="{CDA719B2-B20E-4F4B-A861-88894391F079}"/>
    <cellStyle name="Style 95 2 4 2" xfId="2409" xr:uid="{1A1B00AE-2674-47BB-9A07-8B6FA13DF87F}"/>
    <cellStyle name="Style 95 2 4 2 2" xfId="5241" xr:uid="{C6C704AE-EAF4-4793-AA0C-739A0AE90BBE}"/>
    <cellStyle name="Style 95 2 4 2 2 2" xfId="13877" xr:uid="{D7D4D805-B70D-4EAD-A960-DBF61F3BD6F7}"/>
    <cellStyle name="Style 95 2 4 2 2 2 2" xfId="29706" xr:uid="{9154C977-7C90-4455-8CA0-8385B33D5EC4}"/>
    <cellStyle name="Style 95 2 4 2 2 3" xfId="13878" xr:uid="{29AD553B-87A9-4ECC-8EF3-DDC8F06CE23F}"/>
    <cellStyle name="Style 95 2 4 2 2 3 2" xfId="29707" xr:uid="{46B630EA-AD56-416C-A09B-0033E9B8F493}"/>
    <cellStyle name="Style 95 2 4 2 2 4" xfId="13879" xr:uid="{698E3072-C909-48C2-BE9C-8DAA409D59FD}"/>
    <cellStyle name="Style 95 2 4 2 2 4 2" xfId="29708" xr:uid="{4CB2B68F-A962-4844-838E-213D7B6AFD1F}"/>
    <cellStyle name="Style 95 2 4 2 3" xfId="13880" xr:uid="{49A01F3D-F5AE-4D3A-BB55-312C8F085125}"/>
    <cellStyle name="Style 95 2 4 2 3 2" xfId="13881" xr:uid="{2405BEA4-32C7-412C-B4C9-A1CA6023FEF3}"/>
    <cellStyle name="Style 95 2 4 2 3 2 2" xfId="29709" xr:uid="{3C515903-1B9C-458D-9E5F-BB5C39DB60AD}"/>
    <cellStyle name="Style 95 2 4 2 3 3" xfId="13882" xr:uid="{A5389903-BAFF-46E4-8732-63C983485C8F}"/>
    <cellStyle name="Style 95 2 4 2 3 3 2" xfId="29710" xr:uid="{8022F6E0-E0CC-422A-B34B-06601E5C7147}"/>
    <cellStyle name="Style 95 2 4 2 4" xfId="13883" xr:uid="{09108469-624D-4491-ABE8-0A4B69489AAC}"/>
    <cellStyle name="Style 95 2 4 2 4 2" xfId="13884" xr:uid="{049478D0-B300-4E48-AE31-D2BB3C19E30E}"/>
    <cellStyle name="Style 95 2 4 2 4 2 2" xfId="29712" xr:uid="{96795D38-F286-4A8A-9108-0ADDD5E4641A}"/>
    <cellStyle name="Style 95 2 4 2 4 3" xfId="29711" xr:uid="{CD64C6F7-E115-4CB2-82D3-5929BACD0A94}"/>
    <cellStyle name="Style 95 2 4 2 5" xfId="13885" xr:uid="{1056864E-86C0-493F-A828-B263A2D21247}"/>
    <cellStyle name="Style 95 2 4 2 5 2" xfId="13886" xr:uid="{121B70CF-CF79-4431-B65F-EF1FC1AEBD1D}"/>
    <cellStyle name="Style 95 2 4 2 5 2 2" xfId="29714" xr:uid="{F14243B4-7425-4F03-A6EF-272494B8CCCB}"/>
    <cellStyle name="Style 95 2 4 2 5 3" xfId="29713" xr:uid="{F1BFC6CA-95E2-44DE-BEBB-B15ED56D9B72}"/>
    <cellStyle name="Style 95 2 4 2 6" xfId="13887" xr:uid="{77E93B8A-C609-4137-8ABC-0616C8763F40}"/>
    <cellStyle name="Style 95 2 4 2 6 2" xfId="13888" xr:uid="{D9D88118-42C9-4AFF-9B24-E6BC411BBF22}"/>
    <cellStyle name="Style 95 2 4 2 6 2 2" xfId="29716" xr:uid="{C6200095-E7AB-49D7-AADC-0F9A003970A9}"/>
    <cellStyle name="Style 95 2 4 2 6 3" xfId="29715" xr:uid="{B16EFF4B-09F9-4F9F-89E4-E3FBDE050360}"/>
    <cellStyle name="Style 95 2 4 2 7" xfId="13889" xr:uid="{E9889C14-ED58-439A-958C-E6B062EA88F8}"/>
    <cellStyle name="Style 95 2 4 2 7 2" xfId="29717" xr:uid="{702A3139-1724-4C2F-A7F7-2B052A4F4A79}"/>
    <cellStyle name="Style 95 2 4 2 8" xfId="13890" xr:uid="{8EF8C1BB-A666-4022-99DF-4F621285FFF4}"/>
    <cellStyle name="Style 95 2 4 2 8 2" xfId="29718" xr:uid="{00C7E727-259A-41D6-99EC-5562195B6DDB}"/>
    <cellStyle name="Style 95 2 4 3" xfId="5240" xr:uid="{ABAFA9D2-E253-4363-8ACF-55862133C411}"/>
    <cellStyle name="Style 95 2 4 3 2" xfId="13891" xr:uid="{7E2EF26C-296E-4EE0-BAFF-CFD15C5E2857}"/>
    <cellStyle name="Style 95 2 4 3 2 2" xfId="29719" xr:uid="{0E0D180A-7003-4935-A86B-D811E160612C}"/>
    <cellStyle name="Style 95 2 4 3 3" xfId="13892" xr:uid="{CB2569C3-8DBD-4560-9256-F37B1F709702}"/>
    <cellStyle name="Style 95 2 4 3 3 2" xfId="29720" xr:uid="{F58BFB12-AAAD-4FBE-98B7-DFFE95434252}"/>
    <cellStyle name="Style 95 2 4 3 4" xfId="13893" xr:uid="{15C100EE-3425-4BCF-9144-06828FBF1EC3}"/>
    <cellStyle name="Style 95 2 4 3 4 2" xfId="29721" xr:uid="{40D9B3A0-A8F0-462B-9B75-DCA8CBC27C5D}"/>
    <cellStyle name="Style 95 2 4 4" xfId="13894" xr:uid="{F59B5544-94BC-4389-9724-FF6E9AD34D60}"/>
    <cellStyle name="Style 95 2 4 4 2" xfId="13895" xr:uid="{E6E0CCA2-377E-45D8-A47D-1D2ADADAF0E0}"/>
    <cellStyle name="Style 95 2 4 4 2 2" xfId="29722" xr:uid="{707C645D-6FA0-4A2F-BF24-02B6DD7B7F66}"/>
    <cellStyle name="Style 95 2 4 4 3" xfId="13896" xr:uid="{9C98232D-A9F7-4BB4-BA81-E3812BB5D884}"/>
    <cellStyle name="Style 95 2 4 4 3 2" xfId="29723" xr:uid="{F050A3EE-398F-4A53-B40D-7D33B6ECB66F}"/>
    <cellStyle name="Style 95 2 4 5" xfId="13897" xr:uid="{46C4DF18-1D3A-4A72-AC14-B01F4FAFC8AE}"/>
    <cellStyle name="Style 95 2 4 5 2" xfId="13898" xr:uid="{6FCBE335-3429-4504-B164-DB081FE9EE4F}"/>
    <cellStyle name="Style 95 2 4 5 2 2" xfId="29725" xr:uid="{DB2B237E-8756-40A4-ADB1-AC36B2FB4AA3}"/>
    <cellStyle name="Style 95 2 4 5 3" xfId="29724" xr:uid="{10C294E1-B0F7-4ECB-993A-A83AA9C67B93}"/>
    <cellStyle name="Style 95 2 4 6" xfId="13899" xr:uid="{532F4715-91C4-4279-A743-42A118CD9E3E}"/>
    <cellStyle name="Style 95 2 4 6 2" xfId="13900" xr:uid="{A0DBCB5F-9703-4ED3-9D65-B9363FA670E3}"/>
    <cellStyle name="Style 95 2 4 6 2 2" xfId="29727" xr:uid="{19EF32FC-10D4-4EFE-A94B-D8F9150DB7EE}"/>
    <cellStyle name="Style 95 2 4 6 3" xfId="29726" xr:uid="{93EBC348-A5EA-44C3-BC56-A44C1199BD98}"/>
    <cellStyle name="Style 95 2 4 7" xfId="13901" xr:uid="{DFFCCDD1-D123-401D-AD68-E6881A6ADC10}"/>
    <cellStyle name="Style 95 2 4 7 2" xfId="13902" xr:uid="{EF7767AB-347D-4517-AE88-06FBECFAC2C3}"/>
    <cellStyle name="Style 95 2 4 7 2 2" xfId="29729" xr:uid="{DBDE27AD-9A36-4B18-A5DE-71EDCF3C1ACC}"/>
    <cellStyle name="Style 95 2 4 7 3" xfId="29728" xr:uid="{C45480A7-C1D3-4256-8DCF-32D21C4BAFB2}"/>
    <cellStyle name="Style 95 2 4 8" xfId="13903" xr:uid="{AF2BCB2D-1D7B-4AC9-A0B3-0276DE29B814}"/>
    <cellStyle name="Style 95 2 4 8 2" xfId="13904" xr:uid="{44EB4CBB-43B4-4035-9A94-8F469CF55EFB}"/>
    <cellStyle name="Style 95 2 4 8 2 2" xfId="29731" xr:uid="{DFD02B6E-495D-4983-B813-067BCD366701}"/>
    <cellStyle name="Style 95 2 4 8 3" xfId="29730" xr:uid="{734FD42F-4624-45F0-84C8-5AC602231D45}"/>
    <cellStyle name="Style 95 2 4 9" xfId="13905" xr:uid="{3D7B5AA7-34E0-4D44-9617-0EBD5DE918CE}"/>
    <cellStyle name="Style 95 2 4 9 2" xfId="29732" xr:uid="{291E930C-91D1-4652-8E82-DADFC1701D6A}"/>
    <cellStyle name="Style 95 2 5" xfId="2410" xr:uid="{E53D1C4F-A792-4A7C-B40D-A77CC921529E}"/>
    <cellStyle name="Style 95 2 5 2" xfId="5242" xr:uid="{89FBEBD2-D01F-4CE0-A1A6-7D04CC0CB74B}"/>
    <cellStyle name="Style 95 2 5 2 2" xfId="13906" xr:uid="{66980192-6A94-4BE9-82C8-4A87D9AB47B1}"/>
    <cellStyle name="Style 95 2 5 2 2 2" xfId="29733" xr:uid="{CA2BBF94-728D-4596-BCF3-5F9FFF44CA6B}"/>
    <cellStyle name="Style 95 2 5 2 3" xfId="13907" xr:uid="{69B591FB-18E8-435F-A853-9607CCECBEAD}"/>
    <cellStyle name="Style 95 2 5 2 3 2" xfId="29734" xr:uid="{F3E6BBFB-149E-4EEC-9C42-9D768AC12138}"/>
    <cellStyle name="Style 95 2 5 2 4" xfId="13908" xr:uid="{9B4802D3-10C9-4C79-8D18-F025CEED500E}"/>
    <cellStyle name="Style 95 2 5 2 4 2" xfId="29735" xr:uid="{B8946B98-0B35-4327-9A23-5806D5F6D3A5}"/>
    <cellStyle name="Style 95 2 5 3" xfId="13909" xr:uid="{EAFFDF93-5833-4307-9262-3EC5782818F2}"/>
    <cellStyle name="Style 95 2 5 3 2" xfId="13910" xr:uid="{03980B9A-1EC3-488F-822C-94A7EACF0839}"/>
    <cellStyle name="Style 95 2 5 3 2 2" xfId="29736" xr:uid="{7DEA4D51-B9E1-4784-B292-5A7C1838B223}"/>
    <cellStyle name="Style 95 2 5 3 3" xfId="13911" xr:uid="{86D94B10-114C-4498-B815-78B612ED6541}"/>
    <cellStyle name="Style 95 2 5 3 3 2" xfId="29737" xr:uid="{4474A6DA-97F8-4B7E-A40F-36C60C924D10}"/>
    <cellStyle name="Style 95 2 5 4" xfId="13912" xr:uid="{52BA6A33-410C-4285-B018-6D4F9D686EFA}"/>
    <cellStyle name="Style 95 2 5 4 2" xfId="13913" xr:uid="{B92F5F9D-789F-424C-A1CC-4BB089CB826D}"/>
    <cellStyle name="Style 95 2 5 4 2 2" xfId="29739" xr:uid="{E5866CFE-956B-4E7E-A646-70E86DB6495A}"/>
    <cellStyle name="Style 95 2 5 4 3" xfId="29738" xr:uid="{CF5E92AE-72A9-4565-87D6-F2C697A5EC5D}"/>
    <cellStyle name="Style 95 2 5 5" xfId="13914" xr:uid="{6A5DCF90-532F-45A7-9175-88E56FA5F377}"/>
    <cellStyle name="Style 95 2 5 5 2" xfId="13915" xr:uid="{50B3D42C-4495-497B-9328-AA85B86A6933}"/>
    <cellStyle name="Style 95 2 5 5 2 2" xfId="29741" xr:uid="{910ECB73-20C9-4EFA-BDD5-933B66D40A0A}"/>
    <cellStyle name="Style 95 2 5 5 3" xfId="29740" xr:uid="{14516AD5-EE7B-4AEB-A68F-62B55F39C993}"/>
    <cellStyle name="Style 95 2 5 6" xfId="13916" xr:uid="{D3D0D8D3-12FC-47D2-BFBF-A7BA94B78C8B}"/>
    <cellStyle name="Style 95 2 5 6 2" xfId="13917" xr:uid="{F458AA98-9AB3-40B8-BE3A-4FE8D9735417}"/>
    <cellStyle name="Style 95 2 5 6 2 2" xfId="29743" xr:uid="{91532876-6A6B-41B8-9F77-B2439A2A78C2}"/>
    <cellStyle name="Style 95 2 5 6 3" xfId="29742" xr:uid="{2BF2CAEB-9391-45D0-92E9-1BE7EC86288D}"/>
    <cellStyle name="Style 95 2 5 7" xfId="13918" xr:uid="{59BB3075-8F8B-46EB-AFC9-B751D048816D}"/>
    <cellStyle name="Style 95 2 5 7 2" xfId="29744" xr:uid="{D9CE3F87-5B73-4693-998B-5867DAC673FE}"/>
    <cellStyle name="Style 95 2 5 8" xfId="13919" xr:uid="{2DC3218C-445D-41AA-856A-0A2CFDF09513}"/>
    <cellStyle name="Style 95 2 5 8 2" xfId="29745" xr:uid="{A033CB0E-E481-45A9-8369-4DE16546AC53}"/>
    <cellStyle name="Style 95 2 6" xfId="5227" xr:uid="{C98E208B-F977-44DA-AC9E-AFB42F9644F0}"/>
    <cellStyle name="Style 95 2 6 2" xfId="13920" xr:uid="{8E1E78FB-ACB8-457D-B37C-C90B7424F7DD}"/>
    <cellStyle name="Style 95 2 6 2 2" xfId="29746" xr:uid="{E9F843B3-C6E8-4C63-9D38-282BC558E282}"/>
    <cellStyle name="Style 95 2 6 3" xfId="13921" xr:uid="{52B0FA86-023E-4522-B83B-BD07D5E63872}"/>
    <cellStyle name="Style 95 2 6 3 2" xfId="29747" xr:uid="{181F5A5D-3EAD-4156-B16F-A5212D9F54B9}"/>
    <cellStyle name="Style 95 2 6 4" xfId="13922" xr:uid="{9F0C5D78-C503-45F7-8084-F6AF71A28728}"/>
    <cellStyle name="Style 95 2 6 4 2" xfId="29748" xr:uid="{EDEB71E4-4ACE-43A1-89FE-2DC027F09180}"/>
    <cellStyle name="Style 95 2 7" xfId="13923" xr:uid="{A27EE11B-8F69-46D6-AADD-C686E0BFF3D6}"/>
    <cellStyle name="Style 95 2 7 2" xfId="13924" xr:uid="{44AA888A-EA2D-4D15-8E2B-5136F0FDAFDB}"/>
    <cellStyle name="Style 95 2 7 2 2" xfId="29749" xr:uid="{80C4D8CF-511E-4261-8338-36BCCA7E91E8}"/>
    <cellStyle name="Style 95 2 7 3" xfId="13925" xr:uid="{D1BAF999-899F-477C-A709-408A6380D0C8}"/>
    <cellStyle name="Style 95 2 7 3 2" xfId="29750" xr:uid="{700ECBEC-ED69-4AA7-8EB1-51059C1ED358}"/>
    <cellStyle name="Style 95 2 8" xfId="13926" xr:uid="{C3C91E45-AEFF-4DA3-966C-ACD184685171}"/>
    <cellStyle name="Style 95 2 8 2" xfId="13927" xr:uid="{A69A5523-6748-4DE2-8370-8088DFFB14F4}"/>
    <cellStyle name="Style 95 2 8 2 2" xfId="29752" xr:uid="{40E4247C-C742-42B5-A8F1-7BB11B597EE8}"/>
    <cellStyle name="Style 95 2 8 3" xfId="29751" xr:uid="{AEB7FA00-4B98-4C08-909A-EB7604D997D8}"/>
    <cellStyle name="Style 95 2 9" xfId="13928" xr:uid="{EF2A028E-1945-4575-A586-25A2DD6170EA}"/>
    <cellStyle name="Style 95 2 9 2" xfId="13929" xr:uid="{7A528B22-F838-45D6-80B2-EC718C23FD91}"/>
    <cellStyle name="Style 95 2 9 2 2" xfId="29754" xr:uid="{C0568A46-E795-4E78-8D80-F44F35C904C9}"/>
    <cellStyle name="Style 95 2 9 3" xfId="29753" xr:uid="{2B2FAD72-7B06-437F-B288-FE745D0915C5}"/>
    <cellStyle name="Style 95 3" xfId="2411" xr:uid="{C474FEF6-748E-44D0-B821-4C9F88BD8AB5}"/>
    <cellStyle name="Style 95 3 10" xfId="13930" xr:uid="{BA74FF82-F31D-4BD6-8833-73BF63077DBD}"/>
    <cellStyle name="Style 95 3 10 2" xfId="13931" xr:uid="{90A9FD53-4FD5-41DC-8BC0-BA1A17823290}"/>
    <cellStyle name="Style 95 3 10 2 2" xfId="29756" xr:uid="{81E0ADB5-7D9F-4EB5-A401-7E20E6F04E63}"/>
    <cellStyle name="Style 95 3 10 3" xfId="29755" xr:uid="{C031B1F4-DBA0-4270-9D91-EB0540C2FABF}"/>
    <cellStyle name="Style 95 3 11" xfId="13932" xr:uid="{37D7F7A4-A952-4E0E-8C42-A5E9E70FC243}"/>
    <cellStyle name="Style 95 3 11 2" xfId="13933" xr:uid="{04FC43E6-C4E9-4D90-95A6-D537747EB6E3}"/>
    <cellStyle name="Style 95 3 11 2 2" xfId="29758" xr:uid="{5FD32020-0AEC-4061-AB67-0CD0FF93FDE3}"/>
    <cellStyle name="Style 95 3 11 3" xfId="29757" xr:uid="{0819B0E6-50BA-4F96-B64B-7FB977EEB896}"/>
    <cellStyle name="Style 95 3 12" xfId="13934" xr:uid="{C6F89ECA-8649-45D9-BEE8-1E0C1B8B7048}"/>
    <cellStyle name="Style 95 3 12 2" xfId="29759" xr:uid="{84D30D95-7918-4188-8DBD-68A655AE1D7D}"/>
    <cellStyle name="Style 95 3 13" xfId="13935" xr:uid="{DCDAA5AF-C5D5-43A4-AA14-7ADC19A16723}"/>
    <cellStyle name="Style 95 3 13 2" xfId="29760" xr:uid="{AB712F4D-5249-4091-91C3-0A5F1CC8546F}"/>
    <cellStyle name="Style 95 3 2" xfId="2412" xr:uid="{23A866A3-8724-448D-B2FC-181CC7A1FC8A}"/>
    <cellStyle name="Style 95 3 2 10" xfId="13936" xr:uid="{38284298-97CE-46E7-A401-7CED50AF454F}"/>
    <cellStyle name="Style 95 3 2 10 2" xfId="13937" xr:uid="{0953F45A-EE78-48AC-A316-FCFAEA233803}"/>
    <cellStyle name="Style 95 3 2 10 2 2" xfId="29762" xr:uid="{D0EE5896-BE28-401E-88D4-E832EE109BFF}"/>
    <cellStyle name="Style 95 3 2 10 3" xfId="29761" xr:uid="{A5499F21-A2CA-401E-9CDD-F301C1B51A84}"/>
    <cellStyle name="Style 95 3 2 11" xfId="13938" xr:uid="{137C5419-269C-40BA-87D6-49201212B0D5}"/>
    <cellStyle name="Style 95 3 2 11 2" xfId="29763" xr:uid="{B08D52E0-E8FC-4BD6-BA53-A80F55416903}"/>
    <cellStyle name="Style 95 3 2 12" xfId="13939" xr:uid="{0B1DE51E-1DC8-4F5A-9A39-D89F6BE153F7}"/>
    <cellStyle name="Style 95 3 2 12 2" xfId="29764" xr:uid="{CCBF1521-A050-49D5-BAFC-322983D65125}"/>
    <cellStyle name="Style 95 3 2 2" xfId="2413" xr:uid="{5277E082-4126-4007-ABDF-5B0DE0730124}"/>
    <cellStyle name="Style 95 3 2 2 10" xfId="13940" xr:uid="{4B3B79D1-5350-4419-9435-42F23FAD4AF1}"/>
    <cellStyle name="Style 95 3 2 2 10 2" xfId="29765" xr:uid="{929FC34D-123D-46E3-92B5-AF287C1151C7}"/>
    <cellStyle name="Style 95 3 2 2 11" xfId="13941" xr:uid="{694E504B-6DAB-4C55-B013-B62C11B5C69B}"/>
    <cellStyle name="Style 95 3 2 2 11 2" xfId="29766" xr:uid="{62C0727F-53D1-47B8-BAF6-3DCC15A11BDE}"/>
    <cellStyle name="Style 95 3 2 2 2" xfId="2414" xr:uid="{90D3CF43-CC86-483F-A26D-7D930054A549}"/>
    <cellStyle name="Style 95 3 2 2 2 10" xfId="13942" xr:uid="{C94F444A-5479-4331-8838-35C7B861957B}"/>
    <cellStyle name="Style 95 3 2 2 2 10 2" xfId="29767" xr:uid="{32EE6D47-BE27-4CB5-8F6A-8FF9EE79ED70}"/>
    <cellStyle name="Style 95 3 2 2 2 2" xfId="2415" xr:uid="{CCDD2A47-B878-4AF4-8743-53200B2EAF98}"/>
    <cellStyle name="Style 95 3 2 2 2 2 2" xfId="5247" xr:uid="{9411D848-1DED-4438-BC28-ED5FE90EE8C5}"/>
    <cellStyle name="Style 95 3 2 2 2 2 2 2" xfId="13943" xr:uid="{9FB4EB7D-8440-4B75-B38F-15D434F040DE}"/>
    <cellStyle name="Style 95 3 2 2 2 2 2 2 2" xfId="29768" xr:uid="{1EA9C6B5-AF7E-45AF-BDED-4517ECFC7AC7}"/>
    <cellStyle name="Style 95 3 2 2 2 2 2 3" xfId="13944" xr:uid="{9DA86A5A-472B-49B8-B353-E90EC0D2D326}"/>
    <cellStyle name="Style 95 3 2 2 2 2 2 3 2" xfId="29769" xr:uid="{C2B184F7-F431-4421-9D12-306B34A66FA6}"/>
    <cellStyle name="Style 95 3 2 2 2 2 2 4" xfId="13945" xr:uid="{8D896DEF-5E1F-4E68-B81D-AFB39188DA9C}"/>
    <cellStyle name="Style 95 3 2 2 2 2 2 4 2" xfId="29770" xr:uid="{1EA83802-17C0-45A8-9E33-F98D9240CDF5}"/>
    <cellStyle name="Style 95 3 2 2 2 2 3" xfId="13946" xr:uid="{C59397D3-F40B-4992-9082-D7620E95017F}"/>
    <cellStyle name="Style 95 3 2 2 2 2 3 2" xfId="13947" xr:uid="{EF889891-C927-459E-B107-0A0B85182FBD}"/>
    <cellStyle name="Style 95 3 2 2 2 2 3 2 2" xfId="29771" xr:uid="{B4A5D000-2A91-4FD8-8ACA-ED1C5BB01C04}"/>
    <cellStyle name="Style 95 3 2 2 2 2 3 3" xfId="13948" xr:uid="{1AD172EA-F007-4823-98A4-5CC9FF439289}"/>
    <cellStyle name="Style 95 3 2 2 2 2 3 3 2" xfId="29772" xr:uid="{70D72DC3-58AD-4FE3-A5BB-E52B3F315E1F}"/>
    <cellStyle name="Style 95 3 2 2 2 2 4" xfId="13949" xr:uid="{A09EC81C-FDD4-463A-B235-D01AE957146B}"/>
    <cellStyle name="Style 95 3 2 2 2 2 4 2" xfId="13950" xr:uid="{0B08EBE3-383A-4E32-A313-DE0CB2862435}"/>
    <cellStyle name="Style 95 3 2 2 2 2 4 2 2" xfId="29774" xr:uid="{83406374-90D0-43DB-AB98-145BDC318955}"/>
    <cellStyle name="Style 95 3 2 2 2 2 4 3" xfId="29773" xr:uid="{99F9FF81-F623-41F9-B10B-D2C5DCFE8D30}"/>
    <cellStyle name="Style 95 3 2 2 2 2 5" xfId="13951" xr:uid="{ED24BE5A-7CA5-4F13-B5F0-EF7C4ED38B96}"/>
    <cellStyle name="Style 95 3 2 2 2 2 5 2" xfId="13952" xr:uid="{1D6E1F6E-4DB0-485A-BDE9-975AC3F9DFA4}"/>
    <cellStyle name="Style 95 3 2 2 2 2 5 2 2" xfId="29776" xr:uid="{E58B301E-0FAE-4904-9FF7-86901695FD71}"/>
    <cellStyle name="Style 95 3 2 2 2 2 5 3" xfId="29775" xr:uid="{5C767521-1387-4EFA-9562-A8C154BBB9F8}"/>
    <cellStyle name="Style 95 3 2 2 2 2 6" xfId="13953" xr:uid="{7578F19F-0B0D-4C43-AB45-8A011588B0CE}"/>
    <cellStyle name="Style 95 3 2 2 2 2 6 2" xfId="13954" xr:uid="{59516123-CB60-4DD6-A895-38EE4BE2EC0C}"/>
    <cellStyle name="Style 95 3 2 2 2 2 6 2 2" xfId="29778" xr:uid="{1B5C1D21-A975-4402-9A1F-88D568F9F1DC}"/>
    <cellStyle name="Style 95 3 2 2 2 2 6 3" xfId="29777" xr:uid="{DA19EC86-23B7-4D99-815E-130CED22DD4F}"/>
    <cellStyle name="Style 95 3 2 2 2 2 7" xfId="13955" xr:uid="{2F6B26A5-A9DB-45C5-8C3D-89AA6A325F40}"/>
    <cellStyle name="Style 95 3 2 2 2 2 7 2" xfId="29779" xr:uid="{A0134D19-A663-4E5F-9455-EF71B2CF7397}"/>
    <cellStyle name="Style 95 3 2 2 2 2 8" xfId="13956" xr:uid="{27EF7811-6F0B-4637-B3F2-5BF281AE93EE}"/>
    <cellStyle name="Style 95 3 2 2 2 2 8 2" xfId="29780" xr:uid="{317FF76C-3EBC-4C89-80BA-B8791198C41F}"/>
    <cellStyle name="Style 95 3 2 2 2 3" xfId="5246" xr:uid="{4B1D46BB-0D2D-4267-AF1E-25832D700D30}"/>
    <cellStyle name="Style 95 3 2 2 2 3 2" xfId="13957" xr:uid="{EA99A502-19F1-4CBC-B465-1518ED35D6BE}"/>
    <cellStyle name="Style 95 3 2 2 2 3 2 2" xfId="29781" xr:uid="{C4883270-718F-435E-B15F-BC24B5F66C81}"/>
    <cellStyle name="Style 95 3 2 2 2 3 3" xfId="13958" xr:uid="{B10B1EC8-F685-4506-8C93-7814985FA81E}"/>
    <cellStyle name="Style 95 3 2 2 2 3 3 2" xfId="29782" xr:uid="{8861FC71-0A62-4E26-8D73-36EAF40F5D5B}"/>
    <cellStyle name="Style 95 3 2 2 2 3 4" xfId="13959" xr:uid="{790ED483-4DDF-49F0-85C0-65871D0C9DB3}"/>
    <cellStyle name="Style 95 3 2 2 2 3 4 2" xfId="29783" xr:uid="{45F8E860-48AA-4BF8-9951-280A8B5FE697}"/>
    <cellStyle name="Style 95 3 2 2 2 4" xfId="13960" xr:uid="{199986F0-7499-4210-BD37-67E9377E2547}"/>
    <cellStyle name="Style 95 3 2 2 2 4 2" xfId="13961" xr:uid="{FC18C4D3-EF27-40B3-9DD8-871BCCBE8811}"/>
    <cellStyle name="Style 95 3 2 2 2 4 2 2" xfId="29784" xr:uid="{E4B688FF-A534-4D43-AFCA-487BA83B4ECE}"/>
    <cellStyle name="Style 95 3 2 2 2 4 3" xfId="13962" xr:uid="{717AFB88-2A22-4230-9F93-F1891A191B95}"/>
    <cellStyle name="Style 95 3 2 2 2 4 3 2" xfId="29785" xr:uid="{0405925C-90FB-4E88-B6F1-F922D5A45B99}"/>
    <cellStyle name="Style 95 3 2 2 2 5" xfId="13963" xr:uid="{D7882E4F-74CF-46E6-A3EC-B99E984AA86A}"/>
    <cellStyle name="Style 95 3 2 2 2 5 2" xfId="13964" xr:uid="{ED60491D-B034-4816-B061-0DB25A792066}"/>
    <cellStyle name="Style 95 3 2 2 2 5 2 2" xfId="29787" xr:uid="{16DE42AE-C91D-48D2-911C-0EBB143917A0}"/>
    <cellStyle name="Style 95 3 2 2 2 5 3" xfId="29786" xr:uid="{B6B2C5A4-3722-4FC3-89DE-EEEDEC0CBA61}"/>
    <cellStyle name="Style 95 3 2 2 2 6" xfId="13965" xr:uid="{1ACDE682-9C22-4CA7-89ED-755970C73293}"/>
    <cellStyle name="Style 95 3 2 2 2 6 2" xfId="13966" xr:uid="{8F7956DF-7521-46E5-A8CC-922C2E25F30B}"/>
    <cellStyle name="Style 95 3 2 2 2 6 2 2" xfId="29789" xr:uid="{80DC1E84-C5F5-42D3-AC89-4B4786A602CC}"/>
    <cellStyle name="Style 95 3 2 2 2 6 3" xfId="29788" xr:uid="{D0F226D4-9EB4-4DF0-AF3F-EB472A728DB3}"/>
    <cellStyle name="Style 95 3 2 2 2 7" xfId="13967" xr:uid="{FB9FE1C6-B9CD-44AA-A417-998F9DED097B}"/>
    <cellStyle name="Style 95 3 2 2 2 7 2" xfId="13968" xr:uid="{1527D417-E392-4A42-A19D-B1AF94A83286}"/>
    <cellStyle name="Style 95 3 2 2 2 7 2 2" xfId="29791" xr:uid="{4837EF11-8C5C-4C75-89B4-D11D1B47697C}"/>
    <cellStyle name="Style 95 3 2 2 2 7 3" xfId="29790" xr:uid="{9FE628DE-F7B4-40C1-BA9C-6D8059464617}"/>
    <cellStyle name="Style 95 3 2 2 2 8" xfId="13969" xr:uid="{BCE61C76-173F-4552-99C3-9B20E39DF805}"/>
    <cellStyle name="Style 95 3 2 2 2 8 2" xfId="13970" xr:uid="{BEBB0977-0D4A-452D-B978-071653629B03}"/>
    <cellStyle name="Style 95 3 2 2 2 8 2 2" xfId="29793" xr:uid="{DECF1D32-0BD5-488A-B407-82DDB4B05AF4}"/>
    <cellStyle name="Style 95 3 2 2 2 8 3" xfId="29792" xr:uid="{54BEBC93-F19E-46F8-8D46-4E1728787224}"/>
    <cellStyle name="Style 95 3 2 2 2 9" xfId="13971" xr:uid="{3CB300A0-A356-4269-ACD5-25F4EFD9C048}"/>
    <cellStyle name="Style 95 3 2 2 2 9 2" xfId="29794" xr:uid="{558B503E-E788-4E0A-9327-821ED14563BC}"/>
    <cellStyle name="Style 95 3 2 2 3" xfId="2416" xr:uid="{9D21C628-4168-4243-9DB2-F5D0FB3B904A}"/>
    <cellStyle name="Style 95 3 2 2 3 2" xfId="5248" xr:uid="{C7EA2726-4C45-47F2-BD9F-56E44DB53B17}"/>
    <cellStyle name="Style 95 3 2 2 3 2 2" xfId="13972" xr:uid="{BA14AEC6-01FD-491B-B869-9FBB024ED630}"/>
    <cellStyle name="Style 95 3 2 2 3 2 2 2" xfId="29795" xr:uid="{00DF7675-03A2-43BB-ADBB-609C0D3E205D}"/>
    <cellStyle name="Style 95 3 2 2 3 2 3" xfId="13973" xr:uid="{9109C39C-6C44-4056-ABCB-5F9CD994E5AA}"/>
    <cellStyle name="Style 95 3 2 2 3 2 3 2" xfId="29796" xr:uid="{D0D704C5-E8FC-4ABD-8F1E-FC3F8B0C3765}"/>
    <cellStyle name="Style 95 3 2 2 3 2 4" xfId="13974" xr:uid="{BD820CED-C686-426D-B221-DFAD92389DC3}"/>
    <cellStyle name="Style 95 3 2 2 3 2 4 2" xfId="29797" xr:uid="{02F4378C-D905-4DCF-8D95-05F9347211CC}"/>
    <cellStyle name="Style 95 3 2 2 3 3" xfId="13975" xr:uid="{08DD01FA-440C-42FB-83D0-B8A93AA40B03}"/>
    <cellStyle name="Style 95 3 2 2 3 3 2" xfId="13976" xr:uid="{AECCFA02-D281-411D-8737-2451DDA133CE}"/>
    <cellStyle name="Style 95 3 2 2 3 3 2 2" xfId="29798" xr:uid="{54607CE1-921B-471F-946A-61BCF7C2E29F}"/>
    <cellStyle name="Style 95 3 2 2 3 3 3" xfId="13977" xr:uid="{E4FB2DAF-7CC4-4859-BFE7-CFDF96591BC9}"/>
    <cellStyle name="Style 95 3 2 2 3 3 3 2" xfId="29799" xr:uid="{1584A38E-8296-4718-AB10-2C816342A7B3}"/>
    <cellStyle name="Style 95 3 2 2 3 4" xfId="13978" xr:uid="{16B12269-3642-4028-9213-5C9C17878B73}"/>
    <cellStyle name="Style 95 3 2 2 3 4 2" xfId="13979" xr:uid="{8D185EC7-055F-4B5F-8928-3780F145B976}"/>
    <cellStyle name="Style 95 3 2 2 3 4 2 2" xfId="29801" xr:uid="{279391BD-887D-4958-B1D8-45A9DADA14A5}"/>
    <cellStyle name="Style 95 3 2 2 3 4 3" xfId="29800" xr:uid="{4E699F6D-6AA7-412D-9846-82484A0DBBB2}"/>
    <cellStyle name="Style 95 3 2 2 3 5" xfId="13980" xr:uid="{3038F86C-AF01-4964-8BFF-8FDF567A49D1}"/>
    <cellStyle name="Style 95 3 2 2 3 5 2" xfId="13981" xr:uid="{21C3F250-00BD-4279-8A76-61FB795EA186}"/>
    <cellStyle name="Style 95 3 2 2 3 5 2 2" xfId="29803" xr:uid="{9476D2CF-FA43-48BE-878D-DEBDAE3BCB41}"/>
    <cellStyle name="Style 95 3 2 2 3 5 3" xfId="29802" xr:uid="{6452EB98-80CD-45AB-BB2C-60BC4783B84C}"/>
    <cellStyle name="Style 95 3 2 2 3 6" xfId="13982" xr:uid="{F4530008-6041-40C9-B82F-639014C63960}"/>
    <cellStyle name="Style 95 3 2 2 3 6 2" xfId="13983" xr:uid="{3AA02262-C72C-47A9-A199-93F5A7A0FEB2}"/>
    <cellStyle name="Style 95 3 2 2 3 6 2 2" xfId="29805" xr:uid="{1EDAB50B-C26A-4823-BC24-919CE7126139}"/>
    <cellStyle name="Style 95 3 2 2 3 6 3" xfId="29804" xr:uid="{DF84EC88-E622-4E82-8BFC-9E5F8F90E8B8}"/>
    <cellStyle name="Style 95 3 2 2 3 7" xfId="13984" xr:uid="{04AC4964-CED8-4BFC-BCB8-AFD83F78AD9C}"/>
    <cellStyle name="Style 95 3 2 2 3 7 2" xfId="29806" xr:uid="{854EA5B5-E2AF-424A-AD61-8D3EBCDB0C6B}"/>
    <cellStyle name="Style 95 3 2 2 3 8" xfId="13985" xr:uid="{B0CFCB61-67AD-4FF7-91E5-267ED63EDD0A}"/>
    <cellStyle name="Style 95 3 2 2 3 8 2" xfId="29807" xr:uid="{6B01A0B6-08B7-49C4-A7E0-35079449F2BC}"/>
    <cellStyle name="Style 95 3 2 2 4" xfId="5245" xr:uid="{3E2DC3DF-D47E-4CCE-81DF-71A9DD54A783}"/>
    <cellStyle name="Style 95 3 2 2 4 2" xfId="13986" xr:uid="{D4172BCE-767D-48DC-A01E-8F26992796F8}"/>
    <cellStyle name="Style 95 3 2 2 4 2 2" xfId="29808" xr:uid="{E114E04E-696F-43C5-86C0-E3E6E58A8485}"/>
    <cellStyle name="Style 95 3 2 2 4 3" xfId="13987" xr:uid="{90979773-2E72-422F-BBE0-8490A20315B2}"/>
    <cellStyle name="Style 95 3 2 2 4 3 2" xfId="29809" xr:uid="{18BF616E-027A-4DA8-9467-066BF05121D5}"/>
    <cellStyle name="Style 95 3 2 2 4 4" xfId="13988" xr:uid="{A1308A95-CCF8-4EF8-B79B-F6117DC64D13}"/>
    <cellStyle name="Style 95 3 2 2 4 4 2" xfId="29810" xr:uid="{611B1456-F2F5-40CD-B683-BBB73D0D3982}"/>
    <cellStyle name="Style 95 3 2 2 5" xfId="13989" xr:uid="{06E57F9B-5777-448B-B50A-D25EF233EF86}"/>
    <cellStyle name="Style 95 3 2 2 5 2" xfId="13990" xr:uid="{8C4338E0-80E8-40AC-AAEE-4ED7FB2E1A13}"/>
    <cellStyle name="Style 95 3 2 2 5 2 2" xfId="29811" xr:uid="{928CE9D2-16D7-4F6B-8B76-C75F3B236393}"/>
    <cellStyle name="Style 95 3 2 2 5 3" xfId="13991" xr:uid="{695A4F7D-4CA2-45DA-84A1-C5D51F05CAA8}"/>
    <cellStyle name="Style 95 3 2 2 5 3 2" xfId="29812" xr:uid="{04CC974E-B4C7-4CED-8E4C-F65EBAB6571B}"/>
    <cellStyle name="Style 95 3 2 2 6" xfId="13992" xr:uid="{6A4AE653-7A0E-4E0D-8836-E972E7630B74}"/>
    <cellStyle name="Style 95 3 2 2 6 2" xfId="13993" xr:uid="{2693555F-06DF-4618-B8F2-DC28ED7FB7FA}"/>
    <cellStyle name="Style 95 3 2 2 6 2 2" xfId="29814" xr:uid="{4E59E7C8-E084-4470-BA3A-82D125C14303}"/>
    <cellStyle name="Style 95 3 2 2 6 3" xfId="29813" xr:uid="{609F117A-D7D0-4EC0-9031-768B66E4A58D}"/>
    <cellStyle name="Style 95 3 2 2 7" xfId="13994" xr:uid="{B1961345-E916-4E97-A7E1-43FC36C0FBC7}"/>
    <cellStyle name="Style 95 3 2 2 7 2" xfId="13995" xr:uid="{1F83DD0B-5511-4229-BD90-A2CC412A9CE2}"/>
    <cellStyle name="Style 95 3 2 2 7 2 2" xfId="29816" xr:uid="{29CCB8A4-0B6D-4F2C-AF8B-08B11D552528}"/>
    <cellStyle name="Style 95 3 2 2 7 3" xfId="29815" xr:uid="{64DD63EC-800E-4E08-8E2A-8C674AB3979F}"/>
    <cellStyle name="Style 95 3 2 2 8" xfId="13996" xr:uid="{193FA6DC-C7BB-47E6-B9CD-F2C8451F31D2}"/>
    <cellStyle name="Style 95 3 2 2 8 2" xfId="13997" xr:uid="{550EDACF-5B69-426C-B9F5-BE3628E422D4}"/>
    <cellStyle name="Style 95 3 2 2 8 2 2" xfId="29818" xr:uid="{23FE9481-2E63-432A-8F36-1ECB5631DE0F}"/>
    <cellStyle name="Style 95 3 2 2 8 3" xfId="29817" xr:uid="{87708FA6-EEF4-4008-B100-7CE46412E7EF}"/>
    <cellStyle name="Style 95 3 2 2 9" xfId="13998" xr:uid="{37B85A9A-BB73-4426-8D27-60466540BE93}"/>
    <cellStyle name="Style 95 3 2 2 9 2" xfId="13999" xr:uid="{A3BBF70D-6BB0-415D-B99D-B6582BCA4BC4}"/>
    <cellStyle name="Style 95 3 2 2 9 2 2" xfId="29820" xr:uid="{98588C17-429A-4622-B19C-0F81E447A8AA}"/>
    <cellStyle name="Style 95 3 2 2 9 3" xfId="29819" xr:uid="{3EF7CD80-0AF2-41CE-BBFB-D02826F14C2E}"/>
    <cellStyle name="Style 95 3 2 3" xfId="2417" xr:uid="{646732C1-3410-4E16-9818-4C1B197B74FF}"/>
    <cellStyle name="Style 95 3 2 3 10" xfId="14000" xr:uid="{0A95E2E6-15E4-4757-B671-47875109669A}"/>
    <cellStyle name="Style 95 3 2 3 10 2" xfId="29821" xr:uid="{ED783E94-BED0-4C0A-B139-B6C29C8FB8EA}"/>
    <cellStyle name="Style 95 3 2 3 2" xfId="2418" xr:uid="{11D792F7-64B4-4344-9D72-21B488FDF578}"/>
    <cellStyle name="Style 95 3 2 3 2 2" xfId="5250" xr:uid="{796391BC-803B-413A-8C71-B2497009AE98}"/>
    <cellStyle name="Style 95 3 2 3 2 2 2" xfId="14001" xr:uid="{A4995D2F-E1FD-46F8-A82A-52AF16D4B7A2}"/>
    <cellStyle name="Style 95 3 2 3 2 2 2 2" xfId="29822" xr:uid="{DDE0B2E9-566D-4D3A-BDBF-2CE14C2F6DF0}"/>
    <cellStyle name="Style 95 3 2 3 2 2 3" xfId="14002" xr:uid="{17016718-BA7D-4A62-813C-D48B891B329E}"/>
    <cellStyle name="Style 95 3 2 3 2 2 3 2" xfId="29823" xr:uid="{4FC60E2A-23AC-4A9D-BB54-DDAA9212A890}"/>
    <cellStyle name="Style 95 3 2 3 2 2 4" xfId="14003" xr:uid="{15E82DD0-E256-4592-8C28-B3AE9E1A5916}"/>
    <cellStyle name="Style 95 3 2 3 2 2 4 2" xfId="29824" xr:uid="{6A900722-1FE5-428D-9BFC-6F03EA4A2CF6}"/>
    <cellStyle name="Style 95 3 2 3 2 3" xfId="14004" xr:uid="{E6F0B22E-972A-4509-9BE4-3A305C72FCC4}"/>
    <cellStyle name="Style 95 3 2 3 2 3 2" xfId="14005" xr:uid="{E3836890-EA9F-4551-BD70-0B0A44604935}"/>
    <cellStyle name="Style 95 3 2 3 2 3 2 2" xfId="29825" xr:uid="{D370DD05-6773-4415-9D80-2431846D2D57}"/>
    <cellStyle name="Style 95 3 2 3 2 3 3" xfId="14006" xr:uid="{5EB17CEF-3F9B-471C-9863-6054D614607B}"/>
    <cellStyle name="Style 95 3 2 3 2 3 3 2" xfId="29826" xr:uid="{B1485C9E-4F84-413B-879B-0505233B1BF3}"/>
    <cellStyle name="Style 95 3 2 3 2 4" xfId="14007" xr:uid="{9A720A04-E3F5-47D3-99D3-DE68F29F5BB0}"/>
    <cellStyle name="Style 95 3 2 3 2 4 2" xfId="14008" xr:uid="{F174FE2D-1512-44A7-85D1-0C68E23A271B}"/>
    <cellStyle name="Style 95 3 2 3 2 4 2 2" xfId="29828" xr:uid="{E6B6BB5F-3E27-4E3D-9D46-DCF1216DED9C}"/>
    <cellStyle name="Style 95 3 2 3 2 4 3" xfId="29827" xr:uid="{7276AF25-1229-4DA5-9332-A9094D19C70C}"/>
    <cellStyle name="Style 95 3 2 3 2 5" xfId="14009" xr:uid="{F1E5CF05-EF01-4122-89F5-9B7EC087EB70}"/>
    <cellStyle name="Style 95 3 2 3 2 5 2" xfId="14010" xr:uid="{C20F06AE-7FDB-4213-BC06-561DE87D3DB4}"/>
    <cellStyle name="Style 95 3 2 3 2 5 2 2" xfId="29830" xr:uid="{0ED28BC1-6DB0-4AE4-B57B-466452BC36A7}"/>
    <cellStyle name="Style 95 3 2 3 2 5 3" xfId="29829" xr:uid="{4014DBAE-D14C-4A86-8685-FF2DDF5096C9}"/>
    <cellStyle name="Style 95 3 2 3 2 6" xfId="14011" xr:uid="{945E29D8-6FCC-45D0-86D9-0FD432040A18}"/>
    <cellStyle name="Style 95 3 2 3 2 6 2" xfId="14012" xr:uid="{455A71A2-F534-431D-BC49-41F5BDD8E07D}"/>
    <cellStyle name="Style 95 3 2 3 2 6 2 2" xfId="29832" xr:uid="{62EB2B56-21B9-48B9-AD7B-A1F8006A6559}"/>
    <cellStyle name="Style 95 3 2 3 2 6 3" xfId="29831" xr:uid="{C6E368E1-4124-4A9D-A20B-44173CB91CA3}"/>
    <cellStyle name="Style 95 3 2 3 2 7" xfId="14013" xr:uid="{36E4116B-CFF7-430A-BC87-DDA32C95EE03}"/>
    <cellStyle name="Style 95 3 2 3 2 7 2" xfId="29833" xr:uid="{A0E50587-5735-46C8-A25D-F3D334521A13}"/>
    <cellStyle name="Style 95 3 2 3 2 8" xfId="14014" xr:uid="{8ED6AC60-A968-4CCF-AEE5-86236230BB1D}"/>
    <cellStyle name="Style 95 3 2 3 2 8 2" xfId="29834" xr:uid="{60CA99C2-C02C-4AFE-A8CF-AB071F318E91}"/>
    <cellStyle name="Style 95 3 2 3 3" xfId="5249" xr:uid="{57279819-8852-4A63-AFF9-3A7EC73A7545}"/>
    <cellStyle name="Style 95 3 2 3 3 2" xfId="14015" xr:uid="{A42FECD1-8DF6-4026-B20A-583CE30D9C64}"/>
    <cellStyle name="Style 95 3 2 3 3 2 2" xfId="29835" xr:uid="{20C58622-0C29-43AA-80B3-32A092B6C85F}"/>
    <cellStyle name="Style 95 3 2 3 3 3" xfId="14016" xr:uid="{BFC42C1A-09E1-4471-9B2D-85781D3AC3B2}"/>
    <cellStyle name="Style 95 3 2 3 3 3 2" xfId="29836" xr:uid="{2B3CF74F-1B7D-4F17-8E85-95A456BA8B0F}"/>
    <cellStyle name="Style 95 3 2 3 3 4" xfId="14017" xr:uid="{4DDF2A5B-BEB2-4158-83EE-A274DC53EEE1}"/>
    <cellStyle name="Style 95 3 2 3 3 4 2" xfId="29837" xr:uid="{47322E6B-C210-44C9-8B9D-72F8E6AF1BCF}"/>
    <cellStyle name="Style 95 3 2 3 4" xfId="14018" xr:uid="{46526E90-5704-4BF2-98DD-D53B6FC83F0E}"/>
    <cellStyle name="Style 95 3 2 3 4 2" xfId="14019" xr:uid="{DA38A9F3-A350-4A75-BB02-895C495EFF38}"/>
    <cellStyle name="Style 95 3 2 3 4 2 2" xfId="29838" xr:uid="{590B1953-312A-4D76-B717-39E8D938EBFB}"/>
    <cellStyle name="Style 95 3 2 3 4 3" xfId="14020" xr:uid="{E8B49DC5-878E-45F4-9DAF-509DD78C24E2}"/>
    <cellStyle name="Style 95 3 2 3 4 3 2" xfId="29839" xr:uid="{B0E55845-2225-4B76-A954-43F6759EB1C8}"/>
    <cellStyle name="Style 95 3 2 3 5" xfId="14021" xr:uid="{E234B679-7433-409A-A8A6-1A1B0252DC0D}"/>
    <cellStyle name="Style 95 3 2 3 5 2" xfId="14022" xr:uid="{87B6D935-B06D-4BD3-B0CE-F72A351A6D0B}"/>
    <cellStyle name="Style 95 3 2 3 5 2 2" xfId="29841" xr:uid="{CC875FAE-25B2-4B74-BC30-FF1BBE0B50C2}"/>
    <cellStyle name="Style 95 3 2 3 5 3" xfId="29840" xr:uid="{83C3F137-4775-4CE1-BC15-DB8FAF72DECD}"/>
    <cellStyle name="Style 95 3 2 3 6" xfId="14023" xr:uid="{AC31C41F-5430-4D82-84E2-B8A6381B71D0}"/>
    <cellStyle name="Style 95 3 2 3 6 2" xfId="14024" xr:uid="{D328A44B-1808-409D-834B-1563CFCF87D6}"/>
    <cellStyle name="Style 95 3 2 3 6 2 2" xfId="29843" xr:uid="{70DCDE70-954C-4B78-ACBD-88FD36AA2CDF}"/>
    <cellStyle name="Style 95 3 2 3 6 3" xfId="29842" xr:uid="{D6D9FDFB-70D9-4C3C-819F-CFB9E071ED19}"/>
    <cellStyle name="Style 95 3 2 3 7" xfId="14025" xr:uid="{3623D517-0077-4862-BD9A-8074ADA92C79}"/>
    <cellStyle name="Style 95 3 2 3 7 2" xfId="14026" xr:uid="{5503CBFA-18E2-4EA2-90B9-E6D2C2AD5F20}"/>
    <cellStyle name="Style 95 3 2 3 7 2 2" xfId="29845" xr:uid="{F168ABDF-3713-4FF5-8309-02DF98484B6C}"/>
    <cellStyle name="Style 95 3 2 3 7 3" xfId="29844" xr:uid="{6F7902C8-D398-4AE3-9514-4F4C5924E237}"/>
    <cellStyle name="Style 95 3 2 3 8" xfId="14027" xr:uid="{CF104FE5-6D64-42C3-9476-8AF7418C49C5}"/>
    <cellStyle name="Style 95 3 2 3 8 2" xfId="14028" xr:uid="{8F4B3E4B-B556-4F16-A1B6-87CB1CAF4C66}"/>
    <cellStyle name="Style 95 3 2 3 8 2 2" xfId="29847" xr:uid="{333B6137-5A90-4847-9945-29D3E30610E0}"/>
    <cellStyle name="Style 95 3 2 3 8 3" xfId="29846" xr:uid="{20CCABCE-1E72-4208-8C3E-ADF0B8A72F07}"/>
    <cellStyle name="Style 95 3 2 3 9" xfId="14029" xr:uid="{51340B1A-05C8-4327-9806-C503AC72AD79}"/>
    <cellStyle name="Style 95 3 2 3 9 2" xfId="29848" xr:uid="{0E2177D5-A427-4738-A834-E14E60817C37}"/>
    <cellStyle name="Style 95 3 2 4" xfId="2419" xr:uid="{5F99ECD2-DB7F-46D5-AA67-E900594B68FF}"/>
    <cellStyle name="Style 95 3 2 4 2" xfId="5251" xr:uid="{8EE20ADE-7C70-414F-9BB3-58C986083302}"/>
    <cellStyle name="Style 95 3 2 4 2 2" xfId="14030" xr:uid="{18CFB5E8-B7C0-4F04-BB91-2BB7C3E5EAE5}"/>
    <cellStyle name="Style 95 3 2 4 2 2 2" xfId="29849" xr:uid="{3985747E-25A9-4A00-A3BE-FFACC8D1C3F7}"/>
    <cellStyle name="Style 95 3 2 4 2 3" xfId="14031" xr:uid="{1E6A85B6-7D1B-40FB-897A-503B737D3E7E}"/>
    <cellStyle name="Style 95 3 2 4 2 3 2" xfId="29850" xr:uid="{B6A46191-BA22-40E1-9432-7F46D44D15EA}"/>
    <cellStyle name="Style 95 3 2 4 2 4" xfId="14032" xr:uid="{FC760F5D-4AF7-4A98-9B54-BD813A43C4EB}"/>
    <cellStyle name="Style 95 3 2 4 2 4 2" xfId="29851" xr:uid="{03D27C21-5761-4AE5-9C3F-84E23A810734}"/>
    <cellStyle name="Style 95 3 2 4 3" xfId="14033" xr:uid="{E2B0C4A9-2A3A-4308-85F7-DF2DA64CBD28}"/>
    <cellStyle name="Style 95 3 2 4 3 2" xfId="14034" xr:uid="{9394ED7A-B9BA-4F11-8528-B5528EDD7752}"/>
    <cellStyle name="Style 95 3 2 4 3 2 2" xfId="29852" xr:uid="{6EC8007B-66B4-4537-BF51-AF7D22457ACE}"/>
    <cellStyle name="Style 95 3 2 4 3 3" xfId="14035" xr:uid="{43ACF098-3DD6-404D-AB39-9E79AD4E49CD}"/>
    <cellStyle name="Style 95 3 2 4 3 3 2" xfId="29853" xr:uid="{DC223CD9-855C-46F1-97CD-D77E89059DF4}"/>
    <cellStyle name="Style 95 3 2 4 4" xfId="14036" xr:uid="{66F37164-CAC3-4A63-A7AA-C6F60AB4FDE5}"/>
    <cellStyle name="Style 95 3 2 4 4 2" xfId="14037" xr:uid="{B17AC2CA-DC2B-4898-86F8-B5C8F51C2142}"/>
    <cellStyle name="Style 95 3 2 4 4 2 2" xfId="29855" xr:uid="{8258EFF8-DB03-4DDA-B051-DF42E75E6946}"/>
    <cellStyle name="Style 95 3 2 4 4 3" xfId="29854" xr:uid="{20021BD5-8D88-4E23-999A-63EAA4FFDD6D}"/>
    <cellStyle name="Style 95 3 2 4 5" xfId="14038" xr:uid="{5E3308BF-92DA-4141-BD38-8B3C4A962A06}"/>
    <cellStyle name="Style 95 3 2 4 5 2" xfId="14039" xr:uid="{C4E847E8-7BB1-49A1-80EF-6EC9064FBE63}"/>
    <cellStyle name="Style 95 3 2 4 5 2 2" xfId="29857" xr:uid="{1ABBA18D-8FF6-44F9-ACAC-FAB93CEE374F}"/>
    <cellStyle name="Style 95 3 2 4 5 3" xfId="29856" xr:uid="{B52A703F-90FE-4BC4-9FCB-06A2ABF1D903}"/>
    <cellStyle name="Style 95 3 2 4 6" xfId="14040" xr:uid="{C5F7D7C1-07F7-4FA1-87C5-BD69C08BCE8E}"/>
    <cellStyle name="Style 95 3 2 4 6 2" xfId="14041" xr:uid="{CC74D82E-77A4-4291-956A-C252D5794BFC}"/>
    <cellStyle name="Style 95 3 2 4 6 2 2" xfId="29859" xr:uid="{489F6E34-E2C0-4845-9DA8-8024ACC02335}"/>
    <cellStyle name="Style 95 3 2 4 6 3" xfId="29858" xr:uid="{F055840E-7AA8-4976-8E84-892C1417F234}"/>
    <cellStyle name="Style 95 3 2 4 7" xfId="14042" xr:uid="{B22B74EA-1417-4C80-8093-EDC33C2697CE}"/>
    <cellStyle name="Style 95 3 2 4 7 2" xfId="29860" xr:uid="{6E922EE0-6EF7-4614-A904-8B650AAC6E4E}"/>
    <cellStyle name="Style 95 3 2 4 8" xfId="14043" xr:uid="{4A0FBA5B-1C0A-4261-85EC-3F91569F2948}"/>
    <cellStyle name="Style 95 3 2 4 8 2" xfId="29861" xr:uid="{52BD1EAB-4A80-4410-A513-115D3864BFB1}"/>
    <cellStyle name="Style 95 3 2 5" xfId="5244" xr:uid="{AC177ECA-7ED9-4C5D-A68F-A5440F0EFBA2}"/>
    <cellStyle name="Style 95 3 2 5 2" xfId="14044" xr:uid="{B392D0B6-542E-417B-9A12-A6929B9E988A}"/>
    <cellStyle name="Style 95 3 2 5 2 2" xfId="29862" xr:uid="{8B9CD4ED-7E52-48EE-B97C-8B538B4174B6}"/>
    <cellStyle name="Style 95 3 2 5 3" xfId="14045" xr:uid="{5DD012CF-41A9-4B78-BC35-3AE8247FEB87}"/>
    <cellStyle name="Style 95 3 2 5 3 2" xfId="29863" xr:uid="{C376CCB0-B570-4149-B60F-FD2B6B975EEE}"/>
    <cellStyle name="Style 95 3 2 5 4" xfId="14046" xr:uid="{32FDFB06-5D76-4570-A029-4BC3D2CD8B40}"/>
    <cellStyle name="Style 95 3 2 5 4 2" xfId="29864" xr:uid="{B4E91574-0119-42F5-A8CC-AF42D5FA2695}"/>
    <cellStyle name="Style 95 3 2 6" xfId="14047" xr:uid="{F147DFDE-5684-49F1-AE9B-D92F2904402A}"/>
    <cellStyle name="Style 95 3 2 6 2" xfId="14048" xr:uid="{49E818D9-A880-4F04-89CA-34C18A50B0D3}"/>
    <cellStyle name="Style 95 3 2 6 2 2" xfId="29865" xr:uid="{0BCEAC9F-CA8F-4CE5-B9F3-E4B4E8FF5975}"/>
    <cellStyle name="Style 95 3 2 6 3" xfId="14049" xr:uid="{D93A1B7F-A4A0-4760-A255-DFA0652912D1}"/>
    <cellStyle name="Style 95 3 2 6 3 2" xfId="29866" xr:uid="{9E385F88-CCE7-4F37-BC9E-4FE0148A4868}"/>
    <cellStyle name="Style 95 3 2 7" xfId="14050" xr:uid="{74B42F0C-DCCC-4E70-8ABC-1DDE7395F4F6}"/>
    <cellStyle name="Style 95 3 2 7 2" xfId="14051" xr:uid="{18789DF9-B395-4ED6-8AE1-3DA5590BC533}"/>
    <cellStyle name="Style 95 3 2 7 2 2" xfId="29868" xr:uid="{1987C1EF-3F4D-4B7B-97ED-187F7AE3F5CF}"/>
    <cellStyle name="Style 95 3 2 7 3" xfId="29867" xr:uid="{F7F1959D-43D8-4AA8-B201-8164EF8D2628}"/>
    <cellStyle name="Style 95 3 2 8" xfId="14052" xr:uid="{B4CA5EF0-2F30-4B69-9BA5-1ABE7265A959}"/>
    <cellStyle name="Style 95 3 2 8 2" xfId="14053" xr:uid="{DD7F390A-99B4-46D9-9FBD-6056B5970578}"/>
    <cellStyle name="Style 95 3 2 8 2 2" xfId="29870" xr:uid="{266DB4AB-F58A-471E-A3F0-67176D2BEAD9}"/>
    <cellStyle name="Style 95 3 2 8 3" xfId="29869" xr:uid="{F2E5D7F1-B10C-4051-921A-A5F624FAB986}"/>
    <cellStyle name="Style 95 3 2 9" xfId="14054" xr:uid="{B8F1A8C6-77C2-4EC0-A2E1-FBFA41AE82C1}"/>
    <cellStyle name="Style 95 3 2 9 2" xfId="14055" xr:uid="{5781D449-E2A8-4ED5-81F3-0E2D6C9188FC}"/>
    <cellStyle name="Style 95 3 2 9 2 2" xfId="29872" xr:uid="{DD16A081-DCBC-4629-B4B4-C634FF5C8653}"/>
    <cellStyle name="Style 95 3 2 9 3" xfId="29871" xr:uid="{20C63E35-7A4F-4BC8-941E-2ADD2EF8720C}"/>
    <cellStyle name="Style 95 3 3" xfId="2420" xr:uid="{37E7F788-EF41-48B8-8D80-FD1BCCAB474B}"/>
    <cellStyle name="Style 95 3 3 10" xfId="14056" xr:uid="{B34A94C8-F4BA-490A-87D4-7AB4CC9E6890}"/>
    <cellStyle name="Style 95 3 3 10 2" xfId="29873" xr:uid="{4C5D51C6-A465-4357-ABF0-BD1583118489}"/>
    <cellStyle name="Style 95 3 3 11" xfId="14057" xr:uid="{5C836DE2-06F3-477A-A995-B7745BB224FC}"/>
    <cellStyle name="Style 95 3 3 11 2" xfId="29874" xr:uid="{423B7599-28A7-4DF5-9715-B470845A2191}"/>
    <cellStyle name="Style 95 3 3 2" xfId="2421" xr:uid="{A44FB16E-C7EE-46BD-B2E4-F3A33374DD8E}"/>
    <cellStyle name="Style 95 3 3 2 10" xfId="14058" xr:uid="{7884F70C-7F6C-487C-B9AC-8F7E0EEF4053}"/>
    <cellStyle name="Style 95 3 3 2 10 2" xfId="29875" xr:uid="{DC9CEA7E-6D64-461B-B9FB-1604286E4D93}"/>
    <cellStyle name="Style 95 3 3 2 11" xfId="14059" xr:uid="{EB869FD4-17C5-411B-BBC4-CAC451323F4E}"/>
    <cellStyle name="Style 95 3 3 2 11 2" xfId="29876" xr:uid="{1D9E2526-BBA8-4E4C-A404-885C92C6DB8D}"/>
    <cellStyle name="Style 95 3 3 2 2" xfId="2422" xr:uid="{82671FC4-7923-4EB7-BA62-420DDC07C860}"/>
    <cellStyle name="Style 95 3 3 2 2 10" xfId="14060" xr:uid="{3940D123-32E3-4BB5-ADDF-93933053A189}"/>
    <cellStyle name="Style 95 3 3 2 2 10 2" xfId="29877" xr:uid="{DB652E51-6E95-4268-86E1-0DF092270D84}"/>
    <cellStyle name="Style 95 3 3 2 2 2" xfId="2423" xr:uid="{19004127-F601-448E-9467-0CD9D95E293F}"/>
    <cellStyle name="Style 95 3 3 2 2 2 2" xfId="5255" xr:uid="{470DDC6E-DC4B-43AB-8EFC-F4DC297B73CD}"/>
    <cellStyle name="Style 95 3 3 2 2 2 2 2" xfId="14061" xr:uid="{2B6E8878-56AC-4866-B8B7-A44FE603F13A}"/>
    <cellStyle name="Style 95 3 3 2 2 2 2 2 2" xfId="29878" xr:uid="{4A09DF7D-5D57-4E5F-982E-88B96CE07866}"/>
    <cellStyle name="Style 95 3 3 2 2 2 2 3" xfId="14062" xr:uid="{A5807695-3EB9-42B9-A4E0-52510642817A}"/>
    <cellStyle name="Style 95 3 3 2 2 2 2 3 2" xfId="29879" xr:uid="{23D65C29-C894-48BD-BC1C-BA7727B6965E}"/>
    <cellStyle name="Style 95 3 3 2 2 2 2 4" xfId="14063" xr:uid="{98FC8DA0-195F-4615-9A4A-E0404BBA9A96}"/>
    <cellStyle name="Style 95 3 3 2 2 2 2 4 2" xfId="29880" xr:uid="{21456B91-37AB-4CAC-BE85-BD37DE8A2520}"/>
    <cellStyle name="Style 95 3 3 2 2 2 3" xfId="14064" xr:uid="{53CB4173-5CA0-4338-AF94-C11A33CE1B78}"/>
    <cellStyle name="Style 95 3 3 2 2 2 3 2" xfId="14065" xr:uid="{80DB700C-87E3-401E-8BB1-0F6A17F9E941}"/>
    <cellStyle name="Style 95 3 3 2 2 2 3 2 2" xfId="29881" xr:uid="{D373381F-E3E2-4286-ABAE-8DD275671E78}"/>
    <cellStyle name="Style 95 3 3 2 2 2 3 3" xfId="14066" xr:uid="{EFBB4BF0-8B08-461A-A1BE-E3E103A76546}"/>
    <cellStyle name="Style 95 3 3 2 2 2 3 3 2" xfId="29882" xr:uid="{6DFDDF22-E823-4856-8F63-BD6F322A5D5C}"/>
    <cellStyle name="Style 95 3 3 2 2 2 4" xfId="14067" xr:uid="{C26CF5D8-F7B4-4FF0-A478-B86745255AEB}"/>
    <cellStyle name="Style 95 3 3 2 2 2 4 2" xfId="14068" xr:uid="{4D0668E9-D7FF-4402-A523-F52549075197}"/>
    <cellStyle name="Style 95 3 3 2 2 2 4 2 2" xfId="29884" xr:uid="{2B8D5457-17C0-4EF4-85AB-2120C8229A20}"/>
    <cellStyle name="Style 95 3 3 2 2 2 4 3" xfId="29883" xr:uid="{D2705F93-A08E-4E8E-BFD2-4DDD84D08771}"/>
    <cellStyle name="Style 95 3 3 2 2 2 5" xfId="14069" xr:uid="{37A36636-D245-41DB-AF72-BAB4652C0311}"/>
    <cellStyle name="Style 95 3 3 2 2 2 5 2" xfId="14070" xr:uid="{6FC25D2C-2688-4FE6-B456-212886ADB057}"/>
    <cellStyle name="Style 95 3 3 2 2 2 5 2 2" xfId="29886" xr:uid="{B714A4C1-68F3-45C9-8AFA-223C26F11711}"/>
    <cellStyle name="Style 95 3 3 2 2 2 5 3" xfId="29885" xr:uid="{000C332E-6263-4D47-95D7-25EA16F0A454}"/>
    <cellStyle name="Style 95 3 3 2 2 2 6" xfId="14071" xr:uid="{4ECDD82A-05E5-4975-A668-09E8D24E7822}"/>
    <cellStyle name="Style 95 3 3 2 2 2 6 2" xfId="14072" xr:uid="{56FC6354-B263-4011-BC4E-F330C8E52E20}"/>
    <cellStyle name="Style 95 3 3 2 2 2 6 2 2" xfId="29888" xr:uid="{A2344A81-BBEE-4B2A-9BF6-D6F9726FE9E5}"/>
    <cellStyle name="Style 95 3 3 2 2 2 6 3" xfId="29887" xr:uid="{4D528D70-4061-4BFE-A317-15CD2D3E2AC4}"/>
    <cellStyle name="Style 95 3 3 2 2 2 7" xfId="14073" xr:uid="{7CFAEB12-9C1B-4976-B8D0-185FA09DC90D}"/>
    <cellStyle name="Style 95 3 3 2 2 2 7 2" xfId="29889" xr:uid="{25B41084-0C02-44AD-A4A7-7B6484DF968F}"/>
    <cellStyle name="Style 95 3 3 2 2 2 8" xfId="14074" xr:uid="{84D2AD04-0BCA-482D-8EF3-5D755472F449}"/>
    <cellStyle name="Style 95 3 3 2 2 2 8 2" xfId="29890" xr:uid="{C4B3166C-1C2C-469D-9FC2-6963C3D033B9}"/>
    <cellStyle name="Style 95 3 3 2 2 3" xfId="5254" xr:uid="{F3262066-A8E4-4D2E-8182-22BBC16D53F2}"/>
    <cellStyle name="Style 95 3 3 2 2 3 2" xfId="14075" xr:uid="{4F7C7577-1B25-467C-A1DE-BD0E88763B8C}"/>
    <cellStyle name="Style 95 3 3 2 2 3 2 2" xfId="29891" xr:uid="{F4497533-B31F-43F2-8ED1-ED1F99674566}"/>
    <cellStyle name="Style 95 3 3 2 2 3 3" xfId="14076" xr:uid="{D5E9714A-7CD6-4D9F-9065-FC24A0CAD63B}"/>
    <cellStyle name="Style 95 3 3 2 2 3 3 2" xfId="29892" xr:uid="{1FF4DB2C-C6FF-44A2-B54E-3AF2734B7868}"/>
    <cellStyle name="Style 95 3 3 2 2 3 4" xfId="14077" xr:uid="{989C76ED-EE70-4B5E-9932-E53ED1A55318}"/>
    <cellStyle name="Style 95 3 3 2 2 3 4 2" xfId="29893" xr:uid="{17664E7F-E987-49DF-83E8-11370A01F26C}"/>
    <cellStyle name="Style 95 3 3 2 2 4" xfId="14078" xr:uid="{5ABA6D88-6E0A-490A-B8CB-904C452E4296}"/>
    <cellStyle name="Style 95 3 3 2 2 4 2" xfId="14079" xr:uid="{7224178D-4A4C-4360-BB73-8171596BA4FF}"/>
    <cellStyle name="Style 95 3 3 2 2 4 2 2" xfId="29894" xr:uid="{83CA0B70-4042-418F-BFC3-E0646AD7DE6D}"/>
    <cellStyle name="Style 95 3 3 2 2 4 3" xfId="14080" xr:uid="{ECAF757C-3777-4433-836C-2C2335736852}"/>
    <cellStyle name="Style 95 3 3 2 2 4 3 2" xfId="29895" xr:uid="{959E5FEC-73EB-4B2D-9C81-3205762D0371}"/>
    <cellStyle name="Style 95 3 3 2 2 5" xfId="14081" xr:uid="{38A7DE27-E50F-44FC-B906-6088B41AADD2}"/>
    <cellStyle name="Style 95 3 3 2 2 5 2" xfId="14082" xr:uid="{5E8AB01D-4B54-4396-A753-0EA7D15FD292}"/>
    <cellStyle name="Style 95 3 3 2 2 5 2 2" xfId="29897" xr:uid="{7433A49E-55A9-47C2-A1AD-67B5CB9A09B9}"/>
    <cellStyle name="Style 95 3 3 2 2 5 3" xfId="29896" xr:uid="{745E6C05-3561-46D6-89B4-264E3B41AE6C}"/>
    <cellStyle name="Style 95 3 3 2 2 6" xfId="14083" xr:uid="{00BD7AF8-1890-4025-9A92-5868C9DC5492}"/>
    <cellStyle name="Style 95 3 3 2 2 6 2" xfId="14084" xr:uid="{AEBAF319-F96C-4BA8-9287-9EA92EF180BC}"/>
    <cellStyle name="Style 95 3 3 2 2 6 2 2" xfId="29899" xr:uid="{CC376A83-0E64-4214-B7FF-D31DAAFFC03F}"/>
    <cellStyle name="Style 95 3 3 2 2 6 3" xfId="29898" xr:uid="{16AF2C6B-3427-4B23-86F6-6A0FB7C40192}"/>
    <cellStyle name="Style 95 3 3 2 2 7" xfId="14085" xr:uid="{74435A8E-D570-44EB-B248-DCBF66AA320E}"/>
    <cellStyle name="Style 95 3 3 2 2 7 2" xfId="14086" xr:uid="{062ECAC9-FCD5-46AB-8C5D-57C4ED0BC9FB}"/>
    <cellStyle name="Style 95 3 3 2 2 7 2 2" xfId="29901" xr:uid="{8D6D4437-75E4-45E7-B9B7-B20D3657DB62}"/>
    <cellStyle name="Style 95 3 3 2 2 7 3" xfId="29900" xr:uid="{78CB2968-1461-4193-8A99-557B87A82E15}"/>
    <cellStyle name="Style 95 3 3 2 2 8" xfId="14087" xr:uid="{4A281D03-B90F-4148-B07B-30FFC111D7D2}"/>
    <cellStyle name="Style 95 3 3 2 2 8 2" xfId="14088" xr:uid="{1257FC2D-816B-4C0F-BB74-315CEDC8D1B3}"/>
    <cellStyle name="Style 95 3 3 2 2 8 2 2" xfId="29903" xr:uid="{C137D8BF-C7E4-4512-B832-CCB0EC6C67B6}"/>
    <cellStyle name="Style 95 3 3 2 2 8 3" xfId="29902" xr:uid="{A86D8548-8644-4D15-951F-762B39B6E826}"/>
    <cellStyle name="Style 95 3 3 2 2 9" xfId="14089" xr:uid="{BFD70F89-B215-4C85-AF58-B1A70D08DB12}"/>
    <cellStyle name="Style 95 3 3 2 2 9 2" xfId="29904" xr:uid="{9C6C6174-C14D-4F4E-99B9-87038BB189C1}"/>
    <cellStyle name="Style 95 3 3 2 3" xfId="2424" xr:uid="{1FF9DF09-4882-4459-960E-328B782A3F63}"/>
    <cellStyle name="Style 95 3 3 2 3 2" xfId="5256" xr:uid="{765BAB79-4BD3-47B2-B78E-6B2420DA796A}"/>
    <cellStyle name="Style 95 3 3 2 3 2 2" xfId="14090" xr:uid="{9D23855D-348F-4BF2-A6E8-877D27A02605}"/>
    <cellStyle name="Style 95 3 3 2 3 2 2 2" xfId="29905" xr:uid="{E3F377C0-EA40-4ED3-862C-F0B13F71B3C3}"/>
    <cellStyle name="Style 95 3 3 2 3 2 3" xfId="14091" xr:uid="{BE390658-90F4-4095-BC14-40D6A1968A70}"/>
    <cellStyle name="Style 95 3 3 2 3 2 3 2" xfId="29906" xr:uid="{630BCF0E-B827-4A69-B4A6-8DC6E345AF63}"/>
    <cellStyle name="Style 95 3 3 2 3 2 4" xfId="14092" xr:uid="{F5C0E552-22B6-473D-BC49-53605A7F744A}"/>
    <cellStyle name="Style 95 3 3 2 3 2 4 2" xfId="29907" xr:uid="{8BC82231-9B83-4490-9E35-3E23402B2A68}"/>
    <cellStyle name="Style 95 3 3 2 3 3" xfId="14093" xr:uid="{44F5D4A1-B902-4925-AFD5-17216A33C9B8}"/>
    <cellStyle name="Style 95 3 3 2 3 3 2" xfId="14094" xr:uid="{5C72B2B2-B3E1-46E7-AD61-6B2DCBA430D2}"/>
    <cellStyle name="Style 95 3 3 2 3 3 2 2" xfId="29908" xr:uid="{D0E5340C-2BC5-44DD-AC98-3DB1F8A3D39F}"/>
    <cellStyle name="Style 95 3 3 2 3 3 3" xfId="14095" xr:uid="{9A8D0C9E-3B45-4E00-97A5-D1AAA605741A}"/>
    <cellStyle name="Style 95 3 3 2 3 3 3 2" xfId="29909" xr:uid="{473349CF-2636-47EA-8EEC-D86DD42C8968}"/>
    <cellStyle name="Style 95 3 3 2 3 4" xfId="14096" xr:uid="{380197E7-C3C6-42E5-A7ED-33DC532E8FA9}"/>
    <cellStyle name="Style 95 3 3 2 3 4 2" xfId="14097" xr:uid="{D55D9FB0-0180-4928-98CB-479B8536F7F1}"/>
    <cellStyle name="Style 95 3 3 2 3 4 2 2" xfId="29911" xr:uid="{1953E6D0-3DA4-4F02-B914-806374404918}"/>
    <cellStyle name="Style 95 3 3 2 3 4 3" xfId="29910" xr:uid="{04FD3E62-AD8F-4EB8-9885-9812638F2805}"/>
    <cellStyle name="Style 95 3 3 2 3 5" xfId="14098" xr:uid="{F3378FC7-62B5-45F4-9059-ECE144C87452}"/>
    <cellStyle name="Style 95 3 3 2 3 5 2" xfId="14099" xr:uid="{E1274396-8648-486F-AB3C-095053F24947}"/>
    <cellStyle name="Style 95 3 3 2 3 5 2 2" xfId="29913" xr:uid="{CF162EAF-0DEF-4E05-9423-B26E7B3B1067}"/>
    <cellStyle name="Style 95 3 3 2 3 5 3" xfId="29912" xr:uid="{37F09485-D2D2-4A2C-A968-22ADBF05DEEE}"/>
    <cellStyle name="Style 95 3 3 2 3 6" xfId="14100" xr:uid="{7CBA3977-248E-4BF6-ABB8-861B76CEA784}"/>
    <cellStyle name="Style 95 3 3 2 3 6 2" xfId="14101" xr:uid="{DB4D7C97-B292-4E4A-AD62-EDC6BB91AC0B}"/>
    <cellStyle name="Style 95 3 3 2 3 6 2 2" xfId="29915" xr:uid="{A0B3D5F8-C670-472A-A2AC-1301C6E42374}"/>
    <cellStyle name="Style 95 3 3 2 3 6 3" xfId="29914" xr:uid="{384C2845-C97A-4267-AB41-BEDE51C94AD7}"/>
    <cellStyle name="Style 95 3 3 2 3 7" xfId="14102" xr:uid="{B47653B7-6E50-445D-8A21-63E2EC8CBEB9}"/>
    <cellStyle name="Style 95 3 3 2 3 7 2" xfId="29916" xr:uid="{D2F3D19D-511E-4A02-943B-0B1CE7FE8A41}"/>
    <cellStyle name="Style 95 3 3 2 3 8" xfId="14103" xr:uid="{7C3A1B02-6DD7-4BF7-861F-F0CFC1BE401A}"/>
    <cellStyle name="Style 95 3 3 2 3 8 2" xfId="29917" xr:uid="{3C251961-0AD7-42D6-9591-DDCF8336EE93}"/>
    <cellStyle name="Style 95 3 3 2 4" xfId="5253" xr:uid="{31DC7920-3C4C-4FAA-8D8E-C7E666944121}"/>
    <cellStyle name="Style 95 3 3 2 4 2" xfId="14104" xr:uid="{8B86573B-2ED3-450D-8048-186B00AF10A7}"/>
    <cellStyle name="Style 95 3 3 2 4 2 2" xfId="29918" xr:uid="{1CE7D381-5A89-4BC3-BF40-57C7F011D973}"/>
    <cellStyle name="Style 95 3 3 2 4 3" xfId="14105" xr:uid="{E2B59A98-8F76-49BE-AEEB-26CC840E1A9C}"/>
    <cellStyle name="Style 95 3 3 2 4 3 2" xfId="29919" xr:uid="{0359EF6D-76D4-499D-8A2B-D037695CE5E0}"/>
    <cellStyle name="Style 95 3 3 2 4 4" xfId="14106" xr:uid="{13463554-81CF-445F-9044-F7E5B7664FBF}"/>
    <cellStyle name="Style 95 3 3 2 4 4 2" xfId="29920" xr:uid="{CD051DAC-3068-435B-97C6-0C008E1C1828}"/>
    <cellStyle name="Style 95 3 3 2 5" xfId="14107" xr:uid="{A1961FA4-8006-499F-A052-8DC363A2A868}"/>
    <cellStyle name="Style 95 3 3 2 5 2" xfId="14108" xr:uid="{ACC06199-FAE3-4EDB-B7C7-43857630C9EC}"/>
    <cellStyle name="Style 95 3 3 2 5 2 2" xfId="29921" xr:uid="{592294FE-B0B7-4084-B835-9BF2D7C45447}"/>
    <cellStyle name="Style 95 3 3 2 5 3" xfId="14109" xr:uid="{670E4321-CA6B-472D-8270-EFC275FC6397}"/>
    <cellStyle name="Style 95 3 3 2 5 3 2" xfId="29922" xr:uid="{FE014BAA-B2DB-4830-A404-81098755BE98}"/>
    <cellStyle name="Style 95 3 3 2 6" xfId="14110" xr:uid="{0560D6AE-2A77-4596-AA5E-42903C7B4878}"/>
    <cellStyle name="Style 95 3 3 2 6 2" xfId="14111" xr:uid="{1C77F78B-04C1-4712-ADA0-8DCC9BACFD39}"/>
    <cellStyle name="Style 95 3 3 2 6 2 2" xfId="29924" xr:uid="{96F2F33B-0342-458A-A9B1-9767D11C2486}"/>
    <cellStyle name="Style 95 3 3 2 6 3" xfId="29923" xr:uid="{7BEAA0D1-2EC2-49BB-A21B-1AB7C21213D1}"/>
    <cellStyle name="Style 95 3 3 2 7" xfId="14112" xr:uid="{57516C03-66EF-4E79-AFE7-84A59450B207}"/>
    <cellStyle name="Style 95 3 3 2 7 2" xfId="14113" xr:uid="{93BC1C47-46EE-4FB7-B995-0EFC258F3566}"/>
    <cellStyle name="Style 95 3 3 2 7 2 2" xfId="29926" xr:uid="{4B76A8CB-09E3-47DD-91B0-8CC9AF4308C1}"/>
    <cellStyle name="Style 95 3 3 2 7 3" xfId="29925" xr:uid="{D119A28E-2C4B-4D6F-8979-8D5704D4C125}"/>
    <cellStyle name="Style 95 3 3 2 8" xfId="14114" xr:uid="{659A243B-9EEA-4A44-9E56-47D695D71D2C}"/>
    <cellStyle name="Style 95 3 3 2 8 2" xfId="14115" xr:uid="{C512156C-E54F-46DA-90F6-E5D305A99F2A}"/>
    <cellStyle name="Style 95 3 3 2 8 2 2" xfId="29928" xr:uid="{1FCE4F79-FBEF-45CB-8443-C50B149D154D}"/>
    <cellStyle name="Style 95 3 3 2 8 3" xfId="29927" xr:uid="{9A4D7649-C6FB-4A45-B9F0-75E4154BBD48}"/>
    <cellStyle name="Style 95 3 3 2 9" xfId="14116" xr:uid="{216C3343-365C-4128-8C89-410553806410}"/>
    <cellStyle name="Style 95 3 3 2 9 2" xfId="14117" xr:uid="{935DF310-825C-40C6-BD3F-A249E654E918}"/>
    <cellStyle name="Style 95 3 3 2 9 2 2" xfId="29930" xr:uid="{61782CE6-E23B-4939-9F7E-62EFCBB46549}"/>
    <cellStyle name="Style 95 3 3 2 9 3" xfId="29929" xr:uid="{ACFDA70E-37CE-4F2E-8C05-59CB27BCB613}"/>
    <cellStyle name="Style 95 3 3 3" xfId="2425" xr:uid="{499ED400-FC55-4962-827D-5B7B6701C54F}"/>
    <cellStyle name="Style 95 3 3 3 2" xfId="5258" xr:uid="{2885E86E-CF07-4CF6-AAE1-8DBA4EA83CF8}"/>
    <cellStyle name="Style 95 3 3 3 2 2" xfId="14118" xr:uid="{5CE58EB9-BC2B-43C2-A075-DCE1435A2B96}"/>
    <cellStyle name="Style 95 3 3 3 2 2 2" xfId="29931" xr:uid="{E5E9B8AC-E7C9-4D26-971F-07AABF621381}"/>
    <cellStyle name="Style 95 3 3 3 2 3" xfId="14119" xr:uid="{CA2F26F2-90E3-4CA2-B798-43BA463B8C39}"/>
    <cellStyle name="Style 95 3 3 3 2 3 2" xfId="29932" xr:uid="{6045E818-C927-4310-A97E-54F5F6002D96}"/>
    <cellStyle name="Style 95 3 3 3 2 4" xfId="14120" xr:uid="{B18B9B31-A388-44B2-AEA3-9A1D38376B34}"/>
    <cellStyle name="Style 95 3 3 3 2 4 2" xfId="29933" xr:uid="{A99C16FE-8B28-4E6B-AFE1-6942CECA56DB}"/>
    <cellStyle name="Style 95 3 3 3 3" xfId="5257" xr:uid="{5D7F8F6B-3BB2-413C-ADF2-438E1F77D237}"/>
    <cellStyle name="Style 95 3 3 3 3 2" xfId="14121" xr:uid="{8279A49F-BC88-484C-9A5A-63CB8CD369BD}"/>
    <cellStyle name="Style 95 3 3 3 3 2 2" xfId="29934" xr:uid="{98E7F777-D88D-4C71-A48E-504573DF530C}"/>
    <cellStyle name="Style 95 3 3 3 3 3" xfId="14122" xr:uid="{2D580778-BC47-41EC-AABE-05FED26BA838}"/>
    <cellStyle name="Style 95 3 3 3 3 3 2" xfId="29935" xr:uid="{FF2CAB9F-818E-4B4F-A5DA-9E31971E0A8A}"/>
    <cellStyle name="Style 95 3 3 3 4" xfId="14123" xr:uid="{553316F8-39BC-432B-8155-96F662DAAF3B}"/>
    <cellStyle name="Style 95 3 3 3 4 2" xfId="14124" xr:uid="{3FF57BDC-9057-4C23-BB17-3B35216DE9EB}"/>
    <cellStyle name="Style 95 3 3 3 4 2 2" xfId="29936" xr:uid="{ECB786DB-611B-4E71-B997-29538141EE3F}"/>
    <cellStyle name="Style 95 3 3 3 4 3" xfId="14125" xr:uid="{F35B1656-D272-436C-9882-1D7A663E0999}"/>
    <cellStyle name="Style 95 3 3 3 4 3 2" xfId="29937" xr:uid="{49B4EB91-851C-475B-A6AB-45860B977D5D}"/>
    <cellStyle name="Style 95 3 3 3 5" xfId="14126" xr:uid="{00D34A66-A837-42E8-BC49-99239493D118}"/>
    <cellStyle name="Style 95 3 3 3 5 2" xfId="14127" xr:uid="{AFA6147F-9E09-4467-8CB6-7943B3D96C3E}"/>
    <cellStyle name="Style 95 3 3 3 5 2 2" xfId="29939" xr:uid="{20FD9366-3983-41C8-B627-10F2588A144E}"/>
    <cellStyle name="Style 95 3 3 3 5 3" xfId="29938" xr:uid="{16F729C2-E68A-41D7-B400-517AED64F24F}"/>
    <cellStyle name="Style 95 3 3 3 6" xfId="14128" xr:uid="{F24F8D90-CF0B-4942-A037-E3E726168591}"/>
    <cellStyle name="Style 95 3 3 3 6 2" xfId="14129" xr:uid="{81F85E18-EDAA-4E68-946E-0648FDCDA352}"/>
    <cellStyle name="Style 95 3 3 3 6 2 2" xfId="29941" xr:uid="{4874F0A4-2CCB-4542-A84B-20126CC57691}"/>
    <cellStyle name="Style 95 3 3 3 6 3" xfId="29940" xr:uid="{A6FC7924-B5DB-4E34-8EEF-F7DA23E38278}"/>
    <cellStyle name="Style 95 3 3 3 7" xfId="14130" xr:uid="{F23DE8B7-EF37-41B4-898A-6537B4474CEA}"/>
    <cellStyle name="Style 95 3 3 3 7 2" xfId="29942" xr:uid="{C646A0D7-264C-4FEA-BBEB-DB4359D9B7A8}"/>
    <cellStyle name="Style 95 3 3 3 8" xfId="14131" xr:uid="{A758FE9A-8A28-4135-9406-763B8BAA261D}"/>
    <cellStyle name="Style 95 3 3 3 8 2" xfId="29943" xr:uid="{5752F28E-E05A-4C71-B6A8-8762EBB72475}"/>
    <cellStyle name="Style 95 3 3 4" xfId="5259" xr:uid="{4E65F7E1-9366-4324-B23B-CA74DF7FEE38}"/>
    <cellStyle name="Style 95 3 3 4 2" xfId="14132" xr:uid="{53443992-EB24-471C-830D-8E7D30661C98}"/>
    <cellStyle name="Style 95 3 3 4 2 2" xfId="29944" xr:uid="{8158A1CD-B419-4B69-A2D4-EED77D15EB53}"/>
    <cellStyle name="Style 95 3 3 4 3" xfId="14133" xr:uid="{4A0DEE5B-6026-46A5-B27B-58262DA2BA32}"/>
    <cellStyle name="Style 95 3 3 4 3 2" xfId="29945" xr:uid="{6CA4AB77-9BC9-4BD1-A93E-100532EC4946}"/>
    <cellStyle name="Style 95 3 3 4 4" xfId="14134" xr:uid="{88EEF511-D1CE-4B75-BCEC-EACDF9F4D58D}"/>
    <cellStyle name="Style 95 3 3 4 4 2" xfId="29946" xr:uid="{7E3D550C-B998-4CDD-BFCD-C8CD9C99E622}"/>
    <cellStyle name="Style 95 3 3 5" xfId="5260" xr:uid="{65FA6F46-983C-43BD-8F61-B75BA4DF4041}"/>
    <cellStyle name="Style 95 3 3 5 2" xfId="14135" xr:uid="{6188E738-2C78-470F-BC8A-D4301B2EA83B}"/>
    <cellStyle name="Style 95 3 3 5 2 2" xfId="29947" xr:uid="{C35D9676-FB10-4149-B4B3-BFAE3FDD13A3}"/>
    <cellStyle name="Style 95 3 3 5 3" xfId="14136" xr:uid="{91810661-EE32-4E05-B189-A96C0867F69B}"/>
    <cellStyle name="Style 95 3 3 5 3 2" xfId="29948" xr:uid="{73AA5AEA-7D3A-45CC-8910-F49DF106B357}"/>
    <cellStyle name="Style 95 3 3 6" xfId="5252" xr:uid="{1C273703-536C-4675-AC88-B4394E2A1FAE}"/>
    <cellStyle name="Style 95 3 3 6 2" xfId="14137" xr:uid="{9881B7FB-F683-4D3F-AF6B-0298B57AEC1C}"/>
    <cellStyle name="Style 95 3 3 6 2 2" xfId="29949" xr:uid="{35BD0C69-0210-4E6E-BF75-B40486023344}"/>
    <cellStyle name="Style 95 3 3 6 3" xfId="14138" xr:uid="{CEAE3CE5-59F1-441A-95A2-1EA5741BE342}"/>
    <cellStyle name="Style 95 3 3 6 3 2" xfId="29950" xr:uid="{F120AD7A-9DE9-4AC8-82CC-D21E6B8ADD62}"/>
    <cellStyle name="Style 95 3 3 7" xfId="14139" xr:uid="{FE880704-3F94-4C7F-9A93-F9B98DE518A9}"/>
    <cellStyle name="Style 95 3 3 7 2" xfId="14140" xr:uid="{202D447F-A02F-4299-ADC2-BE4110728DD8}"/>
    <cellStyle name="Style 95 3 3 7 2 2" xfId="29951" xr:uid="{0F7CD73E-7791-4DE1-A7AF-5D5BAED14333}"/>
    <cellStyle name="Style 95 3 3 7 3" xfId="14141" xr:uid="{B0F6F40F-9D5C-4FF5-B296-6A7DECDA9463}"/>
    <cellStyle name="Style 95 3 3 7 3 2" xfId="29952" xr:uid="{A5E9F664-EEF2-4544-A16D-71B1F8D191DE}"/>
    <cellStyle name="Style 95 3 3 8" xfId="14142" xr:uid="{6125DACD-AFDB-490F-B2C2-F34B5120A3B3}"/>
    <cellStyle name="Style 95 3 3 8 2" xfId="14143" xr:uid="{12A95A1C-8044-4BA3-9D98-7B9CF5B99147}"/>
    <cellStyle name="Style 95 3 3 8 2 2" xfId="29954" xr:uid="{80177FE9-C440-46AD-AF44-21AC12A3CCA2}"/>
    <cellStyle name="Style 95 3 3 8 3" xfId="29953" xr:uid="{EBAD6710-63E3-44F7-BBB0-909D497C61C1}"/>
    <cellStyle name="Style 95 3 3 9" xfId="14144" xr:uid="{6532E379-0D9F-417C-BBC9-D89C2B164167}"/>
    <cellStyle name="Style 95 3 3 9 2" xfId="14145" xr:uid="{0BA72A28-E843-4A17-999D-0A8A037D3B3C}"/>
    <cellStyle name="Style 95 3 3 9 2 2" xfId="29956" xr:uid="{C9030844-EB3F-466B-A555-F19F99086AF9}"/>
    <cellStyle name="Style 95 3 3 9 3" xfId="29955" xr:uid="{6AADFD0B-5678-461B-BDF9-03753AEA247A}"/>
    <cellStyle name="Style 95 3 4" xfId="2426" xr:uid="{EB94974F-B741-4747-8B19-9A83D6DCC89B}"/>
    <cellStyle name="Style 95 3 4 10" xfId="14146" xr:uid="{C4409BC9-672D-43CC-A63F-0770FE9EA904}"/>
    <cellStyle name="Style 95 3 4 10 2" xfId="29957" xr:uid="{996FA72C-6852-47B9-ABD4-53F3E6DB22CB}"/>
    <cellStyle name="Style 95 3 4 2" xfId="2427" xr:uid="{DAF29A0C-575C-4CE0-9AFE-CD381F09A882}"/>
    <cellStyle name="Style 95 3 4 2 2" xfId="5262" xr:uid="{ED653336-A24B-4818-B53A-3E7599E42CCD}"/>
    <cellStyle name="Style 95 3 4 2 2 2" xfId="14147" xr:uid="{178B899D-5914-44AA-A703-0CFE4ACC18B9}"/>
    <cellStyle name="Style 95 3 4 2 2 2 2" xfId="29958" xr:uid="{BDCECAE1-7453-453A-A8E3-4FBD4DDCC355}"/>
    <cellStyle name="Style 95 3 4 2 2 3" xfId="14148" xr:uid="{CEAF428D-FBDD-47B7-A14B-88A9820B1601}"/>
    <cellStyle name="Style 95 3 4 2 2 3 2" xfId="29959" xr:uid="{AE3B9EA6-9C2F-4D97-A254-FCAB6725ED98}"/>
    <cellStyle name="Style 95 3 4 2 2 4" xfId="14149" xr:uid="{95BDB9CA-59AD-48F8-A57B-E89C6BD3F57A}"/>
    <cellStyle name="Style 95 3 4 2 2 4 2" xfId="29960" xr:uid="{BE0B2717-BDB1-4067-A706-6130BC73E14C}"/>
    <cellStyle name="Style 95 3 4 2 3" xfId="14150" xr:uid="{D5296BBF-56BA-48D1-BC5A-1A06B5B906F8}"/>
    <cellStyle name="Style 95 3 4 2 3 2" xfId="14151" xr:uid="{0FEA9508-1875-4310-BC75-C0D2BBE6F301}"/>
    <cellStyle name="Style 95 3 4 2 3 2 2" xfId="29961" xr:uid="{7B6E77A9-A107-4059-8972-CE20552DFE14}"/>
    <cellStyle name="Style 95 3 4 2 3 3" xfId="14152" xr:uid="{2082276F-95CA-4F24-B167-0DC77B5D7112}"/>
    <cellStyle name="Style 95 3 4 2 3 3 2" xfId="29962" xr:uid="{3F52F686-24A0-4835-AB8E-9913E3B8B52C}"/>
    <cellStyle name="Style 95 3 4 2 4" xfId="14153" xr:uid="{68608A18-7104-4995-959E-C03FE1C9A15E}"/>
    <cellStyle name="Style 95 3 4 2 4 2" xfId="14154" xr:uid="{898F602F-8A27-4572-8326-6369A487697E}"/>
    <cellStyle name="Style 95 3 4 2 4 2 2" xfId="29964" xr:uid="{46330F09-FF73-4097-8D93-23E441352D49}"/>
    <cellStyle name="Style 95 3 4 2 4 3" xfId="29963" xr:uid="{7431A5DC-9D76-44AA-B8F9-89F822821C5C}"/>
    <cellStyle name="Style 95 3 4 2 5" xfId="14155" xr:uid="{BBDFEDFF-9367-4953-88CF-ADF7DBB53031}"/>
    <cellStyle name="Style 95 3 4 2 5 2" xfId="14156" xr:uid="{359C9CD4-AA1A-4505-8DEC-3618E44B2DF2}"/>
    <cellStyle name="Style 95 3 4 2 5 2 2" xfId="29966" xr:uid="{F16BA752-39DA-418D-A1CF-005F073164F9}"/>
    <cellStyle name="Style 95 3 4 2 5 3" xfId="29965" xr:uid="{73AAB1F3-3E28-4CFF-97B5-8E52A86B3940}"/>
    <cellStyle name="Style 95 3 4 2 6" xfId="14157" xr:uid="{2D86CCC3-E2C2-40C9-AC2B-AABA660F73CD}"/>
    <cellStyle name="Style 95 3 4 2 6 2" xfId="14158" xr:uid="{0AF60E91-9376-45AF-B2CB-69B0AA9C5291}"/>
    <cellStyle name="Style 95 3 4 2 6 2 2" xfId="29968" xr:uid="{31E460E6-8C38-4FFD-B916-4C1F99E0D1ED}"/>
    <cellStyle name="Style 95 3 4 2 6 3" xfId="29967" xr:uid="{5E2AA53A-310F-43A9-8289-44846C5B2EA5}"/>
    <cellStyle name="Style 95 3 4 2 7" xfId="14159" xr:uid="{AFAA60B4-6937-4B68-B619-3A431536ED7C}"/>
    <cellStyle name="Style 95 3 4 2 7 2" xfId="29969" xr:uid="{B18AEBE6-7593-445F-B64F-C77541B0CAB2}"/>
    <cellStyle name="Style 95 3 4 2 8" xfId="14160" xr:uid="{30299534-2235-4D0F-8062-F809A5CB0C00}"/>
    <cellStyle name="Style 95 3 4 2 8 2" xfId="29970" xr:uid="{326FF7C6-60D9-4D20-A551-EC3E4E3360EA}"/>
    <cellStyle name="Style 95 3 4 3" xfId="5261" xr:uid="{E7A99E4D-7917-4FCB-B36A-BA10DAC4E422}"/>
    <cellStyle name="Style 95 3 4 3 2" xfId="14161" xr:uid="{0FEAE0AE-5696-4C2C-889D-B627C4DECF50}"/>
    <cellStyle name="Style 95 3 4 3 2 2" xfId="29971" xr:uid="{C4917D68-ECF0-4B84-8D15-18636C57AA05}"/>
    <cellStyle name="Style 95 3 4 3 3" xfId="14162" xr:uid="{6AF66D26-D2B8-49B8-B9C9-A8720D7970F8}"/>
    <cellStyle name="Style 95 3 4 3 3 2" xfId="29972" xr:uid="{56D0FD6D-02BD-4974-B715-EC5150BA2FCB}"/>
    <cellStyle name="Style 95 3 4 3 4" xfId="14163" xr:uid="{7346FE31-7913-4192-882A-C73403EA03F3}"/>
    <cellStyle name="Style 95 3 4 3 4 2" xfId="29973" xr:uid="{A8543C0C-3AAE-4DDB-AB15-E41852D7D362}"/>
    <cellStyle name="Style 95 3 4 4" xfId="14164" xr:uid="{2B1AD62C-F9B4-49BE-A7B5-3EC133168E29}"/>
    <cellStyle name="Style 95 3 4 4 2" xfId="14165" xr:uid="{94BC9941-E743-42A0-A627-07237AD9D796}"/>
    <cellStyle name="Style 95 3 4 4 2 2" xfId="29974" xr:uid="{0656B18B-C35B-402E-A42A-C9CEE804ECF5}"/>
    <cellStyle name="Style 95 3 4 4 3" xfId="14166" xr:uid="{F9FB2549-7FB6-4972-889B-2FFC7FFDB909}"/>
    <cellStyle name="Style 95 3 4 4 3 2" xfId="29975" xr:uid="{E176E74F-5A3C-43E6-8CEE-C2086D9F8A67}"/>
    <cellStyle name="Style 95 3 4 5" xfId="14167" xr:uid="{5D751924-F254-4421-AB73-4B9A9569139E}"/>
    <cellStyle name="Style 95 3 4 5 2" xfId="14168" xr:uid="{05004BE5-2600-4E5F-B373-F0C194BE7B67}"/>
    <cellStyle name="Style 95 3 4 5 2 2" xfId="29977" xr:uid="{975DE6AF-1F4D-40B5-A602-1DEB09C6EB82}"/>
    <cellStyle name="Style 95 3 4 5 3" xfId="29976" xr:uid="{78098ED3-F1B0-4B2F-ACAB-7ABA70AEF98A}"/>
    <cellStyle name="Style 95 3 4 6" xfId="14169" xr:uid="{D02EE4FC-AC49-4EB4-BA7E-51BE36D9228A}"/>
    <cellStyle name="Style 95 3 4 6 2" xfId="14170" xr:uid="{93BCE081-F406-4565-9FF9-25BB537FC50E}"/>
    <cellStyle name="Style 95 3 4 6 2 2" xfId="29979" xr:uid="{CC9E36A1-3529-40B0-B40D-DA8661BFA3CE}"/>
    <cellStyle name="Style 95 3 4 6 3" xfId="29978" xr:uid="{B7F33FF5-7163-4207-81D0-999A2927F278}"/>
    <cellStyle name="Style 95 3 4 7" xfId="14171" xr:uid="{563F529D-D782-40D3-B268-27548572DA04}"/>
    <cellStyle name="Style 95 3 4 7 2" xfId="14172" xr:uid="{AAA37231-BD2D-4233-9940-8FA02D0B9236}"/>
    <cellStyle name="Style 95 3 4 7 2 2" xfId="29981" xr:uid="{A8F8B1DE-DB28-4367-800E-A413924E32E0}"/>
    <cellStyle name="Style 95 3 4 7 3" xfId="29980" xr:uid="{75415F13-B2B1-4933-B18C-8827CD2CCA47}"/>
    <cellStyle name="Style 95 3 4 8" xfId="14173" xr:uid="{24346EE2-A71F-4025-A5E2-19BF907E7E68}"/>
    <cellStyle name="Style 95 3 4 8 2" xfId="14174" xr:uid="{0480A22C-402B-492C-AC08-C5B10FFE377B}"/>
    <cellStyle name="Style 95 3 4 8 2 2" xfId="29983" xr:uid="{8D495E03-FBC9-44C0-8717-3E4B3FE9E7CA}"/>
    <cellStyle name="Style 95 3 4 8 3" xfId="29982" xr:uid="{C5200909-79CE-44C9-8E58-E03CCDDBA742}"/>
    <cellStyle name="Style 95 3 4 9" xfId="14175" xr:uid="{EB238657-6C49-4077-BEA6-FE431B3EE2A7}"/>
    <cellStyle name="Style 95 3 4 9 2" xfId="29984" xr:uid="{5DDE7ECF-4016-4B59-A2B9-D32562CCC043}"/>
    <cellStyle name="Style 95 3 5" xfId="2428" xr:uid="{BFBE7ED7-1FC4-4BAE-A3CF-0520535664E5}"/>
    <cellStyle name="Style 95 3 5 2" xfId="5263" xr:uid="{E6C4AA9B-95DD-4FFF-A44B-38DB9C0F3D52}"/>
    <cellStyle name="Style 95 3 5 2 2" xfId="14176" xr:uid="{2F19198B-5D59-4271-93AA-B1B830D87ABF}"/>
    <cellStyle name="Style 95 3 5 2 2 2" xfId="29985" xr:uid="{B48D0145-C548-4D0D-8ADC-1C105DFFFF21}"/>
    <cellStyle name="Style 95 3 5 2 3" xfId="14177" xr:uid="{1361554D-1A9D-4FD4-840E-0249BB559F28}"/>
    <cellStyle name="Style 95 3 5 2 3 2" xfId="29986" xr:uid="{371711D8-5444-4A25-86A0-DB9DA3F52CBA}"/>
    <cellStyle name="Style 95 3 5 2 4" xfId="14178" xr:uid="{29E16007-4F99-4617-8E47-9BAEE73AE746}"/>
    <cellStyle name="Style 95 3 5 2 4 2" xfId="29987" xr:uid="{3B13DFF7-C333-48C2-9E28-4F7173C50EC4}"/>
    <cellStyle name="Style 95 3 5 3" xfId="14179" xr:uid="{22152926-EA10-42DF-AFC5-38FFC0DCE4D6}"/>
    <cellStyle name="Style 95 3 5 3 2" xfId="14180" xr:uid="{D29E5C68-B03E-44B9-989B-A7FB45C5B512}"/>
    <cellStyle name="Style 95 3 5 3 2 2" xfId="29988" xr:uid="{D8627C94-79C2-444C-B1C0-8965A9874F8B}"/>
    <cellStyle name="Style 95 3 5 3 3" xfId="14181" xr:uid="{C1EADD2E-6C69-4C97-8423-20C062462ABB}"/>
    <cellStyle name="Style 95 3 5 3 3 2" xfId="29989" xr:uid="{5DC32FFD-FC77-45AE-9212-F166160E0AF7}"/>
    <cellStyle name="Style 95 3 5 4" xfId="14182" xr:uid="{14191B8A-0078-4B14-BDC8-77CE3C77B276}"/>
    <cellStyle name="Style 95 3 5 4 2" xfId="14183" xr:uid="{4B7ABABD-5352-433A-8A24-AD12784A2544}"/>
    <cellStyle name="Style 95 3 5 4 2 2" xfId="29991" xr:uid="{103C4BB5-B771-4C66-81A7-646D81269285}"/>
    <cellStyle name="Style 95 3 5 4 3" xfId="29990" xr:uid="{AA14F196-DA97-4359-B861-FD435E367BC4}"/>
    <cellStyle name="Style 95 3 5 5" xfId="14184" xr:uid="{357D3C0E-4288-4344-86D1-DC92E2399EBA}"/>
    <cellStyle name="Style 95 3 5 5 2" xfId="14185" xr:uid="{55DFB82B-9C42-4B21-A608-5C2A8718FFBC}"/>
    <cellStyle name="Style 95 3 5 5 2 2" xfId="29993" xr:uid="{A8DCA21B-4463-44CC-9F07-47AA102D9998}"/>
    <cellStyle name="Style 95 3 5 5 3" xfId="29992" xr:uid="{8C9A986F-ED12-4047-BB4E-E28042363C2A}"/>
    <cellStyle name="Style 95 3 5 6" xfId="14186" xr:uid="{39680E4E-9E5E-4885-A165-74E897E1FBD8}"/>
    <cellStyle name="Style 95 3 5 6 2" xfId="14187" xr:uid="{068637CC-F62E-4070-9945-7A8C4A1E4CC0}"/>
    <cellStyle name="Style 95 3 5 6 2 2" xfId="29995" xr:uid="{639A94D8-D78E-42BA-B064-C848E7240417}"/>
    <cellStyle name="Style 95 3 5 6 3" xfId="29994" xr:uid="{730D027A-B434-469F-AE42-FCBB2D1C6F86}"/>
    <cellStyle name="Style 95 3 5 7" xfId="14188" xr:uid="{497A2400-490C-4D6D-BC62-BF837FEACB76}"/>
    <cellStyle name="Style 95 3 5 7 2" xfId="29996" xr:uid="{2268D29F-48D6-4B83-8825-3D49CE4B10DB}"/>
    <cellStyle name="Style 95 3 5 8" xfId="14189" xr:uid="{9BB10844-AEAF-4B3A-9BBF-8C1B8A792FD2}"/>
    <cellStyle name="Style 95 3 5 8 2" xfId="29997" xr:uid="{3B9E9F51-867D-4EE0-93A9-0CA49186585F}"/>
    <cellStyle name="Style 95 3 6" xfId="5264" xr:uid="{8D7672B8-7C91-429C-B5D2-8409ED8483F3}"/>
    <cellStyle name="Style 95 3 6 2" xfId="14190" xr:uid="{08B15CE2-2698-44B0-8279-09DBD9503B27}"/>
    <cellStyle name="Style 95 3 6 2 2" xfId="29998" xr:uid="{5F9A1822-2312-4461-9B6D-7C6F43E7DBD3}"/>
    <cellStyle name="Style 95 3 6 3" xfId="14191" xr:uid="{176E0F90-1646-4AA0-B210-3A12A6DD0929}"/>
    <cellStyle name="Style 95 3 6 3 2" xfId="29999" xr:uid="{8C01D0C2-9885-4BA7-A8B3-189E76128984}"/>
    <cellStyle name="Style 95 3 6 4" xfId="14192" xr:uid="{A13FCA6C-B557-43FE-AACD-321F29BD8D1A}"/>
    <cellStyle name="Style 95 3 6 4 2" xfId="30000" xr:uid="{55F3EF2F-2ADB-4B0C-829F-E85807FB3308}"/>
    <cellStyle name="Style 95 3 7" xfId="5243" xr:uid="{57EF97D8-B9FF-4CA9-A99A-E9421DDB46B9}"/>
    <cellStyle name="Style 95 3 7 2" xfId="14193" xr:uid="{BE118A1A-AF04-4D14-A7F3-5719B9BBF39D}"/>
    <cellStyle name="Style 95 3 7 2 2" xfId="30001" xr:uid="{1A080E97-2DB2-4A11-BFDC-CD3905A39762}"/>
    <cellStyle name="Style 95 3 7 3" xfId="14194" xr:uid="{FEF4B61F-F482-4C86-8A87-EB70B6816E63}"/>
    <cellStyle name="Style 95 3 7 3 2" xfId="30002" xr:uid="{EE882B22-552A-4EDB-9B08-CC1193EAB24B}"/>
    <cellStyle name="Style 95 3 8" xfId="14195" xr:uid="{3275859C-AAFA-436A-BDB8-9587AE1C1197}"/>
    <cellStyle name="Style 95 3 8 2" xfId="14196" xr:uid="{314C54E9-BC1B-495B-BB64-14999EF4A71A}"/>
    <cellStyle name="Style 95 3 8 2 2" xfId="30003" xr:uid="{933AA29D-7106-4AF6-8F32-9101A5D7DCC5}"/>
    <cellStyle name="Style 95 3 8 3" xfId="14197" xr:uid="{7B6221FC-7F08-4D22-A17E-9AAB7222ED81}"/>
    <cellStyle name="Style 95 3 8 3 2" xfId="30004" xr:uid="{DBE39399-3F4C-4F43-A704-25EE450E811F}"/>
    <cellStyle name="Style 95 3 9" xfId="14198" xr:uid="{2F5704BA-F1F0-49D5-B71D-BBD699EB4C55}"/>
    <cellStyle name="Style 95 3 9 2" xfId="14199" xr:uid="{3B9EFFC3-3B46-4CCF-9036-F6BEF6E5D728}"/>
    <cellStyle name="Style 95 3 9 2 2" xfId="30006" xr:uid="{017F7F2B-8A72-4EBD-9B84-2C652F358088}"/>
    <cellStyle name="Style 95 3 9 3" xfId="30005" xr:uid="{FFBD0974-1F6C-4A32-A5E9-970F37C2FEC4}"/>
    <cellStyle name="Style 95 4" xfId="2429" xr:uid="{DBD7947E-E7F2-482C-A576-C0078C87F8AE}"/>
    <cellStyle name="Style 95 4 10" xfId="14200" xr:uid="{C50ED53C-A89A-4FAE-AADB-AF32F6BA66CB}"/>
    <cellStyle name="Style 95 4 10 2" xfId="30007" xr:uid="{D0848748-C4C5-4042-903E-890DBA6154D5}"/>
    <cellStyle name="Style 95 4 11" xfId="14201" xr:uid="{7EDBC377-F9D7-4C87-BC56-59DD02ADE7B3}"/>
    <cellStyle name="Style 95 4 11 2" xfId="30008" xr:uid="{8E207721-142B-42CB-B339-F8C424CFF5B5}"/>
    <cellStyle name="Style 95 4 2" xfId="2430" xr:uid="{E7256DB1-C137-48FC-9249-8FD9C6059223}"/>
    <cellStyle name="Style 95 4 2 10" xfId="14202" xr:uid="{9D9E4855-CA29-46E5-A8BA-719CF7E345BF}"/>
    <cellStyle name="Style 95 4 2 10 2" xfId="30009" xr:uid="{BF225EEC-E56A-440C-8D79-C15B7199D8AB}"/>
    <cellStyle name="Style 95 4 2 11" xfId="14203" xr:uid="{DF50B4F7-D48A-456F-A41B-2D2FD1B6063C}"/>
    <cellStyle name="Style 95 4 2 11 2" xfId="30010" xr:uid="{6DC6931F-D202-48B3-AFAE-68C7AF1F107D}"/>
    <cellStyle name="Style 95 4 2 2" xfId="2431" xr:uid="{9FBCF0D8-D060-4EF1-98F3-A593EE4314D1}"/>
    <cellStyle name="Style 95 4 2 2 10" xfId="14204" xr:uid="{76AE59B2-3F93-44A3-A2DE-21AB9F230B32}"/>
    <cellStyle name="Style 95 4 2 2 10 2" xfId="30011" xr:uid="{42BDB9D7-4B99-4666-A16E-3AA51F72D728}"/>
    <cellStyle name="Style 95 4 2 2 2" xfId="2432" xr:uid="{AE3571C7-48AB-4D11-9A6C-A8DB7B5B6557}"/>
    <cellStyle name="Style 95 4 2 2 2 2" xfId="5268" xr:uid="{B40CEBE8-FA51-49D5-BD7A-A795DA6EFC23}"/>
    <cellStyle name="Style 95 4 2 2 2 2 2" xfId="14205" xr:uid="{39A33DA3-18C3-4CFE-B7B5-7B75215426E8}"/>
    <cellStyle name="Style 95 4 2 2 2 2 2 2" xfId="30012" xr:uid="{68E07248-3384-4B15-90B2-D6345B7383B8}"/>
    <cellStyle name="Style 95 4 2 2 2 2 3" xfId="14206" xr:uid="{0BF63891-9F4A-4115-A5DE-492836A6672B}"/>
    <cellStyle name="Style 95 4 2 2 2 2 3 2" xfId="30013" xr:uid="{FB992936-BFA0-4933-8240-55613B4C6B9A}"/>
    <cellStyle name="Style 95 4 2 2 2 2 4" xfId="14207" xr:uid="{E612415D-81D1-4773-8963-E3BD62CACB85}"/>
    <cellStyle name="Style 95 4 2 2 2 2 4 2" xfId="30014" xr:uid="{CDBA8AC1-7FD9-4D0B-80E1-32F6C55D8364}"/>
    <cellStyle name="Style 95 4 2 2 2 3" xfId="14208" xr:uid="{A882A10A-E09F-47D1-A76B-F2593130E520}"/>
    <cellStyle name="Style 95 4 2 2 2 3 2" xfId="14209" xr:uid="{E6B18F33-93C2-42D3-A6E4-D11AF8C16D2C}"/>
    <cellStyle name="Style 95 4 2 2 2 3 2 2" xfId="30015" xr:uid="{35795D59-6DBE-46A2-8448-A0C28E4936B3}"/>
    <cellStyle name="Style 95 4 2 2 2 3 3" xfId="14210" xr:uid="{2665EFE4-2356-4A1D-8082-215D614EECAC}"/>
    <cellStyle name="Style 95 4 2 2 2 3 3 2" xfId="30016" xr:uid="{B254EE1D-9475-4D6B-B233-BD4CCA18DC9D}"/>
    <cellStyle name="Style 95 4 2 2 2 4" xfId="14211" xr:uid="{88194E2D-E84D-41F7-ACDF-94D58A0A87A0}"/>
    <cellStyle name="Style 95 4 2 2 2 4 2" xfId="14212" xr:uid="{C8C03470-1C26-44D6-8333-92668A4ACF79}"/>
    <cellStyle name="Style 95 4 2 2 2 4 2 2" xfId="30018" xr:uid="{25BB2297-245B-4615-91EF-393E4A7F738A}"/>
    <cellStyle name="Style 95 4 2 2 2 4 3" xfId="30017" xr:uid="{4E950692-F700-4743-97AD-915698AD839C}"/>
    <cellStyle name="Style 95 4 2 2 2 5" xfId="14213" xr:uid="{B9F63C9F-0BCF-405C-82EF-4303D582A914}"/>
    <cellStyle name="Style 95 4 2 2 2 5 2" xfId="14214" xr:uid="{6700C989-50C0-4D02-85B7-A5AFFEE16C5A}"/>
    <cellStyle name="Style 95 4 2 2 2 5 2 2" xfId="30020" xr:uid="{B927F5B4-13DC-4E95-BE6D-CA3AB496A22A}"/>
    <cellStyle name="Style 95 4 2 2 2 5 3" xfId="30019" xr:uid="{29248C84-E68A-4547-8D94-A6B7BAD21861}"/>
    <cellStyle name="Style 95 4 2 2 2 6" xfId="14215" xr:uid="{E563E224-4922-4864-865A-C0CACEBDC96C}"/>
    <cellStyle name="Style 95 4 2 2 2 6 2" xfId="14216" xr:uid="{F9432A5C-B8AB-4323-9D5D-E1E1D3B9880D}"/>
    <cellStyle name="Style 95 4 2 2 2 6 2 2" xfId="30022" xr:uid="{237F3A16-107C-4435-A7AC-5980B4E39D11}"/>
    <cellStyle name="Style 95 4 2 2 2 6 3" xfId="30021" xr:uid="{6041956A-B34C-40FE-9687-F59513D13142}"/>
    <cellStyle name="Style 95 4 2 2 2 7" xfId="14217" xr:uid="{E723CB40-81F0-431D-A3FE-D1B945E05D2C}"/>
    <cellStyle name="Style 95 4 2 2 2 7 2" xfId="30023" xr:uid="{3E4D61F1-97A9-4F04-ABB8-37C476531090}"/>
    <cellStyle name="Style 95 4 2 2 2 8" xfId="14218" xr:uid="{68537E86-B06C-4BB4-8E1C-ED2E38BC1CF4}"/>
    <cellStyle name="Style 95 4 2 2 2 8 2" xfId="30024" xr:uid="{FA850B5F-38A7-4B20-BC73-AA780603CF6B}"/>
    <cellStyle name="Style 95 4 2 2 3" xfId="5267" xr:uid="{856937E8-451F-474D-A3CF-E258E28B01FC}"/>
    <cellStyle name="Style 95 4 2 2 3 2" xfId="14219" xr:uid="{30CB6285-6411-4F52-B474-2C658925590B}"/>
    <cellStyle name="Style 95 4 2 2 3 2 2" xfId="30025" xr:uid="{358DE00B-0797-4126-B9A8-4549FD0CB958}"/>
    <cellStyle name="Style 95 4 2 2 3 3" xfId="14220" xr:uid="{F50D1949-9F02-4C55-BEE2-3F8E319A9AE3}"/>
    <cellStyle name="Style 95 4 2 2 3 3 2" xfId="30026" xr:uid="{1C8FD3FA-19FE-432D-AD10-0F53B06E9C9E}"/>
    <cellStyle name="Style 95 4 2 2 3 4" xfId="14221" xr:uid="{BA89C201-8E1D-48BD-9A6F-012B8DB130A0}"/>
    <cellStyle name="Style 95 4 2 2 3 4 2" xfId="30027" xr:uid="{41EE25D2-8000-4783-B748-8B1F5CD5A800}"/>
    <cellStyle name="Style 95 4 2 2 4" xfId="14222" xr:uid="{F16E4901-9BD7-4C2F-9323-4048CC511AB3}"/>
    <cellStyle name="Style 95 4 2 2 4 2" xfId="14223" xr:uid="{1A45A91E-A5D3-4477-AF47-F67D21A214CC}"/>
    <cellStyle name="Style 95 4 2 2 4 2 2" xfId="30028" xr:uid="{AEE9842E-21DD-4DE9-917A-E34DFDF898DA}"/>
    <cellStyle name="Style 95 4 2 2 4 3" xfId="14224" xr:uid="{609ADC8A-A6AB-4D40-9D7D-4252B3D87021}"/>
    <cellStyle name="Style 95 4 2 2 4 3 2" xfId="30029" xr:uid="{8A0AB123-A4A0-486A-AA5B-5E46204F8F44}"/>
    <cellStyle name="Style 95 4 2 2 5" xfId="14225" xr:uid="{FB087D00-FC49-4224-9D90-C92CEA308573}"/>
    <cellStyle name="Style 95 4 2 2 5 2" xfId="14226" xr:uid="{D08CEF13-679E-48F4-B176-25ED7A3127A1}"/>
    <cellStyle name="Style 95 4 2 2 5 2 2" xfId="30031" xr:uid="{21865B5B-959D-44E4-90E1-DC11C6CA45A0}"/>
    <cellStyle name="Style 95 4 2 2 5 3" xfId="30030" xr:uid="{B866D17E-A944-44DA-82DA-917ED7B13461}"/>
    <cellStyle name="Style 95 4 2 2 6" xfId="14227" xr:uid="{A1D558FD-DBC8-4BC2-9DE6-73389C64B767}"/>
    <cellStyle name="Style 95 4 2 2 6 2" xfId="14228" xr:uid="{2AF20438-9237-40C3-9CF5-65CB526482EE}"/>
    <cellStyle name="Style 95 4 2 2 6 2 2" xfId="30033" xr:uid="{8FDD9811-6DC5-45B9-9FD3-EACC18FFF2AB}"/>
    <cellStyle name="Style 95 4 2 2 6 3" xfId="30032" xr:uid="{F5E08AC1-1869-4D62-B625-46A1E722774D}"/>
    <cellStyle name="Style 95 4 2 2 7" xfId="14229" xr:uid="{C823F82C-A263-4EA9-AB13-C04CA8B2866C}"/>
    <cellStyle name="Style 95 4 2 2 7 2" xfId="14230" xr:uid="{50CD3A74-9E5E-4922-8946-850F12DA2057}"/>
    <cellStyle name="Style 95 4 2 2 7 2 2" xfId="30035" xr:uid="{2024F8D6-55FC-4798-ABD3-6133751B0C11}"/>
    <cellStyle name="Style 95 4 2 2 7 3" xfId="30034" xr:uid="{A2B18DAB-0492-45B1-A6CD-36A58E749CCE}"/>
    <cellStyle name="Style 95 4 2 2 8" xfId="14231" xr:uid="{DA72C4F5-D07E-454D-9CB1-4922C5C3041D}"/>
    <cellStyle name="Style 95 4 2 2 8 2" xfId="14232" xr:uid="{3F297E14-1253-4883-A6FE-02846747FF51}"/>
    <cellStyle name="Style 95 4 2 2 8 2 2" xfId="30037" xr:uid="{3567042C-7372-44A1-ADA2-71EEADF9746E}"/>
    <cellStyle name="Style 95 4 2 2 8 3" xfId="30036" xr:uid="{342448B8-B760-4526-BE21-9DFA02AEE505}"/>
    <cellStyle name="Style 95 4 2 2 9" xfId="14233" xr:uid="{1888F1A7-B6B1-4341-8561-E26ACD64A061}"/>
    <cellStyle name="Style 95 4 2 2 9 2" xfId="30038" xr:uid="{FF558BB9-2B40-45D9-979E-842144A67BB6}"/>
    <cellStyle name="Style 95 4 2 3" xfId="2433" xr:uid="{45D201B4-A69D-4AC3-B3FB-195971DD3910}"/>
    <cellStyle name="Style 95 4 2 3 2" xfId="5269" xr:uid="{43ADA6D1-A029-4608-A3ED-534219168AC4}"/>
    <cellStyle name="Style 95 4 2 3 2 2" xfId="14234" xr:uid="{31875328-5738-471F-BB90-4504211AACE9}"/>
    <cellStyle name="Style 95 4 2 3 2 2 2" xfId="30039" xr:uid="{28C0A127-CA33-45C9-ADCA-A1DCC5276AD9}"/>
    <cellStyle name="Style 95 4 2 3 2 3" xfId="14235" xr:uid="{4203523C-08B9-4547-AB02-5C9CADA3D712}"/>
    <cellStyle name="Style 95 4 2 3 2 3 2" xfId="30040" xr:uid="{DFF7826D-6D8A-4BA3-BB0B-5A6746F33011}"/>
    <cellStyle name="Style 95 4 2 3 2 4" xfId="14236" xr:uid="{6FC7A7B9-32D5-4661-8865-341BC47012D9}"/>
    <cellStyle name="Style 95 4 2 3 2 4 2" xfId="30041" xr:uid="{802CED55-4135-4398-91F7-EA0D00679B52}"/>
    <cellStyle name="Style 95 4 2 3 3" xfId="14237" xr:uid="{125EF09F-B094-4B75-8246-1FF2741CF088}"/>
    <cellStyle name="Style 95 4 2 3 3 2" xfId="14238" xr:uid="{83903D0C-F10E-4D86-8CFD-211F2828B45A}"/>
    <cellStyle name="Style 95 4 2 3 3 2 2" xfId="30042" xr:uid="{C40547F2-0C9A-45D5-ADFD-4F4DEFFB8651}"/>
    <cellStyle name="Style 95 4 2 3 3 3" xfId="14239" xr:uid="{54448981-4481-4383-A93E-610CB971A75B}"/>
    <cellStyle name="Style 95 4 2 3 3 3 2" xfId="30043" xr:uid="{565BE627-08CF-4CCD-BA8A-FA6405FAEF1D}"/>
    <cellStyle name="Style 95 4 2 3 4" xfId="14240" xr:uid="{9DA69BCF-6E14-4AF2-BADD-AF040C324A2E}"/>
    <cellStyle name="Style 95 4 2 3 4 2" xfId="14241" xr:uid="{11A1AFF6-3EC1-41A3-82B0-73DA549D3358}"/>
    <cellStyle name="Style 95 4 2 3 4 2 2" xfId="30045" xr:uid="{7CB8A018-18BC-4887-B07B-2F5C5F9A7E84}"/>
    <cellStyle name="Style 95 4 2 3 4 3" xfId="30044" xr:uid="{83A064D4-A858-449B-99D2-8DB0C136F559}"/>
    <cellStyle name="Style 95 4 2 3 5" xfId="14242" xr:uid="{3DEFE1DE-956D-4032-A869-5FE3C1B728D0}"/>
    <cellStyle name="Style 95 4 2 3 5 2" xfId="14243" xr:uid="{8C7BFF5B-5236-4E4A-A6A2-E9A56ACD12D4}"/>
    <cellStyle name="Style 95 4 2 3 5 2 2" xfId="30047" xr:uid="{F5369A9F-FE00-4995-896C-44C6BD611345}"/>
    <cellStyle name="Style 95 4 2 3 5 3" xfId="30046" xr:uid="{3D14D431-72FE-40BB-9C77-37B196009059}"/>
    <cellStyle name="Style 95 4 2 3 6" xfId="14244" xr:uid="{CB002FAA-8C27-4325-BF0F-9CF869B7B362}"/>
    <cellStyle name="Style 95 4 2 3 6 2" xfId="14245" xr:uid="{87813DFA-6B0B-4157-9DFF-D2B32EFC9DD8}"/>
    <cellStyle name="Style 95 4 2 3 6 2 2" xfId="30049" xr:uid="{FC126F1B-A746-4FB4-B756-33BE2F0DE375}"/>
    <cellStyle name="Style 95 4 2 3 6 3" xfId="30048" xr:uid="{9316E473-4561-4130-8805-F797156912FF}"/>
    <cellStyle name="Style 95 4 2 3 7" xfId="14246" xr:uid="{F8A5E3A9-954A-4DA6-932F-861D79928F61}"/>
    <cellStyle name="Style 95 4 2 3 7 2" xfId="30050" xr:uid="{C491FC1B-10F3-4AE9-90DB-E605B3ED9336}"/>
    <cellStyle name="Style 95 4 2 3 8" xfId="14247" xr:uid="{E180EF1A-A9AA-48BD-A3F1-02EFEF5680E9}"/>
    <cellStyle name="Style 95 4 2 3 8 2" xfId="30051" xr:uid="{CCD0C7D8-BD85-439F-A0FB-C435FC7123D8}"/>
    <cellStyle name="Style 95 4 2 4" xfId="5266" xr:uid="{05BA391D-885A-46DA-8FE2-68CD35A3744C}"/>
    <cellStyle name="Style 95 4 2 4 2" xfId="14248" xr:uid="{AE3AF064-8ECC-43DC-9736-359885743AB4}"/>
    <cellStyle name="Style 95 4 2 4 2 2" xfId="30052" xr:uid="{FDE3DEBA-C269-4E35-9AA7-99C59522A8E4}"/>
    <cellStyle name="Style 95 4 2 4 3" xfId="14249" xr:uid="{F98F4317-00E9-46CC-96F8-E271C20B0D32}"/>
    <cellStyle name="Style 95 4 2 4 3 2" xfId="30053" xr:uid="{8F522F5F-23F9-4622-BA5E-7D9E54A9A25F}"/>
    <cellStyle name="Style 95 4 2 4 4" xfId="14250" xr:uid="{0A1E1E48-D4B2-4F24-94D3-F37FC0D69618}"/>
    <cellStyle name="Style 95 4 2 4 4 2" xfId="30054" xr:uid="{57FF6EA0-E0EF-4C11-95A2-CD483B030F42}"/>
    <cellStyle name="Style 95 4 2 5" xfId="14251" xr:uid="{5731E6FE-B3C1-4CD8-B0C0-991314B69C6C}"/>
    <cellStyle name="Style 95 4 2 5 2" xfId="14252" xr:uid="{54431101-1329-4879-923E-71AD82787A65}"/>
    <cellStyle name="Style 95 4 2 5 2 2" xfId="30055" xr:uid="{AFA4691C-12BE-48F4-8C1C-5D77DDD4528A}"/>
    <cellStyle name="Style 95 4 2 5 3" xfId="14253" xr:uid="{942E4FA6-199F-45DD-819A-06BF1481E4ED}"/>
    <cellStyle name="Style 95 4 2 5 3 2" xfId="30056" xr:uid="{32C9DFED-8460-42BB-9D23-988A8AB96CF2}"/>
    <cellStyle name="Style 95 4 2 6" xfId="14254" xr:uid="{6D61F8A9-7898-4128-B784-901774BB79ED}"/>
    <cellStyle name="Style 95 4 2 6 2" xfId="14255" xr:uid="{69E91DDD-0F16-4E1B-BF77-5BD104E7B572}"/>
    <cellStyle name="Style 95 4 2 6 2 2" xfId="30058" xr:uid="{5974C7AF-FF42-4760-9E46-B1D9F07189EF}"/>
    <cellStyle name="Style 95 4 2 6 3" xfId="30057" xr:uid="{5B991E38-46CA-4F29-8DD6-3408F227DD34}"/>
    <cellStyle name="Style 95 4 2 7" xfId="14256" xr:uid="{82E05168-5A94-49AA-BC1F-FE722B2CE671}"/>
    <cellStyle name="Style 95 4 2 7 2" xfId="14257" xr:uid="{FD73DEE0-635F-498A-954B-9AEE19C6F8E1}"/>
    <cellStyle name="Style 95 4 2 7 2 2" xfId="30060" xr:uid="{6B11C8B0-39BE-469F-A1DA-33EED65BBF9F}"/>
    <cellStyle name="Style 95 4 2 7 3" xfId="30059" xr:uid="{A3960CD7-32E9-4BD4-BFAD-BD3754628A93}"/>
    <cellStyle name="Style 95 4 2 8" xfId="14258" xr:uid="{D8B191EF-504E-4237-BE56-65172891FD6A}"/>
    <cellStyle name="Style 95 4 2 8 2" xfId="14259" xr:uid="{04926F42-5B43-413D-8A31-EA3F350E8664}"/>
    <cellStyle name="Style 95 4 2 8 2 2" xfId="30062" xr:uid="{B5EFD547-B12F-42A5-8A02-1F97A912E15C}"/>
    <cellStyle name="Style 95 4 2 8 3" xfId="30061" xr:uid="{70FA109E-544D-483D-8FCE-ACC4414A442D}"/>
    <cellStyle name="Style 95 4 2 9" xfId="14260" xr:uid="{BFFE40A8-9CAB-4E75-A8B7-EDF4CA5F3922}"/>
    <cellStyle name="Style 95 4 2 9 2" xfId="14261" xr:uid="{3C494032-300C-4259-B958-CB8C5F82E138}"/>
    <cellStyle name="Style 95 4 2 9 2 2" xfId="30064" xr:uid="{B1BB282C-F3EF-4094-BAA7-6D6C6EE0D95E}"/>
    <cellStyle name="Style 95 4 2 9 3" xfId="30063" xr:uid="{B1BD7D69-C081-4C0A-A5E1-26E2BF8C6DE1}"/>
    <cellStyle name="Style 95 4 3" xfId="2434" xr:uid="{84AA7327-9242-47A6-9F05-8159091C30F3}"/>
    <cellStyle name="Style 95 4 3 2" xfId="5271" xr:uid="{8E124665-A30E-404F-ACB0-35B9A4D41DF8}"/>
    <cellStyle name="Style 95 4 3 2 2" xfId="14262" xr:uid="{C020BDFD-3CAB-4CCE-AE45-E1E42244DAFE}"/>
    <cellStyle name="Style 95 4 3 2 2 2" xfId="30065" xr:uid="{CA3EA13E-199A-4B88-A979-C8DBD55F20FD}"/>
    <cellStyle name="Style 95 4 3 2 3" xfId="14263" xr:uid="{9E0B82CD-EFD5-42F5-A07D-B8750B5EA12B}"/>
    <cellStyle name="Style 95 4 3 2 3 2" xfId="30066" xr:uid="{35408A29-8524-47C4-B083-0C5B3DC55CFA}"/>
    <cellStyle name="Style 95 4 3 2 4" xfId="14264" xr:uid="{B9A0C19C-33A1-4712-911D-73A38B7C2767}"/>
    <cellStyle name="Style 95 4 3 2 4 2" xfId="30067" xr:uid="{B78466A7-BDA3-4749-AB32-0A71628DF5B0}"/>
    <cellStyle name="Style 95 4 3 3" xfId="5270" xr:uid="{49285645-B26D-4AEF-AE70-38524F23D85A}"/>
    <cellStyle name="Style 95 4 3 3 2" xfId="14265" xr:uid="{FF1FDDE0-C16D-420F-BBFF-9BD406E72554}"/>
    <cellStyle name="Style 95 4 3 3 2 2" xfId="30068" xr:uid="{C4413008-3818-4E42-8707-5A7E9E353E2F}"/>
    <cellStyle name="Style 95 4 3 3 3" xfId="14266" xr:uid="{A922B588-1343-4BC2-B847-04C8D589AFD1}"/>
    <cellStyle name="Style 95 4 3 3 3 2" xfId="30069" xr:uid="{EF1B617D-AEA5-4FC8-A88F-182629E6D2DF}"/>
    <cellStyle name="Style 95 4 3 4" xfId="14267" xr:uid="{DD2BF1EF-BFEB-4730-815C-AD6DA99357DA}"/>
    <cellStyle name="Style 95 4 3 4 2" xfId="14268" xr:uid="{8C4C5237-5BF9-438E-A546-22C66BB72497}"/>
    <cellStyle name="Style 95 4 3 4 2 2" xfId="30070" xr:uid="{217330B0-E0AB-4BAA-AEB0-188616B5C311}"/>
    <cellStyle name="Style 95 4 3 4 3" xfId="14269" xr:uid="{42927875-E1D6-4BC0-BD6B-F3D43A2A954C}"/>
    <cellStyle name="Style 95 4 3 4 3 2" xfId="30071" xr:uid="{2AED610C-5854-4E65-BCCE-3122A4F90549}"/>
    <cellStyle name="Style 95 4 3 5" xfId="14270" xr:uid="{D51CA2FC-26C6-4C28-BD74-E3AD99B9F36B}"/>
    <cellStyle name="Style 95 4 3 5 2" xfId="14271" xr:uid="{8E93C5A2-20B1-4DB4-88C6-397DF7B85979}"/>
    <cellStyle name="Style 95 4 3 5 2 2" xfId="30073" xr:uid="{7D5D3105-12A5-48DD-AC80-DD27C3CE6DFD}"/>
    <cellStyle name="Style 95 4 3 5 3" xfId="30072" xr:uid="{B5E97DB9-35D3-4080-B06A-D281AF62C767}"/>
    <cellStyle name="Style 95 4 3 6" xfId="14272" xr:uid="{B025E701-DCBE-4728-B96E-88383D7DEA49}"/>
    <cellStyle name="Style 95 4 3 6 2" xfId="14273" xr:uid="{07C62F9A-129F-4844-9D58-40AEDDBCCEAD}"/>
    <cellStyle name="Style 95 4 3 6 2 2" xfId="30075" xr:uid="{63C4BE15-17C5-4396-A663-B3573ABABEED}"/>
    <cellStyle name="Style 95 4 3 6 3" xfId="30074" xr:uid="{77D7FF54-F944-44A5-920B-A1BAEB1E6F77}"/>
    <cellStyle name="Style 95 4 3 7" xfId="14274" xr:uid="{FED50C44-258F-46E1-8302-287582B09040}"/>
    <cellStyle name="Style 95 4 3 7 2" xfId="30076" xr:uid="{0CC8A80C-D136-45A2-B0F2-93209F8FAB72}"/>
    <cellStyle name="Style 95 4 3 8" xfId="14275" xr:uid="{CDAC6BF1-D9FD-4E77-B442-343F7DD1D77A}"/>
    <cellStyle name="Style 95 4 3 8 2" xfId="30077" xr:uid="{197A4C70-141F-4442-92A6-1A54328D9A20}"/>
    <cellStyle name="Style 95 4 4" xfId="5272" xr:uid="{DBA2AF66-9AD5-4967-9E6D-D0EF599772B1}"/>
    <cellStyle name="Style 95 4 4 2" xfId="14276" xr:uid="{269DA338-C7F3-48D5-94BD-88B4F615D71E}"/>
    <cellStyle name="Style 95 4 4 2 2" xfId="30078" xr:uid="{201745B4-9A9F-441C-A69C-7DF323D47EF8}"/>
    <cellStyle name="Style 95 4 4 3" xfId="14277" xr:uid="{BC332F64-14C0-45E7-9996-560F683A7D35}"/>
    <cellStyle name="Style 95 4 4 3 2" xfId="30079" xr:uid="{925B7264-E4C9-4260-B8D7-54C8E71DB604}"/>
    <cellStyle name="Style 95 4 4 4" xfId="14278" xr:uid="{96B55F46-CD24-4C30-B387-A2711A3BF021}"/>
    <cellStyle name="Style 95 4 4 4 2" xfId="30080" xr:uid="{7019EDA0-5B9A-4986-A759-C1684AD8984E}"/>
    <cellStyle name="Style 95 4 5" xfId="5273" xr:uid="{07CE2C08-42F1-4D88-82FB-ED0DCE8ECA29}"/>
    <cellStyle name="Style 95 4 5 2" xfId="14279" xr:uid="{CA758BE8-F70E-4857-88F4-DB01F2EF5BE0}"/>
    <cellStyle name="Style 95 4 5 2 2" xfId="30081" xr:uid="{204C9E37-BD1B-4AF5-A8D0-FAE28DAF0847}"/>
    <cellStyle name="Style 95 4 5 3" xfId="14280" xr:uid="{EFE43248-8D6A-4EB0-B007-AE76AC5AB602}"/>
    <cellStyle name="Style 95 4 5 3 2" xfId="30082" xr:uid="{9D37A995-EC87-4CAB-AD25-E405B2149E1F}"/>
    <cellStyle name="Style 95 4 6" xfId="5265" xr:uid="{23096E65-96A7-4835-BC61-F965D21932A4}"/>
    <cellStyle name="Style 95 4 6 2" xfId="14281" xr:uid="{25C82393-9268-4A77-A7F0-F8271B72AEE2}"/>
    <cellStyle name="Style 95 4 6 2 2" xfId="30083" xr:uid="{F40CEF37-1C2A-44F8-A047-2F90E9378DAE}"/>
    <cellStyle name="Style 95 4 6 3" xfId="14282" xr:uid="{307198EC-3123-4881-AB7A-23DD05359017}"/>
    <cellStyle name="Style 95 4 6 3 2" xfId="30084" xr:uid="{1C9E95AF-5D65-4EF1-9CF9-F75F83ECCE16}"/>
    <cellStyle name="Style 95 4 7" xfId="14283" xr:uid="{57696032-AD5C-4FE2-9FAE-07ADCF4414D5}"/>
    <cellStyle name="Style 95 4 7 2" xfId="14284" xr:uid="{9B2B1277-0275-4C9D-9E64-BE376431EE1B}"/>
    <cellStyle name="Style 95 4 7 2 2" xfId="30085" xr:uid="{706683C3-249B-44D4-B4BC-10A6B237F86F}"/>
    <cellStyle name="Style 95 4 7 3" xfId="14285" xr:uid="{09B84B23-5F55-46EA-B390-7C16A0225724}"/>
    <cellStyle name="Style 95 4 7 3 2" xfId="30086" xr:uid="{99E89380-82D1-4082-84D4-F6A8A0D577C7}"/>
    <cellStyle name="Style 95 4 8" xfId="14286" xr:uid="{C44D87EF-7FD6-4E61-89E8-63D7BB19A909}"/>
    <cellStyle name="Style 95 4 8 2" xfId="14287" xr:uid="{7798984C-52F2-4757-A100-2A36068FC469}"/>
    <cellStyle name="Style 95 4 8 2 2" xfId="30088" xr:uid="{89B96D6E-C28A-444F-A273-307E364EE271}"/>
    <cellStyle name="Style 95 4 8 3" xfId="30087" xr:uid="{C6DFC8D1-6652-4EE8-B5B1-8DC8A96510E5}"/>
    <cellStyle name="Style 95 4 9" xfId="14288" xr:uid="{EFD77A52-1F69-46AD-A765-BB40EF5F4435}"/>
    <cellStyle name="Style 95 4 9 2" xfId="14289" xr:uid="{23AE92A7-BAE5-4370-A0E1-075C8699E3F3}"/>
    <cellStyle name="Style 95 4 9 2 2" xfId="30090" xr:uid="{7FAF0745-75F6-418F-95F7-792D82C58F25}"/>
    <cellStyle name="Style 95 4 9 3" xfId="30089" xr:uid="{422009CE-B14D-4034-83EE-513400B24A9E}"/>
    <cellStyle name="Style 95 5" xfId="2435" xr:uid="{9ED0EFF6-01B4-4162-891D-E8A935A37489}"/>
    <cellStyle name="Style 95 5 10" xfId="14290" xr:uid="{CE960EED-2836-4722-AC3C-E1B9C94832B8}"/>
    <cellStyle name="Style 95 5 10 2" xfId="30091" xr:uid="{B70FA007-11C0-4820-A6C4-80A36B2A9536}"/>
    <cellStyle name="Style 95 5 2" xfId="2436" xr:uid="{2EFE289D-458F-4F44-84B2-0033D050E821}"/>
    <cellStyle name="Style 95 5 2 2" xfId="5275" xr:uid="{2BF445A2-0F22-4A06-A3F6-50AA76801CEE}"/>
    <cellStyle name="Style 95 5 2 2 2" xfId="14291" xr:uid="{0AB1154E-F32F-4262-9E40-F41F1418CE15}"/>
    <cellStyle name="Style 95 5 2 2 2 2" xfId="30092" xr:uid="{375F6C3B-C557-41A8-BDC2-9F6802018494}"/>
    <cellStyle name="Style 95 5 2 2 3" xfId="14292" xr:uid="{41FDEF9E-8B01-4A65-A242-BCDAC7965D59}"/>
    <cellStyle name="Style 95 5 2 2 3 2" xfId="30093" xr:uid="{8810A7DB-A9D1-433D-B811-0E6141497EA8}"/>
    <cellStyle name="Style 95 5 2 2 4" xfId="14293" xr:uid="{A2055542-A667-4D6F-B6B3-8DB3E8F5420D}"/>
    <cellStyle name="Style 95 5 2 2 4 2" xfId="30094" xr:uid="{375C9CC2-87DA-4C6D-81EC-49EC77CDC9DB}"/>
    <cellStyle name="Style 95 5 2 3" xfId="14294" xr:uid="{EE5B9EA4-AC44-4BE9-9264-6A9528916B5D}"/>
    <cellStyle name="Style 95 5 2 3 2" xfId="14295" xr:uid="{DDF82865-733C-4B5A-B6B3-6C983550EF08}"/>
    <cellStyle name="Style 95 5 2 3 2 2" xfId="30095" xr:uid="{B5973E95-5120-404A-B481-BDC84A74664A}"/>
    <cellStyle name="Style 95 5 2 3 3" xfId="14296" xr:uid="{4AA918C1-15E1-4400-8A54-6AFDB288E6E2}"/>
    <cellStyle name="Style 95 5 2 3 3 2" xfId="30096" xr:uid="{4D98FD91-A996-4AF7-BAA1-35FE7CE74001}"/>
    <cellStyle name="Style 95 5 2 4" xfId="14297" xr:uid="{73AA7ED6-C3A8-4533-9347-0B389C82AC5A}"/>
    <cellStyle name="Style 95 5 2 4 2" xfId="14298" xr:uid="{E45D1928-3807-4082-8D1C-2C46048476C9}"/>
    <cellStyle name="Style 95 5 2 4 2 2" xfId="30098" xr:uid="{95EFDA16-971C-4368-A2FB-956D0DF02068}"/>
    <cellStyle name="Style 95 5 2 4 3" xfId="30097" xr:uid="{784AEB28-ACD3-4B23-BA7C-2EF2F1408B98}"/>
    <cellStyle name="Style 95 5 2 5" xfId="14299" xr:uid="{CFD3DBF0-0175-4D6E-8EA6-0D4F83C10BDE}"/>
    <cellStyle name="Style 95 5 2 5 2" xfId="14300" xr:uid="{9914B569-80F8-4D11-91C8-12F486A6C537}"/>
    <cellStyle name="Style 95 5 2 5 2 2" xfId="30100" xr:uid="{77CBB853-2E7B-47E3-9761-58ED0C2F3C54}"/>
    <cellStyle name="Style 95 5 2 5 3" xfId="30099" xr:uid="{A95140AC-0865-49BB-849E-6DFC78AD343F}"/>
    <cellStyle name="Style 95 5 2 6" xfId="14301" xr:uid="{711696E2-BAB4-4571-8CAC-8B060ECB2600}"/>
    <cellStyle name="Style 95 5 2 6 2" xfId="14302" xr:uid="{3E2B3AE6-CE80-4213-98A4-9D084ACC469E}"/>
    <cellStyle name="Style 95 5 2 6 2 2" xfId="30102" xr:uid="{CA81E91C-3218-43F8-85D2-4E4E66153981}"/>
    <cellStyle name="Style 95 5 2 6 3" xfId="30101" xr:uid="{22FA0E95-FDD4-4A30-8A35-B1332953C06F}"/>
    <cellStyle name="Style 95 5 2 7" xfId="14303" xr:uid="{46E5C58A-86ED-4DE6-B66D-E9850C16A861}"/>
    <cellStyle name="Style 95 5 2 7 2" xfId="30103" xr:uid="{DE93FA70-440D-4402-84EC-5C91E8783DE1}"/>
    <cellStyle name="Style 95 5 2 8" xfId="14304" xr:uid="{5E595136-B01E-4919-9CD9-20251B8D1782}"/>
    <cellStyle name="Style 95 5 2 8 2" xfId="30104" xr:uid="{0EEE0858-78A3-42C7-A092-F7B75DAED758}"/>
    <cellStyle name="Style 95 5 3" xfId="5274" xr:uid="{73C63CC9-E014-4C14-A32F-119C51B2722D}"/>
    <cellStyle name="Style 95 5 3 2" xfId="14305" xr:uid="{D52F56A2-7EB6-4D2B-9588-ADB4C446CEE6}"/>
    <cellStyle name="Style 95 5 3 2 2" xfId="30105" xr:uid="{190840FC-D617-4BBB-97FC-A5F7B0B89111}"/>
    <cellStyle name="Style 95 5 3 3" xfId="14306" xr:uid="{42F9E44B-6804-4D38-BE96-1B5251A62F49}"/>
    <cellStyle name="Style 95 5 3 3 2" xfId="30106" xr:uid="{394A044E-6561-4047-B7EE-999F5221D98D}"/>
    <cellStyle name="Style 95 5 3 4" xfId="14307" xr:uid="{23A391C7-5587-4ED0-852C-CA13C4DF6C0F}"/>
    <cellStyle name="Style 95 5 3 4 2" xfId="30107" xr:uid="{9A20CCCF-1C1D-44CF-92F8-365C1F41BD68}"/>
    <cellStyle name="Style 95 5 4" xfId="14308" xr:uid="{EB5F7881-C7BD-49C5-9929-C76453D4AC80}"/>
    <cellStyle name="Style 95 5 4 2" xfId="14309" xr:uid="{E09BC3F5-912E-4A03-A67F-62E4E23ED7F9}"/>
    <cellStyle name="Style 95 5 4 2 2" xfId="30108" xr:uid="{261BC7D0-37F1-429B-95BF-002B53FF5BEF}"/>
    <cellStyle name="Style 95 5 4 3" xfId="14310" xr:uid="{8D50DF66-A219-4C30-B4E4-C6E561B0212F}"/>
    <cellStyle name="Style 95 5 4 3 2" xfId="30109" xr:uid="{1022C40F-4793-4EE9-A7C5-D3A32054EB34}"/>
    <cellStyle name="Style 95 5 5" xfId="14311" xr:uid="{3604F835-3956-4B4F-919B-5F51711E0464}"/>
    <cellStyle name="Style 95 5 5 2" xfId="14312" xr:uid="{7ED95B68-3B74-46ED-9484-C0DA4AE5EB90}"/>
    <cellStyle name="Style 95 5 5 2 2" xfId="30111" xr:uid="{9843AEA5-6013-4BA1-9195-2ABE918B3E94}"/>
    <cellStyle name="Style 95 5 5 3" xfId="30110" xr:uid="{741B8A6F-DFA0-45E9-A293-58C0B82BACD7}"/>
    <cellStyle name="Style 95 5 6" xfId="14313" xr:uid="{C0FB1F0F-CB3C-45B8-824B-7F9D40926E28}"/>
    <cellStyle name="Style 95 5 6 2" xfId="14314" xr:uid="{44B88151-F41E-4EB4-A8EA-95B77A998BFA}"/>
    <cellStyle name="Style 95 5 6 2 2" xfId="30113" xr:uid="{4DD73A9D-37E5-42B2-B7CE-8E8418A6A731}"/>
    <cellStyle name="Style 95 5 6 3" xfId="30112" xr:uid="{B0281DE3-8729-4792-9B5C-B3B05579824B}"/>
    <cellStyle name="Style 95 5 7" xfId="14315" xr:uid="{6918BB4A-BF22-4200-A6B2-CC7F2D002D20}"/>
    <cellStyle name="Style 95 5 7 2" xfId="14316" xr:uid="{90A30469-7242-43DD-BA5F-38548FC3EF37}"/>
    <cellStyle name="Style 95 5 7 2 2" xfId="30115" xr:uid="{01341198-55B6-4ED5-9336-37BF144FB495}"/>
    <cellStyle name="Style 95 5 7 3" xfId="30114" xr:uid="{6D461618-8165-48F8-8C1F-2B1920D325F6}"/>
    <cellStyle name="Style 95 5 8" xfId="14317" xr:uid="{F76708DB-8B3E-45E4-BFEE-034541817AAE}"/>
    <cellStyle name="Style 95 5 8 2" xfId="14318" xr:uid="{41662CDF-AF1A-44B1-8F11-0678C6EFA430}"/>
    <cellStyle name="Style 95 5 8 2 2" xfId="30117" xr:uid="{5F756B3C-2463-4123-826A-68A65E93E201}"/>
    <cellStyle name="Style 95 5 8 3" xfId="30116" xr:uid="{79450A52-5090-406D-90B4-375A1621CEE4}"/>
    <cellStyle name="Style 95 5 9" xfId="14319" xr:uid="{24780BE2-3946-4BFB-B387-24E323454D4B}"/>
    <cellStyle name="Style 95 5 9 2" xfId="30118" xr:uid="{5D427B4F-6F14-4A88-ABB2-8B630B577B7C}"/>
    <cellStyle name="Style 95 6" xfId="2437" xr:uid="{A8C6D1C9-576F-4B49-8B13-051F65B3E835}"/>
    <cellStyle name="Style 95 6 2" xfId="2800" xr:uid="{0DB7E5D4-58BA-46E2-9F2A-F20D9E5F0431}"/>
    <cellStyle name="Style 95 6 2 2" xfId="5277" xr:uid="{DF9FDEFD-192D-4136-903D-28967F5E580B}"/>
    <cellStyle name="Style 95 6 2 2 2" xfId="14320" xr:uid="{166679FC-B126-4B76-B6DE-8D6F4C6952DA}"/>
    <cellStyle name="Style 95 6 2 2 2 2" xfId="30119" xr:uid="{6A704A4C-D74C-41B5-B829-8E914BA444EF}"/>
    <cellStyle name="Style 95 6 2 2 3" xfId="22546" xr:uid="{19EF0B54-2429-484A-AF7C-31A263A864CB}"/>
    <cellStyle name="Style 95 6 2 3" xfId="14321" xr:uid="{D775D402-ECB5-4123-A4E4-487973ABC3BB}"/>
    <cellStyle name="Style 95 6 2 3 2" xfId="30120" xr:uid="{8C1092FB-7321-44C0-A3F5-DA80556CCAC3}"/>
    <cellStyle name="Style 95 6 2 4" xfId="14322" xr:uid="{EFA8994A-E3D1-4BF7-9C26-B43BB24D96E7}"/>
    <cellStyle name="Style 95 6 2 4 2" xfId="30121" xr:uid="{3CC51655-51D9-4014-8DCB-10E17E884A8E}"/>
    <cellStyle name="Style 95 6 3" xfId="5278" xr:uid="{88C10520-8F10-4132-AC63-B9B2B95FF693}"/>
    <cellStyle name="Style 95 6 3 2" xfId="14323" xr:uid="{F73E5268-B15B-4642-8610-7D5FFE0FCE88}"/>
    <cellStyle name="Style 95 6 3 2 2" xfId="30122" xr:uid="{ED9F128B-3847-4E3A-9AAA-6E43BDE2CF37}"/>
    <cellStyle name="Style 95 6 3 3" xfId="14324" xr:uid="{9EC0B942-302F-433C-BF4D-04EED8025242}"/>
    <cellStyle name="Style 95 6 3 3 2" xfId="30123" xr:uid="{BC59C625-5CBE-43BB-B2ED-1FB244B593F0}"/>
    <cellStyle name="Style 95 6 4" xfId="5276" xr:uid="{A1AF17D9-27C8-4296-B212-F4FB56E366D0}"/>
    <cellStyle name="Style 95 6 4 2" xfId="14325" xr:uid="{D09C25B5-6315-4204-BBBC-30FFA5523E12}"/>
    <cellStyle name="Style 95 6 4 2 2" xfId="30124" xr:uid="{4E2C48B2-8260-49B6-A930-B8EBD6748E64}"/>
    <cellStyle name="Style 95 6 4 3" xfId="14326" xr:uid="{1DEE62C2-A1F3-4DDE-9D25-5CD5E0FDC769}"/>
    <cellStyle name="Style 95 6 4 3 2" xfId="30125" xr:uid="{8887E368-6A78-4DDE-B755-92D16E8ACAC0}"/>
    <cellStyle name="Style 95 6 5" xfId="14327" xr:uid="{04D895AD-37ED-4211-9BA8-993CA72999A7}"/>
    <cellStyle name="Style 95 6 5 2" xfId="14328" xr:uid="{E645A907-4E03-45F4-AF33-9CD0A12CFAE8}"/>
    <cellStyle name="Style 95 6 5 2 2" xfId="30126" xr:uid="{1688088F-725E-48B8-8398-F75A5D5E61F0}"/>
    <cellStyle name="Style 95 6 5 3" xfId="14329" xr:uid="{E49C6EC0-A8B9-4896-B861-8D9FF0A301E6}"/>
    <cellStyle name="Style 95 6 5 3 2" xfId="30127" xr:uid="{8BFE0659-F1C0-4AAC-B570-5C9C63FC181A}"/>
    <cellStyle name="Style 95 6 6" xfId="14330" xr:uid="{AD394502-8A4D-4B27-A6B9-6D5C62A8AB3E}"/>
    <cellStyle name="Style 95 6 6 2" xfId="14331" xr:uid="{BC036791-5AFA-4620-B3BE-3F8BB27E8567}"/>
    <cellStyle name="Style 95 6 6 2 2" xfId="30129" xr:uid="{F7037893-3B62-4777-8B48-3581FA44C066}"/>
    <cellStyle name="Style 95 6 6 3" xfId="30128" xr:uid="{9BC184E3-08DF-4FC2-9590-E64D21C74F9E}"/>
    <cellStyle name="Style 95 6 7" xfId="14332" xr:uid="{03CFB88C-6B45-467C-B69D-9D56BD1B77D1}"/>
    <cellStyle name="Style 95 6 7 2" xfId="14333" xr:uid="{AA98DE22-9EB4-425E-82B4-01565CC9A77A}"/>
    <cellStyle name="Style 95 6 7 2 2" xfId="30131" xr:uid="{EA60FF4F-2789-445E-A059-142311613462}"/>
    <cellStyle name="Style 95 6 7 3" xfId="30130" xr:uid="{A9833D56-AA1D-4CCB-B875-87C5ED1DA06C}"/>
    <cellStyle name="Style 95 6 8" xfId="14334" xr:uid="{88B3B176-6FF5-4CC6-84D9-02D1B4E82597}"/>
    <cellStyle name="Style 95 6 8 2" xfId="30132" xr:uid="{16084A6B-FBE3-40E9-AEB0-67A7FF9FE32A}"/>
    <cellStyle name="Style 95 6 9" xfId="14335" xr:uid="{CF99B023-0739-4AEB-9147-BAF329D4BBEC}"/>
    <cellStyle name="Style 95 6 9 2" xfId="30133" xr:uid="{013FACAD-39B2-46A4-8E0F-EEC7341247FE}"/>
    <cellStyle name="Style 95 7" xfId="2799" xr:uid="{0335CED8-E843-48DE-9461-BF287B4ADF63}"/>
    <cellStyle name="Style 95 7 2" xfId="5280" xr:uid="{64409F0B-7675-422A-B084-F5C9B613656F}"/>
    <cellStyle name="Style 95 7 2 2" xfId="14336" xr:uid="{1AEFE53E-8184-41B5-987B-E03E3132988D}"/>
    <cellStyle name="Style 95 7 2 2 2" xfId="30134" xr:uid="{67519CBE-A772-4666-8DB4-93AF8CFE71C6}"/>
    <cellStyle name="Style 95 7 3" xfId="5281" xr:uid="{5B5006D8-0F0B-495C-948A-71A2737B6485}"/>
    <cellStyle name="Style 95 7 3 2" xfId="14337" xr:uid="{D265274A-A8EF-4F89-8322-F41AC924BFA6}"/>
    <cellStyle name="Style 95 7 3 2 2" xfId="30135" xr:uid="{67D6FAA6-50CC-4E8E-B0C7-1A23FA8FD7FE}"/>
    <cellStyle name="Style 95 7 4" xfId="5279" xr:uid="{F32DDF80-A0C8-4A69-838F-821A9136072A}"/>
    <cellStyle name="Style 95 7 4 2" xfId="22545" xr:uid="{ECA081AE-4D0B-4128-8DE6-5882C25805E2}"/>
    <cellStyle name="Style 95 7 5" xfId="14338" xr:uid="{96E6C82C-8E3A-43C2-B3E4-D5B5609459A9}"/>
    <cellStyle name="Style 95 7 5 2" xfId="30136" xr:uid="{8EE2999A-C433-470D-9F15-48937527E54D}"/>
    <cellStyle name="Style 95 7 6" xfId="19252" xr:uid="{DF9D0095-6BD5-4F74-930D-669CD19DBAD9}"/>
    <cellStyle name="Style 95 8" xfId="5282" xr:uid="{978568C0-4777-4618-85D0-6ABB2634386F}"/>
    <cellStyle name="Style 95 8 2" xfId="14339" xr:uid="{E57E318D-FA5F-4510-8709-C27CFD3E5032}"/>
    <cellStyle name="Style 95 8 2 2" xfId="30137" xr:uid="{6B97351F-4407-43D2-A07F-E29920965F9A}"/>
    <cellStyle name="Style 95 8 3" xfId="14340" xr:uid="{00482615-994C-4468-B230-CB344D37A230}"/>
    <cellStyle name="Style 95 8 3 2" xfId="30138" xr:uid="{86322262-62DA-40D2-8156-705DECD0D667}"/>
    <cellStyle name="Style 95 9" xfId="5283" xr:uid="{5E566A6A-87CC-40C8-A903-67AAAE1D2AC1}"/>
    <cellStyle name="Style 95 9 2" xfId="14341" xr:uid="{0A6AF669-415F-47CB-AB7F-52C6CCF55416}"/>
    <cellStyle name="Style 95 9 2 2" xfId="30139" xr:uid="{71149B1B-D1A5-4A10-AE68-E4F9F0FC043F}"/>
    <cellStyle name="Style 95 9 3" xfId="14342" xr:uid="{A1377EF1-E746-48FD-BAB5-67DF11094DFD}"/>
    <cellStyle name="Style 95 9 3 2" xfId="30140" xr:uid="{9974C406-1167-466A-B4F0-DB787E08464C}"/>
    <cellStyle name="Style 95_ADDON" xfId="20538" xr:uid="{C129D7BE-3AC2-41D3-B3B9-351BC7442103}"/>
    <cellStyle name="Style 96" xfId="2438" xr:uid="{25FD344A-7B7C-46BE-B682-526B34F90194}"/>
    <cellStyle name="Style 96 10" xfId="5284" xr:uid="{B21F73D4-3319-4BD9-B523-3223EB22288B}"/>
    <cellStyle name="Style 96 10 2" xfId="14343" xr:uid="{56D2FC57-1C64-4E74-9D41-82495EC2F0AF}"/>
    <cellStyle name="Style 96 10 2 2" xfId="30141" xr:uid="{9E6985CF-8CB6-497C-B33C-0328BF685B82}"/>
    <cellStyle name="Style 96 10 3" xfId="14344" xr:uid="{E1CB87FE-5548-42F1-9796-CE5F7FD1C3C9}"/>
    <cellStyle name="Style 96 10 3 2" xfId="30142" xr:uid="{00366474-2C24-448F-89C0-19F2CE4C38B4}"/>
    <cellStyle name="Style 96 11" xfId="14345" xr:uid="{F6E149C8-06D5-4C9B-A026-1DCD4E14BEA9}"/>
    <cellStyle name="Style 96 11 2" xfId="14346" xr:uid="{548C3864-DED4-4B9A-82B6-2E8FA7DC3764}"/>
    <cellStyle name="Style 96 11 2 2" xfId="30143" xr:uid="{05B2BDEB-613F-4AD2-9B02-8B22023D16D1}"/>
    <cellStyle name="Style 96 11 3" xfId="14347" xr:uid="{0E81CA76-271C-4139-A2DA-F8BA8B0F2E59}"/>
    <cellStyle name="Style 96 11 3 2" xfId="30144" xr:uid="{8CB529CD-18C7-431D-9E10-749C209B543B}"/>
    <cellStyle name="Style 96 11 4" xfId="21331" xr:uid="{9327C888-8613-4BC0-A9C2-6AE374E8BC9B}"/>
    <cellStyle name="Style 96 12" xfId="14348" xr:uid="{2379056A-EE9C-4C97-A84D-3039537400D7}"/>
    <cellStyle name="Style 96 12 2" xfId="14349" xr:uid="{4CCB6BA1-58E6-4F38-85DA-A67416105F62}"/>
    <cellStyle name="Style 96 12 2 2" xfId="30146" xr:uid="{4864D118-30FC-4692-833C-CACB304D24B3}"/>
    <cellStyle name="Style 96 12 3" xfId="30145" xr:uid="{5114A63D-C474-4F49-AFA3-0B730AE149A6}"/>
    <cellStyle name="Style 96 13" xfId="14350" xr:uid="{CA14817E-07E6-4C43-82E4-1847EB5EEE6A}"/>
    <cellStyle name="Style 96 13 2" xfId="30147" xr:uid="{B7C337CD-F841-4D9C-9903-4990304C2929}"/>
    <cellStyle name="Style 96 14" xfId="14351" xr:uid="{3EEDE6B9-9234-402D-8679-A00DFF8E4617}"/>
    <cellStyle name="Style 96 14 2" xfId="30148" xr:uid="{4A2EF4D8-0CFA-4F3F-A64E-60F70266EE33}"/>
    <cellStyle name="Style 96 15" xfId="14352" xr:uid="{69607F42-15B4-4807-89D4-496A6C873B79}"/>
    <cellStyle name="Style 96 15 2" xfId="30149" xr:uid="{F00AD0AA-8A26-42FA-9D93-F25B00544C3A}"/>
    <cellStyle name="Style 96 16" xfId="19253" xr:uid="{C94EAFBA-5FCF-4C5C-8520-D7BF4E66A70F}"/>
    <cellStyle name="Style 96 2" xfId="2439" xr:uid="{7B2C3AF1-6241-40C6-9365-0C480C81F016}"/>
    <cellStyle name="Style 96 2 10" xfId="14353" xr:uid="{5271A85E-CBD4-4371-A2E7-1107FFBDB2CB}"/>
    <cellStyle name="Style 96 2 10 2" xfId="30150" xr:uid="{78A5A542-1C9B-49AA-B853-68F0F5E470EE}"/>
    <cellStyle name="Style 96 2 11" xfId="19254" xr:uid="{67C2AEB7-57E3-4408-9E6A-2B547ACED743}"/>
    <cellStyle name="Style 96 2 2" xfId="5286" xr:uid="{4E2E674E-BD74-4921-9286-6239AD0B3CDF}"/>
    <cellStyle name="Style 96 2 2 2" xfId="14354" xr:uid="{988497DB-034F-453D-B779-5F80727E540E}"/>
    <cellStyle name="Style 96 2 2 2 2" xfId="14355" xr:uid="{954478A7-7DB7-4A97-A3E9-BCB6640CE076}"/>
    <cellStyle name="Style 96 2 2 2 2 2" xfId="30152" xr:uid="{1BFACD62-BCEA-4F91-9CB1-55BED3597BE2}"/>
    <cellStyle name="Style 96 2 2 2 3" xfId="30151" xr:uid="{DBF9B25D-3FF3-4A71-9E76-F0AA460EC08C}"/>
    <cellStyle name="Style 96 2 2 3" xfId="14356" xr:uid="{4C9467D4-707C-4659-B5B0-F1B3C434F7BF}"/>
    <cellStyle name="Style 96 2 2 3 2" xfId="30153" xr:uid="{815679B4-B228-401A-9FB4-3E3D0992CCEF}"/>
    <cellStyle name="Style 96 2 2 4" xfId="14357" xr:uid="{014F864D-E480-4E95-8D0D-605F6CCE0E8E}"/>
    <cellStyle name="Style 96 2 2 4 2" xfId="30154" xr:uid="{4E695167-0705-4B1C-ADC2-37E3540C531E}"/>
    <cellStyle name="Style 96 2 2 5" xfId="14358" xr:uid="{FE22AAE7-8644-4CFE-8A35-C5856B7EC686}"/>
    <cellStyle name="Style 96 2 2 5 2" xfId="30155" xr:uid="{475E2BAB-CC1B-4359-8946-784619A66BF6}"/>
    <cellStyle name="Style 96 2 2 6" xfId="14359" xr:uid="{AF0A54F1-B2A1-4B8C-9227-6D7C0B0B4782}"/>
    <cellStyle name="Style 96 2 2 6 2" xfId="30156" xr:uid="{7BC3DEB9-6106-45A4-AFBF-94BCC9CA0A33}"/>
    <cellStyle name="Style 96 2 3" xfId="5285" xr:uid="{9696D631-3C55-4A2D-B6DC-431646BD28F8}"/>
    <cellStyle name="Style 96 2 3 2" xfId="14360" xr:uid="{1A30929A-BB14-48A5-ABB1-CA48F9B0B099}"/>
    <cellStyle name="Style 96 2 3 2 2" xfId="30157" xr:uid="{C82038D1-3D99-4755-995B-EE4A5EFCE64A}"/>
    <cellStyle name="Style 96 2 3 3" xfId="14361" xr:uid="{778CB5AF-AC73-48AB-9132-2BF021D96CFB}"/>
    <cellStyle name="Style 96 2 3 3 2" xfId="30158" xr:uid="{C8E45AD3-7190-4AA2-B94A-E508DDB982FA}"/>
    <cellStyle name="Style 96 2 3 4" xfId="14362" xr:uid="{733058CF-D0E8-4EB8-9032-B1A8A84FD842}"/>
    <cellStyle name="Style 96 2 3 4 2" xfId="30159" xr:uid="{5D06822F-4752-4E0F-8766-F0B4E7330C0E}"/>
    <cellStyle name="Style 96 2 4" xfId="14363" xr:uid="{AD63DFD9-1284-4CE4-9900-52B3D1C986DC}"/>
    <cellStyle name="Style 96 2 4 2" xfId="14364" xr:uid="{9FD9854C-2520-487D-9C94-0060D362C2C0}"/>
    <cellStyle name="Style 96 2 4 2 2" xfId="30161" xr:uid="{678DCA78-EFF1-40E6-8336-6F9DB5F6BC2B}"/>
    <cellStyle name="Style 96 2 4 3" xfId="30160" xr:uid="{3C36F13D-71FA-48CA-AC0D-EC6D23A6923D}"/>
    <cellStyle name="Style 96 2 5" xfId="14365" xr:uid="{8934CA67-08C1-4409-ACB0-6AB5A1786B35}"/>
    <cellStyle name="Style 96 2 5 2" xfId="14366" xr:uid="{CD11199C-6CBE-4D0C-BA7B-40FDB2D83540}"/>
    <cellStyle name="Style 96 2 5 2 2" xfId="30163" xr:uid="{3D56F16C-857E-4FE2-A5B0-B4BC90C321DB}"/>
    <cellStyle name="Style 96 2 5 3" xfId="30162" xr:uid="{EBCAD329-D8D5-4286-9C47-FC7F12897B51}"/>
    <cellStyle name="Style 96 2 6" xfId="14367" xr:uid="{53ED448E-411D-460C-A123-22F12F95DC20}"/>
    <cellStyle name="Style 96 2 6 2" xfId="14368" xr:uid="{67ACB8EF-A61A-4473-B551-548618EABC05}"/>
    <cellStyle name="Style 96 2 6 2 2" xfId="30165" xr:uid="{B5622633-15AD-46C6-9308-9DAB3032B7E8}"/>
    <cellStyle name="Style 96 2 6 3" xfId="30164" xr:uid="{BD47D836-83BB-430D-88B6-9A0C525471B7}"/>
    <cellStyle name="Style 96 2 7" xfId="14369" xr:uid="{17F683B8-F70A-47EA-AC97-E955B6310E0F}"/>
    <cellStyle name="Style 96 2 7 2" xfId="14370" xr:uid="{EDEADDBD-DB88-4DBA-ADC9-80EFC1E11808}"/>
    <cellStyle name="Style 96 2 7 2 2" xfId="30167" xr:uid="{3282F9E4-E03F-498D-AAC7-2435BF004FBF}"/>
    <cellStyle name="Style 96 2 7 3" xfId="30166" xr:uid="{0647DDDF-A514-4AFC-ADC5-E849A2697599}"/>
    <cellStyle name="Style 96 2 8" xfId="14371" xr:uid="{4338CD3E-EC7B-4002-A378-B09AF79B1669}"/>
    <cellStyle name="Style 96 2 8 2" xfId="30168" xr:uid="{86A6547C-E82E-4A1C-9F9B-662FF6B2DAB8}"/>
    <cellStyle name="Style 96 2 9" xfId="14372" xr:uid="{455B716C-E57B-4C28-8635-4570540A0F4A}"/>
    <cellStyle name="Style 96 2 9 2" xfId="30169" xr:uid="{C46007A0-9781-4144-A7EF-A7B98F43F487}"/>
    <cellStyle name="Style 96 3" xfId="2440" xr:uid="{90104A93-B2ED-48B4-8F3D-67E645FD2ABA}"/>
    <cellStyle name="Style 96 3 10" xfId="14373" xr:uid="{10298B96-85E0-4EF4-BD42-B88BA9EA65CE}"/>
    <cellStyle name="Style 96 3 10 2" xfId="14374" xr:uid="{AADB59BF-00DA-423D-A147-B0DFF310C1E5}"/>
    <cellStyle name="Style 96 3 10 2 2" xfId="30171" xr:uid="{9BBC8D81-0776-45EF-8316-F8CF467CC907}"/>
    <cellStyle name="Style 96 3 10 3" xfId="30170" xr:uid="{0CECADFC-7BB3-41AE-B139-9505174FA260}"/>
    <cellStyle name="Style 96 3 11" xfId="14375" xr:uid="{E88B12A9-ACCE-41A7-91F8-C76FCD163814}"/>
    <cellStyle name="Style 96 3 11 2" xfId="30172" xr:uid="{75FCE407-13E3-4CEC-84A7-C9CA5847CC79}"/>
    <cellStyle name="Style 96 3 12" xfId="14376" xr:uid="{F944C48D-F4B6-4A8E-9F1D-405011B05B35}"/>
    <cellStyle name="Style 96 3 12 2" xfId="30173" xr:uid="{CD748048-3530-47C1-A363-FE49B0E4791C}"/>
    <cellStyle name="Style 96 3 13" xfId="19255" xr:uid="{43B0688D-6745-4342-AEB0-E50735778F7A}"/>
    <cellStyle name="Style 96 3 2" xfId="2441" xr:uid="{46D8B214-4AA7-444A-9B50-5C61D194E207}"/>
    <cellStyle name="Style 96 3 2 10" xfId="19256" xr:uid="{169D1886-E9F9-40BE-918A-644159D8690D}"/>
    <cellStyle name="Style 96 3 2 2" xfId="5289" xr:uid="{234D233B-FED7-4FB4-9C05-D551F8CD6305}"/>
    <cellStyle name="Style 96 3 2 2 2" xfId="14377" xr:uid="{B5C7C4DA-58F2-46C6-9511-59F333E170F0}"/>
    <cellStyle name="Style 96 3 2 2 2 2" xfId="30174" xr:uid="{E65C70C7-7E44-445E-8D01-A8B81C468D0E}"/>
    <cellStyle name="Style 96 3 2 2 3" xfId="14378" xr:uid="{57054346-9DD4-44FE-BF27-E84A6742F33C}"/>
    <cellStyle name="Style 96 3 2 2 3 2" xfId="30175" xr:uid="{27E61F19-73F7-40A4-9797-7624B64C11BE}"/>
    <cellStyle name="Style 96 3 2 2 4" xfId="14379" xr:uid="{1C5ABEBB-8743-477A-A2AD-461039AFA666}"/>
    <cellStyle name="Style 96 3 2 2 4 2" xfId="30176" xr:uid="{59613CBE-B526-4FEF-AEE2-8A2D36A08468}"/>
    <cellStyle name="Style 96 3 2 3" xfId="5288" xr:uid="{C5660E82-B4FE-45A2-AC40-7949D21A2BD3}"/>
    <cellStyle name="Style 96 3 2 3 2" xfId="14380" xr:uid="{76FDA976-96AC-4FFD-A114-45585F375B87}"/>
    <cellStyle name="Style 96 3 2 3 2 2" xfId="30177" xr:uid="{A973A80F-756A-423E-8749-5F8F941442DF}"/>
    <cellStyle name="Style 96 3 2 3 3" xfId="14381" xr:uid="{30866152-0086-4726-B769-EB4F6C236176}"/>
    <cellStyle name="Style 96 3 2 3 3 2" xfId="30178" xr:uid="{A9E38DCF-439B-43DC-A4C1-65D250F22269}"/>
    <cellStyle name="Style 96 3 2 4" xfId="14382" xr:uid="{16A4E691-091D-406D-89C6-B3F35C79FDBF}"/>
    <cellStyle name="Style 96 3 2 4 2" xfId="14383" xr:uid="{A76E06CC-0868-47B1-BE88-D3D3F3EBAF3A}"/>
    <cellStyle name="Style 96 3 2 4 2 2" xfId="30180" xr:uid="{98CACC2D-4207-4441-878C-49194A0CBBB6}"/>
    <cellStyle name="Style 96 3 2 4 3" xfId="30179" xr:uid="{C9E5A21F-B2FE-43E5-8D8D-7D22025F5621}"/>
    <cellStyle name="Style 96 3 2 5" xfId="14384" xr:uid="{D493FDEB-D367-4A90-BA66-CFA3E7982AC2}"/>
    <cellStyle name="Style 96 3 2 5 2" xfId="14385" xr:uid="{86968EB5-0D7F-422A-930E-CD2D63EE519C}"/>
    <cellStyle name="Style 96 3 2 5 2 2" xfId="30182" xr:uid="{6FBF3869-2F7A-449B-A4D4-3C8CA49D93DD}"/>
    <cellStyle name="Style 96 3 2 5 3" xfId="30181" xr:uid="{A73B80B5-3FDE-4A0C-A4AB-FFA1034EB8AE}"/>
    <cellStyle name="Style 96 3 2 6" xfId="14386" xr:uid="{24E930D8-6DE1-4920-8B3F-9B6864FF5D50}"/>
    <cellStyle name="Style 96 3 2 6 2" xfId="14387" xr:uid="{DBF101DB-C9E7-425C-9283-63087B6E73E6}"/>
    <cellStyle name="Style 96 3 2 6 2 2" xfId="30184" xr:uid="{44740124-B21F-45E5-BC28-875F92685D3E}"/>
    <cellStyle name="Style 96 3 2 6 3" xfId="30183" xr:uid="{D5A89C68-93B3-48F0-893C-AE139E04102A}"/>
    <cellStyle name="Style 96 3 2 7" xfId="14388" xr:uid="{5DEC94D2-CCEC-4DE6-A318-9102FE5E8B18}"/>
    <cellStyle name="Style 96 3 2 7 2" xfId="14389" xr:uid="{66D188B5-5B73-41CA-8651-0F21A4B31EB4}"/>
    <cellStyle name="Style 96 3 2 7 2 2" xfId="30186" xr:uid="{926C415F-1F49-4294-B77C-C02641140131}"/>
    <cellStyle name="Style 96 3 2 7 3" xfId="30185" xr:uid="{E211F38F-6A4A-4FDB-9187-0D7CBA6243BD}"/>
    <cellStyle name="Style 96 3 2 8" xfId="14390" xr:uid="{37924031-FD09-4BB1-B276-A5ADC4850FE9}"/>
    <cellStyle name="Style 96 3 2 8 2" xfId="30187" xr:uid="{6D813FB4-7C02-4252-BB55-D01CC06C3FBA}"/>
    <cellStyle name="Style 96 3 2 9" xfId="14391" xr:uid="{A9D1C9F2-BB0F-412B-B02F-593EAF1A39BB}"/>
    <cellStyle name="Style 96 3 2 9 2" xfId="30188" xr:uid="{7608066B-6385-41B0-8098-0797A273BA80}"/>
    <cellStyle name="Style 96 3 3" xfId="2442" xr:uid="{E0BB1270-23BA-44B0-82DD-1719AD092457}"/>
    <cellStyle name="Style 96 3 3 10" xfId="14392" xr:uid="{B8F353A1-6D02-4FA6-BEEF-E324A550DE98}"/>
    <cellStyle name="Style 96 3 3 10 2" xfId="30189" xr:uid="{CE7DD22C-E8FB-4C87-95F5-8B5CD8F64B38}"/>
    <cellStyle name="Style 96 3 3 11" xfId="19257" xr:uid="{ECFAEE72-8909-4454-9089-5A862CBAA070}"/>
    <cellStyle name="Style 96 3 3 2" xfId="2443" xr:uid="{82CAA0D2-BD5C-4BBF-8931-31BD3F2CA45C}"/>
    <cellStyle name="Style 96 3 3 2 10" xfId="19258" xr:uid="{99794348-457D-431E-982E-8AEFDE342BBE}"/>
    <cellStyle name="Style 96 3 3 2 2" xfId="5292" xr:uid="{C91F9973-03FD-4867-B2EC-1CF3802115F8}"/>
    <cellStyle name="Style 96 3 3 2 2 2" xfId="14393" xr:uid="{12FFCE55-1DD0-492E-9B3C-50769F16563F}"/>
    <cellStyle name="Style 96 3 3 2 2 2 2" xfId="30190" xr:uid="{F95AD0E8-21E5-4DFC-B476-539C24959788}"/>
    <cellStyle name="Style 96 3 3 2 2 3" xfId="14394" xr:uid="{5F4BCEF9-393A-4982-A059-A36CDFDFF34C}"/>
    <cellStyle name="Style 96 3 3 2 2 3 2" xfId="30191" xr:uid="{29FEEA90-FAC6-4542-8CC7-E2515E8DC009}"/>
    <cellStyle name="Style 96 3 3 2 2 4" xfId="14395" xr:uid="{8A4C52E1-B4EA-4065-8CBE-C98153EDE392}"/>
    <cellStyle name="Style 96 3 3 2 2 4 2" xfId="30192" xr:uid="{4100879B-87CF-4BF7-8E40-0AD1D603CCFD}"/>
    <cellStyle name="Style 96 3 3 2 3" xfId="5291" xr:uid="{518B1FF9-6EB1-443F-B956-00064677C494}"/>
    <cellStyle name="Style 96 3 3 2 3 2" xfId="14396" xr:uid="{3D547910-458C-48F5-99CD-A653D172F775}"/>
    <cellStyle name="Style 96 3 3 2 3 2 2" xfId="30193" xr:uid="{D963709E-E901-4747-86A9-755F8541C2A8}"/>
    <cellStyle name="Style 96 3 3 2 3 3" xfId="14397" xr:uid="{C3E470EB-BF21-44BF-8478-A1EE2781C194}"/>
    <cellStyle name="Style 96 3 3 2 3 3 2" xfId="30194" xr:uid="{A3DCBF7B-853B-482B-B83A-ECA2988DEE6F}"/>
    <cellStyle name="Style 96 3 3 2 4" xfId="14398" xr:uid="{C44F6FD9-7B30-4B03-BE84-33CD2E1D86F0}"/>
    <cellStyle name="Style 96 3 3 2 4 2" xfId="14399" xr:uid="{952B4B9D-688E-4F83-BB28-CE735CE9223D}"/>
    <cellStyle name="Style 96 3 3 2 4 2 2" xfId="30196" xr:uid="{EC732F69-8D6D-493E-9517-E549709C7A75}"/>
    <cellStyle name="Style 96 3 3 2 4 3" xfId="30195" xr:uid="{BB8C54FF-26FB-402A-A561-1AE70666093C}"/>
    <cellStyle name="Style 96 3 3 2 5" xfId="14400" xr:uid="{40A914D3-8DB9-406B-A73A-55D9E7F9F55E}"/>
    <cellStyle name="Style 96 3 3 2 5 2" xfId="14401" xr:uid="{4A3CAC98-84DE-4232-AA6C-3AD0152309D4}"/>
    <cellStyle name="Style 96 3 3 2 5 2 2" xfId="30198" xr:uid="{87D6854F-DF96-441D-9701-63892377AF14}"/>
    <cellStyle name="Style 96 3 3 2 5 3" xfId="30197" xr:uid="{38051938-7549-48F2-B0A1-7666C157A925}"/>
    <cellStyle name="Style 96 3 3 2 6" xfId="14402" xr:uid="{41117AD8-D460-4575-B881-7480F36496A0}"/>
    <cellStyle name="Style 96 3 3 2 6 2" xfId="14403" xr:uid="{3F213004-36BD-445D-9B15-49F2A7C53EEA}"/>
    <cellStyle name="Style 96 3 3 2 6 2 2" xfId="30200" xr:uid="{BE19B288-45E6-48B7-B09E-39FB2A06C60B}"/>
    <cellStyle name="Style 96 3 3 2 6 3" xfId="30199" xr:uid="{FD356B83-1DF9-4652-BBDE-4756CFD18753}"/>
    <cellStyle name="Style 96 3 3 2 7" xfId="14404" xr:uid="{17D69EC9-3E76-46CA-AF5C-AED22C641753}"/>
    <cellStyle name="Style 96 3 3 2 7 2" xfId="14405" xr:uid="{B979A019-59C7-4A9F-8397-F04ED06EC303}"/>
    <cellStyle name="Style 96 3 3 2 7 2 2" xfId="30202" xr:uid="{E1697371-B793-4FD8-9C96-F9ECC7428AA3}"/>
    <cellStyle name="Style 96 3 3 2 7 3" xfId="30201" xr:uid="{FFC0CA6D-3A5B-4209-8FD0-79248ABAF62E}"/>
    <cellStyle name="Style 96 3 3 2 8" xfId="14406" xr:uid="{8C9FEB02-C473-4C1B-8D61-01CF756B7CF6}"/>
    <cellStyle name="Style 96 3 3 2 8 2" xfId="30203" xr:uid="{52303A64-5511-43B5-B13E-62D5A20F3231}"/>
    <cellStyle name="Style 96 3 3 2 9" xfId="14407" xr:uid="{625343FA-366C-4429-B341-6B4992FE44CE}"/>
    <cellStyle name="Style 96 3 3 2 9 2" xfId="30204" xr:uid="{E05AA0FA-12D9-48BE-878C-4F506554EE34}"/>
    <cellStyle name="Style 96 3 3 3" xfId="5293" xr:uid="{811A09EB-2516-426C-A16D-5DC005C0BE8D}"/>
    <cellStyle name="Style 96 3 3 3 2" xfId="5294" xr:uid="{E8EC7281-E825-40B7-BD50-5439DE9ACA55}"/>
    <cellStyle name="Style 96 3 3 3 2 2" xfId="14408" xr:uid="{1428CA33-A654-45C7-9CE3-FA5428DF5659}"/>
    <cellStyle name="Style 96 3 3 3 2 2 2" xfId="30205" xr:uid="{97622DF4-9B88-4615-A4CE-5CBA58C7D551}"/>
    <cellStyle name="Style 96 3 3 3 2 3" xfId="14409" xr:uid="{8F5F6E43-71B1-44CC-A735-46D323558157}"/>
    <cellStyle name="Style 96 3 3 3 2 3 2" xfId="30206" xr:uid="{9A585AC5-27B6-49EE-9BBD-AC9AF89FBA3D}"/>
    <cellStyle name="Style 96 3 3 3 3" xfId="14410" xr:uid="{2E0ABF6B-2B5F-4116-8CCD-57C5ACDDD69E}"/>
    <cellStyle name="Style 96 3 3 3 3 2" xfId="30207" xr:uid="{A8D568B2-73A4-4F4D-9BC3-D6C533C21934}"/>
    <cellStyle name="Style 96 3 3 3 4" xfId="14411" xr:uid="{D34039A9-A8AC-4855-B237-CED3356F5043}"/>
    <cellStyle name="Style 96 3 3 3 4 2" xfId="30208" xr:uid="{5E36122A-D4E8-4D46-9F46-2139D2DB90D6}"/>
    <cellStyle name="Style 96 3 3 3 5" xfId="14412" xr:uid="{2414C4B6-F97B-403B-B410-F2A9D486165C}"/>
    <cellStyle name="Style 96 3 3 3 5 2" xfId="30209" xr:uid="{9C7D9189-D70B-4325-AFF5-6FBDAA3E5DEB}"/>
    <cellStyle name="Style 96 3 3 3 6" xfId="14413" xr:uid="{9D460CFE-46C7-4A61-8975-DE1562FA588B}"/>
    <cellStyle name="Style 96 3 3 3 6 2" xfId="30210" xr:uid="{31F2E3A5-C656-4330-BB79-43D868129996}"/>
    <cellStyle name="Style 96 3 3 3 7" xfId="19259" xr:uid="{B1E5942A-CC52-4003-9CF6-FC303CC25E0E}"/>
    <cellStyle name="Style 96 3 3 4" xfId="5295" xr:uid="{A721166C-786B-4EB4-995B-7F9BC097FDD5}"/>
    <cellStyle name="Style 96 3 3 4 2" xfId="14414" xr:uid="{C3C81E37-724A-4990-B6B5-70F243009BD1}"/>
    <cellStyle name="Style 96 3 3 4 2 2" xfId="30211" xr:uid="{427F4B17-87B6-4AFD-9AAC-C2D42E7390D1}"/>
    <cellStyle name="Style 96 3 3 4 3" xfId="14415" xr:uid="{30A4E571-E23B-41B0-80D2-36A3E63B6AD2}"/>
    <cellStyle name="Style 96 3 3 4 3 2" xfId="30212" xr:uid="{0A1F0345-4721-42F2-8408-06ED1768E26C}"/>
    <cellStyle name="Style 96 3 3 4 4" xfId="14416" xr:uid="{2102DB11-A9CF-4DB9-97E6-C19F0E59F3CB}"/>
    <cellStyle name="Style 96 3 3 4 4 2" xfId="30213" xr:uid="{1FD013D5-462F-4917-817D-35B1F78B3DDB}"/>
    <cellStyle name="Style 96 3 3 5" xfId="5296" xr:uid="{4E5D452F-2659-4E40-83A8-51F792A02984}"/>
    <cellStyle name="Style 96 3 3 5 2" xfId="14417" xr:uid="{73DDCC18-0FBE-40E3-BE59-B02B846D45EC}"/>
    <cellStyle name="Style 96 3 3 5 2 2" xfId="30214" xr:uid="{3DCC159D-EF32-4552-A694-0FB3A8BC1F5E}"/>
    <cellStyle name="Style 96 3 3 5 3" xfId="14418" xr:uid="{961C422F-041A-4BE2-BB58-A5DA25C094DC}"/>
    <cellStyle name="Style 96 3 3 5 3 2" xfId="30215" xr:uid="{391D9C6C-B4CD-479C-B3C2-6A126C9376C6}"/>
    <cellStyle name="Style 96 3 3 6" xfId="5290" xr:uid="{915F31DB-20A7-4427-88E6-B885D36FFC58}"/>
    <cellStyle name="Style 96 3 3 6 2" xfId="14419" xr:uid="{44D53E10-919D-435A-93A2-179E3F5FEA78}"/>
    <cellStyle name="Style 96 3 3 6 2 2" xfId="30216" xr:uid="{541AA620-AEC5-435E-B10A-DDD64A1F71FD}"/>
    <cellStyle name="Style 96 3 3 6 3" xfId="14420" xr:uid="{DB472BEA-25E4-4309-9314-EB92BA1D0624}"/>
    <cellStyle name="Style 96 3 3 6 3 2" xfId="30217" xr:uid="{326DD52F-4A27-4BA6-BEEA-8DA602ABE0D0}"/>
    <cellStyle name="Style 96 3 3 7" xfId="14421" xr:uid="{E8E879A9-45C5-4D78-8B72-833B351FFB0F}"/>
    <cellStyle name="Style 96 3 3 7 2" xfId="14422" xr:uid="{7BD12C80-0A7D-432F-A0CD-B6141FF06A7B}"/>
    <cellStyle name="Style 96 3 3 7 2 2" xfId="30219" xr:uid="{A1DC60A8-EE66-4EE3-9376-61269B35F16E}"/>
    <cellStyle name="Style 96 3 3 7 3" xfId="30218" xr:uid="{DE7CA113-3738-4566-A6D8-7A3128393681}"/>
    <cellStyle name="Style 96 3 3 8" xfId="14423" xr:uid="{ECE1D08F-CDBB-4675-BEAF-6CEBD14F4751}"/>
    <cellStyle name="Style 96 3 3 8 2" xfId="14424" xr:uid="{93BCCD88-6F0B-4033-95A5-D3A4E9FE4022}"/>
    <cellStyle name="Style 96 3 3 8 2 2" xfId="30221" xr:uid="{DD50F197-B202-4F63-8D7D-ABDAC9F47933}"/>
    <cellStyle name="Style 96 3 3 8 3" xfId="30220" xr:uid="{781A7E63-093B-4970-8973-F3AA9BACFCB9}"/>
    <cellStyle name="Style 96 3 3 9" xfId="14425" xr:uid="{54E49DDD-E648-4820-A5BC-A139FBB3A005}"/>
    <cellStyle name="Style 96 3 3 9 2" xfId="30222" xr:uid="{CF89ED87-2C79-4054-91B8-5E33EBE7114D}"/>
    <cellStyle name="Style 96 3 4" xfId="2444" xr:uid="{FFBE3AC7-8420-4A83-A681-64FF1843AF8F}"/>
    <cellStyle name="Style 96 3 4 10" xfId="14426" xr:uid="{00BB9BC6-6D33-4F43-88AD-F4F0433257C0}"/>
    <cellStyle name="Style 96 3 4 10 2" xfId="30223" xr:uid="{F96A2A7E-ADB2-4C5E-9C6E-F75D33DDF5D9}"/>
    <cellStyle name="Style 96 3 4 11" xfId="19260" xr:uid="{EA51FAC7-1AE1-44F8-9B1A-DE39D097182E}"/>
    <cellStyle name="Style 96 3 4 2" xfId="2445" xr:uid="{183A82BF-7A28-4A97-9E18-802F71D0FB63}"/>
    <cellStyle name="Style 96 3 4 2 10" xfId="19261" xr:uid="{6740BCD5-A6C9-454F-A740-A04F88A78A80}"/>
    <cellStyle name="Style 96 3 4 2 2" xfId="5299" xr:uid="{E5834584-B35D-4F27-A8BF-2495E0F41A72}"/>
    <cellStyle name="Style 96 3 4 2 2 2" xfId="14427" xr:uid="{05296AC7-A848-403D-A180-135A8863D0A1}"/>
    <cellStyle name="Style 96 3 4 2 2 2 2" xfId="30224" xr:uid="{A221BB35-8F05-4615-9E44-26C727B12ABC}"/>
    <cellStyle name="Style 96 3 4 2 2 3" xfId="14428" xr:uid="{5D390904-5889-48EB-B7D0-FC16F310CB5F}"/>
    <cellStyle name="Style 96 3 4 2 2 3 2" xfId="30225" xr:uid="{51F259C6-7935-4F09-B2D1-8FCFD5A80095}"/>
    <cellStyle name="Style 96 3 4 2 2 4" xfId="14429" xr:uid="{BF0995C5-8037-47D2-9D86-6FDA2C002F20}"/>
    <cellStyle name="Style 96 3 4 2 2 4 2" xfId="30226" xr:uid="{8EC5664F-F11C-40F3-BA6F-B38A29572FCC}"/>
    <cellStyle name="Style 96 3 4 2 3" xfId="5298" xr:uid="{4B7359F6-5C64-459D-8B4B-A0CA725761F4}"/>
    <cellStyle name="Style 96 3 4 2 3 2" xfId="14430" xr:uid="{AD011E36-D5D7-4A39-9D7B-14F470D83A94}"/>
    <cellStyle name="Style 96 3 4 2 3 2 2" xfId="30227" xr:uid="{A5BFADC4-C36E-464A-B15A-92EC58E9EDD6}"/>
    <cellStyle name="Style 96 3 4 2 3 3" xfId="14431" xr:uid="{671900A9-3999-4E4C-BF6F-A46FF553F6F6}"/>
    <cellStyle name="Style 96 3 4 2 3 3 2" xfId="30228" xr:uid="{8C27E36D-F708-4D7B-AB28-04F43A7DD552}"/>
    <cellStyle name="Style 96 3 4 2 4" xfId="14432" xr:uid="{E41A50B8-6C32-4070-A89E-ACCABE1C652C}"/>
    <cellStyle name="Style 96 3 4 2 4 2" xfId="14433" xr:uid="{BA1014D4-3812-4AED-AE4B-8B7FE6926665}"/>
    <cellStyle name="Style 96 3 4 2 4 2 2" xfId="30230" xr:uid="{0AEFB896-6BD4-4ECC-A05C-DC593B1B346E}"/>
    <cellStyle name="Style 96 3 4 2 4 3" xfId="30229" xr:uid="{51C9A431-29FA-4DCD-A6C0-7C5973DE3A05}"/>
    <cellStyle name="Style 96 3 4 2 5" xfId="14434" xr:uid="{92870115-F7B2-44CB-AD11-05A39BEBB588}"/>
    <cellStyle name="Style 96 3 4 2 5 2" xfId="14435" xr:uid="{CA73DF25-834B-411F-A74B-33E04884931D}"/>
    <cellStyle name="Style 96 3 4 2 5 2 2" xfId="30232" xr:uid="{2F04D035-F12C-4E83-91D1-25F255660333}"/>
    <cellStyle name="Style 96 3 4 2 5 3" xfId="30231" xr:uid="{AB46DAD8-A95D-4A27-B82E-0989F033F2DA}"/>
    <cellStyle name="Style 96 3 4 2 6" xfId="14436" xr:uid="{7BEE3976-D69B-452D-A0FA-0615FC767F24}"/>
    <cellStyle name="Style 96 3 4 2 6 2" xfId="14437" xr:uid="{6C7C78A4-602B-459F-A434-56B83990E5D0}"/>
    <cellStyle name="Style 96 3 4 2 6 2 2" xfId="30234" xr:uid="{7A2AFB67-77B1-418E-9ED5-E887D79A6B6D}"/>
    <cellStyle name="Style 96 3 4 2 6 3" xfId="30233" xr:uid="{CAB9DF18-90A4-41F6-A4F8-6892FC5EE66E}"/>
    <cellStyle name="Style 96 3 4 2 7" xfId="14438" xr:uid="{3153B311-3195-49F9-92C1-949E982128A4}"/>
    <cellStyle name="Style 96 3 4 2 7 2" xfId="14439" xr:uid="{0BF028BB-E030-4DC9-A5B2-52E5F51FAF78}"/>
    <cellStyle name="Style 96 3 4 2 7 2 2" xfId="30236" xr:uid="{5A468256-3325-4B70-BBD4-445A751A5C94}"/>
    <cellStyle name="Style 96 3 4 2 7 3" xfId="30235" xr:uid="{6322110E-D3D7-4804-AF3A-910C51AD7D9C}"/>
    <cellStyle name="Style 96 3 4 2 8" xfId="14440" xr:uid="{6E4BF7A0-6ABE-40B3-8588-B766937C21BA}"/>
    <cellStyle name="Style 96 3 4 2 8 2" xfId="30237" xr:uid="{B2355973-CE74-4D02-B66D-D88A7A06D66C}"/>
    <cellStyle name="Style 96 3 4 2 9" xfId="14441" xr:uid="{B36DA874-182C-4215-87D2-E68B78847586}"/>
    <cellStyle name="Style 96 3 4 2 9 2" xfId="30238" xr:uid="{1C0E48CA-8D4D-41EC-A95D-C5E86A963D77}"/>
    <cellStyle name="Style 96 3 4 3" xfId="5300" xr:uid="{EFAB30F2-DA9B-4501-B676-95AD313F9D5F}"/>
    <cellStyle name="Style 96 3 4 3 2" xfId="14442" xr:uid="{E192D8B3-C7EB-46FF-967F-6C2ED3D0FAEA}"/>
    <cellStyle name="Style 96 3 4 3 2 2" xfId="30239" xr:uid="{114FDE38-1799-48CC-AF86-F57D1419ED99}"/>
    <cellStyle name="Style 96 3 4 3 3" xfId="14443" xr:uid="{A0E6EF54-D20D-496B-A838-A558A9C4F75A}"/>
    <cellStyle name="Style 96 3 4 3 3 2" xfId="30240" xr:uid="{E7F89F18-B8A7-4304-ACC3-9BEE6CAB645A}"/>
    <cellStyle name="Style 96 3 4 3 4" xfId="14444" xr:uid="{88677419-6AF0-4A3E-B857-1ECC05BA79F3}"/>
    <cellStyle name="Style 96 3 4 3 4 2" xfId="30241" xr:uid="{01112684-8191-4398-B5D9-7136AC64C8A1}"/>
    <cellStyle name="Style 96 3 4 4" xfId="5297" xr:uid="{91F2B0AD-2D01-44EA-B7FC-5B30FBBC3BEE}"/>
    <cellStyle name="Style 96 3 4 4 2" xfId="14445" xr:uid="{9CCD5953-332F-49A0-BA41-46720E894A0D}"/>
    <cellStyle name="Style 96 3 4 4 2 2" xfId="30242" xr:uid="{187CC213-BAE6-4A4D-B9AB-F74F7E9DC692}"/>
    <cellStyle name="Style 96 3 4 4 3" xfId="14446" xr:uid="{A190FB15-2706-482C-9034-0C39F2CB0C47}"/>
    <cellStyle name="Style 96 3 4 4 3 2" xfId="30243" xr:uid="{D545322E-39A7-423E-8F92-8C5DC83EC233}"/>
    <cellStyle name="Style 96 3 4 5" xfId="14447" xr:uid="{98D96D75-5BBA-4547-B6C4-CEF0EB316846}"/>
    <cellStyle name="Style 96 3 4 5 2" xfId="14448" xr:uid="{F04EA6D7-6ADA-45B1-BE39-E414E136B523}"/>
    <cellStyle name="Style 96 3 4 5 2 2" xfId="30245" xr:uid="{67B618CA-2525-4234-B1A2-39F3A03812A5}"/>
    <cellStyle name="Style 96 3 4 5 3" xfId="30244" xr:uid="{047E3A05-5657-4730-9BAE-BE72B33CA3F4}"/>
    <cellStyle name="Style 96 3 4 6" xfId="14449" xr:uid="{1EFE521D-6D28-4805-B46F-744C97E19917}"/>
    <cellStyle name="Style 96 3 4 6 2" xfId="14450" xr:uid="{9A0B51A5-A7CD-4748-AA00-9BE2F95FCCE8}"/>
    <cellStyle name="Style 96 3 4 6 2 2" xfId="30247" xr:uid="{C18A4050-A946-4872-B0AF-1451F7B33AD6}"/>
    <cellStyle name="Style 96 3 4 6 3" xfId="30246" xr:uid="{36B03486-8AF8-44CC-BEEB-5D0C11431801}"/>
    <cellStyle name="Style 96 3 4 7" xfId="14451" xr:uid="{D2FE5F26-487D-4E2E-80EF-6BEBAA9609FB}"/>
    <cellStyle name="Style 96 3 4 7 2" xfId="14452" xr:uid="{4B75F41A-E27E-4101-9075-67B649E3CEAB}"/>
    <cellStyle name="Style 96 3 4 7 2 2" xfId="30249" xr:uid="{1C9EF7C3-B44A-4B80-A12E-A7A5B1312547}"/>
    <cellStyle name="Style 96 3 4 7 3" xfId="30248" xr:uid="{7A8EFDC1-CF10-4A75-B6DE-F7D10604BD6E}"/>
    <cellStyle name="Style 96 3 4 8" xfId="14453" xr:uid="{2C7814F2-0369-4906-BE0C-6CC8F8146F07}"/>
    <cellStyle name="Style 96 3 4 8 2" xfId="14454" xr:uid="{9C21BA68-E0B4-44F7-81F9-500A61AFF96B}"/>
    <cellStyle name="Style 96 3 4 8 2 2" xfId="30251" xr:uid="{1939CBDE-562B-4A27-88AE-2540465F4118}"/>
    <cellStyle name="Style 96 3 4 8 3" xfId="30250" xr:uid="{48CDD8A3-492D-4657-8D9F-E2898A616873}"/>
    <cellStyle name="Style 96 3 4 9" xfId="14455" xr:uid="{F59D93D0-ED9E-430C-BF70-61C633958272}"/>
    <cellStyle name="Style 96 3 4 9 2" xfId="30252" xr:uid="{9367BDDD-1186-4DCF-AC56-FC2ADF26311D}"/>
    <cellStyle name="Style 96 3 5" xfId="5301" xr:uid="{B294A3AD-620B-425A-948F-0B0CC1D70ED7}"/>
    <cellStyle name="Style 96 3 5 2" xfId="14456" xr:uid="{F6262B8D-4467-4392-9E8F-31084965E5D5}"/>
    <cellStyle name="Style 96 3 5 2 2" xfId="14457" xr:uid="{01492561-7B74-45F2-875B-9FA12B2BB187}"/>
    <cellStyle name="Style 96 3 5 2 2 2" xfId="30254" xr:uid="{DC9390AF-F7AF-428A-827F-C79E754F18B3}"/>
    <cellStyle name="Style 96 3 5 2 3" xfId="30253" xr:uid="{94B10F4A-056E-4374-B9E4-8BAB7CC98FB2}"/>
    <cellStyle name="Style 96 3 5 3" xfId="14458" xr:uid="{19E6C160-1B44-46B5-871E-C4AE2D3A39A0}"/>
    <cellStyle name="Style 96 3 5 3 2" xfId="30255" xr:uid="{7BB6741E-A7EB-407B-AEFE-30C9CD4DD538}"/>
    <cellStyle name="Style 96 3 5 4" xfId="14459" xr:uid="{59C072BB-8D76-4D8E-8E76-1E0343C0308D}"/>
    <cellStyle name="Style 96 3 5 4 2" xfId="30256" xr:uid="{565DEBB7-1E04-41DA-9217-58118208DB4B}"/>
    <cellStyle name="Style 96 3 5 5" xfId="14460" xr:uid="{D9890458-B786-4937-8163-1D2D52AB8412}"/>
    <cellStyle name="Style 96 3 5 5 2" xfId="30257" xr:uid="{99CE2362-9766-4952-B4D0-5825F9CB83BB}"/>
    <cellStyle name="Style 96 3 5 6" xfId="14461" xr:uid="{CD9BC18F-27A5-4030-8AE3-0278DED9F970}"/>
    <cellStyle name="Style 96 3 5 6 2" xfId="30258" xr:uid="{F63A2128-0BFA-4B74-B704-D7679BFDBB94}"/>
    <cellStyle name="Style 96 3 6" xfId="5302" xr:uid="{105A94AD-D74A-40DA-B407-3A9E6294D2E9}"/>
    <cellStyle name="Style 96 3 6 2" xfId="14462" xr:uid="{F1D1662C-5D27-4453-AA6A-426549D420A0}"/>
    <cellStyle name="Style 96 3 6 2 2" xfId="30259" xr:uid="{D282A5C9-54FD-4B3F-8D98-11E5554C4AA4}"/>
    <cellStyle name="Style 96 3 6 3" xfId="14463" xr:uid="{A3E80852-A62C-4F95-948B-8C87D389E7C4}"/>
    <cellStyle name="Style 96 3 6 3 2" xfId="30260" xr:uid="{70D820E3-DF89-4083-AE3F-2763A29623CB}"/>
    <cellStyle name="Style 96 3 6 4" xfId="14464" xr:uid="{4C6E440E-F0EF-4A25-B663-5E0DB3CCD14B}"/>
    <cellStyle name="Style 96 3 6 4 2" xfId="30261" xr:uid="{D1CD851B-D48F-447F-A061-739D0E665732}"/>
    <cellStyle name="Style 96 3 7" xfId="5287" xr:uid="{8776C883-0696-446D-94A0-9B3BAED93CDC}"/>
    <cellStyle name="Style 96 3 7 2" xfId="14465" xr:uid="{DFACFE4F-86E7-4E98-850E-005EEBE2F038}"/>
    <cellStyle name="Style 96 3 7 2 2" xfId="30262" xr:uid="{727F9F9C-9708-4958-899B-8F1C60237B6B}"/>
    <cellStyle name="Style 96 3 7 3" xfId="14466" xr:uid="{5238CFF3-DAA5-4EFA-BFA7-4AAB01AC5772}"/>
    <cellStyle name="Style 96 3 7 3 2" xfId="30263" xr:uid="{8B10B1BE-2BF8-4003-8DB0-4C774E1FFDEE}"/>
    <cellStyle name="Style 96 3 8" xfId="14467" xr:uid="{16A0A3D9-0801-45EB-811B-7CCAAD4A84E8}"/>
    <cellStyle name="Style 96 3 8 2" xfId="14468" xr:uid="{CE6BD3A0-4F67-4847-9A3D-5D8A6DDB0C1A}"/>
    <cellStyle name="Style 96 3 8 2 2" xfId="30265" xr:uid="{A0A6F5B9-0E3D-432F-9D1A-E453281A273E}"/>
    <cellStyle name="Style 96 3 8 3" xfId="30264" xr:uid="{D0F18ADF-E47F-49FE-B510-0CF0CA648ED7}"/>
    <cellStyle name="Style 96 3 9" xfId="14469" xr:uid="{75C98FEA-8FC2-4A20-8DE5-B8912DD9EB54}"/>
    <cellStyle name="Style 96 3 9 2" xfId="14470" xr:uid="{8F80B415-7A96-43D7-A1C0-0B98A730324D}"/>
    <cellStyle name="Style 96 3 9 2 2" xfId="30267" xr:uid="{03876EF8-D8A5-42C4-A23B-AB35D2ADAC01}"/>
    <cellStyle name="Style 96 3 9 3" xfId="30266" xr:uid="{5D529B3A-D9D2-4130-B015-14075CB31ED1}"/>
    <cellStyle name="Style 96 4" xfId="2446" xr:uid="{F7B59D7F-7D04-4C5A-AC8A-3EAA34A0F74D}"/>
    <cellStyle name="Style 96 4 10" xfId="14471" xr:uid="{4AAF00FB-4DC6-4BBD-BC32-488421ADD867}"/>
    <cellStyle name="Style 96 4 10 2" xfId="30268" xr:uid="{5CCDB388-86E9-4F9F-9ECD-27C846DF723E}"/>
    <cellStyle name="Style 96 4 11" xfId="19262" xr:uid="{13806B85-D557-4775-B2B7-8A4EB2A8B2B2}"/>
    <cellStyle name="Style 96 4 2" xfId="2447" xr:uid="{A70CB1A0-AD7D-4266-B849-79D0E4604F1D}"/>
    <cellStyle name="Style 96 4 2 10" xfId="19263" xr:uid="{838786F0-5847-4CB6-AB72-91079E56C68D}"/>
    <cellStyle name="Style 96 4 2 2" xfId="5305" xr:uid="{219A83C2-9AD2-4998-898C-65AFD730E4CA}"/>
    <cellStyle name="Style 96 4 2 2 2" xfId="14472" xr:uid="{92320474-DD9B-4867-8B01-5A4F4407C322}"/>
    <cellStyle name="Style 96 4 2 2 2 2" xfId="30269" xr:uid="{5F4AFFE0-FFF7-4190-90A2-BAE23B1D32D9}"/>
    <cellStyle name="Style 96 4 2 2 3" xfId="14473" xr:uid="{89B4769A-3B8E-4E3D-8AD6-8EECA305CB2C}"/>
    <cellStyle name="Style 96 4 2 2 3 2" xfId="30270" xr:uid="{A7B6CE6E-525C-4A35-B0D3-9D21C6AC9BBD}"/>
    <cellStyle name="Style 96 4 2 2 4" xfId="14474" xr:uid="{89729B66-86A9-4EC2-8C36-069F7412C2E7}"/>
    <cellStyle name="Style 96 4 2 2 4 2" xfId="30271" xr:uid="{42D0CB2C-1FCC-422C-AEE4-3BAD0AA7929D}"/>
    <cellStyle name="Style 96 4 2 3" xfId="5304" xr:uid="{36237BA6-E88F-450D-B4C0-4C5EF29EF51F}"/>
    <cellStyle name="Style 96 4 2 3 2" xfId="14475" xr:uid="{22F892A4-C12F-4AD1-B6B1-7D8B9F720A3D}"/>
    <cellStyle name="Style 96 4 2 3 2 2" xfId="30272" xr:uid="{C914FBCD-F380-4908-A1AF-5C9F855776C1}"/>
    <cellStyle name="Style 96 4 2 3 3" xfId="14476" xr:uid="{65AC929E-135C-49B7-A778-92C10D2E1F91}"/>
    <cellStyle name="Style 96 4 2 3 3 2" xfId="30273" xr:uid="{A24AF730-13D3-4614-8B2E-B2898E1BBD4E}"/>
    <cellStyle name="Style 96 4 2 4" xfId="14477" xr:uid="{5D63CC88-F6CA-4338-B109-3F215B162843}"/>
    <cellStyle name="Style 96 4 2 4 2" xfId="14478" xr:uid="{6DA7BFDF-A4EC-4444-B0AD-F57A8056CF7F}"/>
    <cellStyle name="Style 96 4 2 4 2 2" xfId="30275" xr:uid="{F06BCF36-7A26-47DB-AA2D-A3CED54A4AC1}"/>
    <cellStyle name="Style 96 4 2 4 3" xfId="30274" xr:uid="{4E887F76-1B70-402E-9DD5-D1F818A0F056}"/>
    <cellStyle name="Style 96 4 2 5" xfId="14479" xr:uid="{4CCF3979-9FAF-49CC-96B2-AAAC87B343AB}"/>
    <cellStyle name="Style 96 4 2 5 2" xfId="14480" xr:uid="{F1E2BA4C-CCBC-4078-B609-2620F8661BDB}"/>
    <cellStyle name="Style 96 4 2 5 2 2" xfId="30277" xr:uid="{C663F1B0-EF26-489A-ACC1-89FC02BDC2E0}"/>
    <cellStyle name="Style 96 4 2 5 3" xfId="30276" xr:uid="{0D6E52E2-FF09-4EFE-99DF-6B500E921725}"/>
    <cellStyle name="Style 96 4 2 6" xfId="14481" xr:uid="{ACCFD486-B4E0-4AF3-BE5F-087A6C684EC8}"/>
    <cellStyle name="Style 96 4 2 6 2" xfId="14482" xr:uid="{1C4DC82D-1045-427C-8957-370EB395D739}"/>
    <cellStyle name="Style 96 4 2 6 2 2" xfId="30279" xr:uid="{2596926D-3C35-4D8D-B9AA-F47B326389DB}"/>
    <cellStyle name="Style 96 4 2 6 3" xfId="30278" xr:uid="{F3027BBD-95AE-430A-B756-DE0DC5FCE758}"/>
    <cellStyle name="Style 96 4 2 7" xfId="14483" xr:uid="{E2D8F5D3-D460-47B5-8CCC-5E852EFF88AF}"/>
    <cellStyle name="Style 96 4 2 7 2" xfId="14484" xr:uid="{66550D75-B6D6-4BF1-9B3E-7CFA2BE5EB5A}"/>
    <cellStyle name="Style 96 4 2 7 2 2" xfId="30281" xr:uid="{00A8059D-DC5C-432A-9E70-8D3972B9DE7A}"/>
    <cellStyle name="Style 96 4 2 7 3" xfId="30280" xr:uid="{D8E67596-01E0-49F4-B676-462B0A8B64C9}"/>
    <cellStyle name="Style 96 4 2 8" xfId="14485" xr:uid="{1FD35F7C-3E7C-4CA0-89DA-5BAF54EA6F3A}"/>
    <cellStyle name="Style 96 4 2 8 2" xfId="30282" xr:uid="{20F8DE39-9327-461C-96C6-A0202EBEDE0C}"/>
    <cellStyle name="Style 96 4 2 9" xfId="14486" xr:uid="{F83D1038-C0B7-4614-BD3B-81F7E17C4F97}"/>
    <cellStyle name="Style 96 4 2 9 2" xfId="30283" xr:uid="{8CD3122A-1166-47C1-B039-692EDD99973F}"/>
    <cellStyle name="Style 96 4 3" xfId="5306" xr:uid="{DBE19C52-951D-498E-8064-6C45A66DF7FA}"/>
    <cellStyle name="Style 96 4 3 2" xfId="5307" xr:uid="{1CA66449-9DB7-445F-9111-4ED517EC47E9}"/>
    <cellStyle name="Style 96 4 3 2 2" xfId="14487" xr:uid="{DA8016E1-37E8-4749-9B0D-E59075C9CB82}"/>
    <cellStyle name="Style 96 4 3 2 2 2" xfId="30284" xr:uid="{274C31C1-24F0-4EF7-85CD-7B40671D2DA0}"/>
    <cellStyle name="Style 96 4 3 2 3" xfId="14488" xr:uid="{3EAF4E52-AA89-450D-B7FE-AB0C7EF3BD07}"/>
    <cellStyle name="Style 96 4 3 2 3 2" xfId="30285" xr:uid="{92834D69-AB2D-42AD-BF36-F2D45549B286}"/>
    <cellStyle name="Style 96 4 3 3" xfId="14489" xr:uid="{2183994C-07FF-4672-8816-E847FA199B31}"/>
    <cellStyle name="Style 96 4 3 3 2" xfId="30286" xr:uid="{E32271E2-25AD-4A7B-A1CE-4F8FAEAEDE0D}"/>
    <cellStyle name="Style 96 4 3 4" xfId="14490" xr:uid="{7EFE2F1D-467D-4C2B-9FDC-AC7F0EABF60D}"/>
    <cellStyle name="Style 96 4 3 4 2" xfId="30287" xr:uid="{D1A89F76-6D8F-4B68-8422-F68E008B168C}"/>
    <cellStyle name="Style 96 4 3 5" xfId="14491" xr:uid="{AEE25C17-BD1D-4B13-BE43-17A610D047FD}"/>
    <cellStyle name="Style 96 4 3 5 2" xfId="30288" xr:uid="{3C6CD2BC-B8FE-4819-A18D-065C562F6002}"/>
    <cellStyle name="Style 96 4 3 6" xfId="14492" xr:uid="{E12FD6D9-364A-4DEC-9E0F-F7B464CC45E4}"/>
    <cellStyle name="Style 96 4 3 6 2" xfId="30289" xr:uid="{51D6A6E5-0D2A-40BC-8765-0B634AC0CBF2}"/>
    <cellStyle name="Style 96 4 3 7" xfId="19264" xr:uid="{52D602F1-CF64-4B74-8756-E02533232476}"/>
    <cellStyle name="Style 96 4 4" xfId="5308" xr:uid="{1AE78A50-248C-46B1-8043-4604309ED5C5}"/>
    <cellStyle name="Style 96 4 4 2" xfId="14493" xr:uid="{1E2876F3-E154-4DA8-A1B9-F92EBC7A11B4}"/>
    <cellStyle name="Style 96 4 4 2 2" xfId="30290" xr:uid="{A49D4130-5B35-473A-ABA9-9E1A3D3B2965}"/>
    <cellStyle name="Style 96 4 4 3" xfId="14494" xr:uid="{02150370-6B66-4CF5-9F1F-14FE019DEB50}"/>
    <cellStyle name="Style 96 4 4 3 2" xfId="30291" xr:uid="{5EAFA359-DADF-487D-B426-7056F87D3F7C}"/>
    <cellStyle name="Style 96 4 4 4" xfId="14495" xr:uid="{595848DD-D8B7-4A8B-AC0E-062199BACF90}"/>
    <cellStyle name="Style 96 4 4 4 2" xfId="30292" xr:uid="{4CE069AC-8681-47E0-910B-AE0BF9D19500}"/>
    <cellStyle name="Style 96 4 5" xfId="5309" xr:uid="{AA1AD6F1-B183-43C4-9320-99DE9969BEFF}"/>
    <cellStyle name="Style 96 4 5 2" xfId="14496" xr:uid="{5029D5B2-AB39-4958-9AFB-5FA393690D33}"/>
    <cellStyle name="Style 96 4 5 2 2" xfId="30293" xr:uid="{F3EF36A5-4187-4B3A-BB42-B13B9BD8413B}"/>
    <cellStyle name="Style 96 4 5 3" xfId="14497" xr:uid="{166ADD5C-A17F-4A4A-B109-1402E7AF02AD}"/>
    <cellStyle name="Style 96 4 5 3 2" xfId="30294" xr:uid="{1A465437-CE8C-4CAD-B411-6A61E0D4D75F}"/>
    <cellStyle name="Style 96 4 6" xfId="5303" xr:uid="{32D18F64-E9ED-4157-9739-BD0A2BFA8622}"/>
    <cellStyle name="Style 96 4 6 2" xfId="14498" xr:uid="{E90FA00E-5032-4804-9873-2016FADDD418}"/>
    <cellStyle name="Style 96 4 6 2 2" xfId="30295" xr:uid="{2603609C-EB72-4EE6-B259-AC2157526A5A}"/>
    <cellStyle name="Style 96 4 6 3" xfId="14499" xr:uid="{023DA82D-D447-47C8-A05C-8B548A3DCEC9}"/>
    <cellStyle name="Style 96 4 6 3 2" xfId="30296" xr:uid="{8987F5B6-0E28-4F31-A4DF-9C0501CD377D}"/>
    <cellStyle name="Style 96 4 7" xfId="14500" xr:uid="{7B2D2511-B3D8-4B05-9121-7A79B3C692FD}"/>
    <cellStyle name="Style 96 4 7 2" xfId="14501" xr:uid="{A74E2424-8ADF-44EB-97C8-32241DB51110}"/>
    <cellStyle name="Style 96 4 7 2 2" xfId="30298" xr:uid="{A1571A3A-D8F5-4C90-A135-F6B955C7264E}"/>
    <cellStyle name="Style 96 4 7 3" xfId="30297" xr:uid="{EDC32AE7-8E5C-4604-9CAB-4577EFE48DCC}"/>
    <cellStyle name="Style 96 4 8" xfId="14502" xr:uid="{1A47FB41-AB21-4973-B0A1-B065A1EE5A0A}"/>
    <cellStyle name="Style 96 4 8 2" xfId="14503" xr:uid="{DA56C38C-6944-45A7-840F-AAB4395406B7}"/>
    <cellStyle name="Style 96 4 8 2 2" xfId="30300" xr:uid="{58E85341-91D6-446C-A031-C219E4AC6BFA}"/>
    <cellStyle name="Style 96 4 8 3" xfId="30299" xr:uid="{68966907-58E9-4C43-B8D3-2E732EC116F7}"/>
    <cellStyle name="Style 96 4 9" xfId="14504" xr:uid="{2E61B73C-0FF8-4BE4-A7B5-700637D2457C}"/>
    <cellStyle name="Style 96 4 9 2" xfId="30301" xr:uid="{2544E8C5-157E-49E7-BC92-5B2542862DAF}"/>
    <cellStyle name="Style 96 5" xfId="2448" xr:uid="{76D3A384-C0CD-45CD-957B-B61E7980E99E}"/>
    <cellStyle name="Style 96 5 10" xfId="14505" xr:uid="{18F338B0-FECC-4EA5-A26F-D3CF6471C7E2}"/>
    <cellStyle name="Style 96 5 10 2" xfId="30302" xr:uid="{DD2A166C-6353-4DAA-85E6-42B11FB420B7}"/>
    <cellStyle name="Style 96 5 11" xfId="19265" xr:uid="{B1EBA3AD-744A-44CF-AF1A-A27E2173850F}"/>
    <cellStyle name="Style 96 5 2" xfId="2449" xr:uid="{CB43A6F4-8B65-4F2B-A6A1-4F7DBDF1D0DC}"/>
    <cellStyle name="Style 96 5 2 10" xfId="19266" xr:uid="{3BD1EEED-8CF0-4030-BE71-622FEFDB93D1}"/>
    <cellStyle name="Style 96 5 2 2" xfId="5312" xr:uid="{867DC49E-6D69-423B-BC9E-9BEBA03F12EC}"/>
    <cellStyle name="Style 96 5 2 2 2" xfId="14506" xr:uid="{0E3CDF4D-9BF2-477A-99A7-3BC0549891B5}"/>
    <cellStyle name="Style 96 5 2 2 2 2" xfId="30303" xr:uid="{829F1F97-55EB-43D6-9EA4-813191734429}"/>
    <cellStyle name="Style 96 5 2 2 3" xfId="14507" xr:uid="{0B959DF8-365F-4493-8AD0-69B1C83FDFCC}"/>
    <cellStyle name="Style 96 5 2 2 3 2" xfId="30304" xr:uid="{BD3220F0-8F8D-48D6-A924-85B599F5FDC6}"/>
    <cellStyle name="Style 96 5 2 2 4" xfId="14508" xr:uid="{E9329552-5E02-4277-A4BA-62622EA9C160}"/>
    <cellStyle name="Style 96 5 2 2 4 2" xfId="30305" xr:uid="{246039CE-7C42-4B0F-8CC8-8E53BA2B3D27}"/>
    <cellStyle name="Style 96 5 2 3" xfId="5311" xr:uid="{9EB4B9CE-3CD4-47CE-98F0-F707CCBFB57F}"/>
    <cellStyle name="Style 96 5 2 3 2" xfId="14509" xr:uid="{85097F12-3CDC-47DA-9080-2650EE63BE13}"/>
    <cellStyle name="Style 96 5 2 3 2 2" xfId="30306" xr:uid="{E8293406-D232-495E-A92A-85E9194739CB}"/>
    <cellStyle name="Style 96 5 2 3 3" xfId="14510" xr:uid="{1FAA050C-BC6D-4050-842E-0A9F99DFD6D0}"/>
    <cellStyle name="Style 96 5 2 3 3 2" xfId="30307" xr:uid="{1F9C2134-A7AD-4C66-BA79-099F1950A95B}"/>
    <cellStyle name="Style 96 5 2 4" xfId="14511" xr:uid="{87DDF7A2-20C2-4901-9819-D29CEDDA2162}"/>
    <cellStyle name="Style 96 5 2 4 2" xfId="14512" xr:uid="{581FB46A-BE53-4C09-9AAC-970E0F1E469B}"/>
    <cellStyle name="Style 96 5 2 4 2 2" xfId="30309" xr:uid="{AB427EBB-F046-4904-A747-BCFE93182704}"/>
    <cellStyle name="Style 96 5 2 4 3" xfId="30308" xr:uid="{C00D1D77-E1A5-44CE-91A5-BD7D6245491C}"/>
    <cellStyle name="Style 96 5 2 5" xfId="14513" xr:uid="{513E0EF2-BDDA-4177-8CFD-7E21616E0AA5}"/>
    <cellStyle name="Style 96 5 2 5 2" xfId="14514" xr:uid="{74D16F30-1E22-40C3-936A-F25DE17E2FD0}"/>
    <cellStyle name="Style 96 5 2 5 2 2" xfId="30311" xr:uid="{72CCB274-A9F8-4246-B344-23B9FA820421}"/>
    <cellStyle name="Style 96 5 2 5 3" xfId="30310" xr:uid="{5ED0B70E-D3CF-4DD9-B805-6693AFEB706C}"/>
    <cellStyle name="Style 96 5 2 6" xfId="14515" xr:uid="{DEAA7890-81D0-40BE-A0F1-EF4F63EF3821}"/>
    <cellStyle name="Style 96 5 2 6 2" xfId="14516" xr:uid="{A1934DF7-3249-423E-8667-64A2F02BD258}"/>
    <cellStyle name="Style 96 5 2 6 2 2" xfId="30313" xr:uid="{1D644923-E503-45E0-A7CE-6502BA49F1E0}"/>
    <cellStyle name="Style 96 5 2 6 3" xfId="30312" xr:uid="{07A48768-DC43-4928-9217-D1A9FAE36C2C}"/>
    <cellStyle name="Style 96 5 2 7" xfId="14517" xr:uid="{5ADE043B-9C4F-48B4-8FDE-68A7BE562C0B}"/>
    <cellStyle name="Style 96 5 2 7 2" xfId="14518" xr:uid="{0035F18E-153C-4842-A4F9-03653BA14F94}"/>
    <cellStyle name="Style 96 5 2 7 2 2" xfId="30315" xr:uid="{51717686-F4B5-4501-851B-ABF795C1FE32}"/>
    <cellStyle name="Style 96 5 2 7 3" xfId="30314" xr:uid="{002A20FE-7C6B-4736-BA74-A8B9BF499DF1}"/>
    <cellStyle name="Style 96 5 2 8" xfId="14519" xr:uid="{B15C1A31-2529-441F-B19F-BC5395B56DAB}"/>
    <cellStyle name="Style 96 5 2 8 2" xfId="30316" xr:uid="{3CEFB496-80BE-4F08-A0E3-88ECDF77B236}"/>
    <cellStyle name="Style 96 5 2 9" xfId="14520" xr:uid="{C4121555-A13A-40CB-BE9A-C64B39F3EF7E}"/>
    <cellStyle name="Style 96 5 2 9 2" xfId="30317" xr:uid="{4CE42CC9-8CB7-478C-8377-76C89E6503E5}"/>
    <cellStyle name="Style 96 5 3" xfId="5313" xr:uid="{8AEC445F-FFD0-49D5-B99F-DB7CC7CF08A5}"/>
    <cellStyle name="Style 96 5 3 2" xfId="14521" xr:uid="{1C4A17AB-94BF-4B21-9BD3-EFB66EB6D934}"/>
    <cellStyle name="Style 96 5 3 2 2" xfId="30318" xr:uid="{320D9157-F80A-4E35-80AB-962A0E5B6D50}"/>
    <cellStyle name="Style 96 5 3 3" xfId="14522" xr:uid="{D783D00D-510A-4C38-9431-7FCBF6346C66}"/>
    <cellStyle name="Style 96 5 3 3 2" xfId="30319" xr:uid="{D76781A9-42B6-40DE-8E4E-0E636E971C20}"/>
    <cellStyle name="Style 96 5 3 4" xfId="14523" xr:uid="{DB3017D8-188F-4E8B-B0EF-87BB8C40EA5F}"/>
    <cellStyle name="Style 96 5 3 4 2" xfId="30320" xr:uid="{FC943E8E-FA97-4307-980B-1B9E76FFA01A}"/>
    <cellStyle name="Style 96 5 4" xfId="5310" xr:uid="{BB406748-8B40-4D6E-81A7-56CBC8C22780}"/>
    <cellStyle name="Style 96 5 4 2" xfId="14524" xr:uid="{B47D4297-EBDF-44C1-B906-2A5284E8E0A5}"/>
    <cellStyle name="Style 96 5 4 2 2" xfId="30321" xr:uid="{4E2AE1E1-FEB9-4426-929C-D8F4EE47C0BF}"/>
    <cellStyle name="Style 96 5 4 3" xfId="14525" xr:uid="{71EFA165-382E-47A7-90E7-786C6AC92C2B}"/>
    <cellStyle name="Style 96 5 4 3 2" xfId="30322" xr:uid="{3ADC02F3-949F-4494-8253-3EFABF858870}"/>
    <cellStyle name="Style 96 5 5" xfId="14526" xr:uid="{FD879E9A-ABA7-4E32-9445-ECDC1CACF0B4}"/>
    <cellStyle name="Style 96 5 5 2" xfId="14527" xr:uid="{AB442693-B052-4C36-A9F9-DEA5C8F29C82}"/>
    <cellStyle name="Style 96 5 5 2 2" xfId="30324" xr:uid="{6E0DC191-77E8-4881-83CC-042AA4B556CA}"/>
    <cellStyle name="Style 96 5 5 3" xfId="30323" xr:uid="{8DE3F26C-E4B7-44F8-A979-124E316EB39C}"/>
    <cellStyle name="Style 96 5 6" xfId="14528" xr:uid="{6EA85BFA-65D7-4603-835A-14F79F1AB9D7}"/>
    <cellStyle name="Style 96 5 6 2" xfId="14529" xr:uid="{767E24E9-1C55-4300-9E5B-732BA836A266}"/>
    <cellStyle name="Style 96 5 6 2 2" xfId="30326" xr:uid="{2E9B4E4C-BA89-4348-A0CC-7536AF6DB4D7}"/>
    <cellStyle name="Style 96 5 6 3" xfId="30325" xr:uid="{7230FE38-5F22-4971-9803-5582284408DD}"/>
    <cellStyle name="Style 96 5 7" xfId="14530" xr:uid="{D942E5D7-7E6D-4DB6-B21D-5AA8B73EA8EA}"/>
    <cellStyle name="Style 96 5 7 2" xfId="14531" xr:uid="{DCE03151-3628-41DF-8D13-2685A5580E1F}"/>
    <cellStyle name="Style 96 5 7 2 2" xfId="30328" xr:uid="{500748FD-DEE0-49D5-B247-1EAFF254706C}"/>
    <cellStyle name="Style 96 5 7 3" xfId="30327" xr:uid="{F50ACB18-1C22-4905-A5F4-1A70050E2D3F}"/>
    <cellStyle name="Style 96 5 8" xfId="14532" xr:uid="{D898E8A8-17A8-476C-BD43-E8B8ECE338B8}"/>
    <cellStyle name="Style 96 5 8 2" xfId="14533" xr:uid="{57E62727-30F8-42D6-9CD7-57AB72393501}"/>
    <cellStyle name="Style 96 5 8 2 2" xfId="30330" xr:uid="{FC83492F-7D5B-4FB3-8368-90592F2B8C9A}"/>
    <cellStyle name="Style 96 5 8 3" xfId="30329" xr:uid="{CDE4FBBA-340D-434F-92B6-691B1C6FC465}"/>
    <cellStyle name="Style 96 5 9" xfId="14534" xr:uid="{7AEDDC6F-39C2-41A0-B4F0-6EF527E1B446}"/>
    <cellStyle name="Style 96 5 9 2" xfId="30331" xr:uid="{A34B7B9E-47E5-4644-AFD4-8657B53F967C}"/>
    <cellStyle name="Style 96 6" xfId="2450" xr:uid="{FB8FE0C7-6A31-4F68-ACD5-C5088F9BA63E}"/>
    <cellStyle name="Style 96 6 10" xfId="14535" xr:uid="{C10C13F2-418F-42EE-ABCE-7580C2DABE09}"/>
    <cellStyle name="Style 96 6 10 2" xfId="30332" xr:uid="{C75C2357-8015-4EF4-96F2-2F79B2F85E46}"/>
    <cellStyle name="Style 96 6 11" xfId="19267" xr:uid="{78078556-D176-4BD0-B0F5-DB77BAC4D99B}"/>
    <cellStyle name="Style 96 6 2" xfId="2451" xr:uid="{F71265AE-853C-4B1F-9377-2E93AA66A08B}"/>
    <cellStyle name="Style 96 6 2 2" xfId="5315" xr:uid="{10BF7E42-74B0-4E14-A2A5-F1A354ADC25C}"/>
    <cellStyle name="Style 96 6 2 2 2" xfId="14536" xr:uid="{0BC4C988-8FF5-47A0-BE00-60319AE19D77}"/>
    <cellStyle name="Style 96 6 2 2 2 2" xfId="30333" xr:uid="{28CCBFC2-5CB9-42EE-8698-E821067A7F9E}"/>
    <cellStyle name="Style 96 6 2 2 3" xfId="14537" xr:uid="{C1185475-A8BF-43FE-AE35-19FE34FCFAD8}"/>
    <cellStyle name="Style 96 6 2 2 3 2" xfId="30334" xr:uid="{7248A85F-CEA5-490A-A95F-442D545810E2}"/>
    <cellStyle name="Style 96 6 2 2 4" xfId="14538" xr:uid="{DB427629-ED47-4EB5-9816-83E2FDD41C89}"/>
    <cellStyle name="Style 96 6 2 2 4 2" xfId="30335" xr:uid="{3C030314-9494-4405-A57A-458860B26797}"/>
    <cellStyle name="Style 96 6 2 3" xfId="14539" xr:uid="{3C670E5E-F4EB-4687-9967-83E9E6021DE9}"/>
    <cellStyle name="Style 96 6 2 3 2" xfId="14540" xr:uid="{DFB680CD-91BB-4896-83CA-8D20FBDA3B57}"/>
    <cellStyle name="Style 96 6 2 3 2 2" xfId="30337" xr:uid="{C359362E-9D30-4DCF-8519-0CA07BDE4AAD}"/>
    <cellStyle name="Style 96 6 2 3 3" xfId="30336" xr:uid="{28A3A2BE-B5BB-449D-9062-67B3D0C1BD04}"/>
    <cellStyle name="Style 96 6 2 4" xfId="14541" xr:uid="{2CF1F15A-BF84-4F4A-B66B-C91E7BE7D1D3}"/>
    <cellStyle name="Style 96 6 2 4 2" xfId="14542" xr:uid="{31272DDF-3EB1-47A2-8EC2-E7FF192BA9CD}"/>
    <cellStyle name="Style 96 6 2 4 2 2" xfId="30339" xr:uid="{81C1E8E9-1862-401E-A1F1-3A8CC716B071}"/>
    <cellStyle name="Style 96 6 2 4 3" xfId="30338" xr:uid="{CC7086BA-D5D3-49AF-9086-B8FFAF6EAB73}"/>
    <cellStyle name="Style 96 6 2 5" xfId="14543" xr:uid="{F73F3463-70A2-426B-BE50-EE37A73C4339}"/>
    <cellStyle name="Style 96 6 2 5 2" xfId="14544" xr:uid="{D2BF6680-15C9-4210-8AF4-72B59336A3BA}"/>
    <cellStyle name="Style 96 6 2 5 2 2" xfId="30341" xr:uid="{2E3D7E4C-8F8D-48DB-9F8A-18949AE5BCAF}"/>
    <cellStyle name="Style 96 6 2 5 3" xfId="30340" xr:uid="{F32F9153-1D29-4A1C-8F9A-9C25B9006EA0}"/>
    <cellStyle name="Style 96 6 2 6" xfId="14545" xr:uid="{354FECB4-83FB-4D9D-9F00-49BFE07D5808}"/>
    <cellStyle name="Style 96 6 2 6 2" xfId="14546" xr:uid="{18B37750-51AC-4DFA-A003-1692EB12FBFF}"/>
    <cellStyle name="Style 96 6 2 6 2 2" xfId="30343" xr:uid="{B2D01CD7-AA1D-49BF-816F-8981687C9DD5}"/>
    <cellStyle name="Style 96 6 2 6 3" xfId="30342" xr:uid="{BB8A21EA-B0C6-4B30-B765-2E29920E8E25}"/>
    <cellStyle name="Style 96 6 2 7" xfId="14547" xr:uid="{42A3A906-D808-45B2-A85B-EFDD9AA8BB33}"/>
    <cellStyle name="Style 96 6 2 7 2" xfId="30344" xr:uid="{702A79DE-3D37-48E7-9D43-A7F9AB380A20}"/>
    <cellStyle name="Style 96 6 2 8" xfId="14548" xr:uid="{938842F9-CD65-431F-8E05-23801E8B9D1E}"/>
    <cellStyle name="Style 96 6 2 8 2" xfId="30345" xr:uid="{A01368A2-6CC6-41BB-8970-B81356EF79BF}"/>
    <cellStyle name="Style 96 6 3" xfId="2802" xr:uid="{BDBEE84B-2C7E-4C9B-8159-3248C45042A5}"/>
    <cellStyle name="Style 96 6 3 2" xfId="5316" xr:uid="{A4714A73-1D2B-40D8-B379-3D8D01669AF2}"/>
    <cellStyle name="Style 96 6 3 2 2" xfId="14549" xr:uid="{18D66306-74D4-473F-A17C-0CB375058A4E}"/>
    <cellStyle name="Style 96 6 3 2 2 2" xfId="30346" xr:uid="{A5E5D17D-D01B-4859-8642-4C24489282FB}"/>
    <cellStyle name="Style 96 6 3 2 3" xfId="22548" xr:uid="{8FFA44BC-E1E1-44B9-943C-8CFFCBCBE37C}"/>
    <cellStyle name="Style 96 6 3 3" xfId="14550" xr:uid="{A9FC7289-A3DE-4A9D-A6B3-FB6B34984607}"/>
    <cellStyle name="Style 96 6 3 3 2" xfId="30347" xr:uid="{375DB971-5EA2-4C1B-B259-B60F0E879F69}"/>
    <cellStyle name="Style 96 6 3 4" xfId="14551" xr:uid="{EF0E07F9-3BEB-4D5F-A79D-F30BAC1FE8D6}"/>
    <cellStyle name="Style 96 6 3 4 2" xfId="30348" xr:uid="{7405F69F-76D9-4AAB-B972-33AC8D270FB2}"/>
    <cellStyle name="Style 96 6 4" xfId="5314" xr:uid="{C2A4C2AB-FD35-4B90-9F1F-15C4BDF6A936}"/>
    <cellStyle name="Style 96 6 4 2" xfId="14552" xr:uid="{EC668E00-C7E3-4DFA-A858-0727F7B95E33}"/>
    <cellStyle name="Style 96 6 4 2 2" xfId="30349" xr:uid="{339A641C-10FF-4997-A3E7-41AE1F596326}"/>
    <cellStyle name="Style 96 6 4 3" xfId="14553" xr:uid="{7BA1AA12-BE71-4FF7-A037-B3D56920463E}"/>
    <cellStyle name="Style 96 6 4 3 2" xfId="30350" xr:uid="{2F6BFCCE-10C0-4D62-AED6-62ECC3F7E389}"/>
    <cellStyle name="Style 96 6 5" xfId="14554" xr:uid="{3C3C4B7C-C2AA-4DD9-8360-3442C197F37F}"/>
    <cellStyle name="Style 96 6 5 2" xfId="14555" xr:uid="{B7352DF6-B214-4EA6-92DC-A2B9C190B03C}"/>
    <cellStyle name="Style 96 6 5 2 2" xfId="30352" xr:uid="{86E6408F-254A-44BD-865F-3EEB4C0258B4}"/>
    <cellStyle name="Style 96 6 5 3" xfId="30351" xr:uid="{A0C40308-837F-43AA-877E-8E8EBF4324A0}"/>
    <cellStyle name="Style 96 6 6" xfId="14556" xr:uid="{8E07C125-2313-402C-8978-34660765E534}"/>
    <cellStyle name="Style 96 6 6 2" xfId="14557" xr:uid="{2C416273-A12B-4BD7-A3F0-3491D3029ED7}"/>
    <cellStyle name="Style 96 6 6 2 2" xfId="30354" xr:uid="{650C43AB-503B-47EE-8F55-3A8C9418CD38}"/>
    <cellStyle name="Style 96 6 6 3" xfId="30353" xr:uid="{B399BFA8-9F2C-4D58-A6CC-287DBE9858E9}"/>
    <cellStyle name="Style 96 6 7" xfId="14558" xr:uid="{DBF6DE2D-4E1F-449C-A3D8-3EACCD417122}"/>
    <cellStyle name="Style 96 6 7 2" xfId="14559" xr:uid="{FD0EFC97-09E2-4650-B6CB-C53FDF8A4D06}"/>
    <cellStyle name="Style 96 6 7 2 2" xfId="30356" xr:uid="{D33F6B58-8A99-49D9-8C9D-FDF0B1620867}"/>
    <cellStyle name="Style 96 6 7 3" xfId="30355" xr:uid="{3BDDE905-498F-4B33-8DB4-7253F0FEFD39}"/>
    <cellStyle name="Style 96 6 8" xfId="14560" xr:uid="{BA86D43B-EBB6-4467-9D1C-AE5F3A5268C4}"/>
    <cellStyle name="Style 96 6 8 2" xfId="14561" xr:uid="{7C541814-B0AE-4E2F-8C49-5BEA27B71D88}"/>
    <cellStyle name="Style 96 6 8 2 2" xfId="30358" xr:uid="{ECAFCEBE-9ABD-4454-B049-2440DB2ACC66}"/>
    <cellStyle name="Style 96 6 8 3" xfId="30357" xr:uid="{D54DE822-4A9E-4927-8FDA-FA58C286F4C5}"/>
    <cellStyle name="Style 96 6 9" xfId="14562" xr:uid="{0E6EE880-5808-40B5-B398-4424455CCFF6}"/>
    <cellStyle name="Style 96 6 9 2" xfId="30359" xr:uid="{FEA87D5E-866F-4BA4-96E6-79EAC868005D}"/>
    <cellStyle name="Style 96 7" xfId="2801" xr:uid="{80EF8884-F00F-44AD-A2B2-0E1907EC7A38}"/>
    <cellStyle name="Style 96 7 2" xfId="5318" xr:uid="{9FFAF0AA-4C0C-4031-A8B9-606A02F6CF28}"/>
    <cellStyle name="Style 96 7 2 2" xfId="14563" xr:uid="{54202127-3B35-4F31-99DD-21FE4760EC51}"/>
    <cellStyle name="Style 96 7 2 2 2" xfId="30360" xr:uid="{4FE57D5A-09C6-4F57-9489-5A89DE0BC359}"/>
    <cellStyle name="Style 96 7 3" xfId="5319" xr:uid="{230AD8E6-DE49-40D4-8F24-579A7B4A1A49}"/>
    <cellStyle name="Style 96 7 3 2" xfId="14564" xr:uid="{2C78CED9-90D5-4630-A535-922C58674A22}"/>
    <cellStyle name="Style 96 7 3 2 2" xfId="30361" xr:uid="{739E622E-4362-46F0-BC52-6D1EA2197E2B}"/>
    <cellStyle name="Style 96 7 4" xfId="5317" xr:uid="{97C22F12-49BB-44B3-B968-E00A7DE1286E}"/>
    <cellStyle name="Style 96 7 4 2" xfId="22547" xr:uid="{47489BBC-3D61-4EA2-9F7C-ACD13DCFFE20}"/>
    <cellStyle name="Style 96 7 5" xfId="14565" xr:uid="{C9AA6787-449C-4A21-9C77-18BB3AC180AF}"/>
    <cellStyle name="Style 96 7 5 2" xfId="30362" xr:uid="{57FE042C-960A-4EE9-9FC9-A4779A23607C}"/>
    <cellStyle name="Style 96 7 6" xfId="19268" xr:uid="{F95CB918-12C5-446A-8B15-710F80E30E02}"/>
    <cellStyle name="Style 96 8" xfId="5320" xr:uid="{94711CD7-AB1B-4F99-9774-5E513D98173D}"/>
    <cellStyle name="Style 96 8 2" xfId="14566" xr:uid="{6CD8AC82-61E7-428E-AA9A-0C5C18E63E8C}"/>
    <cellStyle name="Style 96 8 2 2" xfId="30363" xr:uid="{27E946D5-D95B-461E-86A6-9F1718C27974}"/>
    <cellStyle name="Style 96 8 3" xfId="14567" xr:uid="{DE266067-33A7-46A8-B560-895E51A768ED}"/>
    <cellStyle name="Style 96 8 3 2" xfId="30364" xr:uid="{BE9D9912-23CA-4E44-905B-81A4017DF38E}"/>
    <cellStyle name="Style 96 9" xfId="5321" xr:uid="{F795A1C2-8C0F-4929-93EC-ADF0BBA5DC83}"/>
    <cellStyle name="Style 96 9 2" xfId="14568" xr:uid="{119D250B-2204-48B2-B0E0-E8A4B0E24FC9}"/>
    <cellStyle name="Style 96 9 2 2" xfId="30365" xr:uid="{E808B89B-EDA1-4324-BB6E-0DB737A9783E}"/>
    <cellStyle name="Style 96 9 3" xfId="14569" xr:uid="{A03AA92E-0820-4024-B805-50B2557D51EC}"/>
    <cellStyle name="Style 96 9 3 2" xfId="30366" xr:uid="{50EB1A73-A4F0-4F9D-83B1-D1841015CD84}"/>
    <cellStyle name="Style 96_ADDON" xfId="20503" xr:uid="{017685D5-44FD-466A-A3FF-AC22BE8EFE1B}"/>
    <cellStyle name="Style 97" xfId="2452" xr:uid="{523EEA7A-E211-4CD9-B4BB-DA10096984B7}"/>
    <cellStyle name="Style 97 10" xfId="2453" xr:uid="{11AD2750-95A5-4EEF-9632-9753C60F616D}"/>
    <cellStyle name="Style 97 10 10" xfId="14570" xr:uid="{F9A1C007-9EC6-45CF-A879-E58214957EFF}"/>
    <cellStyle name="Style 97 10 10 2" xfId="30367" xr:uid="{BBA8B426-F3D9-4AC1-8984-1F79BDF9A09E}"/>
    <cellStyle name="Style 97 10 11" xfId="19270" xr:uid="{BC26E18E-2692-4249-BD99-47B7C1D7313F}"/>
    <cellStyle name="Style 97 10 2" xfId="2454" xr:uid="{36F1F304-2B4A-44B1-935D-264C75A94C3C}"/>
    <cellStyle name="Style 97 10 2 2" xfId="5324" xr:uid="{C6D4A28C-77EB-4C7E-ADEA-68480DED452D}"/>
    <cellStyle name="Style 97 10 2 2 2" xfId="14571" xr:uid="{E5C880E8-3E1F-4C68-972B-1DE5A21010EA}"/>
    <cellStyle name="Style 97 10 2 2 2 2" xfId="30368" xr:uid="{77F13EA2-09BF-4146-A04A-46A1788B1BFF}"/>
    <cellStyle name="Style 97 10 2 2 3" xfId="14572" xr:uid="{6948FB90-F11A-4BA2-8F18-C35C91C24FFD}"/>
    <cellStyle name="Style 97 10 2 2 3 2" xfId="30369" xr:uid="{A48630D2-11A0-45C5-9DBF-2FDE63E2EAD4}"/>
    <cellStyle name="Style 97 10 2 2 4" xfId="14573" xr:uid="{2AD2F164-6012-4D65-8E8C-3E816FE3FBED}"/>
    <cellStyle name="Style 97 10 2 2 4 2" xfId="30370" xr:uid="{6872C201-AF27-4B21-9FF7-BDFF82A01063}"/>
    <cellStyle name="Style 97 10 2 3" xfId="14574" xr:uid="{09C66FD4-239A-4288-BCAA-E5B248CDAA0E}"/>
    <cellStyle name="Style 97 10 2 3 2" xfId="14575" xr:uid="{85E73F7B-51A3-4152-9545-69D681760B24}"/>
    <cellStyle name="Style 97 10 2 3 2 2" xfId="30371" xr:uid="{4CD46B42-902D-4E4F-BBE0-1B843A6540AF}"/>
    <cellStyle name="Style 97 10 2 3 3" xfId="14576" xr:uid="{9B5A6E3F-5EE3-4877-9A4D-CAF0C4DA8FA3}"/>
    <cellStyle name="Style 97 10 2 3 3 2" xfId="30372" xr:uid="{F5628D2D-3F75-4072-955A-7814BBA4633C}"/>
    <cellStyle name="Style 97 10 2 3 4" xfId="22386" xr:uid="{479841E6-F25A-45DB-A1EA-A674C9D252F4}"/>
    <cellStyle name="Style 97 10 2 4" xfId="14577" xr:uid="{1EFCBB47-430F-4FA4-8425-6D79BB8F5E7E}"/>
    <cellStyle name="Style 97 10 2 4 2" xfId="14578" xr:uid="{0728A85C-F274-4514-804C-DB757CC03586}"/>
    <cellStyle name="Style 97 10 2 4 2 2" xfId="30374" xr:uid="{EB54B4D8-CAA1-4817-AF9B-04BE9A38B9E0}"/>
    <cellStyle name="Style 97 10 2 4 3" xfId="30373" xr:uid="{493D1D53-DB96-4397-833D-4A2D279D4B0B}"/>
    <cellStyle name="Style 97 10 2 5" xfId="14579" xr:uid="{090B88B6-66E5-458A-8B80-CC6CA11F6714}"/>
    <cellStyle name="Style 97 10 2 5 2" xfId="14580" xr:uid="{BC460371-51EE-4606-9FA8-087DC5648767}"/>
    <cellStyle name="Style 97 10 2 5 2 2" xfId="30376" xr:uid="{D03BD1E1-BA6C-4D5F-A7F1-79469DE7F258}"/>
    <cellStyle name="Style 97 10 2 5 3" xfId="30375" xr:uid="{2D01BC93-2B76-4C1E-9CBE-73FD8451921F}"/>
    <cellStyle name="Style 97 10 2 6" xfId="14581" xr:uid="{ADDB83AE-6B90-4775-8495-4455F1082730}"/>
    <cellStyle name="Style 97 10 2 6 2" xfId="14582" xr:uid="{306ED8FA-813B-4174-81D0-998472B7F486}"/>
    <cellStyle name="Style 97 10 2 6 2 2" xfId="30378" xr:uid="{03EBD49C-AE9C-40E2-8B46-11B4047DFE14}"/>
    <cellStyle name="Style 97 10 2 6 3" xfId="30377" xr:uid="{8B5C28C1-C2EB-4564-994A-5A37E9DC0E83}"/>
    <cellStyle name="Style 97 10 2 7" xfId="14583" xr:uid="{CBD7D928-EB23-431B-9914-B8A4038CA150}"/>
    <cellStyle name="Style 97 10 2 7 2" xfId="30379" xr:uid="{A36EDED5-EFD7-4D60-8C5E-C0CADC1208F8}"/>
    <cellStyle name="Style 97 10 2 8" xfId="14584" xr:uid="{52288DCF-EA4B-4BE2-851C-25D0EA8DEA92}"/>
    <cellStyle name="Style 97 10 2 8 2" xfId="30380" xr:uid="{8CDE2311-DB68-414E-8938-5816D6FB85B9}"/>
    <cellStyle name="Style 97 10 3" xfId="2803" xr:uid="{D087575A-33BE-4DA0-8AC5-35A96BB52A70}"/>
    <cellStyle name="Style 97 10 3 2" xfId="5325" xr:uid="{87680918-66FB-414A-83E8-089F3E20EBB6}"/>
    <cellStyle name="Style 97 10 3 2 2" xfId="14585" xr:uid="{DF4886F8-161C-41E4-AEB8-4EBD8714BF26}"/>
    <cellStyle name="Style 97 10 3 2 2 2" xfId="30381" xr:uid="{B61BC53C-66DA-4F54-98A7-BAEEFEF42C3F}"/>
    <cellStyle name="Style 97 10 3 2 3" xfId="22549" xr:uid="{5D0D38C0-8398-4FFF-A4AB-BB1EFC548E2D}"/>
    <cellStyle name="Style 97 10 3 3" xfId="14586" xr:uid="{E7B0048D-2998-41B6-8791-7F5C6354799B}"/>
    <cellStyle name="Style 97 10 3 3 2" xfId="30382" xr:uid="{0B1DDF2D-7729-48A6-8B2E-4C9C390D54CC}"/>
    <cellStyle name="Style 97 10 3 4" xfId="14587" xr:uid="{EDE55A0E-2002-4750-8713-8A9998790F5A}"/>
    <cellStyle name="Style 97 10 3 4 2" xfId="30383" xr:uid="{C5E81300-6C83-4DC9-9A04-DD88866C71F8}"/>
    <cellStyle name="Style 97 10 4" xfId="5323" xr:uid="{8FBD5459-95FC-4A84-84B9-47C5FFDB8C59}"/>
    <cellStyle name="Style 97 10 4 2" xfId="14588" xr:uid="{2E551CE9-22C6-4645-B8E7-E08F33F370FF}"/>
    <cellStyle name="Style 97 10 4 2 2" xfId="30384" xr:uid="{5E4C388E-9A61-4201-9D8C-5EBE15CE4E70}"/>
    <cellStyle name="Style 97 10 4 3" xfId="14589" xr:uid="{79B8FFD7-2E10-4A58-A838-8216DB529831}"/>
    <cellStyle name="Style 97 10 4 3 2" xfId="30385" xr:uid="{16C41CAC-F0AC-4874-B65F-CDAB75A41F51}"/>
    <cellStyle name="Style 97 10 5" xfId="14590" xr:uid="{8C8A46E4-A0E1-4060-9BB0-3E21652F31DE}"/>
    <cellStyle name="Style 97 10 5 2" xfId="14591" xr:uid="{9F8B8ADC-D581-410F-BFB1-103E8150EB1F}"/>
    <cellStyle name="Style 97 10 5 2 2" xfId="30386" xr:uid="{D7E0FA86-9067-484F-80BD-0E3AFB3DF4DC}"/>
    <cellStyle name="Style 97 10 5 3" xfId="14592" xr:uid="{008E1D87-6E5D-4153-A5CB-003DA7A333E9}"/>
    <cellStyle name="Style 97 10 5 3 2" xfId="30387" xr:uid="{F10467F5-4F9C-464D-BFC5-91B7F72EF6F3}"/>
    <cellStyle name="Style 97 10 5 4" xfId="22385" xr:uid="{A6BF2720-AE5B-44EC-B78F-A3C6339AAC63}"/>
    <cellStyle name="Style 97 10 6" xfId="14593" xr:uid="{3CDAF0D2-2F86-4B66-B5E9-6F8975F13850}"/>
    <cellStyle name="Style 97 10 6 2" xfId="14594" xr:uid="{7EEB1655-F5B5-4648-B8B3-53D147664A15}"/>
    <cellStyle name="Style 97 10 6 2 2" xfId="30389" xr:uid="{36DA885D-400A-4102-93A7-13F34E1B4D7D}"/>
    <cellStyle name="Style 97 10 6 3" xfId="30388" xr:uid="{98EB46B0-5DCE-4314-A60F-5223E59E850C}"/>
    <cellStyle name="Style 97 10 7" xfId="14595" xr:uid="{9590376F-4490-4F56-A5B2-D6DBBDC8BCB0}"/>
    <cellStyle name="Style 97 10 7 2" xfId="14596" xr:uid="{D823D4E2-9461-4CFD-B25A-5DC11E2EAE70}"/>
    <cellStyle name="Style 97 10 7 2 2" xfId="30391" xr:uid="{86B61491-C4EB-4B0B-8109-8061FD27FAE5}"/>
    <cellStyle name="Style 97 10 7 3" xfId="30390" xr:uid="{91DD7BC2-C029-4D5B-90DE-58BBC3064B90}"/>
    <cellStyle name="Style 97 10 8" xfId="14597" xr:uid="{3EBD64AD-45F2-402F-B7F9-80C1B5C894B5}"/>
    <cellStyle name="Style 97 10 8 2" xfId="14598" xr:uid="{91D3137A-913B-4D76-BB35-735C742FD7D9}"/>
    <cellStyle name="Style 97 10 8 2 2" xfId="30393" xr:uid="{4BFA5D1C-3238-4761-8973-BEA065A87409}"/>
    <cellStyle name="Style 97 10 8 3" xfId="30392" xr:uid="{5A057C38-1DDB-45B8-967D-3365BE7CC9EC}"/>
    <cellStyle name="Style 97 10 9" xfId="14599" xr:uid="{313707DC-5E56-4B0A-89B5-338B633744E3}"/>
    <cellStyle name="Style 97 10 9 2" xfId="30394" xr:uid="{62E34426-763A-44DC-978A-28B80016D821}"/>
    <cellStyle name="Style 97 11" xfId="2455" xr:uid="{5A9F8C26-6E37-45B5-839A-DD0CB5C88F04}"/>
    <cellStyle name="Style 97 11 10" xfId="14600" xr:uid="{263DFE35-2A29-47B1-B11A-885C8C0109EE}"/>
    <cellStyle name="Style 97 11 10 2" xfId="30395" xr:uid="{6D2109FE-10DA-4812-A641-61C9C34BF738}"/>
    <cellStyle name="Style 97 11 11" xfId="19271" xr:uid="{804660A1-9E76-45D1-BBBC-A3655E8C01A7}"/>
    <cellStyle name="Style 97 11 2" xfId="2456" xr:uid="{B51B7C65-63E8-4302-99A5-6886F5CEAE25}"/>
    <cellStyle name="Style 97 11 2 2" xfId="5327" xr:uid="{C3923A8B-846C-4B90-BB76-C99BA5822E6F}"/>
    <cellStyle name="Style 97 11 2 2 2" xfId="14601" xr:uid="{AF5704A3-BD27-4E36-B53D-279818682EFF}"/>
    <cellStyle name="Style 97 11 2 2 2 2" xfId="30396" xr:uid="{696B522C-2033-419C-A9F3-82B87B821BDE}"/>
    <cellStyle name="Style 97 11 2 2 3" xfId="14602" xr:uid="{819AA68D-27FE-4418-AEC4-76305A675592}"/>
    <cellStyle name="Style 97 11 2 2 3 2" xfId="30397" xr:uid="{BB393D41-4E9C-45F1-A904-3624D0271C9E}"/>
    <cellStyle name="Style 97 11 2 2 4" xfId="14603" xr:uid="{E87F8BA3-F5F3-4902-A357-FA17AED45F6D}"/>
    <cellStyle name="Style 97 11 2 2 4 2" xfId="30398" xr:uid="{C3CE01AF-A2AA-479F-AA94-6FF1C85C5B3C}"/>
    <cellStyle name="Style 97 11 2 3" xfId="14604" xr:uid="{272B9AEC-D55F-4FC7-9CB9-C1F5DB0FBAEB}"/>
    <cellStyle name="Style 97 11 2 3 2" xfId="14605" xr:uid="{1A7627E7-F3D6-4F60-B698-F19875E94ADB}"/>
    <cellStyle name="Style 97 11 2 3 2 2" xfId="30399" xr:uid="{1D63F358-5C60-447D-86B4-1EDA1D57D04F}"/>
    <cellStyle name="Style 97 11 2 3 3" xfId="14606" xr:uid="{B722834E-AE04-4996-944E-103DFED448DC}"/>
    <cellStyle name="Style 97 11 2 3 3 2" xfId="30400" xr:uid="{53C9B127-D5DB-4DC2-AFF3-36E2871A563D}"/>
    <cellStyle name="Style 97 11 2 3 4" xfId="22388" xr:uid="{4E086B59-4DCA-4AD3-B6B6-5B90DEBFC299}"/>
    <cellStyle name="Style 97 11 2 4" xfId="14607" xr:uid="{61597ACA-1E18-4EAF-82B6-BC562467179B}"/>
    <cellStyle name="Style 97 11 2 4 2" xfId="14608" xr:uid="{3210D75C-0D3D-4FD4-A1ED-56B96D97FC7F}"/>
    <cellStyle name="Style 97 11 2 4 2 2" xfId="30402" xr:uid="{7CC97920-97AD-402E-9944-30063EC9CE95}"/>
    <cellStyle name="Style 97 11 2 4 3" xfId="30401" xr:uid="{C86BABB6-C54C-49BB-BC28-947AF4E19B24}"/>
    <cellStyle name="Style 97 11 2 5" xfId="14609" xr:uid="{2D5D49D8-2F72-468D-A280-CF4972CAC1CB}"/>
    <cellStyle name="Style 97 11 2 5 2" xfId="14610" xr:uid="{575814D7-4658-42D2-B8CF-5AA980C9C8E6}"/>
    <cellStyle name="Style 97 11 2 5 2 2" xfId="30404" xr:uid="{DDF0D13C-EBAA-40F2-88E6-941CAF6A440D}"/>
    <cellStyle name="Style 97 11 2 5 3" xfId="30403" xr:uid="{C4D00B5A-3A9D-4E78-8E8B-49543C9345DC}"/>
    <cellStyle name="Style 97 11 2 6" xfId="14611" xr:uid="{00BD4478-DE46-4AAF-94C8-F2CB19BAB6FB}"/>
    <cellStyle name="Style 97 11 2 6 2" xfId="14612" xr:uid="{D7245B40-79DF-4EBE-8BDF-9DC0D69DE5BE}"/>
    <cellStyle name="Style 97 11 2 6 2 2" xfId="30406" xr:uid="{D5BC7D75-ED1D-4529-829E-FB4E833811C6}"/>
    <cellStyle name="Style 97 11 2 6 3" xfId="30405" xr:uid="{67A7715C-75E5-4602-9D9F-047E5F7E79F3}"/>
    <cellStyle name="Style 97 11 2 7" xfId="14613" xr:uid="{2FBAF483-B05A-47FF-8D5B-4F8FFD8D41C2}"/>
    <cellStyle name="Style 97 11 2 7 2" xfId="30407" xr:uid="{131C5EEA-6D17-4AE8-8A86-E4F3E4FA9AE1}"/>
    <cellStyle name="Style 97 11 2 8" xfId="14614" xr:uid="{5B29E647-FEC6-4CFF-88EC-809D84C57661}"/>
    <cellStyle name="Style 97 11 2 8 2" xfId="30408" xr:uid="{D296474B-2FF4-4B89-A338-1079E85E121A}"/>
    <cellStyle name="Style 97 11 3" xfId="5328" xr:uid="{2E38F22B-F92C-4EE0-90A6-522F7617F9DE}"/>
    <cellStyle name="Style 97 11 3 2" xfId="14615" xr:uid="{03F9F4A6-4F07-420F-BA56-8C51DADC9220}"/>
    <cellStyle name="Style 97 11 3 2 2" xfId="30409" xr:uid="{6BEB5DC9-CDC1-4161-8ED5-6DB7D6BCB39C}"/>
    <cellStyle name="Style 97 11 3 3" xfId="14616" xr:uid="{4FB3F12E-C5E4-4F6A-B41F-6A6A6C4AA9AF}"/>
    <cellStyle name="Style 97 11 3 3 2" xfId="30410" xr:uid="{1DAAAFE9-3B46-4259-AEFC-7CCCBDD233A2}"/>
    <cellStyle name="Style 97 11 3 4" xfId="14617" xr:uid="{F77719E1-D8A5-4FB3-AF49-33C6C50EE177}"/>
    <cellStyle name="Style 97 11 3 4 2" xfId="30411" xr:uid="{485ABAA2-A778-41B2-84FA-A8559755810F}"/>
    <cellStyle name="Style 97 11 4" xfId="5326" xr:uid="{3891A189-B9F1-4F0D-B376-8DE72AD6EB2E}"/>
    <cellStyle name="Style 97 11 4 2" xfId="14618" xr:uid="{BE428B22-1673-4059-A4DC-3704F30318B1}"/>
    <cellStyle name="Style 97 11 4 2 2" xfId="30412" xr:uid="{73D6F3EC-1969-47D3-A6E2-0391821C48F6}"/>
    <cellStyle name="Style 97 11 4 3" xfId="14619" xr:uid="{755B8270-96CE-414A-9915-62878785E410}"/>
    <cellStyle name="Style 97 11 4 3 2" xfId="30413" xr:uid="{95BB87C9-E1D9-48A9-9284-3E2120F49D91}"/>
    <cellStyle name="Style 97 11 5" xfId="14620" xr:uid="{CC19DAB0-C209-45A7-A00C-09EA27B2656D}"/>
    <cellStyle name="Style 97 11 5 2" xfId="14621" xr:uid="{9C7585C2-6804-4BAC-9C99-853204EBAAAE}"/>
    <cellStyle name="Style 97 11 5 2 2" xfId="30414" xr:uid="{6FE05665-8629-4398-9376-D651DBF790D8}"/>
    <cellStyle name="Style 97 11 5 3" xfId="14622" xr:uid="{A712604A-5705-492A-A79A-2AC7DFE5E18D}"/>
    <cellStyle name="Style 97 11 5 3 2" xfId="30415" xr:uid="{6EF91C04-3E31-406B-89C6-599593D7E7C7}"/>
    <cellStyle name="Style 97 11 5 4" xfId="22387" xr:uid="{A1F03A8C-DD11-4212-B4D7-11DC2B600BCA}"/>
    <cellStyle name="Style 97 11 6" xfId="14623" xr:uid="{7A426EB4-3A81-4AA1-BE2E-5AFAAF4BAF2C}"/>
    <cellStyle name="Style 97 11 6 2" xfId="14624" xr:uid="{AD615942-2CDA-4023-AFB1-9FAB789E1914}"/>
    <cellStyle name="Style 97 11 6 2 2" xfId="30417" xr:uid="{3AFB13AD-F0E4-459C-B93D-1F36DB345FD7}"/>
    <cellStyle name="Style 97 11 6 3" xfId="30416" xr:uid="{CFC608EB-F7D8-4506-8BF2-3628C34A1B7E}"/>
    <cellStyle name="Style 97 11 7" xfId="14625" xr:uid="{B48683C9-9383-492B-9E53-14A98C05DB6A}"/>
    <cellStyle name="Style 97 11 7 2" xfId="14626" xr:uid="{0C38D961-2B45-412A-BC83-0F14064F8DB8}"/>
    <cellStyle name="Style 97 11 7 2 2" xfId="30419" xr:uid="{2F67054E-63ED-4B8D-8BB7-5BB4DBB3F62E}"/>
    <cellStyle name="Style 97 11 7 3" xfId="30418" xr:uid="{BC715E1D-7576-44BD-92F0-C991FD2E5B42}"/>
    <cellStyle name="Style 97 11 8" xfId="14627" xr:uid="{96097C0B-B2C8-461A-BC4D-292FDDFBB06F}"/>
    <cellStyle name="Style 97 11 8 2" xfId="14628" xr:uid="{9FC84AE1-7948-453E-ABB7-F9A341349C9E}"/>
    <cellStyle name="Style 97 11 8 2 2" xfId="30421" xr:uid="{292C71F0-2099-4049-9A76-F83DACBB096D}"/>
    <cellStyle name="Style 97 11 8 3" xfId="30420" xr:uid="{473F5164-E08F-4EAB-B593-24D60BE80460}"/>
    <cellStyle name="Style 97 11 9" xfId="14629" xr:uid="{07B22335-1D84-4FE8-AFD1-539B05C29CE2}"/>
    <cellStyle name="Style 97 11 9 2" xfId="30422" xr:uid="{A6957DBE-EE7C-4F86-B9C4-F058899FC56C}"/>
    <cellStyle name="Style 97 12" xfId="2457" xr:uid="{4D8B5CFE-A6B3-4004-9D16-36EDFA9E63A1}"/>
    <cellStyle name="Style 97 12 10" xfId="14630" xr:uid="{2D072D82-2903-44B6-B62C-0E136958D761}"/>
    <cellStyle name="Style 97 12 10 2" xfId="30423" xr:uid="{ADCBDAE8-5E64-49CB-8772-9E6E1BCFB6F3}"/>
    <cellStyle name="Style 97 12 2" xfId="5329" xr:uid="{1E9C460B-322E-453C-B105-8511F2210102}"/>
    <cellStyle name="Style 97 12 2 2" xfId="14631" xr:uid="{EEEA718B-03A5-4CDA-BF29-DE9E71505D74}"/>
    <cellStyle name="Style 97 12 2 2 2" xfId="14632" xr:uid="{924A3269-38BD-422C-B139-551538078C6B}"/>
    <cellStyle name="Style 97 12 2 2 2 2" xfId="30425" xr:uid="{CB2EC822-A5B2-403F-A650-E95E6DE0D541}"/>
    <cellStyle name="Style 97 12 2 2 3" xfId="30424" xr:uid="{12A26571-E211-438A-8D09-5B3075000211}"/>
    <cellStyle name="Style 97 12 2 3" xfId="14633" xr:uid="{E07B691B-B335-47E3-8C75-D3BFC84EB266}"/>
    <cellStyle name="Style 97 12 2 3 2" xfId="14634" xr:uid="{B55C0BF1-0476-4730-9AC4-D6AFA24540F8}"/>
    <cellStyle name="Style 97 12 2 3 2 2" xfId="30427" xr:uid="{EBC4E1F8-033F-47B0-A290-091FEC46E34C}"/>
    <cellStyle name="Style 97 12 2 3 3" xfId="30426" xr:uid="{91C401B5-51B7-420C-8157-D962E2B5F926}"/>
    <cellStyle name="Style 97 12 2 4" xfId="14635" xr:uid="{6F15A67E-2D0B-4DA3-99AC-C011F4D4B985}"/>
    <cellStyle name="Style 97 12 2 4 2" xfId="14636" xr:uid="{C9CE098F-55AC-433E-87CE-24B82337258F}"/>
    <cellStyle name="Style 97 12 2 4 2 2" xfId="30429" xr:uid="{85671110-BE2D-49EA-BE67-2BCEF6EAF226}"/>
    <cellStyle name="Style 97 12 2 4 3" xfId="30428" xr:uid="{4C058ED1-C545-4FA2-ACDD-E34C75DB61D7}"/>
    <cellStyle name="Style 97 12 2 5" xfId="14637" xr:uid="{C7D4B091-9ECD-4CAD-B5EC-4B317F310E48}"/>
    <cellStyle name="Style 97 12 2 5 2" xfId="14638" xr:uid="{DC318886-E798-4E2A-B9E1-B63781052C43}"/>
    <cellStyle name="Style 97 12 2 5 2 2" xfId="30431" xr:uid="{DA94AFA6-1A21-4F46-92C2-F12BD856F118}"/>
    <cellStyle name="Style 97 12 2 5 3" xfId="30430" xr:uid="{44C04CD2-9CC0-4AC6-AFE4-747C66FE5D22}"/>
    <cellStyle name="Style 97 12 2 6" xfId="14639" xr:uid="{817FF618-A55E-4BDA-894E-89BDC2EDC60D}"/>
    <cellStyle name="Style 97 12 2 6 2" xfId="30432" xr:uid="{2BA1E074-E7A5-4B52-B7CE-C53A6F980451}"/>
    <cellStyle name="Style 97 12 2 7" xfId="14640" xr:uid="{AED58AE6-4D1B-42C2-8A0F-41493F4C7ECD}"/>
    <cellStyle name="Style 97 12 2 7 2" xfId="30433" xr:uid="{104CF171-633B-4EE4-B8C2-D040F65FA853}"/>
    <cellStyle name="Style 97 12 3" xfId="14641" xr:uid="{7E3CBF16-8163-49D7-BC05-3DD6F7F58516}"/>
    <cellStyle name="Style 97 12 3 2" xfId="14642" xr:uid="{A623A6AB-5C73-4B9F-A813-55F23FA600BC}"/>
    <cellStyle name="Style 97 12 3 2 2" xfId="14643" xr:uid="{6B508F01-6023-4C86-82FC-86F217736288}"/>
    <cellStyle name="Style 97 12 3 2 2 2" xfId="30435" xr:uid="{C2D27BAF-35C4-47BF-8641-5FA93053868D}"/>
    <cellStyle name="Style 97 12 3 2 3" xfId="30434" xr:uid="{0FE13028-5631-402E-9FA3-74A8C565B59B}"/>
    <cellStyle name="Style 97 12 3 3" xfId="14644" xr:uid="{952A6E0D-D903-4251-95A9-680224217685}"/>
    <cellStyle name="Style 97 12 3 3 2" xfId="14645" xr:uid="{0DE4F875-283C-4804-AF05-1C2FF6E75828}"/>
    <cellStyle name="Style 97 12 3 3 2 2" xfId="30437" xr:uid="{561814A3-E241-4DC6-9FE8-4EC610BEB9FE}"/>
    <cellStyle name="Style 97 12 3 3 3" xfId="30436" xr:uid="{A52B1388-D74B-44A0-97C0-B9281D927B87}"/>
    <cellStyle name="Style 97 12 3 4" xfId="14646" xr:uid="{85164847-D43F-4AA2-BD63-55F270F2578D}"/>
    <cellStyle name="Style 97 12 3 4 2" xfId="14647" xr:uid="{39F5E600-A946-4679-9F7F-95C5573F0FC0}"/>
    <cellStyle name="Style 97 12 3 4 2 2" xfId="30439" xr:uid="{9C0B3EEA-D567-48F6-B501-9235710F95CC}"/>
    <cellStyle name="Style 97 12 3 4 3" xfId="30438" xr:uid="{BF2C4E1E-D54E-40B7-9E9B-D749AAEDECA8}"/>
    <cellStyle name="Style 97 12 3 5" xfId="14648" xr:uid="{648F00D9-E45D-481F-9897-D357D31298D3}"/>
    <cellStyle name="Style 97 12 3 5 2" xfId="14649" xr:uid="{DE95458B-38A6-4DD7-9EC0-046258D1EB51}"/>
    <cellStyle name="Style 97 12 3 5 2 2" xfId="30441" xr:uid="{60729BEC-B894-4ABC-B071-D7E8209E4F4B}"/>
    <cellStyle name="Style 97 12 3 5 3" xfId="30440" xr:uid="{D7471DF1-FAAF-4DB3-A9C4-79559EB64B5A}"/>
    <cellStyle name="Style 97 12 3 6" xfId="14650" xr:uid="{354F287B-A38C-4B03-A589-07BCC2E1A28C}"/>
    <cellStyle name="Style 97 12 3 6 2" xfId="30442" xr:uid="{F2DAC6BB-3032-4BD0-8EAA-848CB14627B5}"/>
    <cellStyle name="Style 97 12 3 7" xfId="14651" xr:uid="{C24DE12E-53C9-473B-A060-1433FDDC406F}"/>
    <cellStyle name="Style 97 12 3 7 2" xfId="30443" xr:uid="{D79E47EA-5648-4EB9-80AC-4C481B1C6A85}"/>
    <cellStyle name="Style 97 12 3 8" xfId="22389" xr:uid="{B6E03BEA-A420-4D2C-A32C-47CA8BD65E2D}"/>
    <cellStyle name="Style 97 12 4" xfId="14652" xr:uid="{359DAA2E-6FD8-41D8-A2AA-A59A12B1B69D}"/>
    <cellStyle name="Style 97 12 4 2" xfId="14653" xr:uid="{DB6C99AD-856E-4449-8E71-55520E2B451D}"/>
    <cellStyle name="Style 97 12 4 2 2" xfId="30445" xr:uid="{09F842C0-159E-40C3-9415-3B304CCAF9CE}"/>
    <cellStyle name="Style 97 12 4 3" xfId="30444" xr:uid="{3464C376-FD17-4DA7-BD38-71BE5AAE34D0}"/>
    <cellStyle name="Style 97 12 5" xfId="14654" xr:uid="{19C25029-5EFB-42BB-B40E-EC47483BACBF}"/>
    <cellStyle name="Style 97 12 5 2" xfId="14655" xr:uid="{C5FB2170-3DA5-40FA-B35C-FC34025E2C07}"/>
    <cellStyle name="Style 97 12 5 2 2" xfId="30447" xr:uid="{F053338D-ACC3-49B2-869A-3678FE495639}"/>
    <cellStyle name="Style 97 12 5 3" xfId="30446" xr:uid="{79002B54-2C18-4478-A9C9-E04D0879DFB2}"/>
    <cellStyle name="Style 97 12 6" xfId="14656" xr:uid="{68B876D4-9B7A-45B1-93F3-108F48628FBD}"/>
    <cellStyle name="Style 97 12 6 2" xfId="14657" xr:uid="{1BBBE97F-242F-488B-9DF5-F8B19B5F77CD}"/>
    <cellStyle name="Style 97 12 6 2 2" xfId="30449" xr:uid="{8FB3047D-2A47-4560-A067-C3ECEE72D60B}"/>
    <cellStyle name="Style 97 12 6 3" xfId="30448" xr:uid="{0816FB83-1C40-493D-A23E-B9A498C2CB64}"/>
    <cellStyle name="Style 97 12 7" xfId="14658" xr:uid="{91749518-58DF-4C53-9248-50FE5861B3FD}"/>
    <cellStyle name="Style 97 12 7 2" xfId="14659" xr:uid="{EF32F752-F624-4B4A-B79D-4A227B674572}"/>
    <cellStyle name="Style 97 12 7 2 2" xfId="30451" xr:uid="{04CFD2B5-8B0C-4435-A2EA-324C1C95058E}"/>
    <cellStyle name="Style 97 12 7 3" xfId="30450" xr:uid="{B00BDFB0-7845-4F85-AD46-DFB6EEA46D80}"/>
    <cellStyle name="Style 97 12 8" xfId="14660" xr:uid="{F5809D0F-1368-4202-97A4-DC04A7930A58}"/>
    <cellStyle name="Style 97 12 8 2" xfId="14661" xr:uid="{1B007C78-6455-453F-B20E-C0629F554591}"/>
    <cellStyle name="Style 97 12 8 2 2" xfId="30453" xr:uid="{4435F3BC-2D12-44F0-94BD-82D067B24452}"/>
    <cellStyle name="Style 97 12 8 3" xfId="30452" xr:uid="{AB7E9BF9-08F0-445C-8A56-7A12CBEF75C0}"/>
    <cellStyle name="Style 97 12 9" xfId="14662" xr:uid="{850206F9-BCFE-413D-B3C2-ACD289A5A52A}"/>
    <cellStyle name="Style 97 12 9 2" xfId="30454" xr:uid="{81FC9251-A0A1-40F3-88F9-A999A4C00445}"/>
    <cellStyle name="Style 97 13" xfId="5330" xr:uid="{C737FFA0-5987-44C7-BAB8-4CB5A6001142}"/>
    <cellStyle name="Style 97 13 2" xfId="14663" xr:uid="{F7A3B970-AA74-4CA9-91B1-002C6957F288}"/>
    <cellStyle name="Style 97 13 2 2" xfId="14664" xr:uid="{71B62D8E-55FA-49A3-9CCA-FDEF5DC41A3D}"/>
    <cellStyle name="Style 97 13 2 2 2" xfId="30456" xr:uid="{3003E165-E4FD-419C-87BE-BF8AD09A1F10}"/>
    <cellStyle name="Style 97 13 2 3" xfId="30455" xr:uid="{0F05DE01-8E20-40D1-BCF8-FC517F50F520}"/>
    <cellStyle name="Style 97 13 3" xfId="14665" xr:uid="{C0B4624C-2EFF-44A4-9AFE-E2981A492B83}"/>
    <cellStyle name="Style 97 13 3 2" xfId="14666" xr:uid="{54A8E310-21EB-485D-90DE-4014B3FD37FF}"/>
    <cellStyle name="Style 97 13 3 2 2" xfId="30458" xr:uid="{F24E0455-E1B7-4A27-9E2A-F6787234AEA8}"/>
    <cellStyle name="Style 97 13 3 3" xfId="30457" xr:uid="{260EDE7E-A7B9-4C61-A8E5-A264DBF5FEFE}"/>
    <cellStyle name="Style 97 13 4" xfId="14667" xr:uid="{79258201-EBE9-43A1-A2DF-93A8851ED21A}"/>
    <cellStyle name="Style 97 13 4 2" xfId="14668" xr:uid="{D2AF001E-6325-444B-B6B8-62CCEB959C26}"/>
    <cellStyle name="Style 97 13 4 2 2" xfId="30460" xr:uid="{3CA08C1D-7C8B-4946-8040-CB3EFC5D2EF9}"/>
    <cellStyle name="Style 97 13 4 3" xfId="30459" xr:uid="{0F6C58F5-0FAA-467E-826E-9E9B60B329A1}"/>
    <cellStyle name="Style 97 13 5" xfId="14669" xr:uid="{B9B3D93A-4C2F-458F-BE27-5B0DB0BE005F}"/>
    <cellStyle name="Style 97 13 5 2" xfId="14670" xr:uid="{5DC2D37C-4B54-45FC-9F60-F0F4338DDB0C}"/>
    <cellStyle name="Style 97 13 5 2 2" xfId="30462" xr:uid="{98319FCA-3E7A-4743-A3FE-FEDBAEF101E7}"/>
    <cellStyle name="Style 97 13 5 3" xfId="30461" xr:uid="{6BB6B0A4-410F-47EE-A9C0-55662E75135F}"/>
    <cellStyle name="Style 97 13 6" xfId="14671" xr:uid="{1C7D9233-4DEC-4B2F-9E89-B3092A1AD8C3}"/>
    <cellStyle name="Style 97 13 6 2" xfId="30463" xr:uid="{F8DEC8E0-AB05-4B2D-B0F5-54D0C3DC2D3B}"/>
    <cellStyle name="Style 97 13 7" xfId="14672" xr:uid="{0AD1EE57-2764-41D9-8D09-97A218F72CF5}"/>
    <cellStyle name="Style 97 13 7 2" xfId="30464" xr:uid="{D5F52AFF-3ECC-4F9A-AECD-56616BE99247}"/>
    <cellStyle name="Style 97 14" xfId="5322" xr:uid="{36F9379E-63C0-43F8-92CE-95CA34E2B274}"/>
    <cellStyle name="Style 97 14 2" xfId="14673" xr:uid="{562682FC-1F37-45E8-A174-1C3046D1A3CD}"/>
    <cellStyle name="Style 97 14 2 2" xfId="14674" xr:uid="{3778A47A-769A-4DC0-887C-3AB5F6276679}"/>
    <cellStyle name="Style 97 14 2 2 2" xfId="30466" xr:uid="{2074CA15-0853-42EC-B65E-310058220AB1}"/>
    <cellStyle name="Style 97 14 2 3" xfId="30465" xr:uid="{2C6CE4F0-9F1A-4CAB-B3FB-D56B658FCB4E}"/>
    <cellStyle name="Style 97 14 3" xfId="14675" xr:uid="{289F11AD-2562-4BFA-AF69-9E5DF7B16450}"/>
    <cellStyle name="Style 97 14 3 2" xfId="14676" xr:uid="{A55EE7D4-840C-4D5D-B6FF-CDB7447B0D86}"/>
    <cellStyle name="Style 97 14 3 2 2" xfId="30468" xr:uid="{9442F4E6-074A-4010-B11D-0AA86A4D97AA}"/>
    <cellStyle name="Style 97 14 3 3" xfId="30467" xr:uid="{4233764D-A9DE-4201-AB5A-177CF81005A2}"/>
    <cellStyle name="Style 97 14 4" xfId="14677" xr:uid="{6CD9DDE6-3539-49C8-917B-15D301437EC6}"/>
    <cellStyle name="Style 97 14 4 2" xfId="14678" xr:uid="{A175648E-A156-4F98-BF3F-A01F27744E1C}"/>
    <cellStyle name="Style 97 14 4 2 2" xfId="30470" xr:uid="{8C1A9CC2-B5BF-4721-BFB0-E8B0761A5406}"/>
    <cellStyle name="Style 97 14 4 3" xfId="30469" xr:uid="{13D51F66-6485-4711-933A-38AE2C085C82}"/>
    <cellStyle name="Style 97 14 5" xfId="14679" xr:uid="{2CCBA70C-CD23-479C-B805-D5B360834632}"/>
    <cellStyle name="Style 97 14 5 2" xfId="14680" xr:uid="{945B7257-8874-4D5E-8852-399D6303CA7C}"/>
    <cellStyle name="Style 97 14 5 2 2" xfId="30472" xr:uid="{F716E28B-AD9A-4461-9E54-6C97C7C25C27}"/>
    <cellStyle name="Style 97 14 5 3" xfId="30471" xr:uid="{F1B015A5-34DA-45C2-A304-6B591EAF4D76}"/>
    <cellStyle name="Style 97 14 6" xfId="14681" xr:uid="{3443C1AB-34FD-4CC1-AF64-9D71E77D273B}"/>
    <cellStyle name="Style 97 14 6 2" xfId="30473" xr:uid="{39413144-76F0-494D-BB82-EDFEDB15E6A6}"/>
    <cellStyle name="Style 97 14 7" xfId="14682" xr:uid="{B8619EFC-9669-48F2-9CBA-FD0D46D5544D}"/>
    <cellStyle name="Style 97 14 7 2" xfId="30474" xr:uid="{EED67A38-604C-402D-A130-EA07E9C102A7}"/>
    <cellStyle name="Style 97 15" xfId="14683" xr:uid="{2592D5EC-9C97-4852-8789-EF8D560F3B7B}"/>
    <cellStyle name="Style 97 15 2" xfId="14684" xr:uid="{8C139545-DEFA-443E-B484-D855D3D41C48}"/>
    <cellStyle name="Style 97 15 2 2" xfId="30475" xr:uid="{1D37345F-ECF9-4F3D-8815-E7CAF4239F97}"/>
    <cellStyle name="Style 97 15 3" xfId="14685" xr:uid="{104BB870-B2B3-4FD0-881F-39285FE98892}"/>
    <cellStyle name="Style 97 15 3 2" xfId="30476" xr:uid="{060DC3A4-7801-41A0-A770-A4FE7941CD1F}"/>
    <cellStyle name="Style 97 15 4" xfId="21332" xr:uid="{2C6570F8-B2F3-49FB-A7DC-1F403C43270B}"/>
    <cellStyle name="Style 97 16" xfId="14686" xr:uid="{FDB0E751-6A1F-4366-B33A-69D64F40D16C}"/>
    <cellStyle name="Style 97 16 2" xfId="14687" xr:uid="{27B2F1E5-4B24-467C-B921-394DDBAB8C2C}"/>
    <cellStyle name="Style 97 16 2 2" xfId="30478" xr:uid="{45FB581D-1BB4-4466-A549-0E8E52DB6D74}"/>
    <cellStyle name="Style 97 16 3" xfId="30477" xr:uid="{5FE5E229-3ED6-4669-A662-B66538D2B054}"/>
    <cellStyle name="Style 97 17" xfId="14688" xr:uid="{91B63BA1-8771-4B05-875F-319DE820FFEB}"/>
    <cellStyle name="Style 97 17 2" xfId="14689" xr:uid="{F7D337FC-E944-46C0-99E4-17E3BCB8D846}"/>
    <cellStyle name="Style 97 17 2 2" xfId="30480" xr:uid="{6777700C-58D0-4804-8D9A-DB0A63F538AC}"/>
    <cellStyle name="Style 97 17 3" xfId="30479" xr:uid="{215B7F68-208B-492B-A96D-7F55F3DEF502}"/>
    <cellStyle name="Style 97 18" xfId="14690" xr:uid="{EC9FD038-E32E-4F8D-9A4C-D3BE65701753}"/>
    <cellStyle name="Style 97 18 2" xfId="14691" xr:uid="{29E43ABC-3712-4B8E-B5F1-46A7C74A3074}"/>
    <cellStyle name="Style 97 18 2 2" xfId="30482" xr:uid="{484E9173-FD2B-48E5-AC89-7B84EF50D932}"/>
    <cellStyle name="Style 97 18 3" xfId="30481" xr:uid="{E755EB1E-97C2-4E14-A6CF-4B9C6C4D581E}"/>
    <cellStyle name="Style 97 19" xfId="14692" xr:uid="{D6E702C4-DF25-4515-BDEC-2BEE35208671}"/>
    <cellStyle name="Style 97 19 2" xfId="14693" xr:uid="{45502A70-4CBF-48B4-AD5D-2CB87DD87936}"/>
    <cellStyle name="Style 97 19 2 2" xfId="30484" xr:uid="{0F1E3854-FFAF-4790-9C48-6EE8D4B7E022}"/>
    <cellStyle name="Style 97 19 3" xfId="30483" xr:uid="{0397CE55-FEA2-4AC1-A3B4-929886A6C352}"/>
    <cellStyle name="Style 97 2" xfId="2458" xr:uid="{1721AD2D-68F2-4706-8034-14E71FCC3D88}"/>
    <cellStyle name="Style 97 2 10" xfId="14694" xr:uid="{2B534DC7-CF14-4F83-A493-5EFCA52C6FFB}"/>
    <cellStyle name="Style 97 2 10 2" xfId="30485" xr:uid="{546805F4-64EC-43B1-B1FA-051B0465CF29}"/>
    <cellStyle name="Style 97 2 11" xfId="19272" xr:uid="{0D1CAC3D-AE97-484C-9109-8096BA7C65AC}"/>
    <cellStyle name="Style 97 2 2" xfId="5332" xr:uid="{4B139E87-72AF-4C53-8B97-A332E137410D}"/>
    <cellStyle name="Style 97 2 2 2" xfId="14695" xr:uid="{753C95C7-D40E-405D-881A-60929948E264}"/>
    <cellStyle name="Style 97 2 2 2 2" xfId="30486" xr:uid="{5C820C19-E84A-4DD5-9D0A-BF9EFD6890EF}"/>
    <cellStyle name="Style 97 2 2 3" xfId="14696" xr:uid="{0F9CB9EA-DB89-4BE8-8C12-80CA82B7AD30}"/>
    <cellStyle name="Style 97 2 2 3 2" xfId="30487" xr:uid="{60E801B8-D1E7-4116-86EF-8CCDA56DBFBE}"/>
    <cellStyle name="Style 97 2 2 4" xfId="14697" xr:uid="{1523A876-F3DA-4B2A-8DD7-7859FE8B7B18}"/>
    <cellStyle name="Style 97 2 2 4 2" xfId="30488" xr:uid="{EED0C4E3-C078-4E65-8DC6-4BC87E04C245}"/>
    <cellStyle name="Style 97 2 3" xfId="5331" xr:uid="{A6EDB126-253C-404F-A03F-02F51ECCAC64}"/>
    <cellStyle name="Style 97 2 3 2" xfId="14698" xr:uid="{631E0B83-FB38-4439-AE46-D0E822179C41}"/>
    <cellStyle name="Style 97 2 3 2 2" xfId="30489" xr:uid="{D4619AB3-0324-481C-8268-80858B5DCB6C}"/>
    <cellStyle name="Style 97 2 3 3" xfId="14699" xr:uid="{9F9D27EC-59E5-4AA0-9933-97086CF9DEEA}"/>
    <cellStyle name="Style 97 2 3 3 2" xfId="30490" xr:uid="{76D55BEB-84F9-498C-BFD5-810F1A0D39F2}"/>
    <cellStyle name="Style 97 2 4" xfId="2975" xr:uid="{F325C18B-031C-458A-98B3-23701ADC0EAD}"/>
    <cellStyle name="Style 97 2 4 2" xfId="14700" xr:uid="{21C2EFCD-0BC0-4DB8-8414-1BC2705422AC}"/>
    <cellStyle name="Style 97 2 4 2 2" xfId="30491" xr:uid="{E422C766-28E8-4FAB-AB42-52BA0F47037C}"/>
    <cellStyle name="Style 97 2 4 3" xfId="14701" xr:uid="{E6CCDDA5-78C3-4378-89E3-96B624F84D38}"/>
    <cellStyle name="Style 97 2 4 3 2" xfId="30492" xr:uid="{9C51A634-6CF9-48F8-9434-C85069AF8917}"/>
    <cellStyle name="Style 97 2 4 4" xfId="21333" xr:uid="{EBFD3470-911F-49B1-B149-24A7DBF86F3C}"/>
    <cellStyle name="Style 97 2 5" xfId="14702" xr:uid="{CE54E508-5BC6-41E2-977E-DED7D27190D4}"/>
    <cellStyle name="Style 97 2 5 2" xfId="14703" xr:uid="{DBFAEDFD-1557-4365-9F96-9A7CB205ED30}"/>
    <cellStyle name="Style 97 2 5 2 2" xfId="30494" xr:uid="{636C3261-7BAC-41ED-A5A2-F712619002A2}"/>
    <cellStyle name="Style 97 2 5 3" xfId="30493" xr:uid="{E2DA7198-914B-496A-8971-DF033DADA1C6}"/>
    <cellStyle name="Style 97 2 6" xfId="14704" xr:uid="{2C01C6C4-3D5E-4062-9E34-5B2D9412AA9B}"/>
    <cellStyle name="Style 97 2 6 2" xfId="14705" xr:uid="{7E35DE24-C263-458D-A87F-7392744389BA}"/>
    <cellStyle name="Style 97 2 6 2 2" xfId="30496" xr:uid="{54BE4A46-0644-4010-8BCC-2503C7D0796A}"/>
    <cellStyle name="Style 97 2 6 3" xfId="30495" xr:uid="{37CB7F5D-09F9-4306-9DD2-1466956A9187}"/>
    <cellStyle name="Style 97 2 7" xfId="14706" xr:uid="{1FF0B3A6-D55A-4A3E-A6CF-20F6C1E15BE3}"/>
    <cellStyle name="Style 97 2 7 2" xfId="14707" xr:uid="{D2ECBB0F-A6AB-444A-8F68-48C314734A2D}"/>
    <cellStyle name="Style 97 2 7 2 2" xfId="30498" xr:uid="{C6315543-BDAC-4D74-87E3-0950EABE8BAA}"/>
    <cellStyle name="Style 97 2 7 3" xfId="30497" xr:uid="{FFF8F188-DAD8-4D72-865B-3BBBDD43A5C8}"/>
    <cellStyle name="Style 97 2 8" xfId="14708" xr:uid="{12CE1EA8-F8CC-4FA5-9FE4-770993A2B6F8}"/>
    <cellStyle name="Style 97 2 8 2" xfId="30499" xr:uid="{80D6473D-E448-4CF3-AF4B-ACB3F9035101}"/>
    <cellStyle name="Style 97 2 9" xfId="14709" xr:uid="{54D4D075-E781-4300-B8CC-A6C340D8B614}"/>
    <cellStyle name="Style 97 2 9 2" xfId="30500" xr:uid="{D6ED2DDE-6B22-4B69-BBF8-3E68AA219290}"/>
    <cellStyle name="Style 97 20" xfId="14710" xr:uid="{FE62F66D-DEB6-42B7-8775-AA4699F36CF9}"/>
    <cellStyle name="Style 97 20 2" xfId="14711" xr:uid="{9DF90833-3D2F-4279-9D81-EBFD7454EE04}"/>
    <cellStyle name="Style 97 20 2 2" xfId="30502" xr:uid="{67A19D46-D1AD-43A6-A365-BDACA8A598B2}"/>
    <cellStyle name="Style 97 20 3" xfId="30501" xr:uid="{3C732419-1192-42FA-8E6B-011AFD976A1D}"/>
    <cellStyle name="Style 97 21" xfId="14712" xr:uid="{F268E0EB-A57E-40AC-9BF5-9F0A26B2827C}"/>
    <cellStyle name="Style 97 21 2" xfId="30503" xr:uid="{B0FCD591-882E-42E0-9BFC-CEECDE329F38}"/>
    <cellStyle name="Style 97 22" xfId="14713" xr:uid="{A6A884D6-0D97-43E3-B9F0-8EBB23BC4ABE}"/>
    <cellStyle name="Style 97 22 2" xfId="30504" xr:uid="{10B9A3E8-F947-45EB-922E-2036C1A1DF0F}"/>
    <cellStyle name="Style 97 23" xfId="14714" xr:uid="{16A04789-FE71-4A52-8D6C-7D61D823C247}"/>
    <cellStyle name="Style 97 23 2" xfId="30505" xr:uid="{687A4722-2CA5-4E6C-AB7B-5F96B6A6F554}"/>
    <cellStyle name="Style 97 24" xfId="19269" xr:uid="{9520353A-1E60-4AEA-9BD3-1AAEB358F949}"/>
    <cellStyle name="Style 97 3" xfId="2459" xr:uid="{6F2B6C2D-26AF-4ED7-B87F-644F24643712}"/>
    <cellStyle name="Style 97 3 10" xfId="14715" xr:uid="{F31AD8B3-7E65-435D-BF54-894AD438F743}"/>
    <cellStyle name="Style 97 3 10 2" xfId="14716" xr:uid="{D775E3E6-83F5-467E-BC71-467AE0CC9A7D}"/>
    <cellStyle name="Style 97 3 10 2 2" xfId="30507" xr:uid="{7E2C23BD-8133-4809-A588-A863AFE2AB5D}"/>
    <cellStyle name="Style 97 3 10 3" xfId="30506" xr:uid="{8F7C6311-1746-4367-8A56-09E8A718B39F}"/>
    <cellStyle name="Style 97 3 11" xfId="14717" xr:uid="{187324EB-4EC4-46A1-A0C9-5E96FBA7D93A}"/>
    <cellStyle name="Style 97 3 11 2" xfId="30508" xr:uid="{05DD4120-5F11-4FD9-931F-45218550E7B6}"/>
    <cellStyle name="Style 97 3 12" xfId="14718" xr:uid="{91B186E6-42AD-4071-B346-6FD5028F1CA1}"/>
    <cellStyle name="Style 97 3 12 2" xfId="30509" xr:uid="{0103A8F3-D411-414C-BD39-76D75848B542}"/>
    <cellStyle name="Style 97 3 13" xfId="14719" xr:uid="{884D442D-9315-4958-B5B2-7E9FDE8930FB}"/>
    <cellStyle name="Style 97 3 13 2" xfId="30510" xr:uid="{7E0A3C4C-9EDF-4647-9D03-B64E562C0F16}"/>
    <cellStyle name="Style 97 3 14" xfId="19273" xr:uid="{CD4827A1-CE6C-4487-B358-9E485A607BE9}"/>
    <cellStyle name="Style 97 3 2" xfId="2460" xr:uid="{0BA6E820-43EC-45E2-9F94-161EC41D1DBF}"/>
    <cellStyle name="Style 97 3 2 10" xfId="14720" xr:uid="{8BDEE272-3087-4D3D-A38D-4FE4BB1B3860}"/>
    <cellStyle name="Style 97 3 2 10 2" xfId="30511" xr:uid="{7795C1D3-F1F7-4624-A63A-7457BAA7E2A7}"/>
    <cellStyle name="Style 97 3 2 11" xfId="19274" xr:uid="{15E266CC-B99C-4EFA-9508-9737335A1549}"/>
    <cellStyle name="Style 97 3 2 2" xfId="2461" xr:uid="{B01D423C-E40A-40E3-8DCF-A8C6B317091F}"/>
    <cellStyle name="Style 97 3 2 2 10" xfId="19275" xr:uid="{E569E302-7A24-4AAA-965A-B49EE66F4CE9}"/>
    <cellStyle name="Style 97 3 2 2 2" xfId="5336" xr:uid="{FC27B1D5-0FB5-4DF0-AB3F-92B5665A4885}"/>
    <cellStyle name="Style 97 3 2 2 2 2" xfId="14721" xr:uid="{84324C97-25F5-44D4-8926-E82E052B2483}"/>
    <cellStyle name="Style 97 3 2 2 2 2 2" xfId="30512" xr:uid="{844D9CAE-6437-4838-AC00-6559FFAF22E6}"/>
    <cellStyle name="Style 97 3 2 2 2 3" xfId="14722" xr:uid="{DE283C94-9A8B-4031-98C0-8AC60E39C505}"/>
    <cellStyle name="Style 97 3 2 2 2 3 2" xfId="30513" xr:uid="{F138E4C4-AB8E-4C5F-A2A4-756B8F3ED0FA}"/>
    <cellStyle name="Style 97 3 2 2 2 4" xfId="14723" xr:uid="{4E72AFA3-2835-4196-B6C9-DFB256B43CCC}"/>
    <cellStyle name="Style 97 3 2 2 2 4 2" xfId="30514" xr:uid="{020B4E20-1675-463F-BE0B-9E3B2CF54C69}"/>
    <cellStyle name="Style 97 3 2 2 3" xfId="5335" xr:uid="{B9A77FA3-67BB-4FAD-80D6-C0E777A02D3D}"/>
    <cellStyle name="Style 97 3 2 2 3 2" xfId="14724" xr:uid="{1E710E8D-006D-4966-8FF0-E8E77054A10D}"/>
    <cellStyle name="Style 97 3 2 2 3 2 2" xfId="30515" xr:uid="{772684B1-8849-4D6A-9DED-058FBCFFBF78}"/>
    <cellStyle name="Style 97 3 2 2 3 3" xfId="14725" xr:uid="{6AEF607F-D44C-449B-90E1-98AE256FDDC5}"/>
    <cellStyle name="Style 97 3 2 2 3 3 2" xfId="30516" xr:uid="{D896AF0E-F2C0-4E27-9482-B86F26D13337}"/>
    <cellStyle name="Style 97 3 2 2 4" xfId="14726" xr:uid="{DC62CB31-1DBD-4DDB-BB3D-3DF38DD42A4A}"/>
    <cellStyle name="Style 97 3 2 2 4 2" xfId="14727" xr:uid="{98CE441D-BC24-446D-9239-EAB0757398A5}"/>
    <cellStyle name="Style 97 3 2 2 4 2 2" xfId="30517" xr:uid="{58BC007B-D85A-4BD3-AEAC-878FA4941BD9}"/>
    <cellStyle name="Style 97 3 2 2 4 3" xfId="14728" xr:uid="{67887D03-05B2-4A03-84E0-473DB9F61F40}"/>
    <cellStyle name="Style 97 3 2 2 4 3 2" xfId="30518" xr:uid="{DF2BB442-0B6F-4EEF-9132-5A2D327BC13E}"/>
    <cellStyle name="Style 97 3 2 2 4 4" xfId="22390" xr:uid="{444960E9-0366-430D-BC74-CAF3CB46DE49}"/>
    <cellStyle name="Style 97 3 2 2 5" xfId="14729" xr:uid="{E1B17173-CD98-47B7-A6FD-EE617043A0B7}"/>
    <cellStyle name="Style 97 3 2 2 5 2" xfId="14730" xr:uid="{ABF3660A-0280-4BEB-AF5C-0667C69AB5A0}"/>
    <cellStyle name="Style 97 3 2 2 5 2 2" xfId="30520" xr:uid="{39710847-F77C-4CBD-BE85-7B08A097840C}"/>
    <cellStyle name="Style 97 3 2 2 5 3" xfId="30519" xr:uid="{591C4BEB-EEF1-4158-B2AE-D9B937141794}"/>
    <cellStyle name="Style 97 3 2 2 6" xfId="14731" xr:uid="{7C7B807C-C019-4EA8-A93C-40AA2EEB4320}"/>
    <cellStyle name="Style 97 3 2 2 6 2" xfId="14732" xr:uid="{8DC2071D-8857-458D-86DA-C98DEB499D4F}"/>
    <cellStyle name="Style 97 3 2 2 6 2 2" xfId="30522" xr:uid="{829E13FE-F1B1-498B-8F71-C7B90BADF0A1}"/>
    <cellStyle name="Style 97 3 2 2 6 3" xfId="30521" xr:uid="{74F69776-1727-4D68-BC1B-E813DDF5CF1B}"/>
    <cellStyle name="Style 97 3 2 2 7" xfId="14733" xr:uid="{57752D8C-0271-4846-8EEE-D48AE41B7904}"/>
    <cellStyle name="Style 97 3 2 2 7 2" xfId="14734" xr:uid="{13B488E0-A4B1-4435-994B-9BA5D731DEE0}"/>
    <cellStyle name="Style 97 3 2 2 7 2 2" xfId="30524" xr:uid="{4D73039C-67B8-4CE8-8A40-53F5141DBAD7}"/>
    <cellStyle name="Style 97 3 2 2 7 3" xfId="30523" xr:uid="{3B6F322A-3222-41D0-8151-4B674E5F3060}"/>
    <cellStyle name="Style 97 3 2 2 8" xfId="14735" xr:uid="{2E553B22-F935-478C-BB50-D92724DC4ED8}"/>
    <cellStyle name="Style 97 3 2 2 8 2" xfId="30525" xr:uid="{7AB3654A-58D9-4D87-8CBE-83014FDB8E53}"/>
    <cellStyle name="Style 97 3 2 2 9" xfId="14736" xr:uid="{182B7379-4065-463F-ACEB-164AB5925915}"/>
    <cellStyle name="Style 97 3 2 2 9 2" xfId="30526" xr:uid="{CAFFC672-06B8-4D2D-87AA-4255226CF824}"/>
    <cellStyle name="Style 97 3 2 3" xfId="5337" xr:uid="{B69C324B-57AE-403B-B555-70C3963A3D7C}"/>
    <cellStyle name="Style 97 3 2 3 2" xfId="14737" xr:uid="{F95E0312-30EA-4789-A81C-A4E3A419FB66}"/>
    <cellStyle name="Style 97 3 2 3 2 2" xfId="30527" xr:uid="{38C9C9F6-8FE6-4E59-B428-CDDDF4ED17EB}"/>
    <cellStyle name="Style 97 3 2 3 3" xfId="14738" xr:uid="{2C0BFE25-C5B4-4E46-AC0A-EA8EB27F5A8F}"/>
    <cellStyle name="Style 97 3 2 3 3 2" xfId="30528" xr:uid="{ED227C50-80D0-4FDB-8E40-44F81B89C11F}"/>
    <cellStyle name="Style 97 3 2 3 4" xfId="14739" xr:uid="{9A080CDC-F63A-4CC5-A5D1-0B39487AA27F}"/>
    <cellStyle name="Style 97 3 2 3 4 2" xfId="30529" xr:uid="{10291276-DA95-416B-85B5-BCAA77BE7E0F}"/>
    <cellStyle name="Style 97 3 2 4" xfId="5334" xr:uid="{2C372F06-6CEE-4A08-83E1-788A5BB8AB23}"/>
    <cellStyle name="Style 97 3 2 4 2" xfId="14740" xr:uid="{03227533-4A45-4B34-800B-1EB8D6BF09B0}"/>
    <cellStyle name="Style 97 3 2 4 2 2" xfId="30530" xr:uid="{75EEC5DE-54B8-4BC3-AEEA-39C436CBE3C3}"/>
    <cellStyle name="Style 97 3 2 4 3" xfId="14741" xr:uid="{907D6026-C8E9-410B-8B6E-FDA1A0A066DA}"/>
    <cellStyle name="Style 97 3 2 4 3 2" xfId="30531" xr:uid="{70DCD07A-9C95-4D73-A950-B4A45996F2C7}"/>
    <cellStyle name="Style 97 3 2 5" xfId="2977" xr:uid="{0A477F79-69F6-4A48-ADBB-962269D36985}"/>
    <cellStyle name="Style 97 3 2 5 2" xfId="14742" xr:uid="{2C2C6598-CD10-4051-92BE-0E59388E6B7A}"/>
    <cellStyle name="Style 97 3 2 5 2 2" xfId="30532" xr:uid="{99870A5C-252A-4B8C-B9DF-0AD5C99E22CE}"/>
    <cellStyle name="Style 97 3 2 5 3" xfId="14743" xr:uid="{B608ACE1-1B4E-4999-B382-846163692759}"/>
    <cellStyle name="Style 97 3 2 5 3 2" xfId="30533" xr:uid="{A89C2D40-E693-4FC0-804B-2D8493B5C380}"/>
    <cellStyle name="Style 97 3 2 5 4" xfId="21335" xr:uid="{37AF6277-8162-491A-82D4-703E18F3DAE5}"/>
    <cellStyle name="Style 97 3 2 6" xfId="14744" xr:uid="{4789A735-70E3-4A1F-8B63-2AE56834D55E}"/>
    <cellStyle name="Style 97 3 2 6 2" xfId="14745" xr:uid="{7E844C8A-6416-4412-B983-F6EB1DA8C929}"/>
    <cellStyle name="Style 97 3 2 6 2 2" xfId="30535" xr:uid="{5CC2F884-F13C-46F4-AA33-7C230B1080FE}"/>
    <cellStyle name="Style 97 3 2 6 3" xfId="30534" xr:uid="{E5B3A2FF-A86C-473E-8E86-6EC11952E6AD}"/>
    <cellStyle name="Style 97 3 2 7" xfId="14746" xr:uid="{3BF9CB07-7F22-4230-BDEA-30AC96F9F35C}"/>
    <cellStyle name="Style 97 3 2 7 2" xfId="14747" xr:uid="{4540A4E6-CA41-49DE-B149-9ED9E6C589AA}"/>
    <cellStyle name="Style 97 3 2 7 2 2" xfId="30537" xr:uid="{0EE78C25-BD4C-4E7C-A00D-7800D3953D98}"/>
    <cellStyle name="Style 97 3 2 7 3" xfId="30536" xr:uid="{90F13A14-B3DC-4CBB-B8B7-3EAAFB2C2313}"/>
    <cellStyle name="Style 97 3 2 8" xfId="14748" xr:uid="{1F32C128-0F58-4EFD-8DD5-521B8274F721}"/>
    <cellStyle name="Style 97 3 2 8 2" xfId="14749" xr:uid="{A7E6043C-2CAE-4BFB-A86F-5681F65D0F1A}"/>
    <cellStyle name="Style 97 3 2 8 2 2" xfId="30539" xr:uid="{693D977C-97F4-4D55-B425-81E4A355C291}"/>
    <cellStyle name="Style 97 3 2 8 3" xfId="30538" xr:uid="{BCB17A2C-FC9A-4E94-B502-145AFF89393D}"/>
    <cellStyle name="Style 97 3 2 9" xfId="14750" xr:uid="{58DE0D42-7A9C-4D03-B9C4-89FDB339FCD2}"/>
    <cellStyle name="Style 97 3 2 9 2" xfId="30540" xr:uid="{DC7D1D5B-76D2-449C-8631-5480219541C9}"/>
    <cellStyle name="Style 97 3 3" xfId="2462" xr:uid="{A60A2ED9-7376-48C8-9FF5-D8D106034623}"/>
    <cellStyle name="Style 97 3 3 10" xfId="14751" xr:uid="{3FE7D57C-EC69-49D9-B9E6-08F52D9D57E2}"/>
    <cellStyle name="Style 97 3 3 10 2" xfId="14752" xr:uid="{C511B58C-A55A-46CF-9955-1F07881E560C}"/>
    <cellStyle name="Style 97 3 3 10 2 2" xfId="30542" xr:uid="{F4E6B35F-C987-46A0-8FA5-2A7CE3C6DDFB}"/>
    <cellStyle name="Style 97 3 3 10 3" xfId="30541" xr:uid="{5DC2470C-B607-4EA3-8AA1-204CDB2E9C27}"/>
    <cellStyle name="Style 97 3 3 11" xfId="14753" xr:uid="{2C5AF344-0396-44CE-8E52-A709E25C2321}"/>
    <cellStyle name="Style 97 3 3 11 2" xfId="30543" xr:uid="{622454F5-AA4C-4640-A31D-507A51580A26}"/>
    <cellStyle name="Style 97 3 3 12" xfId="14754" xr:uid="{761C691D-004F-4871-97E9-E5B4DECA3687}"/>
    <cellStyle name="Style 97 3 3 12 2" xfId="30544" xr:uid="{6EA263F9-1E9C-4EBC-95C8-47AA28C7E5E7}"/>
    <cellStyle name="Style 97 3 3 13" xfId="19276" xr:uid="{1A91B721-8F36-4EB0-9E44-2AFE688F5439}"/>
    <cellStyle name="Style 97 3 3 2" xfId="2463" xr:uid="{07183B96-1598-47A0-AC26-2A9584E5736D}"/>
    <cellStyle name="Style 97 3 3 2 10" xfId="19277" xr:uid="{CC82DEEA-F2B3-49AE-8C7A-5A248CFBDCF5}"/>
    <cellStyle name="Style 97 3 3 2 2" xfId="5340" xr:uid="{8D5A5A30-BDE8-4D9C-BB11-F40D1F3AF197}"/>
    <cellStyle name="Style 97 3 3 2 2 2" xfId="14755" xr:uid="{C3EDD4E6-8CE0-48D9-A239-43840B019E4F}"/>
    <cellStyle name="Style 97 3 3 2 2 2 2" xfId="30545" xr:uid="{ADAEB059-1EF4-464E-9835-2D4CD9301ED1}"/>
    <cellStyle name="Style 97 3 3 2 2 3" xfId="14756" xr:uid="{0D643F45-771C-4ECD-83C8-095C25E742A7}"/>
    <cellStyle name="Style 97 3 3 2 2 3 2" xfId="30546" xr:uid="{028F04F3-DC13-4D00-88D7-B6B70CEC4C40}"/>
    <cellStyle name="Style 97 3 3 2 2 4" xfId="14757" xr:uid="{B28BC520-3076-4E27-83DE-381C23B5163E}"/>
    <cellStyle name="Style 97 3 3 2 2 4 2" xfId="30547" xr:uid="{8A814BC3-68B6-4375-9390-FB1DC2239B29}"/>
    <cellStyle name="Style 97 3 3 2 3" xfId="5339" xr:uid="{A423E010-FBBB-474B-9CDD-72A5F180302B}"/>
    <cellStyle name="Style 97 3 3 2 3 2" xfId="14758" xr:uid="{8F6ABDCD-08F6-4471-B970-925BF7FA32C2}"/>
    <cellStyle name="Style 97 3 3 2 3 2 2" xfId="30548" xr:uid="{D3BAD646-41D3-4B6D-ADFA-273AB2F218D0}"/>
    <cellStyle name="Style 97 3 3 2 3 3" xfId="14759" xr:uid="{3ECA6ACA-6DB0-4C9E-870A-A4A6138BFD13}"/>
    <cellStyle name="Style 97 3 3 2 3 3 2" xfId="30549" xr:uid="{E2FB3931-C4AB-44BA-AAD7-08C5DCEA1C9B}"/>
    <cellStyle name="Style 97 3 3 2 4" xfId="14760" xr:uid="{22F2EA37-CA70-4B25-A77C-BC5B711C7BB0}"/>
    <cellStyle name="Style 97 3 3 2 4 2" xfId="14761" xr:uid="{9D18F083-93BE-41E4-82F4-F4774B258C53}"/>
    <cellStyle name="Style 97 3 3 2 4 2 2" xfId="30550" xr:uid="{6F0EC824-17E1-4D81-AD47-E688B431B3BF}"/>
    <cellStyle name="Style 97 3 3 2 4 3" xfId="14762" xr:uid="{A7BFEE17-41FB-4FBF-9686-B098AE9F2B9B}"/>
    <cellStyle name="Style 97 3 3 2 4 3 2" xfId="30551" xr:uid="{02F7EB94-4BE9-4E83-8A5E-8CAB9BB699D9}"/>
    <cellStyle name="Style 97 3 3 2 4 4" xfId="22392" xr:uid="{060AAE8E-010C-4590-93BA-46435CFFE358}"/>
    <cellStyle name="Style 97 3 3 2 5" xfId="14763" xr:uid="{98B08FA2-769A-45FD-97CC-713144F3BEDA}"/>
    <cellStyle name="Style 97 3 3 2 5 2" xfId="14764" xr:uid="{2A2E12C4-201B-4F53-8110-34867FE61A20}"/>
    <cellStyle name="Style 97 3 3 2 5 2 2" xfId="30553" xr:uid="{B23ADFEA-0A13-4977-A7FF-F03D23196FBF}"/>
    <cellStyle name="Style 97 3 3 2 5 3" xfId="30552" xr:uid="{9A6C5F77-2112-4488-82DC-1AB5AE7EF5D9}"/>
    <cellStyle name="Style 97 3 3 2 6" xfId="14765" xr:uid="{126FD3FC-E93A-4F1A-B180-0344FDE7305C}"/>
    <cellStyle name="Style 97 3 3 2 6 2" xfId="14766" xr:uid="{307CD0E3-D1FB-41AE-8CAB-740202051FA3}"/>
    <cellStyle name="Style 97 3 3 2 6 2 2" xfId="30555" xr:uid="{05B5872A-7133-4331-B0DA-7781732A79C9}"/>
    <cellStyle name="Style 97 3 3 2 6 3" xfId="30554" xr:uid="{60A16251-E78B-42F3-B66C-8F30B9F1BE2C}"/>
    <cellStyle name="Style 97 3 3 2 7" xfId="14767" xr:uid="{8970EFF9-DF63-44B0-B4EF-CEBBE75C956B}"/>
    <cellStyle name="Style 97 3 3 2 7 2" xfId="14768" xr:uid="{82993EDF-E963-4C50-A761-BB8E8D602982}"/>
    <cellStyle name="Style 97 3 3 2 7 2 2" xfId="30557" xr:uid="{E180A3BF-A907-4CF7-B450-490F420D5EDB}"/>
    <cellStyle name="Style 97 3 3 2 7 3" xfId="30556" xr:uid="{4F5B198C-62E7-4444-9D6A-E7BCCD41D33F}"/>
    <cellStyle name="Style 97 3 3 2 8" xfId="14769" xr:uid="{A47BC5D4-E210-4BE2-A782-0FC4F67292D5}"/>
    <cellStyle name="Style 97 3 3 2 8 2" xfId="30558" xr:uid="{3D09110A-2176-47A7-A732-2D573FB5A9F9}"/>
    <cellStyle name="Style 97 3 3 2 9" xfId="14770" xr:uid="{E3C24E3D-6DB0-45F1-ADEF-B7E46A3D0334}"/>
    <cellStyle name="Style 97 3 3 2 9 2" xfId="30559" xr:uid="{2DA19EFF-741C-48BA-AF33-084410569746}"/>
    <cellStyle name="Style 97 3 3 3" xfId="2464" xr:uid="{6AEB1BB6-7785-45D0-A8D3-01B0CBFF8723}"/>
    <cellStyle name="Style 97 3 3 3 10" xfId="14771" xr:uid="{5E5C2662-F546-4A1D-8C89-A77BA31F14F2}"/>
    <cellStyle name="Style 97 3 3 3 10 2" xfId="30560" xr:uid="{DB92DCDD-AF33-4821-A271-1B3560D88644}"/>
    <cellStyle name="Style 97 3 3 3 11" xfId="19278" xr:uid="{E3D7F548-D2A0-4B7C-933E-AFD89004450A}"/>
    <cellStyle name="Style 97 3 3 3 2" xfId="2465" xr:uid="{49655AB2-9EDB-46B1-B631-B74E7BE9D960}"/>
    <cellStyle name="Style 97 3 3 3 2 10" xfId="19279" xr:uid="{541E5030-AA19-4877-AA6E-E75E9DC68724}"/>
    <cellStyle name="Style 97 3 3 3 2 2" xfId="5343" xr:uid="{DA0242AC-A337-4CDE-B7C2-1B932C00DB69}"/>
    <cellStyle name="Style 97 3 3 3 2 2 2" xfId="14772" xr:uid="{497FA722-6885-4166-AB04-A784E2BCBCC3}"/>
    <cellStyle name="Style 97 3 3 3 2 2 2 2" xfId="30561" xr:uid="{7370D6FC-1133-4137-8314-C2C221066156}"/>
    <cellStyle name="Style 97 3 3 3 2 2 3" xfId="14773" xr:uid="{47C5DC18-E09C-4DE9-B6DF-E75425D37699}"/>
    <cellStyle name="Style 97 3 3 3 2 2 3 2" xfId="30562" xr:uid="{006229D7-A406-43B8-84FA-4880A943031D}"/>
    <cellStyle name="Style 97 3 3 3 2 2 4" xfId="14774" xr:uid="{29998B0F-85A0-4DFE-94FA-3F5E89E12423}"/>
    <cellStyle name="Style 97 3 3 3 2 2 4 2" xfId="30563" xr:uid="{F1DCC2F1-6D7F-4F34-8E5A-015786795223}"/>
    <cellStyle name="Style 97 3 3 3 2 3" xfId="5342" xr:uid="{A8B519FB-7C49-4BD4-8E5C-2A4FC3058E0E}"/>
    <cellStyle name="Style 97 3 3 3 2 3 2" xfId="14775" xr:uid="{F2C2B148-0C42-4EAC-9EFC-F282DC5F6BDB}"/>
    <cellStyle name="Style 97 3 3 3 2 3 2 2" xfId="30564" xr:uid="{A76D8CBE-96A0-417F-9A2D-0E29290636DC}"/>
    <cellStyle name="Style 97 3 3 3 2 3 3" xfId="14776" xr:uid="{7A934BFA-E682-4A7D-B328-AA4CAAE00831}"/>
    <cellStyle name="Style 97 3 3 3 2 3 3 2" xfId="30565" xr:uid="{D26240EB-44F8-46A9-937B-487F33D10BD2}"/>
    <cellStyle name="Style 97 3 3 3 2 4" xfId="14777" xr:uid="{4F2653BF-BA49-4F54-BD50-EA9A3BE7254A}"/>
    <cellStyle name="Style 97 3 3 3 2 4 2" xfId="14778" xr:uid="{0753966E-A382-427A-92B8-1B74927CD6E6}"/>
    <cellStyle name="Style 97 3 3 3 2 4 2 2" xfId="30566" xr:uid="{82AA5B4A-5497-4C78-A143-2B9D97D33A69}"/>
    <cellStyle name="Style 97 3 3 3 2 4 3" xfId="14779" xr:uid="{C2B64626-C6E6-46F6-B28B-05707FED6BCB}"/>
    <cellStyle name="Style 97 3 3 3 2 4 3 2" xfId="30567" xr:uid="{9B7DF44E-F133-4DEA-B1D1-8A917B29B9A2}"/>
    <cellStyle name="Style 97 3 3 3 2 4 4" xfId="22394" xr:uid="{D097928B-8E76-47DD-A6B0-DAC573DF326E}"/>
    <cellStyle name="Style 97 3 3 3 2 5" xfId="14780" xr:uid="{0DF7B251-67DA-4654-9315-54ABC96E7EE3}"/>
    <cellStyle name="Style 97 3 3 3 2 5 2" xfId="14781" xr:uid="{0603DC2F-EB2A-494E-8D99-C6CEE56506BA}"/>
    <cellStyle name="Style 97 3 3 3 2 5 2 2" xfId="30569" xr:uid="{BF54F5FE-4C7A-4255-B8A9-25113A916C0F}"/>
    <cellStyle name="Style 97 3 3 3 2 5 3" xfId="30568" xr:uid="{4272FC9D-EAFB-4C74-A852-7CA4BEF99F68}"/>
    <cellStyle name="Style 97 3 3 3 2 6" xfId="14782" xr:uid="{884BDAC3-0F1D-434A-8D64-15AB354852B2}"/>
    <cellStyle name="Style 97 3 3 3 2 6 2" xfId="14783" xr:uid="{572EA903-B163-43B0-9675-B5725ED374A4}"/>
    <cellStyle name="Style 97 3 3 3 2 6 2 2" xfId="30571" xr:uid="{BF5D3FBB-051B-4EBD-B607-53438E3CEBDA}"/>
    <cellStyle name="Style 97 3 3 3 2 6 3" xfId="30570" xr:uid="{AEA868A5-28CD-49AB-9687-2EA81CC77830}"/>
    <cellStyle name="Style 97 3 3 3 2 7" xfId="14784" xr:uid="{F3F355EC-7DBA-4132-8337-874B4516A711}"/>
    <cellStyle name="Style 97 3 3 3 2 7 2" xfId="14785" xr:uid="{90EA41DE-8223-4FBF-8ABF-ED182496DC76}"/>
    <cellStyle name="Style 97 3 3 3 2 7 2 2" xfId="30573" xr:uid="{8E9D079A-5923-453F-9B90-6017CF971BE7}"/>
    <cellStyle name="Style 97 3 3 3 2 7 3" xfId="30572" xr:uid="{FEB478BE-617F-4F07-998D-D7238F84EE26}"/>
    <cellStyle name="Style 97 3 3 3 2 8" xfId="14786" xr:uid="{2134CC39-72A7-41E2-A8D6-E97706E045E1}"/>
    <cellStyle name="Style 97 3 3 3 2 8 2" xfId="30574" xr:uid="{F4BD2FA7-2838-4D7C-9DCF-D3A32C16E497}"/>
    <cellStyle name="Style 97 3 3 3 2 9" xfId="14787" xr:uid="{C8681A64-F9BB-4469-8580-FF1353C4A9DD}"/>
    <cellStyle name="Style 97 3 3 3 2 9 2" xfId="30575" xr:uid="{CDB8C3CC-79E3-46D8-8200-A8266EED3B03}"/>
    <cellStyle name="Style 97 3 3 3 3" xfId="5344" xr:uid="{5651E489-79CA-49C7-9A6B-6E752C8DD539}"/>
    <cellStyle name="Style 97 3 3 3 3 2" xfId="5345" xr:uid="{9360AE04-6C4F-40DF-8DE2-EABA83A98F7C}"/>
    <cellStyle name="Style 97 3 3 3 3 2 2" xfId="14788" xr:uid="{7C33C67D-8904-4A1D-BAF4-DFAC0FF74F9B}"/>
    <cellStyle name="Style 97 3 3 3 3 2 2 2" xfId="30576" xr:uid="{29F7B6A8-0E7A-4252-9E9B-3443D8A35E54}"/>
    <cellStyle name="Style 97 3 3 3 3 2 3" xfId="14789" xr:uid="{72DA59B8-4FE3-41A4-BD17-54C3E9852307}"/>
    <cellStyle name="Style 97 3 3 3 3 2 3 2" xfId="30577" xr:uid="{AEE61EAE-6AA4-4ABA-A984-BCDFEBCD510D}"/>
    <cellStyle name="Style 97 3 3 3 3 3" xfId="14790" xr:uid="{50A68EC0-616B-4046-9034-F796E4AC96C2}"/>
    <cellStyle name="Style 97 3 3 3 3 3 2" xfId="30578" xr:uid="{FEB931A6-3D0E-490B-B983-6E80B83F6F93}"/>
    <cellStyle name="Style 97 3 3 3 3 4" xfId="14791" xr:uid="{2AB8590E-DA16-4085-B926-C7FB23F8BC1A}"/>
    <cellStyle name="Style 97 3 3 3 3 4 2" xfId="30579" xr:uid="{F3088EC6-7F75-491E-A93D-17850AEF73FC}"/>
    <cellStyle name="Style 97 3 3 3 3 5" xfId="14792" xr:uid="{4CBEE681-661B-4DB4-A1CC-DDB575052EA1}"/>
    <cellStyle name="Style 97 3 3 3 3 5 2" xfId="30580" xr:uid="{12ABC74B-44D0-4829-8EFE-59A90AC6C022}"/>
    <cellStyle name="Style 97 3 3 3 3 6" xfId="14793" xr:uid="{AC71E072-5967-4C24-A449-05A7B303CB4B}"/>
    <cellStyle name="Style 97 3 3 3 3 6 2" xfId="30581" xr:uid="{9DD4F046-D6E9-4888-BAA9-9D807B03A992}"/>
    <cellStyle name="Style 97 3 3 3 3 7" xfId="19280" xr:uid="{C5315FEE-7843-4BA8-B056-7976385FEA03}"/>
    <cellStyle name="Style 97 3 3 3 4" xfId="5346" xr:uid="{4FE5CF09-D246-4933-ADEC-D573B785FBA2}"/>
    <cellStyle name="Style 97 3 3 3 4 2" xfId="14794" xr:uid="{691DF31D-35D8-45AB-83E9-08D3879A7850}"/>
    <cellStyle name="Style 97 3 3 3 4 2 2" xfId="30582" xr:uid="{565716E7-59C4-46E1-972C-8387DCA31407}"/>
    <cellStyle name="Style 97 3 3 3 4 3" xfId="14795" xr:uid="{8A2E0014-316C-407E-AC2D-1F2F1454209C}"/>
    <cellStyle name="Style 97 3 3 3 4 3 2" xfId="30583" xr:uid="{31E7CD1C-19D6-4E31-A56C-4951018E7055}"/>
    <cellStyle name="Style 97 3 3 3 4 4" xfId="14796" xr:uid="{580FD7FF-3B5C-4A30-8507-1D89717D46A8}"/>
    <cellStyle name="Style 97 3 3 3 4 4 2" xfId="30584" xr:uid="{D3F2809F-C5D3-4852-8876-95A290831230}"/>
    <cellStyle name="Style 97 3 3 3 5" xfId="5347" xr:uid="{25BB7F59-99B6-4205-AEF8-DF9C8155A360}"/>
    <cellStyle name="Style 97 3 3 3 5 2" xfId="14797" xr:uid="{DA8F81F0-0003-41C9-BF0E-4D0EC658C6EB}"/>
    <cellStyle name="Style 97 3 3 3 5 2 2" xfId="30585" xr:uid="{478B4CF0-0AD1-414D-8524-8B3475A1CA9F}"/>
    <cellStyle name="Style 97 3 3 3 5 3" xfId="14798" xr:uid="{EDB56D9C-85D5-4BDB-B60E-D647A1AD9D6F}"/>
    <cellStyle name="Style 97 3 3 3 5 3 2" xfId="30586" xr:uid="{49A28C31-0A0A-4533-85C2-081A72A328FD}"/>
    <cellStyle name="Style 97 3 3 3 6" xfId="5341" xr:uid="{5A58BF61-E174-4BAB-BC27-E7038E9AC6F0}"/>
    <cellStyle name="Style 97 3 3 3 6 2" xfId="14799" xr:uid="{A50517E0-1858-4AEC-85F7-C08691BB6DA6}"/>
    <cellStyle name="Style 97 3 3 3 6 2 2" xfId="30587" xr:uid="{9EE45DEE-4141-4AC3-B466-38F2705EF7E7}"/>
    <cellStyle name="Style 97 3 3 3 6 3" xfId="14800" xr:uid="{13832165-30DF-4EB0-BDD9-B8AA71479BB1}"/>
    <cellStyle name="Style 97 3 3 3 6 3 2" xfId="30588" xr:uid="{50D29F0F-EDBD-4CA0-B519-D5202BA61899}"/>
    <cellStyle name="Style 97 3 3 3 7" xfId="14801" xr:uid="{1C88F96E-34FF-4E20-ABD4-1174906727F2}"/>
    <cellStyle name="Style 97 3 3 3 7 2" xfId="14802" xr:uid="{A5BCD8EC-6752-4FAC-8D75-69258E50D6A7}"/>
    <cellStyle name="Style 97 3 3 3 7 2 2" xfId="30589" xr:uid="{BB6735DE-7F7C-46F2-88B2-F993AA910B08}"/>
    <cellStyle name="Style 97 3 3 3 7 3" xfId="14803" xr:uid="{66144FE5-4F2A-4FC5-9215-F33184663F52}"/>
    <cellStyle name="Style 97 3 3 3 7 3 2" xfId="30590" xr:uid="{D8B6FFCE-1DA9-491F-B0A3-467A38AF92DA}"/>
    <cellStyle name="Style 97 3 3 3 7 4" xfId="22393" xr:uid="{851D9168-4EC6-4265-91E2-9C62A7B9F2E8}"/>
    <cellStyle name="Style 97 3 3 3 8" xfId="14804" xr:uid="{09BF827C-F783-49B0-9E18-64C393AC475D}"/>
    <cellStyle name="Style 97 3 3 3 8 2" xfId="14805" xr:uid="{096D6896-3BD8-435A-90E9-587B18D7D0EF}"/>
    <cellStyle name="Style 97 3 3 3 8 2 2" xfId="30592" xr:uid="{A720437C-31E6-40A7-BE93-D057869EA60D}"/>
    <cellStyle name="Style 97 3 3 3 8 3" xfId="30591" xr:uid="{F3D1A1BE-03D0-4EB5-8215-0B5A89B5B238}"/>
    <cellStyle name="Style 97 3 3 3 9" xfId="14806" xr:uid="{B3AF5E96-1D98-43CD-BB3D-B8FE1D5C3095}"/>
    <cellStyle name="Style 97 3 3 3 9 2" xfId="30593" xr:uid="{2646B805-F642-4C1B-9AC0-4C174A8EC2AD}"/>
    <cellStyle name="Style 97 3 3 4" xfId="2466" xr:uid="{67ED2F2D-B500-4695-94DA-036481C8C3D4}"/>
    <cellStyle name="Style 97 3 3 4 10" xfId="14807" xr:uid="{287F3D81-BB45-415F-BB7F-2C010B09534C}"/>
    <cellStyle name="Style 97 3 3 4 10 2" xfId="30594" xr:uid="{03AF8329-C8C2-43CB-8F6F-9B604D016E90}"/>
    <cellStyle name="Style 97 3 3 4 11" xfId="19281" xr:uid="{9F274630-F326-4B21-8675-DE015E04824A}"/>
    <cellStyle name="Style 97 3 3 4 2" xfId="2467" xr:uid="{D6B6EB93-84F7-4BEA-8864-42085B222639}"/>
    <cellStyle name="Style 97 3 3 4 2 10" xfId="19282" xr:uid="{A53F3595-99F0-4FA5-BAE0-0154C862E263}"/>
    <cellStyle name="Style 97 3 3 4 2 2" xfId="5350" xr:uid="{8F9417DF-EE7A-4F01-AD50-F904A0C01EBD}"/>
    <cellStyle name="Style 97 3 3 4 2 2 2" xfId="14808" xr:uid="{2D8987E4-7AAC-43F1-BA5A-6FD94DEA4368}"/>
    <cellStyle name="Style 97 3 3 4 2 2 2 2" xfId="30595" xr:uid="{92D18A24-EF3A-4FF1-8B61-3C43F3B41C4D}"/>
    <cellStyle name="Style 97 3 3 4 2 2 3" xfId="14809" xr:uid="{EE91655F-5574-40A6-B2F9-4A9A83C7AC1F}"/>
    <cellStyle name="Style 97 3 3 4 2 2 3 2" xfId="30596" xr:uid="{B127C871-13F8-420B-9307-04FF08F7CFC4}"/>
    <cellStyle name="Style 97 3 3 4 2 2 4" xfId="14810" xr:uid="{E5AE47B4-403C-4BEA-BF0C-B62E6190ECFB}"/>
    <cellStyle name="Style 97 3 3 4 2 2 4 2" xfId="30597" xr:uid="{D641AD7A-DEBD-4CD2-BC08-226464BB374B}"/>
    <cellStyle name="Style 97 3 3 4 2 3" xfId="5349" xr:uid="{14381C0C-8EA8-427D-AADB-E1108E5EA8FD}"/>
    <cellStyle name="Style 97 3 3 4 2 3 2" xfId="14811" xr:uid="{1F2B124B-8248-4F9E-8733-F414593DFEAE}"/>
    <cellStyle name="Style 97 3 3 4 2 3 2 2" xfId="30598" xr:uid="{5ACE55D9-17C0-4BE7-933E-127E8FC443A5}"/>
    <cellStyle name="Style 97 3 3 4 2 3 3" xfId="14812" xr:uid="{A499F425-E9BA-4AF2-9E5D-44924793E571}"/>
    <cellStyle name="Style 97 3 3 4 2 3 3 2" xfId="30599" xr:uid="{FAA07340-D341-409A-86E6-1516DB36F12C}"/>
    <cellStyle name="Style 97 3 3 4 2 4" xfId="14813" xr:uid="{65710DB9-C2B7-469F-99EE-962B1E1AABF7}"/>
    <cellStyle name="Style 97 3 3 4 2 4 2" xfId="14814" xr:uid="{4E422FFB-E70F-455B-BDFB-B2409ADF2245}"/>
    <cellStyle name="Style 97 3 3 4 2 4 2 2" xfId="30600" xr:uid="{34B34F8C-4ADE-483A-A2AC-DB1DA05405BD}"/>
    <cellStyle name="Style 97 3 3 4 2 4 3" xfId="14815" xr:uid="{51DD8F90-BCF4-448A-A4DA-B76D65B3E17A}"/>
    <cellStyle name="Style 97 3 3 4 2 4 3 2" xfId="30601" xr:uid="{0D340F3F-1FCD-4844-8F2C-CEB29A46679A}"/>
    <cellStyle name="Style 97 3 3 4 2 4 4" xfId="22396" xr:uid="{E8CB1B57-2494-46B3-8E62-5FA4A54560A2}"/>
    <cellStyle name="Style 97 3 3 4 2 5" xfId="14816" xr:uid="{787F746E-3ADE-4161-B7DA-EC5849BFB31F}"/>
    <cellStyle name="Style 97 3 3 4 2 5 2" xfId="14817" xr:uid="{F521BDA7-07DA-4B60-9E04-5B7405BD6CD5}"/>
    <cellStyle name="Style 97 3 3 4 2 5 2 2" xfId="30603" xr:uid="{25F2394B-B1E0-4C18-9D94-4649DFFE6CC2}"/>
    <cellStyle name="Style 97 3 3 4 2 5 3" xfId="30602" xr:uid="{F5D225FA-1814-4FEA-A478-D722DE9B03D0}"/>
    <cellStyle name="Style 97 3 3 4 2 6" xfId="14818" xr:uid="{48B4A690-D3C1-4D39-A770-F873BFD12245}"/>
    <cellStyle name="Style 97 3 3 4 2 6 2" xfId="14819" xr:uid="{DD6A8FF0-3B8B-4EAA-8441-6ADE6DAAC252}"/>
    <cellStyle name="Style 97 3 3 4 2 6 2 2" xfId="30605" xr:uid="{8F86F00B-768F-4EF0-A5C5-45B55CC828FF}"/>
    <cellStyle name="Style 97 3 3 4 2 6 3" xfId="30604" xr:uid="{1F257335-CFA8-4951-B71B-BD24018D53A3}"/>
    <cellStyle name="Style 97 3 3 4 2 7" xfId="14820" xr:uid="{ADBE1B88-2C65-4951-8DB9-544143D25509}"/>
    <cellStyle name="Style 97 3 3 4 2 7 2" xfId="14821" xr:uid="{2473AA90-4234-4EA8-BD65-E94AF11658B0}"/>
    <cellStyle name="Style 97 3 3 4 2 7 2 2" xfId="30607" xr:uid="{2E7F1E98-078F-4721-B094-033778994B29}"/>
    <cellStyle name="Style 97 3 3 4 2 7 3" xfId="30606" xr:uid="{69392B27-A96B-48D7-9566-A944B1F61238}"/>
    <cellStyle name="Style 97 3 3 4 2 8" xfId="14822" xr:uid="{F3CCD565-2D8D-4A7D-AFB8-7361E7E3D894}"/>
    <cellStyle name="Style 97 3 3 4 2 8 2" xfId="30608" xr:uid="{D345C03B-01FB-4E0E-8AE8-7FC615542B21}"/>
    <cellStyle name="Style 97 3 3 4 2 9" xfId="14823" xr:uid="{7CC5E1CD-0E10-4A7D-BFB6-FE385502237B}"/>
    <cellStyle name="Style 97 3 3 4 2 9 2" xfId="30609" xr:uid="{5534311D-B8F3-4072-BC71-0F147E1C503D}"/>
    <cellStyle name="Style 97 3 3 4 3" xfId="5351" xr:uid="{AC421454-3B59-4552-BB75-78A6C88C095B}"/>
    <cellStyle name="Style 97 3 3 4 3 2" xfId="14824" xr:uid="{4776061D-D7A9-460E-A80F-F319EFF690F6}"/>
    <cellStyle name="Style 97 3 3 4 3 2 2" xfId="30610" xr:uid="{8622893F-8A5B-4AAB-AAB4-A0EEF3DF3B52}"/>
    <cellStyle name="Style 97 3 3 4 3 3" xfId="14825" xr:uid="{7FCC795E-DF18-48E1-AE06-980A4F7C1AA5}"/>
    <cellStyle name="Style 97 3 3 4 3 3 2" xfId="30611" xr:uid="{217DE445-504F-4FC4-B566-83DB0B8FD388}"/>
    <cellStyle name="Style 97 3 3 4 3 4" xfId="14826" xr:uid="{B178BE66-D3C3-4F1F-9B17-73BA916B1496}"/>
    <cellStyle name="Style 97 3 3 4 3 4 2" xfId="30612" xr:uid="{C4B67838-CE94-4A29-9BC7-3246671F96FC}"/>
    <cellStyle name="Style 97 3 3 4 4" xfId="5348" xr:uid="{C8B5AE0E-9C6B-48F8-AD15-7C88BFAF3C8C}"/>
    <cellStyle name="Style 97 3 3 4 4 2" xfId="14827" xr:uid="{09E832ED-2EEC-47E7-8932-80E6C5F20895}"/>
    <cellStyle name="Style 97 3 3 4 4 2 2" xfId="30613" xr:uid="{31DDD963-86F5-4D7A-9D33-76EA4FC8D079}"/>
    <cellStyle name="Style 97 3 3 4 4 3" xfId="14828" xr:uid="{89D973CE-F601-4E50-8315-35027DD44BE0}"/>
    <cellStyle name="Style 97 3 3 4 4 3 2" xfId="30614" xr:uid="{B3C5F4B5-3565-4320-987D-A6FBCE0935DF}"/>
    <cellStyle name="Style 97 3 3 4 5" xfId="14829" xr:uid="{C0265BD8-A284-49DC-A004-2E5402853D33}"/>
    <cellStyle name="Style 97 3 3 4 5 2" xfId="14830" xr:uid="{623C39F6-51BB-4EF5-8ED1-0A1C099E5CEA}"/>
    <cellStyle name="Style 97 3 3 4 5 2 2" xfId="30615" xr:uid="{03FDC760-C471-40D8-93EB-E41A4284FA53}"/>
    <cellStyle name="Style 97 3 3 4 5 3" xfId="14831" xr:uid="{D5DB0589-73FA-4516-9A3C-320E525FB303}"/>
    <cellStyle name="Style 97 3 3 4 5 3 2" xfId="30616" xr:uid="{FDCDE7B8-1000-40D2-AEA6-2EF58D2AC390}"/>
    <cellStyle name="Style 97 3 3 4 5 4" xfId="22395" xr:uid="{02AAB173-AD5D-4C79-92DB-2504CF6743E8}"/>
    <cellStyle name="Style 97 3 3 4 6" xfId="14832" xr:uid="{D5845629-036E-49B0-B341-544957D6E855}"/>
    <cellStyle name="Style 97 3 3 4 6 2" xfId="14833" xr:uid="{A11ACADE-E81E-458A-A876-A1175E4A5FEC}"/>
    <cellStyle name="Style 97 3 3 4 6 2 2" xfId="30618" xr:uid="{CDA90C77-A8B9-47A8-B025-1EA526EC06E4}"/>
    <cellStyle name="Style 97 3 3 4 6 3" xfId="30617" xr:uid="{B644AEE7-FF69-4262-BD26-3CF9DEB707CB}"/>
    <cellStyle name="Style 97 3 3 4 7" xfId="14834" xr:uid="{93A2D3A5-8CD2-43C9-B930-72EA00FA50FB}"/>
    <cellStyle name="Style 97 3 3 4 7 2" xfId="14835" xr:uid="{B00384C9-8713-4606-9F7C-074D2CD7FCDB}"/>
    <cellStyle name="Style 97 3 3 4 7 2 2" xfId="30620" xr:uid="{15269A25-D500-4A7E-9FE4-F4B9DE809445}"/>
    <cellStyle name="Style 97 3 3 4 7 3" xfId="30619" xr:uid="{E520F385-E680-4ACB-98BD-88AC0FEE5E77}"/>
    <cellStyle name="Style 97 3 3 4 8" xfId="14836" xr:uid="{1865D85F-513B-4B22-852B-D3F1EFCC2F84}"/>
    <cellStyle name="Style 97 3 3 4 8 2" xfId="14837" xr:uid="{F06A0B81-636F-435B-8382-FAE8042BDAF4}"/>
    <cellStyle name="Style 97 3 3 4 8 2 2" xfId="30622" xr:uid="{06DDE966-55EA-4E64-8757-9EC1342D35D0}"/>
    <cellStyle name="Style 97 3 3 4 8 3" xfId="30621" xr:uid="{8E386671-BF46-42F0-90BB-064F0EEB9052}"/>
    <cellStyle name="Style 97 3 3 4 9" xfId="14838" xr:uid="{659F4550-06DD-41FF-8022-41888590321F}"/>
    <cellStyle name="Style 97 3 3 4 9 2" xfId="30623" xr:uid="{9669D156-5A3A-4377-BC46-FE7DD859FA95}"/>
    <cellStyle name="Style 97 3 3 5" xfId="5352" xr:uid="{2A80F897-3CD2-4B1C-BE08-E306CA61FA66}"/>
    <cellStyle name="Style 97 3 3 5 2" xfId="14839" xr:uid="{9D65B52F-D946-491D-A1E1-E5FBEBE0BC5A}"/>
    <cellStyle name="Style 97 3 3 5 2 2" xfId="14840" xr:uid="{A0DB29C3-5C07-4AF9-8DE5-3DB5C2F97EAE}"/>
    <cellStyle name="Style 97 3 3 5 2 2 2" xfId="30625" xr:uid="{35497DC6-508B-4AB4-8DCE-88CE8CBC3217}"/>
    <cellStyle name="Style 97 3 3 5 2 3" xfId="30624" xr:uid="{AB2A5FF8-4997-4681-9938-A29939C91A4D}"/>
    <cellStyle name="Style 97 3 3 5 3" xfId="14841" xr:uid="{C5D861E7-4B4F-42CD-824B-E1DBB489BF4A}"/>
    <cellStyle name="Style 97 3 3 5 3 2" xfId="30626" xr:uid="{A8779904-B65E-40AE-8B7C-C2F2433A0FE2}"/>
    <cellStyle name="Style 97 3 3 5 4" xfId="14842" xr:uid="{A9A9C3C8-58E5-4562-B681-AAC67B47C3A7}"/>
    <cellStyle name="Style 97 3 3 5 4 2" xfId="30627" xr:uid="{A17C8700-5660-468C-936B-AC8F32A7CD39}"/>
    <cellStyle name="Style 97 3 3 5 5" xfId="14843" xr:uid="{37D49AC5-1827-4498-8059-B7B8A30951F5}"/>
    <cellStyle name="Style 97 3 3 5 5 2" xfId="30628" xr:uid="{5AA5CDD2-671A-47DA-9624-19D5EEF79F5C}"/>
    <cellStyle name="Style 97 3 3 5 6" xfId="14844" xr:uid="{1EE4D253-F2D0-4EC8-8ACE-D7743A927AD6}"/>
    <cellStyle name="Style 97 3 3 5 6 2" xfId="30629" xr:uid="{D892F9CB-5903-4CF7-AA84-9998DB221852}"/>
    <cellStyle name="Style 97 3 3 6" xfId="5353" xr:uid="{B47C3D42-6A1C-46A4-9EFC-8D9A90DF9E33}"/>
    <cellStyle name="Style 97 3 3 6 2" xfId="14845" xr:uid="{25FBA764-236B-4631-9810-91A582238EC2}"/>
    <cellStyle name="Style 97 3 3 6 2 2" xfId="30630" xr:uid="{3A785D61-63FA-4F4F-9F85-563990AE4023}"/>
    <cellStyle name="Style 97 3 3 6 3" xfId="14846" xr:uid="{81BEAB8A-1E10-4109-A0AE-CAFCF701ED36}"/>
    <cellStyle name="Style 97 3 3 6 3 2" xfId="30631" xr:uid="{2F849533-FB2D-4DCE-86CE-E710A36E28EB}"/>
    <cellStyle name="Style 97 3 3 6 4" xfId="14847" xr:uid="{86002BEC-C7A3-4C8B-9880-9C53AA2C43C3}"/>
    <cellStyle name="Style 97 3 3 6 4 2" xfId="30632" xr:uid="{2D969BC0-8F09-4D23-87EE-1F92B8D30229}"/>
    <cellStyle name="Style 97 3 3 7" xfId="5338" xr:uid="{BD52B67A-7DAC-46A9-AB93-DAC7463A5FFE}"/>
    <cellStyle name="Style 97 3 3 7 2" xfId="14848" xr:uid="{05691A5F-9690-4645-A127-37C0F8436323}"/>
    <cellStyle name="Style 97 3 3 7 2 2" xfId="30633" xr:uid="{D2888CA4-E078-434B-8DFE-DE39AADD03D7}"/>
    <cellStyle name="Style 97 3 3 7 3" xfId="14849" xr:uid="{2DFBB8A8-4442-43EA-AD0B-6B50AD53FBF0}"/>
    <cellStyle name="Style 97 3 3 7 3 2" xfId="30634" xr:uid="{B59D1930-08E9-4243-97CF-B12CB0BA22F5}"/>
    <cellStyle name="Style 97 3 3 8" xfId="14850" xr:uid="{E5DD14FD-666F-4389-8718-265D72334DBE}"/>
    <cellStyle name="Style 97 3 3 8 2" xfId="14851" xr:uid="{77427888-471A-4A7F-9FF3-619828256513}"/>
    <cellStyle name="Style 97 3 3 8 2 2" xfId="30635" xr:uid="{42AEB0CD-2F1B-45FD-91A3-FFFA707AB685}"/>
    <cellStyle name="Style 97 3 3 8 3" xfId="14852" xr:uid="{7AA18459-2489-4F9B-832C-B3D8148AB839}"/>
    <cellStyle name="Style 97 3 3 8 3 2" xfId="30636" xr:uid="{675DCF5A-701F-4AC2-BB99-80AF0D8AA02E}"/>
    <cellStyle name="Style 97 3 3 8 4" xfId="22391" xr:uid="{8C1BECDA-FEC7-42D0-8720-121F37CF0541}"/>
    <cellStyle name="Style 97 3 3 9" xfId="14853" xr:uid="{37D68F26-91AB-45BE-80BC-D98041D26D8B}"/>
    <cellStyle name="Style 97 3 3 9 2" xfId="14854" xr:uid="{725D1BF2-0BBF-4E1D-A00B-4B4C6207B1F9}"/>
    <cellStyle name="Style 97 3 3 9 2 2" xfId="30638" xr:uid="{5C46DD19-3BA1-4403-BCBC-F60749533586}"/>
    <cellStyle name="Style 97 3 3 9 3" xfId="30637" xr:uid="{06D9C0EF-8F4D-42FB-94B9-6F7353E64647}"/>
    <cellStyle name="Style 97 3 4" xfId="2468" xr:uid="{28C432C2-DFCE-4164-A5E4-7781D0059D17}"/>
    <cellStyle name="Style 97 3 4 10" xfId="19283" xr:uid="{6704DE76-532A-45EF-8D3B-17AC48C31C96}"/>
    <cellStyle name="Style 97 3 4 2" xfId="5355" xr:uid="{169261A9-7113-4BB8-8F95-2229D3B131F0}"/>
    <cellStyle name="Style 97 3 4 2 2" xfId="5356" xr:uid="{F5A8E6C0-C366-433A-9FB5-48A8869E3DD0}"/>
    <cellStyle name="Style 97 3 4 2 2 2" xfId="14855" xr:uid="{EB497BFD-B98F-4AFE-B211-76807598707E}"/>
    <cellStyle name="Style 97 3 4 2 2 2 2" xfId="30639" xr:uid="{460BDF7C-BB52-4120-989B-40F8D518493A}"/>
    <cellStyle name="Style 97 3 4 2 3" xfId="14856" xr:uid="{1AF45D82-873D-4961-BBC0-1F69B6A12E92}"/>
    <cellStyle name="Style 97 3 4 2 3 2" xfId="30640" xr:uid="{D44F075C-997C-4AE8-87BA-38746D99E684}"/>
    <cellStyle name="Style 97 3 4 2 4" xfId="14857" xr:uid="{26D3432E-BBDC-4251-8EC4-9162C84E2DAA}"/>
    <cellStyle name="Style 97 3 4 2 4 2" xfId="30641" xr:uid="{C78D1217-4CFD-4981-BE7C-8E4EDACA4178}"/>
    <cellStyle name="Style 97 3 4 2 5" xfId="19284" xr:uid="{B71D64ED-68EC-486A-953D-8EC1383FA922}"/>
    <cellStyle name="Style 97 3 4 3" xfId="5357" xr:uid="{FF9E1BE2-8D63-4ECE-BFFD-1A81EAF81042}"/>
    <cellStyle name="Style 97 3 4 3 2" xfId="14858" xr:uid="{9B198E8E-E5E5-4FAE-B571-59315730ACA2}"/>
    <cellStyle name="Style 97 3 4 3 2 2" xfId="30642" xr:uid="{E948D1A9-1D18-4467-A854-FB48C0CABF3E}"/>
    <cellStyle name="Style 97 3 4 3 3" xfId="14859" xr:uid="{B4A72C9B-0A67-47E1-AA8D-42F8054E57DC}"/>
    <cellStyle name="Style 97 3 4 3 3 2" xfId="30643" xr:uid="{C42E6553-CCD4-4EA9-9220-38A87699BC2D}"/>
    <cellStyle name="Style 97 3 4 4" xfId="5358" xr:uid="{25BF0D93-FDF3-444F-B5A2-643EDD10166B}"/>
    <cellStyle name="Style 97 3 4 4 2" xfId="14860" xr:uid="{55A290DF-40D3-4AA1-9297-429CBEEEF490}"/>
    <cellStyle name="Style 97 3 4 4 2 2" xfId="30644" xr:uid="{5D8AF478-DFEA-49DD-A7EB-C11885039BF2}"/>
    <cellStyle name="Style 97 3 4 4 3" xfId="14861" xr:uid="{47BB8A3D-D4AD-4001-892A-75845A0132F6}"/>
    <cellStyle name="Style 97 3 4 4 3 2" xfId="30645" xr:uid="{92FAF608-0E1F-4819-B996-362C67A6085B}"/>
    <cellStyle name="Style 97 3 4 5" xfId="5354" xr:uid="{8E3FEFB7-9F8F-428D-9B99-7860C5A42795}"/>
    <cellStyle name="Style 97 3 4 5 2" xfId="14862" xr:uid="{38E49206-370B-4B44-AA8A-CBA860877DD9}"/>
    <cellStyle name="Style 97 3 4 5 2 2" xfId="30646" xr:uid="{8D8F2E60-39BB-4A50-8212-DFDAC225914C}"/>
    <cellStyle name="Style 97 3 4 5 3" xfId="14863" xr:uid="{3F541214-46AF-4DDB-9EBF-2EB6E88D15AE}"/>
    <cellStyle name="Style 97 3 4 5 3 2" xfId="30647" xr:uid="{92B16CE7-5097-45B5-8503-795280BBCF1B}"/>
    <cellStyle name="Style 97 3 4 6" xfId="14864" xr:uid="{899ABAD2-72E1-4DAF-9C4F-00E21F61AA1D}"/>
    <cellStyle name="Style 97 3 4 6 2" xfId="14865" xr:uid="{C74440B9-5428-46DD-8659-71554A9C6BD8}"/>
    <cellStyle name="Style 97 3 4 6 2 2" xfId="30648" xr:uid="{4A380511-1864-40A2-AF7A-89DC45F43CB8}"/>
    <cellStyle name="Style 97 3 4 6 3" xfId="14866" xr:uid="{97235F7D-4C43-4796-AAE3-2A50B646C1D6}"/>
    <cellStyle name="Style 97 3 4 6 3 2" xfId="30649" xr:uid="{790BED0D-2C37-4CAA-A295-6E445FE90229}"/>
    <cellStyle name="Style 97 3 4 6 4" xfId="22397" xr:uid="{68140194-3051-49CC-90CE-4CF61A32DB36}"/>
    <cellStyle name="Style 97 3 4 7" xfId="14867" xr:uid="{47580DCD-6E31-4962-972B-85D6A2495BE6}"/>
    <cellStyle name="Style 97 3 4 7 2" xfId="14868" xr:uid="{3182455C-3C1E-4953-AC04-458106173A05}"/>
    <cellStyle name="Style 97 3 4 7 2 2" xfId="30651" xr:uid="{15117D0D-E780-4554-B4F3-B8C0C739D3CB}"/>
    <cellStyle name="Style 97 3 4 7 3" xfId="30650" xr:uid="{ACBFF83D-6C07-4715-88E0-10B514C5A50E}"/>
    <cellStyle name="Style 97 3 4 8" xfId="14869" xr:uid="{A456C3BE-12EA-4403-B819-6098D127150A}"/>
    <cellStyle name="Style 97 3 4 8 2" xfId="30652" xr:uid="{9EB06A28-2682-4042-990A-09CBDB3E16DD}"/>
    <cellStyle name="Style 97 3 4 9" xfId="14870" xr:uid="{FD9F444C-5419-4191-BA87-D1C7F9D26BAA}"/>
    <cellStyle name="Style 97 3 4 9 2" xfId="30653" xr:uid="{DF5860D8-9AB5-468B-BAE3-00870E77D9BC}"/>
    <cellStyle name="Style 97 3 5" xfId="5359" xr:uid="{9FF6C4C6-3D6F-413A-9E93-6A40D1E11C21}"/>
    <cellStyle name="Style 97 3 5 2" xfId="5360" xr:uid="{9D185B14-2F28-4161-AFA6-0B94CC66D7CB}"/>
    <cellStyle name="Style 97 3 5 2 2" xfId="14871" xr:uid="{0CFE222E-B012-4A94-8CAC-239F00B6704B}"/>
    <cellStyle name="Style 97 3 5 2 2 2" xfId="30654" xr:uid="{D7375DAB-6E20-45D5-ADAD-B250916968DE}"/>
    <cellStyle name="Style 97 3 5 3" xfId="14872" xr:uid="{226FB191-F991-4A92-97BA-2A66E890AC27}"/>
    <cellStyle name="Style 97 3 5 3 2" xfId="14873" xr:uid="{72F2F94D-D7A1-40A1-B214-0444E7B4C3A1}"/>
    <cellStyle name="Style 97 3 5 3 2 2" xfId="30655" xr:uid="{20D66E73-74C1-4EE0-ACA3-CB8EC8C1C254}"/>
    <cellStyle name="Style 97 3 5 4" xfId="14874" xr:uid="{00A29BB7-9D01-42E8-8754-BE977CAD7304}"/>
    <cellStyle name="Style 97 3 5 4 2" xfId="30656" xr:uid="{218843D6-65D5-4E4A-86F9-4D581E237DD3}"/>
    <cellStyle name="Style 97 3 5 5" xfId="19285" xr:uid="{8A53C326-EC76-4B64-B194-C312E204FDF9}"/>
    <cellStyle name="Style 97 3 6" xfId="5361" xr:uid="{807018D6-14EB-40A8-AF93-C62E8E41908B}"/>
    <cellStyle name="Style 97 3 6 2" xfId="14875" xr:uid="{BADE35E6-ACE4-45A2-A2A6-3315546E32B7}"/>
    <cellStyle name="Style 97 3 6 2 2" xfId="30657" xr:uid="{D73E3FB6-B386-4437-8BC1-47000FD864FE}"/>
    <cellStyle name="Style 97 3 6 3" xfId="14876" xr:uid="{ED429395-F590-494A-89C0-845FC5FDC092}"/>
    <cellStyle name="Style 97 3 6 3 2" xfId="30658" xr:uid="{DD708FBE-E8F3-43A5-9263-ABB2A042D5B3}"/>
    <cellStyle name="Style 97 3 7" xfId="5333" xr:uid="{D56EA645-8551-47FF-958D-3C6C21D41233}"/>
    <cellStyle name="Style 97 3 7 2" xfId="14877" xr:uid="{8DBFEAB7-4745-4AA2-970E-8FE9721A1AD9}"/>
    <cellStyle name="Style 97 3 7 2 2" xfId="30659" xr:uid="{5911A1ED-A586-4A01-8EE4-B3D4A17AF8ED}"/>
    <cellStyle name="Style 97 3 7 3" xfId="14878" xr:uid="{7AB4E3FD-E827-4E7F-A8A1-B6B808B948D4}"/>
    <cellStyle name="Style 97 3 7 3 2" xfId="30660" xr:uid="{608D143C-1BCE-41E8-AE14-20D3E7CBDFC7}"/>
    <cellStyle name="Style 97 3 8" xfId="2976" xr:uid="{79A6B440-09FC-42DA-BB3D-A0B30303F003}"/>
    <cellStyle name="Style 97 3 8 2" xfId="14879" xr:uid="{3216E385-9BD8-41D1-9697-63744C166358}"/>
    <cellStyle name="Style 97 3 8 2 2" xfId="30661" xr:uid="{662DCB6D-D92E-40F5-9829-0F4A6F5B3760}"/>
    <cellStyle name="Style 97 3 8 3" xfId="14880" xr:uid="{4826D5E9-2002-4EEB-8F05-CB6E89B9DF51}"/>
    <cellStyle name="Style 97 3 8 3 2" xfId="30662" xr:uid="{A18E0725-8799-4D8F-B87F-5D780835A148}"/>
    <cellStyle name="Style 97 3 8 4" xfId="21334" xr:uid="{B08263CF-92E1-4294-BA76-C4A8C87A3726}"/>
    <cellStyle name="Style 97 3 9" xfId="14881" xr:uid="{2D1D15A9-EE2B-44C7-B92C-0481BB3155D7}"/>
    <cellStyle name="Style 97 3 9 2" xfId="14882" xr:uid="{5DAB3059-BC59-479D-B0E4-236280F72131}"/>
    <cellStyle name="Style 97 3 9 2 2" xfId="30664" xr:uid="{88297E77-8FE2-46D2-B21D-427CCD898EBF}"/>
    <cellStyle name="Style 97 3 9 3" xfId="30663" xr:uid="{5A14793B-EFF2-4687-A697-EFE552B2B24F}"/>
    <cellStyle name="Style 97 4" xfId="2469" xr:uid="{612E9A34-8F9F-4B0B-84F3-9086AA64970F}"/>
    <cellStyle name="Style 97 4 10" xfId="14883" xr:uid="{8BD3E774-DD9B-40B3-8AE5-049FCA935D67}"/>
    <cellStyle name="Style 97 4 10 2" xfId="30665" xr:uid="{3914788A-82C5-4B20-8145-D82A74418036}"/>
    <cellStyle name="Style 97 4 11" xfId="14884" xr:uid="{DC1EDA04-7AE9-4FF1-8897-0AD229EDA3AD}"/>
    <cellStyle name="Style 97 4 11 2" xfId="30666" xr:uid="{081C59E5-8F0A-43B7-B55C-4C3D07F7A448}"/>
    <cellStyle name="Style 97 4 12" xfId="19286" xr:uid="{9B2D7636-C590-47E2-894F-87899D1558D1}"/>
    <cellStyle name="Style 97 4 2" xfId="2470" xr:uid="{18BD9F34-177A-45DC-8032-EEEA3C9B1CED}"/>
    <cellStyle name="Style 97 4 2 10" xfId="14885" xr:uid="{7AA13AB0-6E61-4E78-9A2C-9855C137F4E3}"/>
    <cellStyle name="Style 97 4 2 10 2" xfId="14886" xr:uid="{55626A3D-6188-4C99-9029-F153F826C1C4}"/>
    <cellStyle name="Style 97 4 2 10 2 2" xfId="30668" xr:uid="{6CDC9C55-C163-44A7-B0F7-BC7F5F8BB5D1}"/>
    <cellStyle name="Style 97 4 2 10 3" xfId="30667" xr:uid="{2B62300C-AB95-47E7-8D26-D3128197079F}"/>
    <cellStyle name="Style 97 4 2 11" xfId="14887" xr:uid="{C51F73BE-4655-4527-A746-53B6F6B53F3F}"/>
    <cellStyle name="Style 97 4 2 11 2" xfId="30669" xr:uid="{157E40FE-FF1A-41E0-A7A2-D3679955CAA2}"/>
    <cellStyle name="Style 97 4 2 12" xfId="14888" xr:uid="{6B6CDC64-50A5-4B1F-9833-060928F8486B}"/>
    <cellStyle name="Style 97 4 2 12 2" xfId="30670" xr:uid="{992250B9-F0CA-40E0-89ED-44F0D529FCE3}"/>
    <cellStyle name="Style 97 4 2 13" xfId="19287" xr:uid="{122C052E-4BF6-480A-B647-BB6D1783BBC5}"/>
    <cellStyle name="Style 97 4 2 2" xfId="2471" xr:uid="{EAE03C0D-7B83-4411-92E4-DFAF01B22B82}"/>
    <cellStyle name="Style 97 4 2 2 10" xfId="19288" xr:uid="{C95120F9-2E1F-4277-817E-A8382158DE00}"/>
    <cellStyle name="Style 97 4 2 2 2" xfId="5365" xr:uid="{6C8A37BB-D99C-467D-A584-C62C655AF775}"/>
    <cellStyle name="Style 97 4 2 2 2 2" xfId="14889" xr:uid="{5CE7E250-5F62-4122-9393-411157777889}"/>
    <cellStyle name="Style 97 4 2 2 2 2 2" xfId="30671" xr:uid="{B748FABC-9C4D-4368-BEBE-A227EA2D33D4}"/>
    <cellStyle name="Style 97 4 2 2 2 3" xfId="14890" xr:uid="{A4FA5C1B-731F-4DC2-9BDE-BD049CBC96FB}"/>
    <cellStyle name="Style 97 4 2 2 2 3 2" xfId="30672" xr:uid="{1D126DA5-3ACB-447E-AD35-770E0429C8A0}"/>
    <cellStyle name="Style 97 4 2 2 2 4" xfId="14891" xr:uid="{7A0688F6-8F9E-4208-9C7B-4EBC4D97A721}"/>
    <cellStyle name="Style 97 4 2 2 2 4 2" xfId="30673" xr:uid="{4F4B2300-A985-4006-A0F5-5B5E915ADDEF}"/>
    <cellStyle name="Style 97 4 2 2 3" xfId="5364" xr:uid="{5AA6DF8C-06C6-4F37-B940-2F43B22EBFAB}"/>
    <cellStyle name="Style 97 4 2 2 3 2" xfId="14892" xr:uid="{569CE3FD-62C6-4D83-8234-97BE4909A8B4}"/>
    <cellStyle name="Style 97 4 2 2 3 2 2" xfId="30674" xr:uid="{9D32546F-7702-4DF1-A15E-98D3B403D759}"/>
    <cellStyle name="Style 97 4 2 2 3 3" xfId="14893" xr:uid="{91655045-853E-4540-9B35-116261979B4A}"/>
    <cellStyle name="Style 97 4 2 2 3 3 2" xfId="30675" xr:uid="{8D43B4D3-967C-497B-A533-1C7065EB491E}"/>
    <cellStyle name="Style 97 4 2 2 4" xfId="14894" xr:uid="{47ABA60C-E0D1-47AC-9272-41EDCE3F1E54}"/>
    <cellStyle name="Style 97 4 2 2 4 2" xfId="14895" xr:uid="{60594B7A-13F1-4026-82EC-56C85FCAC208}"/>
    <cellStyle name="Style 97 4 2 2 4 2 2" xfId="30676" xr:uid="{BC5808AA-F193-4A21-8B83-39EB72E34B30}"/>
    <cellStyle name="Style 97 4 2 2 4 3" xfId="14896" xr:uid="{5F5EC4C6-CE3F-4F7E-8817-38BC2BA506E0}"/>
    <cellStyle name="Style 97 4 2 2 4 3 2" xfId="30677" xr:uid="{D8F4A32A-F53A-4081-A0CA-5783895A092C}"/>
    <cellStyle name="Style 97 4 2 2 4 4" xfId="22400" xr:uid="{FB05539A-B29D-4B31-867D-162AF9A4B4D3}"/>
    <cellStyle name="Style 97 4 2 2 5" xfId="14897" xr:uid="{6EA92EB9-61AF-4F8E-9A2C-DEFE8FFDF4F7}"/>
    <cellStyle name="Style 97 4 2 2 5 2" xfId="14898" xr:uid="{58B112B3-4424-4819-B7B1-16B3D783C957}"/>
    <cellStyle name="Style 97 4 2 2 5 2 2" xfId="30679" xr:uid="{B64D527E-6971-4B57-9539-3818CF56F946}"/>
    <cellStyle name="Style 97 4 2 2 5 3" xfId="30678" xr:uid="{DAB51763-C67B-4BF1-AF4F-94901F77AB74}"/>
    <cellStyle name="Style 97 4 2 2 6" xfId="14899" xr:uid="{933256A4-398F-47CF-AECB-DD00B4855F41}"/>
    <cellStyle name="Style 97 4 2 2 6 2" xfId="14900" xr:uid="{0C7C1177-588F-4BED-8C31-63E79D759776}"/>
    <cellStyle name="Style 97 4 2 2 6 2 2" xfId="30681" xr:uid="{85BA5165-0885-4917-AA35-E82C3F3EF663}"/>
    <cellStyle name="Style 97 4 2 2 6 3" xfId="30680" xr:uid="{1040C2D9-D8A4-4001-A9E0-5716252752A6}"/>
    <cellStyle name="Style 97 4 2 2 7" xfId="14901" xr:uid="{7781E605-4640-4157-A34A-D1DC98067DE7}"/>
    <cellStyle name="Style 97 4 2 2 7 2" xfId="14902" xr:uid="{2806325F-955C-43B7-A5C4-3B7A5F2844AC}"/>
    <cellStyle name="Style 97 4 2 2 7 2 2" xfId="30683" xr:uid="{5256DC24-4D0C-418F-B52F-1845D901E08B}"/>
    <cellStyle name="Style 97 4 2 2 7 3" xfId="30682" xr:uid="{E1E6CA39-0E7D-4359-8E96-243CBBF76FC6}"/>
    <cellStyle name="Style 97 4 2 2 8" xfId="14903" xr:uid="{AD14AF22-3909-4CF1-9FD2-1093BBC3EC1D}"/>
    <cellStyle name="Style 97 4 2 2 8 2" xfId="30684" xr:uid="{48750E07-3BE4-4E70-A42B-700193D072B2}"/>
    <cellStyle name="Style 97 4 2 2 9" xfId="14904" xr:uid="{55C1200A-A160-4BEE-A691-728340E70F19}"/>
    <cellStyle name="Style 97 4 2 2 9 2" xfId="30685" xr:uid="{BA533BA5-ADC9-4886-B56B-87B1199AC18C}"/>
    <cellStyle name="Style 97 4 2 3" xfId="2472" xr:uid="{AE0C7E7C-6440-4674-9625-A6C594D6B960}"/>
    <cellStyle name="Style 97 4 2 3 10" xfId="14905" xr:uid="{748D62D6-D7EB-4DC3-8FA8-76DFD04BC23A}"/>
    <cellStyle name="Style 97 4 2 3 10 2" xfId="30686" xr:uid="{53101789-80A8-4AAB-A262-73A2E08B155E}"/>
    <cellStyle name="Style 97 4 2 3 11" xfId="19289" xr:uid="{E1805635-1EF7-4184-8849-9BA16B7F26B9}"/>
    <cellStyle name="Style 97 4 2 3 2" xfId="2473" xr:uid="{5AE73858-9821-4186-95DB-1AF76C5DEEBE}"/>
    <cellStyle name="Style 97 4 2 3 2 10" xfId="19290" xr:uid="{B2E9DED6-5BEB-4018-A3D9-4F3364EA695B}"/>
    <cellStyle name="Style 97 4 2 3 2 2" xfId="5368" xr:uid="{0ECC81B8-22B0-4B02-B184-53D0C74A69B9}"/>
    <cellStyle name="Style 97 4 2 3 2 2 2" xfId="14906" xr:uid="{6EB9E09D-609F-4AFE-9ABA-35CB53A41177}"/>
    <cellStyle name="Style 97 4 2 3 2 2 2 2" xfId="30687" xr:uid="{1F1620A4-19A7-419A-9C44-DC7525C60046}"/>
    <cellStyle name="Style 97 4 2 3 2 2 3" xfId="14907" xr:uid="{37AD1A0F-E401-42A1-A32D-CAAB593C7C20}"/>
    <cellStyle name="Style 97 4 2 3 2 2 3 2" xfId="30688" xr:uid="{3E142AC1-160E-4B2B-8541-8A0C295C9EEA}"/>
    <cellStyle name="Style 97 4 2 3 2 2 4" xfId="14908" xr:uid="{E0F588F6-61DF-4EC6-9C5F-F116666E84F8}"/>
    <cellStyle name="Style 97 4 2 3 2 2 4 2" xfId="30689" xr:uid="{D8092DB6-130C-4C2D-9A90-B3BA60B638CA}"/>
    <cellStyle name="Style 97 4 2 3 2 3" xfId="5367" xr:uid="{C1857B31-94B3-48BD-BB92-4C2178F9B761}"/>
    <cellStyle name="Style 97 4 2 3 2 3 2" xfId="14909" xr:uid="{68B05457-B815-42FF-B06F-BF20B269B659}"/>
    <cellStyle name="Style 97 4 2 3 2 3 2 2" xfId="30690" xr:uid="{B9A19F73-755B-4796-876C-0A41BAA5EF3A}"/>
    <cellStyle name="Style 97 4 2 3 2 3 3" xfId="14910" xr:uid="{69376C0A-8D97-42C1-99CE-1C2C95A7103D}"/>
    <cellStyle name="Style 97 4 2 3 2 3 3 2" xfId="30691" xr:uid="{2879C8F2-C13A-4CFA-9764-C565467C4024}"/>
    <cellStyle name="Style 97 4 2 3 2 4" xfId="14911" xr:uid="{D58DA37E-6144-4B76-8FCD-3E8D3FCA53C1}"/>
    <cellStyle name="Style 97 4 2 3 2 4 2" xfId="14912" xr:uid="{45BAB988-3106-488E-9E68-9FF7EC530F09}"/>
    <cellStyle name="Style 97 4 2 3 2 4 2 2" xfId="30692" xr:uid="{23C151C1-4F37-4EAB-AB3B-1DFDDE5B51BC}"/>
    <cellStyle name="Style 97 4 2 3 2 4 3" xfId="14913" xr:uid="{045C048D-644E-4367-819D-87B99CA29485}"/>
    <cellStyle name="Style 97 4 2 3 2 4 3 2" xfId="30693" xr:uid="{1F81728F-9270-42CA-9E45-A3BD1991A549}"/>
    <cellStyle name="Style 97 4 2 3 2 4 4" xfId="22402" xr:uid="{DD67628D-6DAD-4831-BE80-EEB02F6E4AFF}"/>
    <cellStyle name="Style 97 4 2 3 2 5" xfId="14914" xr:uid="{45AF325C-13E8-43D8-B450-A7CE2008D055}"/>
    <cellStyle name="Style 97 4 2 3 2 5 2" xfId="14915" xr:uid="{FFE6D847-8825-4006-B1CF-B03543A36A19}"/>
    <cellStyle name="Style 97 4 2 3 2 5 2 2" xfId="30695" xr:uid="{CE3DE2C8-2ED9-408D-ABCB-3567182A8E88}"/>
    <cellStyle name="Style 97 4 2 3 2 5 3" xfId="30694" xr:uid="{2D98C71C-F8A9-4DBD-BF50-4EE6D9920AD4}"/>
    <cellStyle name="Style 97 4 2 3 2 6" xfId="14916" xr:uid="{9C76E6B1-82D0-4EF2-BFCA-9DC778B099ED}"/>
    <cellStyle name="Style 97 4 2 3 2 6 2" xfId="14917" xr:uid="{0E00F68A-2192-483F-B25E-15AF13448E16}"/>
    <cellStyle name="Style 97 4 2 3 2 6 2 2" xfId="30697" xr:uid="{A5F55DB9-2473-4B19-8DEF-A1EABD74902F}"/>
    <cellStyle name="Style 97 4 2 3 2 6 3" xfId="30696" xr:uid="{A5E9B8C5-96F8-4931-B075-8DA4B5EF9200}"/>
    <cellStyle name="Style 97 4 2 3 2 7" xfId="14918" xr:uid="{CA0F8072-5E82-49C6-89A1-CB4308F58A31}"/>
    <cellStyle name="Style 97 4 2 3 2 7 2" xfId="14919" xr:uid="{0667DE16-F193-4FF9-8EAD-8856EC34790A}"/>
    <cellStyle name="Style 97 4 2 3 2 7 2 2" xfId="30699" xr:uid="{184771C4-6CA4-47AB-9E50-A685F289A0BA}"/>
    <cellStyle name="Style 97 4 2 3 2 7 3" xfId="30698" xr:uid="{7504CE79-B3B4-4F05-8370-81B7EBF6E7D9}"/>
    <cellStyle name="Style 97 4 2 3 2 8" xfId="14920" xr:uid="{596441F2-808B-417C-BE89-0FD46F3702B4}"/>
    <cellStyle name="Style 97 4 2 3 2 8 2" xfId="30700" xr:uid="{C72AA31A-563D-4018-BC96-AE564234832F}"/>
    <cellStyle name="Style 97 4 2 3 2 9" xfId="14921" xr:uid="{D8831B36-42C6-4299-96F7-4C1172DA4358}"/>
    <cellStyle name="Style 97 4 2 3 2 9 2" xfId="30701" xr:uid="{A1811006-6112-4FB3-BE4A-3A4C15DDC27B}"/>
    <cellStyle name="Style 97 4 2 3 3" xfId="5369" xr:uid="{C85267AD-7B98-4DB7-9217-A539B77D51A4}"/>
    <cellStyle name="Style 97 4 2 3 3 2" xfId="5370" xr:uid="{788DF69C-6BF7-468F-8307-89DF88CCF8F2}"/>
    <cellStyle name="Style 97 4 2 3 3 2 2" xfId="14922" xr:uid="{C341429F-B180-420D-BA3E-37C305279ADF}"/>
    <cellStyle name="Style 97 4 2 3 3 2 2 2" xfId="30702" xr:uid="{C74257B1-6143-4D17-B907-17FA6113192C}"/>
    <cellStyle name="Style 97 4 2 3 3 2 3" xfId="14923" xr:uid="{8A5F2B3D-4868-4B0A-9C1C-9FFCDB55BC08}"/>
    <cellStyle name="Style 97 4 2 3 3 2 3 2" xfId="30703" xr:uid="{E6258139-C005-4D94-8425-ABD1A7323582}"/>
    <cellStyle name="Style 97 4 2 3 3 3" xfId="14924" xr:uid="{A6F19630-C410-4BC5-85A8-975128870247}"/>
    <cellStyle name="Style 97 4 2 3 3 3 2" xfId="30704" xr:uid="{889FD04A-7437-4956-A13A-5A5EA8443F66}"/>
    <cellStyle name="Style 97 4 2 3 3 4" xfId="14925" xr:uid="{2F2A531D-BF59-400E-8D0F-7417D35747D7}"/>
    <cellStyle name="Style 97 4 2 3 3 4 2" xfId="30705" xr:uid="{9C8BE417-C5F0-46DE-A7C1-DEF341AF4E1B}"/>
    <cellStyle name="Style 97 4 2 3 3 5" xfId="14926" xr:uid="{EBB36557-AB9C-4A5B-A059-B230D1E07983}"/>
    <cellStyle name="Style 97 4 2 3 3 5 2" xfId="30706" xr:uid="{F15FD555-D6CF-4E75-8A36-3E06F357C9C5}"/>
    <cellStyle name="Style 97 4 2 3 3 6" xfId="14927" xr:uid="{BA8E4254-EA8E-40F8-BC69-816012B916DB}"/>
    <cellStyle name="Style 97 4 2 3 3 6 2" xfId="30707" xr:uid="{4373AB7B-927F-4DCE-A756-ACAE6AE8E048}"/>
    <cellStyle name="Style 97 4 2 3 3 7" xfId="19291" xr:uid="{BC33AD03-C904-44AF-8E73-6410D9AFFFC9}"/>
    <cellStyle name="Style 97 4 2 3 4" xfId="5371" xr:uid="{A83C8B97-D53E-4DC8-9469-CD38C4B4DBEB}"/>
    <cellStyle name="Style 97 4 2 3 4 2" xfId="14928" xr:uid="{D9D0660A-FE46-486A-9025-4EC872892721}"/>
    <cellStyle name="Style 97 4 2 3 4 2 2" xfId="30708" xr:uid="{8025510A-CB2A-4385-AB46-67B3A6361E08}"/>
    <cellStyle name="Style 97 4 2 3 4 3" xfId="14929" xr:uid="{6CCC4739-9AD8-4261-A497-3498297CD186}"/>
    <cellStyle name="Style 97 4 2 3 4 3 2" xfId="30709" xr:uid="{8CAD388A-7941-4539-AFF7-BBDF13EFE61F}"/>
    <cellStyle name="Style 97 4 2 3 4 4" xfId="14930" xr:uid="{8CCBF34C-1375-4589-974F-9EABF0675EFF}"/>
    <cellStyle name="Style 97 4 2 3 4 4 2" xfId="30710" xr:uid="{488759DE-B9CC-4875-B623-49CA29B51FCF}"/>
    <cellStyle name="Style 97 4 2 3 5" xfId="5372" xr:uid="{B3F850C1-1B5A-4B45-B52E-EC07F28D81E2}"/>
    <cellStyle name="Style 97 4 2 3 5 2" xfId="14931" xr:uid="{2FDEB006-5BD8-4FE8-B5ED-881E23F5F8E9}"/>
    <cellStyle name="Style 97 4 2 3 5 2 2" xfId="30711" xr:uid="{CED8E0B2-3595-4DDF-BEAA-2E1ECDAB1E7A}"/>
    <cellStyle name="Style 97 4 2 3 5 3" xfId="14932" xr:uid="{D96800C5-339E-4F98-A75B-7F3FC83E9C2E}"/>
    <cellStyle name="Style 97 4 2 3 5 3 2" xfId="30712" xr:uid="{AFEF5113-44A7-48E9-BEDA-2F149A5921BF}"/>
    <cellStyle name="Style 97 4 2 3 6" xfId="5366" xr:uid="{4B0475F3-5D1C-4910-B90D-910D1A0CCB47}"/>
    <cellStyle name="Style 97 4 2 3 6 2" xfId="14933" xr:uid="{FCFB35A9-B0B2-4339-85CA-06FB71AE3DD8}"/>
    <cellStyle name="Style 97 4 2 3 6 2 2" xfId="30713" xr:uid="{0E83AAFD-D03C-466E-B919-5FD675D46C9A}"/>
    <cellStyle name="Style 97 4 2 3 6 3" xfId="14934" xr:uid="{9F8C7AB9-6C6D-4B14-8C55-E56E465708E3}"/>
    <cellStyle name="Style 97 4 2 3 6 3 2" xfId="30714" xr:uid="{87F115C9-A362-4D24-B6B7-D2DADF2FED0A}"/>
    <cellStyle name="Style 97 4 2 3 7" xfId="14935" xr:uid="{3EA00EEA-B2C0-4821-AE30-2F0D3CE09BB5}"/>
    <cellStyle name="Style 97 4 2 3 7 2" xfId="14936" xr:uid="{B85555DF-D3B0-4C7D-A54B-B720E54BFCC8}"/>
    <cellStyle name="Style 97 4 2 3 7 2 2" xfId="30715" xr:uid="{463A5D69-4898-4B75-8239-EB974648B8C6}"/>
    <cellStyle name="Style 97 4 2 3 7 3" xfId="14937" xr:uid="{5C6791D1-9833-44CA-93C2-02088BC37871}"/>
    <cellStyle name="Style 97 4 2 3 7 3 2" xfId="30716" xr:uid="{3FC38FF1-9130-467B-B901-081F1A57B35A}"/>
    <cellStyle name="Style 97 4 2 3 7 4" xfId="22401" xr:uid="{E53824DC-5C63-4F8E-B3D2-23597410E1A7}"/>
    <cellStyle name="Style 97 4 2 3 8" xfId="14938" xr:uid="{2CED5E9D-C45E-4829-976D-1ADD46227331}"/>
    <cellStyle name="Style 97 4 2 3 8 2" xfId="14939" xr:uid="{EBC01603-7CEF-4D11-9BFA-F0A1D1CB2A30}"/>
    <cellStyle name="Style 97 4 2 3 8 2 2" xfId="30718" xr:uid="{55C89DF6-EB1A-45A9-B5B4-F22B9727739D}"/>
    <cellStyle name="Style 97 4 2 3 8 3" xfId="30717" xr:uid="{58463DED-3057-4275-91DB-9D4890822C2F}"/>
    <cellStyle name="Style 97 4 2 3 9" xfId="14940" xr:uid="{A8081BDA-DB9E-45D9-A5BF-40E93EF05078}"/>
    <cellStyle name="Style 97 4 2 3 9 2" xfId="30719" xr:uid="{C021EC82-46D2-4F17-8CAA-EF216BD7F2C9}"/>
    <cellStyle name="Style 97 4 2 4" xfId="2474" xr:uid="{51D1F8D0-435E-4FB4-8F4E-322FD10D10F3}"/>
    <cellStyle name="Style 97 4 2 4 10" xfId="14941" xr:uid="{0A2D8572-1829-4A10-BBDF-19DBE1324BAA}"/>
    <cellStyle name="Style 97 4 2 4 10 2" xfId="30720" xr:uid="{7CCA1BBA-94AA-455C-9F5E-AD613752DEE0}"/>
    <cellStyle name="Style 97 4 2 4 11" xfId="19292" xr:uid="{AED00540-50B7-49C4-AF54-40289560C8F8}"/>
    <cellStyle name="Style 97 4 2 4 2" xfId="2475" xr:uid="{F6635C65-245B-4EA1-B90C-3E50AA8476A4}"/>
    <cellStyle name="Style 97 4 2 4 2 10" xfId="19293" xr:uid="{10CE818B-8B3F-4B32-A726-D0E608FF58AD}"/>
    <cellStyle name="Style 97 4 2 4 2 2" xfId="5375" xr:uid="{99459AD8-9626-4F72-A311-A6498521DF15}"/>
    <cellStyle name="Style 97 4 2 4 2 2 2" xfId="14942" xr:uid="{780159AD-66A0-4490-880F-3EE08D264965}"/>
    <cellStyle name="Style 97 4 2 4 2 2 2 2" xfId="30721" xr:uid="{45AE9C5B-1430-4349-A608-B99ACB424D5A}"/>
    <cellStyle name="Style 97 4 2 4 2 2 3" xfId="14943" xr:uid="{25A8279B-528E-467C-A09C-307056215B46}"/>
    <cellStyle name="Style 97 4 2 4 2 2 3 2" xfId="30722" xr:uid="{7E25476C-BAC9-4E9D-9C49-29895CB65344}"/>
    <cellStyle name="Style 97 4 2 4 2 2 4" xfId="14944" xr:uid="{F01C0DF1-32E7-42F1-A51C-F64B034CF4DE}"/>
    <cellStyle name="Style 97 4 2 4 2 2 4 2" xfId="30723" xr:uid="{50AFC808-8779-4C8E-A942-DAF5C7A1F14E}"/>
    <cellStyle name="Style 97 4 2 4 2 3" xfId="5374" xr:uid="{F6C0309E-FFDE-473B-8670-82CCEE25449D}"/>
    <cellStyle name="Style 97 4 2 4 2 3 2" xfId="14945" xr:uid="{56CD4364-04F5-46DC-B7C7-C298A0930619}"/>
    <cellStyle name="Style 97 4 2 4 2 3 2 2" xfId="30724" xr:uid="{846AB121-AAEE-4161-8AAE-1CA3E2E9EF8C}"/>
    <cellStyle name="Style 97 4 2 4 2 3 3" xfId="14946" xr:uid="{2ED60F4C-90E5-4221-BF65-3FE4D470A583}"/>
    <cellStyle name="Style 97 4 2 4 2 3 3 2" xfId="30725" xr:uid="{F688438F-2668-4589-9F42-B2D8E0934E62}"/>
    <cellStyle name="Style 97 4 2 4 2 4" xfId="14947" xr:uid="{39687EF8-B879-4CEF-AC8A-CECA1A47AF16}"/>
    <cellStyle name="Style 97 4 2 4 2 4 2" xfId="14948" xr:uid="{B907FFC9-9575-42B0-828D-E66307088551}"/>
    <cellStyle name="Style 97 4 2 4 2 4 2 2" xfId="30726" xr:uid="{911EA65A-E856-45EA-BC97-7E9F1EB448D1}"/>
    <cellStyle name="Style 97 4 2 4 2 4 3" xfId="14949" xr:uid="{418E3C50-ECC4-4BCC-A4F0-F25A9EED6A45}"/>
    <cellStyle name="Style 97 4 2 4 2 4 3 2" xfId="30727" xr:uid="{8E526DDB-7097-4BE8-B65F-61816D6F668B}"/>
    <cellStyle name="Style 97 4 2 4 2 4 4" xfId="22404" xr:uid="{6554F3C5-17F3-450D-8753-F2E190E64BDC}"/>
    <cellStyle name="Style 97 4 2 4 2 5" xfId="14950" xr:uid="{56413719-4E98-4DD9-9A02-81FCEF1511B4}"/>
    <cellStyle name="Style 97 4 2 4 2 5 2" xfId="14951" xr:uid="{A368BAB5-AD80-497E-8824-DEFA2BDFF167}"/>
    <cellStyle name="Style 97 4 2 4 2 5 2 2" xfId="30729" xr:uid="{4C635C31-CB61-412F-8E25-40AB17D81F02}"/>
    <cellStyle name="Style 97 4 2 4 2 5 3" xfId="30728" xr:uid="{492AD014-2446-4004-B5FD-1A80BA4654B8}"/>
    <cellStyle name="Style 97 4 2 4 2 6" xfId="14952" xr:uid="{04F33DD1-05DE-454B-BDB3-4A396576A906}"/>
    <cellStyle name="Style 97 4 2 4 2 6 2" xfId="14953" xr:uid="{6DF11B8F-8123-4D9E-9CBA-168F7F28A777}"/>
    <cellStyle name="Style 97 4 2 4 2 6 2 2" xfId="30731" xr:uid="{918DE10C-1209-4D50-B177-5C750245566A}"/>
    <cellStyle name="Style 97 4 2 4 2 6 3" xfId="30730" xr:uid="{766A8212-090D-4C69-8D2F-C6C1ECF7AE65}"/>
    <cellStyle name="Style 97 4 2 4 2 7" xfId="14954" xr:uid="{B96CCDA4-2B16-41E4-A39E-9DA503724FB2}"/>
    <cellStyle name="Style 97 4 2 4 2 7 2" xfId="14955" xr:uid="{6DD108C9-254E-4123-A675-DA3B7EF2981B}"/>
    <cellStyle name="Style 97 4 2 4 2 7 2 2" xfId="30733" xr:uid="{A1688AA0-DE39-49A2-9631-8C32BCFF78D5}"/>
    <cellStyle name="Style 97 4 2 4 2 7 3" xfId="30732" xr:uid="{0EC7A58D-2E30-4043-9251-C4E740F6AF28}"/>
    <cellStyle name="Style 97 4 2 4 2 8" xfId="14956" xr:uid="{43D10137-6541-4745-9E2F-CC1F46D8427A}"/>
    <cellStyle name="Style 97 4 2 4 2 8 2" xfId="30734" xr:uid="{6CAD74F0-ECFD-4538-B8A9-DE634C92255B}"/>
    <cellStyle name="Style 97 4 2 4 2 9" xfId="14957" xr:uid="{E28906A3-A483-4CC2-B6DA-B67661DDD379}"/>
    <cellStyle name="Style 97 4 2 4 2 9 2" xfId="30735" xr:uid="{4378E96F-504B-4775-B0B2-375C146A768C}"/>
    <cellStyle name="Style 97 4 2 4 3" xfId="5376" xr:uid="{1728BAC5-4528-405F-95C5-F721437563FE}"/>
    <cellStyle name="Style 97 4 2 4 3 2" xfId="14958" xr:uid="{FF1085BB-2F83-4683-953C-DDFB7804D229}"/>
    <cellStyle name="Style 97 4 2 4 3 2 2" xfId="30736" xr:uid="{C54A0D7B-AA1F-4D37-85EB-98AAD67FF31B}"/>
    <cellStyle name="Style 97 4 2 4 3 3" xfId="14959" xr:uid="{CDFA11BC-6635-4C95-A246-DA6FCF1E6EFF}"/>
    <cellStyle name="Style 97 4 2 4 3 3 2" xfId="30737" xr:uid="{F3BD1A48-8358-4CDD-ADA4-069115C5265C}"/>
    <cellStyle name="Style 97 4 2 4 3 4" xfId="14960" xr:uid="{07BDBAA5-C715-4EDE-A6EE-D7912C1514DF}"/>
    <cellStyle name="Style 97 4 2 4 3 4 2" xfId="30738" xr:uid="{EB44C4CA-D9EB-476D-9C4C-5661ED9EB92D}"/>
    <cellStyle name="Style 97 4 2 4 4" xfId="5373" xr:uid="{4FEC2A48-89E1-4018-9FAE-6247667A1433}"/>
    <cellStyle name="Style 97 4 2 4 4 2" xfId="14961" xr:uid="{FC2F033B-6D93-4CF4-95C0-C77A03CB5DC8}"/>
    <cellStyle name="Style 97 4 2 4 4 2 2" xfId="30739" xr:uid="{7352719F-422E-451B-9014-9F841E42587E}"/>
    <cellStyle name="Style 97 4 2 4 4 3" xfId="14962" xr:uid="{F3D72ECD-4D8C-42B8-A447-C36D1693B37E}"/>
    <cellStyle name="Style 97 4 2 4 4 3 2" xfId="30740" xr:uid="{BE374933-026A-4045-986F-D4950BCF3806}"/>
    <cellStyle name="Style 97 4 2 4 5" xfId="14963" xr:uid="{58B8B6DB-8E11-4C15-B7F3-7F20A69924D3}"/>
    <cellStyle name="Style 97 4 2 4 5 2" xfId="14964" xr:uid="{D1F5C506-D016-4818-86DC-B667FCA66834}"/>
    <cellStyle name="Style 97 4 2 4 5 2 2" xfId="30741" xr:uid="{CE451637-52A4-4B02-899D-F6CB77A10DB5}"/>
    <cellStyle name="Style 97 4 2 4 5 3" xfId="14965" xr:uid="{A425A57C-7385-4FEA-97E3-C24B4D0D920B}"/>
    <cellStyle name="Style 97 4 2 4 5 3 2" xfId="30742" xr:uid="{E05A2F52-B3BB-4F84-BA91-09A436F56DBE}"/>
    <cellStyle name="Style 97 4 2 4 5 4" xfId="22403" xr:uid="{55BEE35E-470C-4F6C-A6D2-34873060B0B7}"/>
    <cellStyle name="Style 97 4 2 4 6" xfId="14966" xr:uid="{86B292E9-1B58-4DB9-803E-1BD19DB437BD}"/>
    <cellStyle name="Style 97 4 2 4 6 2" xfId="14967" xr:uid="{8CF9F426-C1BE-4F02-A0FF-C2466B88B1F6}"/>
    <cellStyle name="Style 97 4 2 4 6 2 2" xfId="30744" xr:uid="{FB123FB0-C742-4040-8AF9-CF6363B0B97F}"/>
    <cellStyle name="Style 97 4 2 4 6 3" xfId="30743" xr:uid="{40E66A9D-B983-4B78-B6C8-9FB16BEFB14D}"/>
    <cellStyle name="Style 97 4 2 4 7" xfId="14968" xr:uid="{CCE20A09-B30F-4E54-B358-FC84E0C3D0B4}"/>
    <cellStyle name="Style 97 4 2 4 7 2" xfId="14969" xr:uid="{DD08AFFD-B58D-4C70-8BDB-324ED0E7F331}"/>
    <cellStyle name="Style 97 4 2 4 7 2 2" xfId="30746" xr:uid="{15BC96F3-F012-44EE-81D6-48F37F552C23}"/>
    <cellStyle name="Style 97 4 2 4 7 3" xfId="30745" xr:uid="{1A7D1B74-996D-4F2A-A71D-78F6F8EDB265}"/>
    <cellStyle name="Style 97 4 2 4 8" xfId="14970" xr:uid="{E63A7E18-588B-42DB-931D-2F42026E332F}"/>
    <cellStyle name="Style 97 4 2 4 8 2" xfId="14971" xr:uid="{F3BCAA6E-586B-45F1-97F2-DBD80CE5B1E6}"/>
    <cellStyle name="Style 97 4 2 4 8 2 2" xfId="30748" xr:uid="{A0F32F80-C2F6-4D27-B347-CED34C546A5C}"/>
    <cellStyle name="Style 97 4 2 4 8 3" xfId="30747" xr:uid="{CB223172-6F43-4FD2-8C19-7A486ABC265A}"/>
    <cellStyle name="Style 97 4 2 4 9" xfId="14972" xr:uid="{240AC0E4-969A-4E44-814F-42E226ACAABB}"/>
    <cellStyle name="Style 97 4 2 4 9 2" xfId="30749" xr:uid="{FF4D4491-78C5-4151-B824-EEC1AA924EB9}"/>
    <cellStyle name="Style 97 4 2 5" xfId="5377" xr:uid="{576C7CCE-B6B1-47E0-A97B-7E564964570D}"/>
    <cellStyle name="Style 97 4 2 5 2" xfId="14973" xr:uid="{1ED84F24-FD88-4C69-A11E-F1AC060ACC07}"/>
    <cellStyle name="Style 97 4 2 5 2 2" xfId="14974" xr:uid="{17E2BE08-BC8D-42BC-9A1B-044555F240A3}"/>
    <cellStyle name="Style 97 4 2 5 2 2 2" xfId="30751" xr:uid="{6249BA0C-249E-4DB5-87C0-A0749CEEF233}"/>
    <cellStyle name="Style 97 4 2 5 2 3" xfId="30750" xr:uid="{A3E08573-7952-4C0D-AD06-E0B2443B8744}"/>
    <cellStyle name="Style 97 4 2 5 3" xfId="14975" xr:uid="{4DC1FD79-30A7-458B-982A-3097329C373F}"/>
    <cellStyle name="Style 97 4 2 5 3 2" xfId="30752" xr:uid="{008C9AB6-AFDC-4D5B-A91E-7258A3BFC0A6}"/>
    <cellStyle name="Style 97 4 2 5 4" xfId="14976" xr:uid="{AF6F6B5F-D970-4B7D-BCC5-940154DD01EF}"/>
    <cellStyle name="Style 97 4 2 5 4 2" xfId="30753" xr:uid="{199783D8-2A9A-4A1D-BEC7-7B08AFA4E2BC}"/>
    <cellStyle name="Style 97 4 2 5 5" xfId="14977" xr:uid="{5538E90E-E126-476F-ACA2-F4AF107A592E}"/>
    <cellStyle name="Style 97 4 2 5 5 2" xfId="30754" xr:uid="{C4704184-72B6-492F-9858-4D13AE02542D}"/>
    <cellStyle name="Style 97 4 2 5 6" xfId="14978" xr:uid="{A1E006B7-5107-4CA8-B4BA-FD05038AB595}"/>
    <cellStyle name="Style 97 4 2 5 6 2" xfId="30755" xr:uid="{C2826D9B-11FF-4D28-813E-D4CEDE09170E}"/>
    <cellStyle name="Style 97 4 2 6" xfId="5378" xr:uid="{8B2439F7-3C7C-494F-8858-8846B402778A}"/>
    <cellStyle name="Style 97 4 2 6 2" xfId="14979" xr:uid="{E8917806-9FBE-40B2-8CF0-A65CE65A8AB1}"/>
    <cellStyle name="Style 97 4 2 6 2 2" xfId="30756" xr:uid="{5DB8F11D-3A8B-4E64-8CFE-F574CAC44DDB}"/>
    <cellStyle name="Style 97 4 2 6 3" xfId="14980" xr:uid="{01F92935-8C85-48E7-BFBF-106091F740CE}"/>
    <cellStyle name="Style 97 4 2 6 3 2" xfId="30757" xr:uid="{443E6B09-9480-4214-8E83-2170B0275E78}"/>
    <cellStyle name="Style 97 4 2 6 4" xfId="14981" xr:uid="{1D6E1702-1338-48C2-B0AB-5E049AA5916A}"/>
    <cellStyle name="Style 97 4 2 6 4 2" xfId="30758" xr:uid="{B4A5D9EF-A47B-4AFB-99D5-F9A152F9E537}"/>
    <cellStyle name="Style 97 4 2 7" xfId="5363" xr:uid="{63D04696-A5FA-4A38-9CF7-1F4AD952C299}"/>
    <cellStyle name="Style 97 4 2 7 2" xfId="14982" xr:uid="{3CDA36F6-7A84-49FC-B58C-24640156A20B}"/>
    <cellStyle name="Style 97 4 2 7 2 2" xfId="30759" xr:uid="{957EC86F-6919-4B84-AF1E-5421AD012369}"/>
    <cellStyle name="Style 97 4 2 7 3" xfId="14983" xr:uid="{62B72811-F4B1-414A-B0F0-DF259F0C8905}"/>
    <cellStyle name="Style 97 4 2 7 3 2" xfId="30760" xr:uid="{A50E28FB-2C60-4E45-AD48-A6A7F446542E}"/>
    <cellStyle name="Style 97 4 2 8" xfId="14984" xr:uid="{69D2511E-695C-4D69-9D5E-CDF123189FA7}"/>
    <cellStyle name="Style 97 4 2 8 2" xfId="14985" xr:uid="{AB12AC2D-FC8F-45FB-BB65-C6A7DA6BD6D4}"/>
    <cellStyle name="Style 97 4 2 8 2 2" xfId="30761" xr:uid="{FC0A4CB7-0A9D-46A3-8EA4-48553F852514}"/>
    <cellStyle name="Style 97 4 2 8 3" xfId="14986" xr:uid="{D2176DA0-9902-404A-B51F-D264BFA51AD2}"/>
    <cellStyle name="Style 97 4 2 8 3 2" xfId="30762" xr:uid="{C155CE4C-BD1A-4829-B526-9FD7762205E9}"/>
    <cellStyle name="Style 97 4 2 8 4" xfId="22399" xr:uid="{F01C743C-30E2-4553-989C-7F15D79C6F59}"/>
    <cellStyle name="Style 97 4 2 9" xfId="14987" xr:uid="{E2EC13BF-3303-4060-A546-08EC5D30834F}"/>
    <cellStyle name="Style 97 4 2 9 2" xfId="14988" xr:uid="{D3E9463E-20B1-4813-AAA2-327082143A72}"/>
    <cellStyle name="Style 97 4 2 9 2 2" xfId="30764" xr:uid="{1C8B110A-A207-4306-BF44-FD5A439E882A}"/>
    <cellStyle name="Style 97 4 2 9 3" xfId="30763" xr:uid="{F7A0AC4F-9B92-449E-B781-8B6107997DBA}"/>
    <cellStyle name="Style 97 4 3" xfId="2476" xr:uid="{F6956CB2-7E1F-40B9-8C9C-9D2D4C8D58EC}"/>
    <cellStyle name="Style 97 4 3 10" xfId="19294" xr:uid="{8984BDA5-EA0A-4591-AC14-CC7C8FC92C7F}"/>
    <cellStyle name="Style 97 4 3 2" xfId="5380" xr:uid="{2776173D-F8DC-41D8-82EF-4E3904213211}"/>
    <cellStyle name="Style 97 4 3 2 2" xfId="14989" xr:uid="{3892EAA4-00BC-4CE3-BF14-9D174C35E98F}"/>
    <cellStyle name="Style 97 4 3 2 2 2" xfId="30765" xr:uid="{716F684C-5002-452C-B920-E2C13A9A24F9}"/>
    <cellStyle name="Style 97 4 3 2 3" xfId="14990" xr:uid="{FEB0D710-BE43-4689-8801-846D3A1ADDAD}"/>
    <cellStyle name="Style 97 4 3 2 3 2" xfId="30766" xr:uid="{21FD67BE-4BA4-4249-A4E9-59410AE643B8}"/>
    <cellStyle name="Style 97 4 3 2 4" xfId="14991" xr:uid="{76F89AD9-7ABA-40F4-AE00-742418936011}"/>
    <cellStyle name="Style 97 4 3 2 4 2" xfId="30767" xr:uid="{7B0CE100-E9BD-4F0B-A1A2-46AACB7870D2}"/>
    <cellStyle name="Style 97 4 3 3" xfId="5379" xr:uid="{DB214114-8409-4C32-BF65-4440317F6428}"/>
    <cellStyle name="Style 97 4 3 3 2" xfId="14992" xr:uid="{DEA069E5-3FAA-4569-8C17-16A3DF3F8975}"/>
    <cellStyle name="Style 97 4 3 3 2 2" xfId="30768" xr:uid="{133E7B8A-E013-4CE9-8DD0-3B64A29967E3}"/>
    <cellStyle name="Style 97 4 3 3 3" xfId="14993" xr:uid="{E4408F28-E3D8-4671-9C48-2892D3336AF0}"/>
    <cellStyle name="Style 97 4 3 3 3 2" xfId="30769" xr:uid="{9A2336C7-8222-4260-8926-52A86FCFB07E}"/>
    <cellStyle name="Style 97 4 3 4" xfId="14994" xr:uid="{8D3DA09A-B496-4B8B-BE00-054C01E42EA7}"/>
    <cellStyle name="Style 97 4 3 4 2" xfId="14995" xr:uid="{152B3346-8484-47A5-B1BD-F1C9F1345312}"/>
    <cellStyle name="Style 97 4 3 4 2 2" xfId="30770" xr:uid="{0849B480-2764-42A1-8DC1-A61719F1914B}"/>
    <cellStyle name="Style 97 4 3 4 3" xfId="14996" xr:uid="{77F94A6A-5881-4A39-88FC-BDDF71FA7B6E}"/>
    <cellStyle name="Style 97 4 3 4 3 2" xfId="30771" xr:uid="{9ADCEB9F-85D3-4029-B55A-1ADD72555A41}"/>
    <cellStyle name="Style 97 4 3 4 4" xfId="22405" xr:uid="{CADA0DE5-0CF2-482D-B263-18A7CB290597}"/>
    <cellStyle name="Style 97 4 3 5" xfId="14997" xr:uid="{20CF67D9-EFB4-412E-8D17-E5E4A7127DF7}"/>
    <cellStyle name="Style 97 4 3 5 2" xfId="14998" xr:uid="{FF674CC8-15A3-42B6-9D87-FA6486C3C915}"/>
    <cellStyle name="Style 97 4 3 5 2 2" xfId="30773" xr:uid="{E4FD813C-A739-4762-8981-192BA09F5BF3}"/>
    <cellStyle name="Style 97 4 3 5 3" xfId="30772" xr:uid="{1C511918-5CCC-4487-ABF3-96D28C74B437}"/>
    <cellStyle name="Style 97 4 3 6" xfId="14999" xr:uid="{E80F5ADC-5F73-44D4-BC8C-09221C3A96E9}"/>
    <cellStyle name="Style 97 4 3 6 2" xfId="15000" xr:uid="{B7B59DAF-E930-4925-BDF0-E04B16592B79}"/>
    <cellStyle name="Style 97 4 3 6 2 2" xfId="30775" xr:uid="{EBEFA5B6-63FE-4A79-B3AF-4C7353271FA4}"/>
    <cellStyle name="Style 97 4 3 6 3" xfId="30774" xr:uid="{71DD69F7-DE92-4268-9153-322CA3B41154}"/>
    <cellStyle name="Style 97 4 3 7" xfId="15001" xr:uid="{B8B1B7ED-F3D9-4B3A-85FF-183DC2BD6657}"/>
    <cellStyle name="Style 97 4 3 7 2" xfId="15002" xr:uid="{401255D1-6184-4882-82AB-FDA57468FC39}"/>
    <cellStyle name="Style 97 4 3 7 2 2" xfId="30777" xr:uid="{F61EF464-D3E6-47FB-8C24-A28165B501D7}"/>
    <cellStyle name="Style 97 4 3 7 3" xfId="30776" xr:uid="{7FD5B155-0D20-4F66-96BE-4E8ED88E1184}"/>
    <cellStyle name="Style 97 4 3 8" xfId="15003" xr:uid="{1651EEC9-9AB4-45C4-943B-C38D00C02A0B}"/>
    <cellStyle name="Style 97 4 3 8 2" xfId="30778" xr:uid="{8AAB7500-711F-47FD-8100-EBAF7573474C}"/>
    <cellStyle name="Style 97 4 3 9" xfId="15004" xr:uid="{7800DB42-3661-48FB-9EA4-38BE8733BD04}"/>
    <cellStyle name="Style 97 4 3 9 2" xfId="30779" xr:uid="{38739485-527E-4D02-B423-571A76CFE499}"/>
    <cellStyle name="Style 97 4 4" xfId="5381" xr:uid="{97970F15-CE89-49AF-88EB-A959ECB928A4}"/>
    <cellStyle name="Style 97 4 4 2" xfId="5382" xr:uid="{7DFAA70A-B86B-467F-825D-B610561A6B1C}"/>
    <cellStyle name="Style 97 4 4 2 2" xfId="15005" xr:uid="{1E46E352-8928-465D-A453-608AEC06E6CC}"/>
    <cellStyle name="Style 97 4 4 2 2 2" xfId="30780" xr:uid="{4C17FC7C-A483-45CA-80B4-4C0FB4C9B032}"/>
    <cellStyle name="Style 97 4 4 2 3" xfId="15006" xr:uid="{6107C651-DA08-4B87-9FA6-D4D6E57F9DEB}"/>
    <cellStyle name="Style 97 4 4 2 3 2" xfId="30781" xr:uid="{131CC607-8A00-47E6-828A-B8DDCCE62EC5}"/>
    <cellStyle name="Style 97 4 4 3" xfId="5383" xr:uid="{D684443B-0B39-477E-A61F-ADB44BC8A0C2}"/>
    <cellStyle name="Style 97 4 4 3 2" xfId="15007" xr:uid="{4F1A3200-6585-4CFD-8E0C-98FF58B98402}"/>
    <cellStyle name="Style 97 4 4 3 2 2" xfId="30782" xr:uid="{049F875A-53B1-4477-92CB-8CB0A479DF64}"/>
    <cellStyle name="Style 97 4 4 4" xfId="15008" xr:uid="{05825616-5F07-4412-B6B5-25BFB5FC339A}"/>
    <cellStyle name="Style 97 4 4 4 2" xfId="30783" xr:uid="{F8E614AF-E255-476D-9376-0B24186B339C}"/>
    <cellStyle name="Style 97 4 4 5" xfId="15009" xr:uid="{55319B7A-E68B-4A98-BF04-802697B26F6F}"/>
    <cellStyle name="Style 97 4 4 5 2" xfId="30784" xr:uid="{A34E2E71-26B3-4B4C-A9CD-830B3AD50B87}"/>
    <cellStyle name="Style 97 4 4 6" xfId="15010" xr:uid="{B5E9373F-91B7-4BEF-81A8-AE2AD4920B49}"/>
    <cellStyle name="Style 97 4 4 6 2" xfId="30785" xr:uid="{F71532C7-368A-4643-B020-61CA456E366D}"/>
    <cellStyle name="Style 97 4 4 7" xfId="19295" xr:uid="{946B9254-4F89-4AC1-AE01-2546285744A6}"/>
    <cellStyle name="Style 97 4 5" xfId="5384" xr:uid="{704AF053-6448-43F2-A372-64A2B25500F8}"/>
    <cellStyle name="Style 97 4 5 2" xfId="15011" xr:uid="{7A13D4A7-3967-4621-9D70-C56F240A1A65}"/>
    <cellStyle name="Style 97 4 5 2 2" xfId="30786" xr:uid="{690872B9-A3E9-4282-A489-8BA66852401E}"/>
    <cellStyle name="Style 97 4 5 3" xfId="15012" xr:uid="{1AB53554-1D42-47EC-AE4C-B088BCD14980}"/>
    <cellStyle name="Style 97 4 5 3 2" xfId="30787" xr:uid="{244F1D98-0684-45AA-88A4-4F354042A5F4}"/>
    <cellStyle name="Style 97 4 5 4" xfId="15013" xr:uid="{1F9EEC98-1468-4BE3-87CA-345F3E5F5A05}"/>
    <cellStyle name="Style 97 4 5 4 2" xfId="30788" xr:uid="{76CC80E3-A02E-4797-9023-EC544CD58B1F}"/>
    <cellStyle name="Style 97 4 6" xfId="5362" xr:uid="{F7EC60F0-0341-42A3-8A4E-3EB5407CA701}"/>
    <cellStyle name="Style 97 4 6 2" xfId="15014" xr:uid="{E09133DB-60FB-4DBD-9B16-FE546F1FD0B8}"/>
    <cellStyle name="Style 97 4 6 2 2" xfId="30789" xr:uid="{10D91222-C11F-42B2-B589-4AEE1C8B924F}"/>
    <cellStyle name="Style 97 4 6 3" xfId="15015" xr:uid="{A5FAC33C-014B-4891-823E-F3B0C47611AA}"/>
    <cellStyle name="Style 97 4 6 3 2" xfId="30790" xr:uid="{84A98054-652A-4201-9511-7DAFA58E41C4}"/>
    <cellStyle name="Style 97 4 7" xfId="2978" xr:uid="{4456016A-380E-44E2-B4F5-B729C2A01FA7}"/>
    <cellStyle name="Style 97 4 7 2" xfId="15016" xr:uid="{240E2452-80C4-4879-890F-738E2283B0AF}"/>
    <cellStyle name="Style 97 4 7 2 2" xfId="30791" xr:uid="{2B59D35B-94A1-4FB7-9269-6AEA287F893D}"/>
    <cellStyle name="Style 97 4 7 3" xfId="15017" xr:uid="{9BE65D7A-C9C9-4655-A25C-57A8DB342B0A}"/>
    <cellStyle name="Style 97 4 7 3 2" xfId="30792" xr:uid="{B0A4101B-052E-4C64-9680-783736258552}"/>
    <cellStyle name="Style 97 4 7 4" xfId="21336" xr:uid="{8C99FFB6-30C0-4318-905F-96877E7D7C04}"/>
    <cellStyle name="Style 97 4 8" xfId="15018" xr:uid="{710036FC-C1D9-4AB9-AD4F-98D8D30B6ADB}"/>
    <cellStyle name="Style 97 4 8 2" xfId="15019" xr:uid="{CD45D935-82E8-4137-AA15-E62A5C51F4E7}"/>
    <cellStyle name="Style 97 4 8 2 2" xfId="30793" xr:uid="{09BD4D55-83F6-4A77-9477-ACD75A499157}"/>
    <cellStyle name="Style 97 4 8 3" xfId="15020" xr:uid="{F7CF66DE-56EC-4BFA-8DD1-BB88EE3D5D56}"/>
    <cellStyle name="Style 97 4 8 3 2" xfId="30794" xr:uid="{AF52E20B-2E37-4091-A357-F6744C66DAEF}"/>
    <cellStyle name="Style 97 4 8 4" xfId="22398" xr:uid="{8BC8AC6F-3B2B-40A8-98FF-341C08682750}"/>
    <cellStyle name="Style 97 4 9" xfId="15021" xr:uid="{24E854F8-D75C-41AA-A55B-8D001ADD4E96}"/>
    <cellStyle name="Style 97 4 9 2" xfId="15022" xr:uid="{28FBED0E-E380-4ADA-8641-DE428401EEB3}"/>
    <cellStyle name="Style 97 4 9 2 2" xfId="30796" xr:uid="{38C2BFB6-FB90-4397-B6A1-73D0CC23B4F2}"/>
    <cellStyle name="Style 97 4 9 3" xfId="30795" xr:uid="{F5E70BF9-DA72-42DE-926B-721C602F53C6}"/>
    <cellStyle name="Style 97 5" xfId="2477" xr:uid="{A16AAB7B-A7BA-4500-9FDF-9E67FFB4D8F7}"/>
    <cellStyle name="Style 97 5 10" xfId="15023" xr:uid="{19448BC7-0217-4DA7-BEF2-A93D4DEDDE90}"/>
    <cellStyle name="Style 97 5 10 2" xfId="30797" xr:uid="{6793CBAB-C263-412A-99ED-474DB1163F76}"/>
    <cellStyle name="Style 97 5 11" xfId="15024" xr:uid="{9A97317B-2E30-4AD9-B5A8-42A4F1E9B69D}"/>
    <cellStyle name="Style 97 5 11 2" xfId="30798" xr:uid="{178899B7-6282-485F-ACEA-3630285040B5}"/>
    <cellStyle name="Style 97 5 12" xfId="19296" xr:uid="{AB3F4A43-4AE5-4F90-8ECD-C0AF94B98701}"/>
    <cellStyle name="Style 97 5 2" xfId="2478" xr:uid="{9B7A2C59-F23D-4658-A836-AF5BA9ED877A}"/>
    <cellStyle name="Style 97 5 2 10" xfId="15025" xr:uid="{823A22BE-CE83-40EE-937C-BF578EBD8CBD}"/>
    <cellStyle name="Style 97 5 2 10 2" xfId="15026" xr:uid="{9167DE58-52B7-40BB-9406-8FB28F1E43C0}"/>
    <cellStyle name="Style 97 5 2 10 2 2" xfId="30800" xr:uid="{51006C57-3A66-4404-9CE9-27CB00296899}"/>
    <cellStyle name="Style 97 5 2 10 3" xfId="30799" xr:uid="{52D4ED6C-3061-4C22-8BE7-0D1DC73F4C3B}"/>
    <cellStyle name="Style 97 5 2 11" xfId="15027" xr:uid="{641CFFAE-FD41-4D1F-ACEF-65A3BEE69134}"/>
    <cellStyle name="Style 97 5 2 11 2" xfId="30801" xr:uid="{E865950C-EBFB-4951-A724-86BE497CD462}"/>
    <cellStyle name="Style 97 5 2 12" xfId="15028" xr:uid="{668AFE20-C37C-4E24-8B94-F57D030BD91F}"/>
    <cellStyle name="Style 97 5 2 12 2" xfId="30802" xr:uid="{1826248A-98FF-4D61-8C39-03E171CB23B1}"/>
    <cellStyle name="Style 97 5 2 13" xfId="19297" xr:uid="{7F8EBDC2-69F8-4002-A71B-CAF413607395}"/>
    <cellStyle name="Style 97 5 2 2" xfId="2479" xr:uid="{84EB0905-D7A2-4BB2-B909-200FC0B06BA2}"/>
    <cellStyle name="Style 97 5 2 2 10" xfId="19298" xr:uid="{F096D399-4C70-4C90-B476-38F9C7196C29}"/>
    <cellStyle name="Style 97 5 2 2 2" xfId="5388" xr:uid="{F19DD925-E8AA-4723-B7D9-FDB7C33AAA4B}"/>
    <cellStyle name="Style 97 5 2 2 2 2" xfId="15029" xr:uid="{ABB69A68-3DED-483F-92B7-1A6F5D11A185}"/>
    <cellStyle name="Style 97 5 2 2 2 2 2" xfId="30803" xr:uid="{CA878FF6-62B4-4D9D-8432-D12A53D15E43}"/>
    <cellStyle name="Style 97 5 2 2 2 3" xfId="15030" xr:uid="{3AA1E17F-0FB1-4146-9E12-488CDE667C8C}"/>
    <cellStyle name="Style 97 5 2 2 2 3 2" xfId="30804" xr:uid="{39B1ED26-BAAF-416E-BC3B-DFE98AA18ACE}"/>
    <cellStyle name="Style 97 5 2 2 2 4" xfId="15031" xr:uid="{2EBDBA1A-CD53-4263-A34A-9EF1501F7E23}"/>
    <cellStyle name="Style 97 5 2 2 2 4 2" xfId="30805" xr:uid="{2D370E43-C19B-420F-8D82-5BB9132836E4}"/>
    <cellStyle name="Style 97 5 2 2 3" xfId="5387" xr:uid="{6388FC80-0FF7-46F9-AE23-A9586D14F3EE}"/>
    <cellStyle name="Style 97 5 2 2 3 2" xfId="15032" xr:uid="{A15ABF3A-3463-4402-A626-B4C97C052A4A}"/>
    <cellStyle name="Style 97 5 2 2 3 2 2" xfId="30806" xr:uid="{51BFDD8A-7FC3-4E62-9628-DB02FFFAAF61}"/>
    <cellStyle name="Style 97 5 2 2 3 3" xfId="15033" xr:uid="{28893ED2-B144-4D04-9267-E2A68E76668F}"/>
    <cellStyle name="Style 97 5 2 2 3 3 2" xfId="30807" xr:uid="{66AE9D58-61ED-4C36-A699-87191FE9AA0D}"/>
    <cellStyle name="Style 97 5 2 2 4" xfId="15034" xr:uid="{5C6C24BB-9E1A-4477-9656-5E4C333A7756}"/>
    <cellStyle name="Style 97 5 2 2 4 2" xfId="15035" xr:uid="{EE827DA3-4E29-4AE1-8CA0-99AC31D0D84E}"/>
    <cellStyle name="Style 97 5 2 2 4 2 2" xfId="30808" xr:uid="{935D69DA-7169-43FC-826B-4963AE48A3EC}"/>
    <cellStyle name="Style 97 5 2 2 4 3" xfId="15036" xr:uid="{5F99BED0-FB1E-42B6-9293-BADB1A83F48A}"/>
    <cellStyle name="Style 97 5 2 2 4 3 2" xfId="30809" xr:uid="{B9345CDC-96AE-4610-A8D8-08E18F39A8D4}"/>
    <cellStyle name="Style 97 5 2 2 4 4" xfId="22408" xr:uid="{767005EF-7EF3-474E-AD36-B612AC3D6F5B}"/>
    <cellStyle name="Style 97 5 2 2 5" xfId="15037" xr:uid="{C8380D25-537C-49A2-B789-AFF6AB7A4A68}"/>
    <cellStyle name="Style 97 5 2 2 5 2" xfId="15038" xr:uid="{ABB3DB1C-FD76-447C-9F3E-4995B9244C2E}"/>
    <cellStyle name="Style 97 5 2 2 5 2 2" xfId="30811" xr:uid="{A9B8BDA3-C9D5-449A-AE55-316426CC4FB2}"/>
    <cellStyle name="Style 97 5 2 2 5 3" xfId="30810" xr:uid="{7FBAE504-55A6-40FB-AFD8-593D76541B47}"/>
    <cellStyle name="Style 97 5 2 2 6" xfId="15039" xr:uid="{C4005A71-2ADF-4110-890C-55C167CA6DDE}"/>
    <cellStyle name="Style 97 5 2 2 6 2" xfId="15040" xr:uid="{CD6F64B1-65CD-47C5-AA9D-F2C2D34003AB}"/>
    <cellStyle name="Style 97 5 2 2 6 2 2" xfId="30813" xr:uid="{6296E6BC-066D-442B-86B2-11348FA4A09A}"/>
    <cellStyle name="Style 97 5 2 2 6 3" xfId="30812" xr:uid="{E7B4625A-6D8F-493C-B775-D08682C77C70}"/>
    <cellStyle name="Style 97 5 2 2 7" xfId="15041" xr:uid="{B570165C-BECA-4DBF-8A82-FD8FA49026A5}"/>
    <cellStyle name="Style 97 5 2 2 7 2" xfId="15042" xr:uid="{DBA34AFA-4A93-41DD-9C95-957A8EF25C9B}"/>
    <cellStyle name="Style 97 5 2 2 7 2 2" xfId="30815" xr:uid="{50301545-6541-4A5F-90BF-30B3CBB5D601}"/>
    <cellStyle name="Style 97 5 2 2 7 3" xfId="30814" xr:uid="{8DAC8514-AD5E-4854-9624-D60CA0367F18}"/>
    <cellStyle name="Style 97 5 2 2 8" xfId="15043" xr:uid="{E0E3B2C6-887E-45E5-9B9A-00453846EC32}"/>
    <cellStyle name="Style 97 5 2 2 8 2" xfId="30816" xr:uid="{EC4C4904-D6C5-4011-9418-9E640A64E267}"/>
    <cellStyle name="Style 97 5 2 2 9" xfId="15044" xr:uid="{C1E0D976-3172-4BDA-8429-614E5DB34FBA}"/>
    <cellStyle name="Style 97 5 2 2 9 2" xfId="30817" xr:uid="{0011DE0B-A49B-4E9E-90FA-4AFD58B78370}"/>
    <cellStyle name="Style 97 5 2 3" xfId="2480" xr:uid="{61AC87A0-105E-49FF-A8DE-89D8F7C555F8}"/>
    <cellStyle name="Style 97 5 2 3 10" xfId="15045" xr:uid="{18CF41E6-5B2A-4B06-A30A-906AD2B496F2}"/>
    <cellStyle name="Style 97 5 2 3 10 2" xfId="30818" xr:uid="{AF03904B-DDAB-4247-BD11-B49A27AD2312}"/>
    <cellStyle name="Style 97 5 2 3 11" xfId="19299" xr:uid="{6DED73C1-6F02-44C0-9611-0CBEA8BCE8EF}"/>
    <cellStyle name="Style 97 5 2 3 2" xfId="2481" xr:uid="{781F3E30-15FE-4EAF-AB52-9C1196C63A5D}"/>
    <cellStyle name="Style 97 5 2 3 2 10" xfId="15046" xr:uid="{B3600F02-A9D4-4F18-B8EA-DEDF91354CDB}"/>
    <cellStyle name="Style 97 5 2 3 2 10 2" xfId="30819" xr:uid="{27E57460-5E62-4BB5-A9EA-417C15B7C328}"/>
    <cellStyle name="Style 97 5 2 3 2 11" xfId="19300" xr:uid="{4C0B6FA6-4DEB-4B0D-B8C7-F3650A088FC5}"/>
    <cellStyle name="Style 97 5 2 3 2 2" xfId="5391" xr:uid="{FB9194E3-FCB2-409B-8173-8B585EC2A864}"/>
    <cellStyle name="Style 97 5 2 3 2 2 2" xfId="15047" xr:uid="{F298645C-E4BB-44F2-9009-A088CB241DC9}"/>
    <cellStyle name="Style 97 5 2 3 2 2 2 2" xfId="15048" xr:uid="{147C8AA1-8119-4DB5-886F-519CB9D0AA27}"/>
    <cellStyle name="Style 97 5 2 3 2 2 2 2 2" xfId="30821" xr:uid="{5EC9E687-AB74-46CC-9B90-D08A2CC09AD0}"/>
    <cellStyle name="Style 97 5 2 3 2 2 2 3" xfId="30820" xr:uid="{ECD15FAA-4F42-42CA-A3A8-C0B5BD15EF5E}"/>
    <cellStyle name="Style 97 5 2 3 2 2 3" xfId="15049" xr:uid="{7FCAEC3D-9489-41C1-9F88-761CDE46D840}"/>
    <cellStyle name="Style 97 5 2 3 2 2 3 2" xfId="15050" xr:uid="{FE9CCFA7-37B2-45A1-9A05-43267483DE41}"/>
    <cellStyle name="Style 97 5 2 3 2 2 3 2 2" xfId="30823" xr:uid="{979E6A99-D6A3-4901-B5B7-96A4F1545AA0}"/>
    <cellStyle name="Style 97 5 2 3 2 2 3 3" xfId="30822" xr:uid="{2D874F04-C346-4FEB-96CA-641CFFD39A62}"/>
    <cellStyle name="Style 97 5 2 3 2 2 4" xfId="15051" xr:uid="{D96A3CCB-7395-444F-BB84-43B84E828E84}"/>
    <cellStyle name="Style 97 5 2 3 2 2 4 2" xfId="15052" xr:uid="{5806D65F-4413-4DCA-A9F6-529355C06F77}"/>
    <cellStyle name="Style 97 5 2 3 2 2 4 2 2" xfId="30825" xr:uid="{B43B0A60-80A2-482E-91E7-E566EBDE7E61}"/>
    <cellStyle name="Style 97 5 2 3 2 2 4 3" xfId="30824" xr:uid="{6743F099-415C-4BBE-ABB9-130AC06681BF}"/>
    <cellStyle name="Style 97 5 2 3 2 2 5" xfId="15053" xr:uid="{A5F4B196-0F4F-4E3B-8FE8-37D339949715}"/>
    <cellStyle name="Style 97 5 2 3 2 2 5 2" xfId="15054" xr:uid="{44DC9634-38ED-4710-B960-F8852CD82B22}"/>
    <cellStyle name="Style 97 5 2 3 2 2 5 2 2" xfId="30827" xr:uid="{776035C5-65C3-4661-8701-885D9954BFBD}"/>
    <cellStyle name="Style 97 5 2 3 2 2 5 3" xfId="30826" xr:uid="{A6FCF2C9-2299-4508-931D-E849CB9060EF}"/>
    <cellStyle name="Style 97 5 2 3 2 2 6" xfId="15055" xr:uid="{F9C20E54-458F-4BBC-927B-9F910D08A4C1}"/>
    <cellStyle name="Style 97 5 2 3 2 2 6 2" xfId="30828" xr:uid="{5B3C246D-8129-4342-92C9-17B50926447A}"/>
    <cellStyle name="Style 97 5 2 3 2 2 7" xfId="15056" xr:uid="{439E5B05-D291-47D9-94AF-F71F57EA90AC}"/>
    <cellStyle name="Style 97 5 2 3 2 2 7 2" xfId="30829" xr:uid="{7039D512-5983-49F6-92E4-F3FBFE0DBA09}"/>
    <cellStyle name="Style 97 5 2 3 2 3" xfId="5390" xr:uid="{035721A8-FC9B-4762-BB5C-D6A7D9A62F71}"/>
    <cellStyle name="Style 97 5 2 3 2 3 2" xfId="15057" xr:uid="{326C37B6-78C8-40F9-AFDC-12FC31D6217C}"/>
    <cellStyle name="Style 97 5 2 3 2 3 2 2" xfId="30830" xr:uid="{FFDC2033-9B3F-40EB-B33F-E79DF2237466}"/>
    <cellStyle name="Style 97 5 2 3 2 3 3" xfId="15058" xr:uid="{1FC5C873-4F8B-4F5B-8264-D38B5D65CF0A}"/>
    <cellStyle name="Style 97 5 2 3 2 3 3 2" xfId="30831" xr:uid="{682951EE-E65A-431A-9495-623DDB6A4549}"/>
    <cellStyle name="Style 97 5 2 3 2 4" xfId="15059" xr:uid="{F740A24F-7E4A-43B2-831E-6537C7808F89}"/>
    <cellStyle name="Style 97 5 2 3 2 4 2" xfId="15060" xr:uid="{F2ADD6A7-BA8A-4B0B-A700-A55F9F80694A}"/>
    <cellStyle name="Style 97 5 2 3 2 4 2 2" xfId="30832" xr:uid="{58A4A0E2-20E9-4569-9153-A42E494B516F}"/>
    <cellStyle name="Style 97 5 2 3 2 4 3" xfId="15061" xr:uid="{FA5A2073-F005-4D45-9E30-3BD25A87B89E}"/>
    <cellStyle name="Style 97 5 2 3 2 4 3 2" xfId="30833" xr:uid="{5392A6C0-E0DB-4728-9214-D30DD963605B}"/>
    <cellStyle name="Style 97 5 2 3 2 4 4" xfId="22410" xr:uid="{98C08135-157B-44C2-A42C-05BE900F82E7}"/>
    <cellStyle name="Style 97 5 2 3 2 5" xfId="15062" xr:uid="{95C806E3-1FBE-45B7-B5F2-EE2B0CBDE48E}"/>
    <cellStyle name="Style 97 5 2 3 2 5 2" xfId="15063" xr:uid="{B7B2BD9F-7664-476C-A83B-4F2A192AEDDC}"/>
    <cellStyle name="Style 97 5 2 3 2 5 2 2" xfId="30835" xr:uid="{6CD3F4D3-AC38-4529-9564-1485F63F44FC}"/>
    <cellStyle name="Style 97 5 2 3 2 5 3" xfId="30834" xr:uid="{C508E42D-CDE2-4EB9-ABE4-CC4927256477}"/>
    <cellStyle name="Style 97 5 2 3 2 6" xfId="15064" xr:uid="{A433C8D6-7A2B-48B1-AF34-0569549ECBAF}"/>
    <cellStyle name="Style 97 5 2 3 2 6 2" xfId="15065" xr:uid="{FB8A20BB-59FE-4739-97A6-9754EE391130}"/>
    <cellStyle name="Style 97 5 2 3 2 6 2 2" xfId="30837" xr:uid="{48287E49-B38D-4CA6-83C8-B73301FC8327}"/>
    <cellStyle name="Style 97 5 2 3 2 6 3" xfId="30836" xr:uid="{099873FF-AB14-4200-876A-909124ED3A97}"/>
    <cellStyle name="Style 97 5 2 3 2 7" xfId="15066" xr:uid="{157A12E9-5EFC-4096-AC41-8ADC3E3D173B}"/>
    <cellStyle name="Style 97 5 2 3 2 7 2" xfId="15067" xr:uid="{42FFD258-D317-4A7D-A798-15DD04A4E521}"/>
    <cellStyle name="Style 97 5 2 3 2 7 2 2" xfId="30839" xr:uid="{B295C682-862E-4483-A95D-7039C2D24CA6}"/>
    <cellStyle name="Style 97 5 2 3 2 7 3" xfId="30838" xr:uid="{0B1FCCE6-6BE6-42CD-82C5-288F98A76341}"/>
    <cellStyle name="Style 97 5 2 3 2 8" xfId="15068" xr:uid="{E2FBDE41-6C54-4428-AE34-D1726A0FD8A4}"/>
    <cellStyle name="Style 97 5 2 3 2 8 2" xfId="15069" xr:uid="{DE6760BF-AFFD-4B6B-A00D-7F614D441021}"/>
    <cellStyle name="Style 97 5 2 3 2 8 2 2" xfId="30841" xr:uid="{1130C6EC-232E-43A1-A4B4-CD235E5A31CC}"/>
    <cellStyle name="Style 97 5 2 3 2 8 3" xfId="30840" xr:uid="{EDFBD5FC-9684-46F6-B401-235212600AB4}"/>
    <cellStyle name="Style 97 5 2 3 2 9" xfId="15070" xr:uid="{395F4A3C-0E86-4FDE-BC20-69EF8D3AC784}"/>
    <cellStyle name="Style 97 5 2 3 2 9 2" xfId="30842" xr:uid="{BB6F9C34-E500-4EAA-A2BF-82A665EE2CE5}"/>
    <cellStyle name="Style 97 5 2 3 3" xfId="5392" xr:uid="{57DF46F8-243D-4C27-9EFF-26F3B92CF7C4}"/>
    <cellStyle name="Style 97 5 2 3 3 2" xfId="5393" xr:uid="{C1E38AF3-1EBB-400F-9956-AA044AB85DD6}"/>
    <cellStyle name="Style 97 5 2 3 3 2 2" xfId="15071" xr:uid="{E6CE6601-C059-4F15-8D48-806E59C7D65C}"/>
    <cellStyle name="Style 97 5 2 3 3 2 2 2" xfId="30843" xr:uid="{A8588CD5-817B-42DA-9EAA-6AD6D6A10E01}"/>
    <cellStyle name="Style 97 5 2 3 3 2 3" xfId="15072" xr:uid="{1F4DF33C-064C-4B14-891E-3D40CF22E29D}"/>
    <cellStyle name="Style 97 5 2 3 3 2 3 2" xfId="30844" xr:uid="{73420234-4B51-401F-A448-BE0E801D43C4}"/>
    <cellStyle name="Style 97 5 2 3 3 3" xfId="15073" xr:uid="{416CD7AC-4DB8-4891-89F4-C3679A9D013B}"/>
    <cellStyle name="Style 97 5 2 3 3 3 2" xfId="30845" xr:uid="{156FCC0F-157A-4A12-8ADC-73497AAD22AD}"/>
    <cellStyle name="Style 97 5 2 3 3 4" xfId="15074" xr:uid="{3019C6D1-2F82-48CF-ABC9-F952A9CC0758}"/>
    <cellStyle name="Style 97 5 2 3 3 4 2" xfId="30846" xr:uid="{372BD4A8-CA1B-4507-A96B-A117989286D4}"/>
    <cellStyle name="Style 97 5 2 3 3 5" xfId="15075" xr:uid="{D2CFBB58-AF25-4FDD-ABA0-31F6661D13C1}"/>
    <cellStyle name="Style 97 5 2 3 3 5 2" xfId="30847" xr:uid="{B8DE2DE9-54C5-4EB7-90EE-DD86074027CD}"/>
    <cellStyle name="Style 97 5 2 3 3 6" xfId="15076" xr:uid="{7433981C-75C3-4BED-A5BD-D9C8BCDE1C3E}"/>
    <cellStyle name="Style 97 5 2 3 3 6 2" xfId="30848" xr:uid="{32A7806F-2B52-4C84-B10B-9D7BB389E47F}"/>
    <cellStyle name="Style 97 5 2 3 3 7" xfId="19301" xr:uid="{F347206D-F4BC-4140-850E-37DDC1482234}"/>
    <cellStyle name="Style 97 5 2 3 4" xfId="5394" xr:uid="{5132E2F9-F05A-47E7-ACD0-60E828A53C36}"/>
    <cellStyle name="Style 97 5 2 3 4 2" xfId="15077" xr:uid="{CEE2673F-268C-42AA-8C1A-E3BE1388CB0C}"/>
    <cellStyle name="Style 97 5 2 3 4 2 2" xfId="30849" xr:uid="{DBCF1E5B-D503-4280-B64C-1209EF3330B6}"/>
    <cellStyle name="Style 97 5 2 3 4 3" xfId="15078" xr:uid="{F82D3147-D458-4958-923A-864914564B2A}"/>
    <cellStyle name="Style 97 5 2 3 4 3 2" xfId="30850" xr:uid="{71B2F4EE-5A0C-4E3D-AC83-6DD6297BA4DB}"/>
    <cellStyle name="Style 97 5 2 3 4 4" xfId="15079" xr:uid="{93E87FC0-2EC8-4A1B-AD17-BA10CD357523}"/>
    <cellStyle name="Style 97 5 2 3 4 4 2" xfId="30851" xr:uid="{CC30C3FA-5882-451C-BA26-FF1EE092F353}"/>
    <cellStyle name="Style 97 5 2 3 5" xfId="5395" xr:uid="{781B0565-E30C-4966-941D-8A99D858FF3B}"/>
    <cellStyle name="Style 97 5 2 3 5 2" xfId="15080" xr:uid="{35C89DED-64DC-4B11-8ADF-AE17223BD662}"/>
    <cellStyle name="Style 97 5 2 3 5 2 2" xfId="30852" xr:uid="{84427E63-FF37-487B-A2B7-20433DD623BE}"/>
    <cellStyle name="Style 97 5 2 3 5 3" xfId="15081" xr:uid="{48563D02-0F37-4F30-80FA-DA6967EA4EA7}"/>
    <cellStyle name="Style 97 5 2 3 5 3 2" xfId="30853" xr:uid="{69A50DAF-714C-46C2-86A0-429AECE65AB4}"/>
    <cellStyle name="Style 97 5 2 3 6" xfId="5389" xr:uid="{330C40BD-2487-4B5A-B866-4E53FA659FD8}"/>
    <cellStyle name="Style 97 5 2 3 6 2" xfId="15082" xr:uid="{EAC4584E-89D9-4A41-9DA8-7C4E7422FF54}"/>
    <cellStyle name="Style 97 5 2 3 6 2 2" xfId="30854" xr:uid="{0B11EF29-B9EE-4274-8A13-010AFD745F6B}"/>
    <cellStyle name="Style 97 5 2 3 6 3" xfId="15083" xr:uid="{3A9397C7-FF07-4D63-B3E6-00953C6953C9}"/>
    <cellStyle name="Style 97 5 2 3 6 3 2" xfId="30855" xr:uid="{B92246C8-BD3A-49E7-AB6E-1B4D067AAE7D}"/>
    <cellStyle name="Style 97 5 2 3 7" xfId="15084" xr:uid="{63B1F8DD-78D1-4094-8E81-A1242A091D67}"/>
    <cellStyle name="Style 97 5 2 3 7 2" xfId="15085" xr:uid="{0010E9C9-8D67-4BFC-9E0F-1B337DC106E9}"/>
    <cellStyle name="Style 97 5 2 3 7 2 2" xfId="30856" xr:uid="{08540656-BB38-4111-B08D-81E7B9904D1B}"/>
    <cellStyle name="Style 97 5 2 3 7 3" xfId="15086" xr:uid="{E891C80F-777B-4DDA-8319-7EF3C2E58999}"/>
    <cellStyle name="Style 97 5 2 3 7 3 2" xfId="30857" xr:uid="{A5CDA899-A965-457D-B560-50E534784CA9}"/>
    <cellStyle name="Style 97 5 2 3 7 4" xfId="22409" xr:uid="{9C25D49F-D3FB-471C-AD26-E0287AFDF560}"/>
    <cellStyle name="Style 97 5 2 3 8" xfId="15087" xr:uid="{9377C879-530C-41A5-8485-2B10F8E5CDDE}"/>
    <cellStyle name="Style 97 5 2 3 8 2" xfId="15088" xr:uid="{EEFA4737-15C9-4388-B949-34E1B80E03D8}"/>
    <cellStyle name="Style 97 5 2 3 8 2 2" xfId="30859" xr:uid="{94A2A6B6-6526-4E55-AEF6-CDDBD0EC407C}"/>
    <cellStyle name="Style 97 5 2 3 8 3" xfId="30858" xr:uid="{EEC76BE3-5AE4-4A94-BFC7-763C408A3593}"/>
    <cellStyle name="Style 97 5 2 3 9" xfId="15089" xr:uid="{B1D1CDBD-D1B5-4268-850D-574AF118D7A8}"/>
    <cellStyle name="Style 97 5 2 3 9 2" xfId="30860" xr:uid="{D4242433-0AF0-4E24-9E21-AE8291EB7129}"/>
    <cellStyle name="Style 97 5 2 4" xfId="2482" xr:uid="{629BE2C9-49BD-4B1E-BBCA-8269531B1D9C}"/>
    <cellStyle name="Style 97 5 2 4 10" xfId="15090" xr:uid="{45C05D6F-739D-4066-944C-856D68FD689E}"/>
    <cellStyle name="Style 97 5 2 4 10 2" xfId="30861" xr:uid="{1F97BFAF-6CF3-498C-BE7A-3F73AAD40BCF}"/>
    <cellStyle name="Style 97 5 2 4 11" xfId="15091" xr:uid="{9B9C7DCA-A543-4629-AD88-42DAFE2241D2}"/>
    <cellStyle name="Style 97 5 2 4 11 2" xfId="30862" xr:uid="{1867EC2F-3D4F-40D7-80A1-702C2265DD6A}"/>
    <cellStyle name="Style 97 5 2 4 12" xfId="19302" xr:uid="{9BB3FFDC-DAD9-4201-9DAA-319F9815FEF9}"/>
    <cellStyle name="Style 97 5 2 4 2" xfId="2483" xr:uid="{672D5687-5801-4570-BDDC-7008A03C6527}"/>
    <cellStyle name="Style 97 5 2 4 2 10" xfId="15092" xr:uid="{4D160952-69EC-4637-A31D-CD5D6C10045A}"/>
    <cellStyle name="Style 97 5 2 4 2 10 2" xfId="30863" xr:uid="{0C861FB2-13E5-4AC1-80B0-7F25259DF8A2}"/>
    <cellStyle name="Style 97 5 2 4 2 11" xfId="19303" xr:uid="{A320E27C-ECCC-4F21-B130-AD18DA14D3F3}"/>
    <cellStyle name="Style 97 5 2 4 2 2" xfId="5398" xr:uid="{3754271D-D1FD-4756-B923-20DAA829CFC6}"/>
    <cellStyle name="Style 97 5 2 4 2 2 2" xfId="15093" xr:uid="{74FBFD03-3621-4053-B9C9-FE0DA7FD4216}"/>
    <cellStyle name="Style 97 5 2 4 2 2 2 2" xfId="15094" xr:uid="{E87A316F-B4AA-4C37-A89B-467DF802BE8C}"/>
    <cellStyle name="Style 97 5 2 4 2 2 2 2 2" xfId="30865" xr:uid="{445A4192-62B7-4E49-A4A9-1F33CCF45947}"/>
    <cellStyle name="Style 97 5 2 4 2 2 2 3" xfId="30864" xr:uid="{31422C8A-6BAC-4058-9FA9-70A1FDA5955B}"/>
    <cellStyle name="Style 97 5 2 4 2 2 3" xfId="15095" xr:uid="{7A4C8F8F-650F-4925-8734-0EE84680243A}"/>
    <cellStyle name="Style 97 5 2 4 2 2 3 2" xfId="15096" xr:uid="{63849882-E017-4222-A076-8A65295668E5}"/>
    <cellStyle name="Style 97 5 2 4 2 2 3 2 2" xfId="30867" xr:uid="{77B3A663-2415-4749-8866-2C3964063817}"/>
    <cellStyle name="Style 97 5 2 4 2 2 3 3" xfId="30866" xr:uid="{035A4E19-3F33-4DB3-BEDA-AA040897552B}"/>
    <cellStyle name="Style 97 5 2 4 2 2 4" xfId="15097" xr:uid="{B5A5E64A-0A60-42B3-A97F-5075F115F819}"/>
    <cellStyle name="Style 97 5 2 4 2 2 4 2" xfId="15098" xr:uid="{008B39A0-FDC4-4359-B8DA-FADD5BED58AE}"/>
    <cellStyle name="Style 97 5 2 4 2 2 4 2 2" xfId="30869" xr:uid="{2CBFC69A-F554-489B-A59E-41D4AEC196D0}"/>
    <cellStyle name="Style 97 5 2 4 2 2 4 3" xfId="30868" xr:uid="{BD376E20-1E3E-4428-8716-EDDC288A7D1D}"/>
    <cellStyle name="Style 97 5 2 4 2 2 5" xfId="15099" xr:uid="{CDDFB941-FA36-4745-9277-0A7F311E454A}"/>
    <cellStyle name="Style 97 5 2 4 2 2 5 2" xfId="15100" xr:uid="{F58259A8-171E-4E14-B76B-67F59C72C233}"/>
    <cellStyle name="Style 97 5 2 4 2 2 5 2 2" xfId="30871" xr:uid="{851613BE-7B3D-4C9B-BFE3-57FA40DAEBE1}"/>
    <cellStyle name="Style 97 5 2 4 2 2 5 3" xfId="30870" xr:uid="{0F7CCD13-5482-40CC-9D8A-EFBA649AB2FA}"/>
    <cellStyle name="Style 97 5 2 4 2 2 6" xfId="15101" xr:uid="{61EF436F-938D-47F7-A3FB-5AD066E6A862}"/>
    <cellStyle name="Style 97 5 2 4 2 2 6 2" xfId="30872" xr:uid="{26F044C9-137B-4E25-AE34-67812B1BD7F0}"/>
    <cellStyle name="Style 97 5 2 4 2 2 7" xfId="15102" xr:uid="{0A8BA098-FB89-4673-A39B-7C8FD13D1DC3}"/>
    <cellStyle name="Style 97 5 2 4 2 2 7 2" xfId="30873" xr:uid="{C74A2F4E-E52D-47D3-912E-A1A40D810CC2}"/>
    <cellStyle name="Style 97 5 2 4 2 3" xfId="5397" xr:uid="{8E0247F3-E5ED-4AA2-B15B-2A3119996321}"/>
    <cellStyle name="Style 97 5 2 4 2 3 2" xfId="15103" xr:uid="{687CA9C9-2AE6-46F1-B450-90D8BAEDEC6D}"/>
    <cellStyle name="Style 97 5 2 4 2 3 2 2" xfId="30874" xr:uid="{FF279F50-DD78-46FC-BA1B-C07F8FFB2C9A}"/>
    <cellStyle name="Style 97 5 2 4 2 3 3" xfId="15104" xr:uid="{5F2E12DB-452A-4D50-9E4D-1F8DF2C5814C}"/>
    <cellStyle name="Style 97 5 2 4 2 3 3 2" xfId="30875" xr:uid="{75B06898-CD0E-4D6B-936C-1D35DAD98A04}"/>
    <cellStyle name="Style 97 5 2 4 2 4" xfId="15105" xr:uid="{E9F43B0C-54E2-44DB-8FFC-AE683B0DDDEF}"/>
    <cellStyle name="Style 97 5 2 4 2 4 2" xfId="15106" xr:uid="{C28B7233-CB19-4B42-A5C9-5CB76F38FDA7}"/>
    <cellStyle name="Style 97 5 2 4 2 4 2 2" xfId="30876" xr:uid="{677C5FB7-6EF5-456A-8A25-68469EA62CB4}"/>
    <cellStyle name="Style 97 5 2 4 2 4 3" xfId="15107" xr:uid="{1E11C17F-70CB-42AD-964B-9CEC2C351C01}"/>
    <cellStyle name="Style 97 5 2 4 2 4 3 2" xfId="30877" xr:uid="{5D359478-0C2D-424D-B7D5-682249CC50D2}"/>
    <cellStyle name="Style 97 5 2 4 2 4 4" xfId="22412" xr:uid="{E5084CB4-3BD6-4740-BAC1-5B89F0815766}"/>
    <cellStyle name="Style 97 5 2 4 2 5" xfId="15108" xr:uid="{18B376AE-A8FD-4F18-8C9B-90CE4E21A599}"/>
    <cellStyle name="Style 97 5 2 4 2 5 2" xfId="15109" xr:uid="{EDBBBEEB-5F35-45DC-961D-0DBF49C911AF}"/>
    <cellStyle name="Style 97 5 2 4 2 5 2 2" xfId="30879" xr:uid="{A0AF574C-7713-418B-A4C8-697B2DE07496}"/>
    <cellStyle name="Style 97 5 2 4 2 5 3" xfId="30878" xr:uid="{2835B471-7BDA-4024-BB14-5868C3D63579}"/>
    <cellStyle name="Style 97 5 2 4 2 6" xfId="15110" xr:uid="{110FCD05-4520-4A8F-A830-C1126B4C899D}"/>
    <cellStyle name="Style 97 5 2 4 2 6 2" xfId="15111" xr:uid="{E9D8CE46-486B-43F8-950D-39C4F4CB5A3A}"/>
    <cellStyle name="Style 97 5 2 4 2 6 2 2" xfId="30881" xr:uid="{F9F3B56F-2BE2-4034-9C6A-5B34318087BD}"/>
    <cellStyle name="Style 97 5 2 4 2 6 3" xfId="30880" xr:uid="{47A79D46-D3BC-448B-B1A5-82C5FE6325FB}"/>
    <cellStyle name="Style 97 5 2 4 2 7" xfId="15112" xr:uid="{46D43804-7765-4E70-9765-6489E61B27AB}"/>
    <cellStyle name="Style 97 5 2 4 2 7 2" xfId="15113" xr:uid="{49240F47-EB3F-4CBE-BFF8-38CD69CCBECC}"/>
    <cellStyle name="Style 97 5 2 4 2 7 2 2" xfId="30883" xr:uid="{F95A61D9-5865-4260-BD01-AC5EA76D2D84}"/>
    <cellStyle name="Style 97 5 2 4 2 7 3" xfId="30882" xr:uid="{018BD532-5FDA-47BC-81D1-91E3D0C80071}"/>
    <cellStyle name="Style 97 5 2 4 2 8" xfId="15114" xr:uid="{3A2F953A-3C37-494F-BF3B-CF204A30CA3B}"/>
    <cellStyle name="Style 97 5 2 4 2 8 2" xfId="15115" xr:uid="{DB067F8E-3E01-4438-9109-27E3D6E7DE92}"/>
    <cellStyle name="Style 97 5 2 4 2 8 2 2" xfId="30885" xr:uid="{18C559F3-D33D-4B20-983D-A31D2209BBCD}"/>
    <cellStyle name="Style 97 5 2 4 2 8 3" xfId="30884" xr:uid="{5556258C-6B1A-4396-B587-FDDBC85D36C4}"/>
    <cellStyle name="Style 97 5 2 4 2 9" xfId="15116" xr:uid="{F1095C44-5349-4B86-86C5-F26EF371A2A2}"/>
    <cellStyle name="Style 97 5 2 4 2 9 2" xfId="30886" xr:uid="{E699D958-2E73-4F3A-B009-23E5F0DF0926}"/>
    <cellStyle name="Style 97 5 2 4 3" xfId="5399" xr:uid="{5AE33860-C018-408E-976A-8DF30316055C}"/>
    <cellStyle name="Style 97 5 2 4 3 2" xfId="15117" xr:uid="{312C7417-8CBC-44E3-B70C-A9E658EFDB7F}"/>
    <cellStyle name="Style 97 5 2 4 3 2 2" xfId="15118" xr:uid="{D852D531-79A7-4A34-80A5-009AD9F81F53}"/>
    <cellStyle name="Style 97 5 2 4 3 2 2 2" xfId="30888" xr:uid="{D200104D-AFCA-40D4-A3F8-916FFE594D02}"/>
    <cellStyle name="Style 97 5 2 4 3 2 3" xfId="30887" xr:uid="{F567234B-D341-4526-8D09-5D86CCD0E609}"/>
    <cellStyle name="Style 97 5 2 4 3 3" xfId="15119" xr:uid="{157065AF-BB16-4CF5-A014-181F91C72FD4}"/>
    <cellStyle name="Style 97 5 2 4 3 3 2" xfId="15120" xr:uid="{2E467AD0-0DA1-406D-A413-561748CBC0BA}"/>
    <cellStyle name="Style 97 5 2 4 3 3 2 2" xfId="30890" xr:uid="{441FA04E-B546-4439-BA2B-33353C8D19AB}"/>
    <cellStyle name="Style 97 5 2 4 3 3 3" xfId="30889" xr:uid="{30532663-7EBB-415D-B7A9-F8548607ACC2}"/>
    <cellStyle name="Style 97 5 2 4 3 4" xfId="15121" xr:uid="{EFBE103A-E52E-4111-8F9F-466585A2EF27}"/>
    <cellStyle name="Style 97 5 2 4 3 4 2" xfId="15122" xr:uid="{F761D6C8-BBC0-4368-8D4A-1CCCDFE09CAD}"/>
    <cellStyle name="Style 97 5 2 4 3 4 2 2" xfId="30892" xr:uid="{B6C3E4DD-F317-421E-95C6-106D15B3B8F6}"/>
    <cellStyle name="Style 97 5 2 4 3 4 3" xfId="30891" xr:uid="{50F51DCB-1610-49AC-8D6F-71554AA68324}"/>
    <cellStyle name="Style 97 5 2 4 3 5" xfId="15123" xr:uid="{6BD52548-ED5D-4A72-AE69-9CCDD483E699}"/>
    <cellStyle name="Style 97 5 2 4 3 5 2" xfId="15124" xr:uid="{D437008B-7271-485E-A98C-169E849F0553}"/>
    <cellStyle name="Style 97 5 2 4 3 5 2 2" xfId="30894" xr:uid="{FB81BB03-D6F0-4D92-8A68-33BC147A6F3C}"/>
    <cellStyle name="Style 97 5 2 4 3 5 3" xfId="30893" xr:uid="{8FDA9ECC-507E-47B5-A5E8-A5C668E04542}"/>
    <cellStyle name="Style 97 5 2 4 3 6" xfId="15125" xr:uid="{03189C41-E40D-4B50-AA1A-29BDE0A0A9D5}"/>
    <cellStyle name="Style 97 5 2 4 3 6 2" xfId="30895" xr:uid="{DE7877CE-F60C-43C2-99D5-2E4DA02CA22F}"/>
    <cellStyle name="Style 97 5 2 4 3 7" xfId="15126" xr:uid="{7E7F0A07-3E13-4628-819D-E9D3F3172BEB}"/>
    <cellStyle name="Style 97 5 2 4 3 7 2" xfId="30896" xr:uid="{7D805CF1-DBAC-40B9-A040-B2C33C929563}"/>
    <cellStyle name="Style 97 5 2 4 4" xfId="5396" xr:uid="{B9EAEA15-0325-4489-955F-AFDA578F09AD}"/>
    <cellStyle name="Style 97 5 2 4 4 2" xfId="15127" xr:uid="{C5285867-F2DF-4FA9-BEF8-33CFBDAB8921}"/>
    <cellStyle name="Style 97 5 2 4 4 2 2" xfId="30897" xr:uid="{64E6B99E-F888-4361-9AA9-C4264457C7F8}"/>
    <cellStyle name="Style 97 5 2 4 4 3" xfId="15128" xr:uid="{1021D032-6683-42E8-BFDE-34A16DBB684E}"/>
    <cellStyle name="Style 97 5 2 4 4 3 2" xfId="30898" xr:uid="{83225933-7AE0-45D5-B44F-A20C14C1BB16}"/>
    <cellStyle name="Style 97 5 2 4 5" xfId="15129" xr:uid="{37E6960B-581F-4561-AECE-CCEDCE20E44C}"/>
    <cellStyle name="Style 97 5 2 4 5 2" xfId="15130" xr:uid="{B8506566-8BEF-4191-8E4C-ED79296147C4}"/>
    <cellStyle name="Style 97 5 2 4 5 2 2" xfId="30899" xr:uid="{8E817C20-1CBF-4968-91E3-2A16491AD562}"/>
    <cellStyle name="Style 97 5 2 4 5 3" xfId="15131" xr:uid="{40E7D424-5E25-4541-9B73-FA68CE16F722}"/>
    <cellStyle name="Style 97 5 2 4 5 3 2" xfId="30900" xr:uid="{2BD9DA39-29FC-4B65-AE18-3956C4C8D026}"/>
    <cellStyle name="Style 97 5 2 4 5 4" xfId="22411" xr:uid="{B762A4AE-7871-4693-AFE3-7E3F8C80EE9D}"/>
    <cellStyle name="Style 97 5 2 4 6" xfId="15132" xr:uid="{7184F7AF-22E7-4AE8-AEB9-DB6BC468E77C}"/>
    <cellStyle name="Style 97 5 2 4 6 2" xfId="15133" xr:uid="{726646B9-2ACA-4C15-BB59-5CD52B1C3797}"/>
    <cellStyle name="Style 97 5 2 4 6 2 2" xfId="30902" xr:uid="{AA5CA4C9-2DE6-463D-92A0-339BCD6B9659}"/>
    <cellStyle name="Style 97 5 2 4 6 3" xfId="30901" xr:uid="{697B5085-B972-4CA8-B8B2-9B544F3FE7A9}"/>
    <cellStyle name="Style 97 5 2 4 7" xfId="15134" xr:uid="{A9B2F22D-DAAA-4CC1-B681-E4130D87929C}"/>
    <cellStyle name="Style 97 5 2 4 7 2" xfId="15135" xr:uid="{F07AB0EB-635A-49A3-869B-8F75870F3A7D}"/>
    <cellStyle name="Style 97 5 2 4 7 2 2" xfId="30904" xr:uid="{E83188DF-9E7D-4F9B-BA47-0CB98ACE74AC}"/>
    <cellStyle name="Style 97 5 2 4 7 3" xfId="30903" xr:uid="{F30511EE-9258-4122-BCBC-C2E46514F4D4}"/>
    <cellStyle name="Style 97 5 2 4 8" xfId="15136" xr:uid="{CB48D3FE-45CF-49E3-956A-2020F1D71BE0}"/>
    <cellStyle name="Style 97 5 2 4 8 2" xfId="15137" xr:uid="{00B84841-3707-4A90-BCEC-EA71335A938E}"/>
    <cellStyle name="Style 97 5 2 4 8 2 2" xfId="30906" xr:uid="{6C90E5BA-69C6-4E28-8A2E-9ECA1900B5D4}"/>
    <cellStyle name="Style 97 5 2 4 8 3" xfId="30905" xr:uid="{9AB53789-8316-4232-A518-E1A14ADDABEC}"/>
    <cellStyle name="Style 97 5 2 4 9" xfId="15138" xr:uid="{4A5E2C9A-5842-4778-925D-FC0578370AA8}"/>
    <cellStyle name="Style 97 5 2 4 9 2" xfId="15139" xr:uid="{D01D04B5-46AA-4B53-A593-E5EABAFFBD1F}"/>
    <cellStyle name="Style 97 5 2 4 9 2 2" xfId="30908" xr:uid="{8D50B402-6B93-4B56-AD65-D76C920DEC77}"/>
    <cellStyle name="Style 97 5 2 4 9 3" xfId="30907" xr:uid="{1C6B9042-3FE9-44C8-90D9-04E272AC00E1}"/>
    <cellStyle name="Style 97 5 2 5" xfId="5400" xr:uid="{009614D8-B752-4AEB-87BC-DFDC91645B3C}"/>
    <cellStyle name="Style 97 5 2 5 2" xfId="15140" xr:uid="{F733DE8D-1732-47C9-8B7D-B02CF17A2917}"/>
    <cellStyle name="Style 97 5 2 5 2 2" xfId="30909" xr:uid="{4742A68F-D415-40B7-BCDF-78BEBD80077A}"/>
    <cellStyle name="Style 97 5 2 5 3" xfId="15141" xr:uid="{81F61004-A669-47F8-BCE8-D6A2BFEB2D5F}"/>
    <cellStyle name="Style 97 5 2 5 3 2" xfId="30910" xr:uid="{FABA730A-ECE5-4A4D-84B1-6C963E73A472}"/>
    <cellStyle name="Style 97 5 2 5 4" xfId="15142" xr:uid="{F80F516A-6AC6-4570-9C0B-FFFE7397BEED}"/>
    <cellStyle name="Style 97 5 2 5 4 2" xfId="30911" xr:uid="{022D8301-C8ED-4A1E-BEFB-41B2A092044F}"/>
    <cellStyle name="Style 97 5 2 6" xfId="5401" xr:uid="{D144EE67-B77E-44E7-8E5C-99F25E7A41FB}"/>
    <cellStyle name="Style 97 5 2 6 2" xfId="15143" xr:uid="{D1F73FD0-607D-4E79-AB68-D946254E27EB}"/>
    <cellStyle name="Style 97 5 2 6 2 2" xfId="30912" xr:uid="{A900DD86-9190-4B9E-87A5-F51649DDE519}"/>
    <cellStyle name="Style 97 5 2 6 3" xfId="15144" xr:uid="{D9900342-A607-44AC-A409-150C9D05658A}"/>
    <cellStyle name="Style 97 5 2 6 3 2" xfId="30913" xr:uid="{85ABB25A-4C55-44BC-AA9B-3553F3ADF2FF}"/>
    <cellStyle name="Style 97 5 2 7" xfId="5386" xr:uid="{CD009DCA-BAE2-4287-8E54-E5816E6C26D2}"/>
    <cellStyle name="Style 97 5 2 7 2" xfId="15145" xr:uid="{D0C241B6-9FF2-4787-9688-8FD94021944F}"/>
    <cellStyle name="Style 97 5 2 7 2 2" xfId="30914" xr:uid="{BD130C1C-7D19-446A-9D6B-CB1C55473FA8}"/>
    <cellStyle name="Style 97 5 2 7 3" xfId="15146" xr:uid="{C25711DC-909F-44B7-AAD4-DD5FEAD7B576}"/>
    <cellStyle name="Style 97 5 2 7 3 2" xfId="30915" xr:uid="{84CDFD64-60F5-4B7E-98EC-244366094316}"/>
    <cellStyle name="Style 97 5 2 8" xfId="15147" xr:uid="{8BBB2DEA-1A18-4367-B914-7D78A8068C39}"/>
    <cellStyle name="Style 97 5 2 8 2" xfId="15148" xr:uid="{7A3502CF-D6C5-4BD5-8A9C-AB530EE3480D}"/>
    <cellStyle name="Style 97 5 2 8 2 2" xfId="30916" xr:uid="{68D300CD-A880-48D0-AA51-0D4D6B2DF3A0}"/>
    <cellStyle name="Style 97 5 2 8 3" xfId="15149" xr:uid="{3DB85C47-F4AC-4E41-BCEB-ABDD20A20F22}"/>
    <cellStyle name="Style 97 5 2 8 3 2" xfId="30917" xr:uid="{B989E1B1-3505-44C9-A212-4535532A9E01}"/>
    <cellStyle name="Style 97 5 2 8 4" xfId="22407" xr:uid="{AAAE56CC-3B13-47D0-85C3-6FC7C7EFA9BD}"/>
    <cellStyle name="Style 97 5 2 9" xfId="15150" xr:uid="{E1745238-6FEB-4E54-8A02-DD68FDA36875}"/>
    <cellStyle name="Style 97 5 2 9 2" xfId="15151" xr:uid="{6DC5BC0D-5AFE-4033-BDA4-FEFFE1A041F8}"/>
    <cellStyle name="Style 97 5 2 9 2 2" xfId="30919" xr:uid="{D330576A-8EEF-413D-B852-10D389FD4F46}"/>
    <cellStyle name="Style 97 5 2 9 3" xfId="30918" xr:uid="{2A6F00F4-CD11-4D2A-B264-F13E80258950}"/>
    <cellStyle name="Style 97 5 3" xfId="2484" xr:uid="{CB24B6C2-BFC4-45B3-A97A-5DF011C56D02}"/>
    <cellStyle name="Style 97 5 3 10" xfId="15152" xr:uid="{BC970C42-107C-4C9E-A51B-DF3B90B96E55}"/>
    <cellStyle name="Style 97 5 3 10 2" xfId="30920" xr:uid="{5A09BBA7-AB23-4A05-B85D-1EC2402285F7}"/>
    <cellStyle name="Style 97 5 3 11" xfId="19304" xr:uid="{32DE38CB-BE74-4D30-9877-76517BE5112A}"/>
    <cellStyle name="Style 97 5 3 2" xfId="5403" xr:uid="{0D11A1BA-8B77-4C04-83EE-BF7E0AB8C486}"/>
    <cellStyle name="Style 97 5 3 2 2" xfId="15153" xr:uid="{D2262A9E-FE71-4B05-AC3D-FF4D84C1B243}"/>
    <cellStyle name="Style 97 5 3 2 2 2" xfId="15154" xr:uid="{2B8A22E5-713F-494A-8C00-5DCECEF135C0}"/>
    <cellStyle name="Style 97 5 3 2 2 2 2" xfId="30922" xr:uid="{D24B83E7-5B8D-4E58-A4B2-992D4590DDE0}"/>
    <cellStyle name="Style 97 5 3 2 2 3" xfId="30921" xr:uid="{B5E60515-87D6-4D50-AB43-4DE6DA0740A3}"/>
    <cellStyle name="Style 97 5 3 2 3" xfId="15155" xr:uid="{79A6851B-6AA8-417A-A1A9-157ED980D8C4}"/>
    <cellStyle name="Style 97 5 3 2 3 2" xfId="15156" xr:uid="{CD05940D-A036-4C0D-83B3-84EDB249C916}"/>
    <cellStyle name="Style 97 5 3 2 3 2 2" xfId="30924" xr:uid="{94AEE5F3-B37A-41CF-AD54-9697ADE0BD64}"/>
    <cellStyle name="Style 97 5 3 2 3 3" xfId="30923" xr:uid="{E17CC2A8-7669-49BF-B760-EC41CCF8DCD3}"/>
    <cellStyle name="Style 97 5 3 2 4" xfId="15157" xr:uid="{D3786EF5-0DB5-43D0-98D0-96A266632E78}"/>
    <cellStyle name="Style 97 5 3 2 4 2" xfId="15158" xr:uid="{5ADC7D1E-5F9D-44C1-AAFF-D6167F2D5012}"/>
    <cellStyle name="Style 97 5 3 2 4 2 2" xfId="30926" xr:uid="{B82AAB8F-CF75-40B6-8A55-CFAE901C0F26}"/>
    <cellStyle name="Style 97 5 3 2 4 3" xfId="30925" xr:uid="{E207598D-8300-42C1-BA1D-617042CB989D}"/>
    <cellStyle name="Style 97 5 3 2 5" xfId="15159" xr:uid="{6A549F62-8884-4768-B138-319E690ACA91}"/>
    <cellStyle name="Style 97 5 3 2 5 2" xfId="15160" xr:uid="{7051E9D4-5AEE-487A-A314-B8BD35DCBCFF}"/>
    <cellStyle name="Style 97 5 3 2 5 2 2" xfId="30928" xr:uid="{7C5B9656-8219-4BC1-AB4E-F9B0A8B41A7E}"/>
    <cellStyle name="Style 97 5 3 2 5 3" xfId="30927" xr:uid="{4AA6996E-C17F-4F35-A527-52FAFAC3EBF9}"/>
    <cellStyle name="Style 97 5 3 2 6" xfId="15161" xr:uid="{A2C491B0-0096-4FC6-8ABB-AAE0CBC2BCF2}"/>
    <cellStyle name="Style 97 5 3 2 6 2" xfId="30929" xr:uid="{E82EDC3A-84E6-4646-926F-0ED94241AAFF}"/>
    <cellStyle name="Style 97 5 3 2 7" xfId="15162" xr:uid="{52C7E4FB-4AA2-4D4D-AC51-781CF4BE7DCF}"/>
    <cellStyle name="Style 97 5 3 2 7 2" xfId="30930" xr:uid="{3CC01C45-1061-40F9-8A52-A46B44C7A04A}"/>
    <cellStyle name="Style 97 5 3 3" xfId="5402" xr:uid="{151CCD4A-80C0-4D60-B57C-F3D73E4C2BD5}"/>
    <cellStyle name="Style 97 5 3 3 2" xfId="15163" xr:uid="{7B80D974-7BD0-41FB-8F9F-5D3BB4B9F8BE}"/>
    <cellStyle name="Style 97 5 3 3 2 2" xfId="30931" xr:uid="{14B46A33-3978-463D-93FB-EC8F716DDCBC}"/>
    <cellStyle name="Style 97 5 3 3 3" xfId="15164" xr:uid="{90787837-990C-4774-9936-87088B8DC293}"/>
    <cellStyle name="Style 97 5 3 3 3 2" xfId="30932" xr:uid="{E678D633-C811-4F4A-AD86-A20369E19739}"/>
    <cellStyle name="Style 97 5 3 4" xfId="15165" xr:uid="{57BEEDE8-25CA-4078-82B0-756B092DDA6A}"/>
    <cellStyle name="Style 97 5 3 4 2" xfId="15166" xr:uid="{B1A8A956-7898-4D36-B8D3-BABB3EE5DE30}"/>
    <cellStyle name="Style 97 5 3 4 2 2" xfId="30933" xr:uid="{15E87915-CD0B-412E-A659-ECAFEE1184DB}"/>
    <cellStyle name="Style 97 5 3 4 3" xfId="15167" xr:uid="{0955F12E-546D-443A-B7A6-C62EF2DB0384}"/>
    <cellStyle name="Style 97 5 3 4 3 2" xfId="30934" xr:uid="{AA020FB2-02B4-4F02-8283-D27A6458686A}"/>
    <cellStyle name="Style 97 5 3 4 4" xfId="22413" xr:uid="{CCF13A2F-7117-4054-A8D3-D6A4B03AAC80}"/>
    <cellStyle name="Style 97 5 3 5" xfId="15168" xr:uid="{0E58F94E-F708-42BC-8BDA-BF0802D9F5E5}"/>
    <cellStyle name="Style 97 5 3 5 2" xfId="15169" xr:uid="{1CD6203C-A437-40D1-9EF4-C28E84555D58}"/>
    <cellStyle name="Style 97 5 3 5 2 2" xfId="30936" xr:uid="{635DF2C5-0CA9-4E1F-93E2-28DA67BFF88E}"/>
    <cellStyle name="Style 97 5 3 5 3" xfId="30935" xr:uid="{B78D996F-479B-4602-A194-8F3A6757441D}"/>
    <cellStyle name="Style 97 5 3 6" xfId="15170" xr:uid="{DE413EA3-69FE-4E53-99E3-3E6B163CEF70}"/>
    <cellStyle name="Style 97 5 3 6 2" xfId="15171" xr:uid="{259F6B01-CB47-4296-9DAB-BF3DAD1548E4}"/>
    <cellStyle name="Style 97 5 3 6 2 2" xfId="30938" xr:uid="{5845D92A-C35C-4556-B9A3-BA27E9A9D021}"/>
    <cellStyle name="Style 97 5 3 6 3" xfId="30937" xr:uid="{647E179C-8CF6-4A96-9A2F-3AE9536B90C7}"/>
    <cellStyle name="Style 97 5 3 7" xfId="15172" xr:uid="{E9CCECD7-4FA2-4C50-B584-A9A7C4361BA2}"/>
    <cellStyle name="Style 97 5 3 7 2" xfId="15173" xr:uid="{2E271944-FACD-4993-A4D5-B4AF9C618795}"/>
    <cellStyle name="Style 97 5 3 7 2 2" xfId="30940" xr:uid="{3313D60B-DE4F-40C5-9563-1D9AFBE64769}"/>
    <cellStyle name="Style 97 5 3 7 3" xfId="30939" xr:uid="{767F571B-EBC0-4270-B00B-C8194852E4EB}"/>
    <cellStyle name="Style 97 5 3 8" xfId="15174" xr:uid="{FE165FD3-8506-486A-BB4A-CAEFCDA1BED2}"/>
    <cellStyle name="Style 97 5 3 8 2" xfId="15175" xr:uid="{7FFEA309-6DCE-41AB-BBB1-0D67F8636259}"/>
    <cellStyle name="Style 97 5 3 8 2 2" xfId="30942" xr:uid="{62AB1D81-F170-4F07-9671-645D451A20E9}"/>
    <cellStyle name="Style 97 5 3 8 3" xfId="30941" xr:uid="{9E949E31-51D4-484B-8AC3-86D9F6C714DC}"/>
    <cellStyle name="Style 97 5 3 9" xfId="15176" xr:uid="{46145B70-D10E-4F3B-A695-583A8EE24FFC}"/>
    <cellStyle name="Style 97 5 3 9 2" xfId="30943" xr:uid="{CC152F87-45E1-489A-9957-C52B64D02D13}"/>
    <cellStyle name="Style 97 5 4" xfId="5404" xr:uid="{FE9B6AB3-5C23-4A12-8D43-A475FF76EC60}"/>
    <cellStyle name="Style 97 5 4 2" xfId="5405" xr:uid="{5CDCC0D2-62EA-468A-ABD7-E9F31445A5C2}"/>
    <cellStyle name="Style 97 5 4 2 2" xfId="15177" xr:uid="{55C3A166-9578-41E6-A533-8D0F4DB972C9}"/>
    <cellStyle name="Style 97 5 4 2 2 2" xfId="30944" xr:uid="{88416B51-08EF-4647-84C4-590B0427A02C}"/>
    <cellStyle name="Style 97 5 4 2 3" xfId="15178" xr:uid="{D3E10C42-7501-4B61-9102-162021925CDB}"/>
    <cellStyle name="Style 97 5 4 2 3 2" xfId="30945" xr:uid="{29561EA0-48B9-4F73-BAB1-6EEC6CAF570C}"/>
    <cellStyle name="Style 97 5 4 3" xfId="5406" xr:uid="{A60F889B-E8C5-4BC3-99C4-29740FD2C01E}"/>
    <cellStyle name="Style 97 5 4 3 2" xfId="15179" xr:uid="{5F9B2146-B326-4F7E-A392-9367F7853D4E}"/>
    <cellStyle name="Style 97 5 4 3 2 2" xfId="30946" xr:uid="{FA6EF511-723F-4A71-8468-E0137B9A0075}"/>
    <cellStyle name="Style 97 5 4 4" xfId="15180" xr:uid="{94081682-A017-4FD0-853A-EFEAE462A375}"/>
    <cellStyle name="Style 97 5 4 4 2" xfId="30947" xr:uid="{03EEE59D-5F07-472F-A0DB-3E304C89DFBC}"/>
    <cellStyle name="Style 97 5 4 5" xfId="15181" xr:uid="{4F4C295D-F6A1-4C6A-9613-4A1BE8F68861}"/>
    <cellStyle name="Style 97 5 4 5 2" xfId="30948" xr:uid="{FB3616B9-C696-4C13-9BB4-6E6F8C52E728}"/>
    <cellStyle name="Style 97 5 4 6" xfId="15182" xr:uid="{945856AE-6DB1-442C-A549-CE5BF9E4E520}"/>
    <cellStyle name="Style 97 5 4 6 2" xfId="30949" xr:uid="{0C9DD7CC-C46D-4E31-A74A-5DCB7FCE791F}"/>
    <cellStyle name="Style 97 5 4 7" xfId="19305" xr:uid="{EA6ABB2F-0CF7-44B3-9013-076926B83514}"/>
    <cellStyle name="Style 97 5 5" xfId="5407" xr:uid="{1C0E3ADE-7867-4CCD-8CF0-572356E268F5}"/>
    <cellStyle name="Style 97 5 5 2" xfId="15183" xr:uid="{1C314215-BC6C-4404-8257-9865DA84A937}"/>
    <cellStyle name="Style 97 5 5 2 2" xfId="30950" xr:uid="{397E3C99-5526-4C8F-9DF9-E8EB18964670}"/>
    <cellStyle name="Style 97 5 5 3" xfId="15184" xr:uid="{B58803CF-D979-41AE-88F2-14CD5D43DB24}"/>
    <cellStyle name="Style 97 5 5 3 2" xfId="30951" xr:uid="{E5BB6854-6C33-4983-9687-2D7C064CF75C}"/>
    <cellStyle name="Style 97 5 5 4" xfId="15185" xr:uid="{3E8148B4-458D-4EAA-B320-F1853B71F931}"/>
    <cellStyle name="Style 97 5 5 4 2" xfId="30952" xr:uid="{93486BB1-9215-4987-810B-61DE5DE5B67F}"/>
    <cellStyle name="Style 97 5 6" xfId="5385" xr:uid="{D364B044-03D6-45BB-8ABB-22E77CB6E950}"/>
    <cellStyle name="Style 97 5 6 2" xfId="15186" xr:uid="{152CD125-6A18-4802-A9CA-AA49985D364A}"/>
    <cellStyle name="Style 97 5 6 2 2" xfId="30953" xr:uid="{E2BFACAA-ABB7-4123-A8AD-B80CC438DCB5}"/>
    <cellStyle name="Style 97 5 6 3" xfId="15187" xr:uid="{6E5C91C7-6858-49F7-B687-851DC4DB6220}"/>
    <cellStyle name="Style 97 5 6 3 2" xfId="30954" xr:uid="{DF3FEE57-4E72-488A-8E7E-B79748363A63}"/>
    <cellStyle name="Style 97 5 7" xfId="2979" xr:uid="{BA86A2F9-C1B2-48CA-A0B4-B1FC9D97745C}"/>
    <cellStyle name="Style 97 5 7 2" xfId="15188" xr:uid="{10C751D0-D2CC-4A0C-9435-DFACB728273B}"/>
    <cellStyle name="Style 97 5 7 2 2" xfId="30955" xr:uid="{30700BFD-B2BE-46BB-9917-81A960104BF1}"/>
    <cellStyle name="Style 97 5 7 3" xfId="15189" xr:uid="{5612DF46-CB70-4BF2-AF66-8ED09EE8CB70}"/>
    <cellStyle name="Style 97 5 7 3 2" xfId="30956" xr:uid="{25229D61-D03E-47F5-97F2-AA793F1957FD}"/>
    <cellStyle name="Style 97 5 7 4" xfId="21337" xr:uid="{D520FACD-66C5-41D3-8F0E-EE779A9B5973}"/>
    <cellStyle name="Style 97 5 8" xfId="15190" xr:uid="{BD160A02-E051-4BD0-93B5-A364912F655C}"/>
    <cellStyle name="Style 97 5 8 2" xfId="15191" xr:uid="{E9F43C81-B27E-443D-A33D-E9D9A835439E}"/>
    <cellStyle name="Style 97 5 8 2 2" xfId="30957" xr:uid="{EC2F5E93-BB15-484D-8EAF-572835CE6EE5}"/>
    <cellStyle name="Style 97 5 8 3" xfId="15192" xr:uid="{F50C7B9C-7C17-4DFD-8699-97478941EE70}"/>
    <cellStyle name="Style 97 5 8 3 2" xfId="30958" xr:uid="{4690ABA9-A690-40C6-B939-A4CC4879DBBC}"/>
    <cellStyle name="Style 97 5 8 4" xfId="22406" xr:uid="{60C879A4-CB02-43A7-84C4-8CDEF51EF9BD}"/>
    <cellStyle name="Style 97 5 9" xfId="15193" xr:uid="{3D89C40B-CA99-4550-BA44-C6635BDFB19C}"/>
    <cellStyle name="Style 97 5 9 2" xfId="15194" xr:uid="{CEBA504E-7D32-4757-A75C-35975A2B07AB}"/>
    <cellStyle name="Style 97 5 9 2 2" xfId="30960" xr:uid="{23A46D99-6916-40B5-B9DF-C3C13FC19769}"/>
    <cellStyle name="Style 97 5 9 3" xfId="30959" xr:uid="{9D06724D-2673-4D14-A86E-634ADDC790F6}"/>
    <cellStyle name="Style 97 6" xfId="2485" xr:uid="{06B4D27D-423A-4418-A067-CCB71E5E60B4}"/>
    <cellStyle name="Style 97 6 10" xfId="15195" xr:uid="{657E9719-FF34-479E-8E6A-E06A5D0B6824}"/>
    <cellStyle name="Style 97 6 10 2" xfId="15196" xr:uid="{CC56EA36-96A5-4FE0-B4CE-81AB0914286A}"/>
    <cellStyle name="Style 97 6 10 2 2" xfId="30962" xr:uid="{8AA88C29-2DB5-4174-A9C9-2AE41BAF6BE4}"/>
    <cellStyle name="Style 97 6 10 3" xfId="30961" xr:uid="{101B6A15-660E-43D0-9570-C359020E5CC0}"/>
    <cellStyle name="Style 97 6 11" xfId="15197" xr:uid="{AD5521F4-D318-41C9-BF6C-9C595690E9E7}"/>
    <cellStyle name="Style 97 6 11 2" xfId="15198" xr:uid="{79ACB3B3-7EEF-4E05-B05B-44AD7EA2E70F}"/>
    <cellStyle name="Style 97 6 11 2 2" xfId="30964" xr:uid="{5D971E1F-D072-419F-876A-52509E5BE1CD}"/>
    <cellStyle name="Style 97 6 11 3" xfId="30963" xr:uid="{D27199F5-C0D9-4317-A39E-3FEFE8E47DD1}"/>
    <cellStyle name="Style 97 6 12" xfId="15199" xr:uid="{2E8C3DD8-16E7-40FF-91C5-140F9A21044A}"/>
    <cellStyle name="Style 97 6 12 2" xfId="30965" xr:uid="{C79C0873-87C3-467C-8FE1-5782B560FFA1}"/>
    <cellStyle name="Style 97 6 13" xfId="15200" xr:uid="{D48C2E67-F2EB-4582-BA24-882560E77476}"/>
    <cellStyle name="Style 97 6 13 2" xfId="30966" xr:uid="{13B62F86-70CC-4B8F-8D19-FB974293AB2C}"/>
    <cellStyle name="Style 97 6 14" xfId="19306" xr:uid="{08A4C032-642A-4AE8-AF97-027E292B604F}"/>
    <cellStyle name="Style 97 6 2" xfId="2486" xr:uid="{78571A4C-43EA-4421-8AB9-4EAF8DBE48F8}"/>
    <cellStyle name="Style 97 6 2 10" xfId="15201" xr:uid="{ABA84C05-B4AF-4C54-AA56-138E0B998B81}"/>
    <cellStyle name="Style 97 6 2 10 2" xfId="30967" xr:uid="{6A214718-0229-4F83-9F75-CE909A0380EA}"/>
    <cellStyle name="Style 97 6 2 11" xfId="19307" xr:uid="{E50E8EB3-5042-4EA4-B8D2-BF59F0ADF1EC}"/>
    <cellStyle name="Style 97 6 2 2" xfId="5410" xr:uid="{B0669A2D-0D7E-4A0F-878E-75648E86811D}"/>
    <cellStyle name="Style 97 6 2 2 2" xfId="15202" xr:uid="{A4926693-A31C-48FB-A95A-A5486FB1C177}"/>
    <cellStyle name="Style 97 6 2 2 2 2" xfId="15203" xr:uid="{0595DD22-1ACA-41ED-895E-E60DA964A13A}"/>
    <cellStyle name="Style 97 6 2 2 2 2 2" xfId="30969" xr:uid="{D4050EEB-B35F-4295-8931-A09C3B157633}"/>
    <cellStyle name="Style 97 6 2 2 2 3" xfId="30968" xr:uid="{15AFE11A-1D4D-4C39-B70C-44904E49ECC9}"/>
    <cellStyle name="Style 97 6 2 2 3" xfId="15204" xr:uid="{3843D2E4-7342-4AD6-B020-3FB19BFB0F69}"/>
    <cellStyle name="Style 97 6 2 2 3 2" xfId="15205" xr:uid="{EC90E4A6-C261-42A8-8969-BF28C6FC6D57}"/>
    <cellStyle name="Style 97 6 2 2 3 2 2" xfId="30971" xr:uid="{36C889D5-2A32-4832-8ACC-EEB5AAFF35A3}"/>
    <cellStyle name="Style 97 6 2 2 3 3" xfId="30970" xr:uid="{8F8B922D-B13D-4D31-B87D-5ED3C0C399FA}"/>
    <cellStyle name="Style 97 6 2 2 4" xfId="15206" xr:uid="{4DBDCE67-812C-4D3E-8A2E-9665199AED4C}"/>
    <cellStyle name="Style 97 6 2 2 4 2" xfId="15207" xr:uid="{A1C44B8C-3920-4477-85E5-5C2E0BED6501}"/>
    <cellStyle name="Style 97 6 2 2 4 2 2" xfId="30973" xr:uid="{B3EBBB8E-A03B-4C5A-80D2-50C61723A99E}"/>
    <cellStyle name="Style 97 6 2 2 4 3" xfId="30972" xr:uid="{16AB1B1B-54BC-4C8F-84F0-7EBF774FA9E7}"/>
    <cellStyle name="Style 97 6 2 2 5" xfId="15208" xr:uid="{00922045-DFC5-4EE8-BCBC-E743493C099B}"/>
    <cellStyle name="Style 97 6 2 2 5 2" xfId="15209" xr:uid="{3F266DEC-50FC-4113-AD2E-E60F4243BC97}"/>
    <cellStyle name="Style 97 6 2 2 5 2 2" xfId="30975" xr:uid="{7E8F3F26-6489-42D7-8066-CB6F6CCDD675}"/>
    <cellStyle name="Style 97 6 2 2 5 3" xfId="30974" xr:uid="{0050CC2F-C0D1-4945-BAF7-EC5896C44957}"/>
    <cellStyle name="Style 97 6 2 2 6" xfId="15210" xr:uid="{355096FC-CD01-49EB-9989-F075A074D127}"/>
    <cellStyle name="Style 97 6 2 2 6 2" xfId="30976" xr:uid="{1128F97A-B9B6-45F4-A861-44F36C602974}"/>
    <cellStyle name="Style 97 6 2 2 7" xfId="15211" xr:uid="{F00F6009-A9CF-48BB-998D-8F66298DD3A9}"/>
    <cellStyle name="Style 97 6 2 2 7 2" xfId="30977" xr:uid="{307C1B1D-2623-4B69-9CE6-1E81EBB3B33A}"/>
    <cellStyle name="Style 97 6 2 3" xfId="5409" xr:uid="{2C500881-B548-4A3C-82BC-DFE1BD00C1EE}"/>
    <cellStyle name="Style 97 6 2 3 2" xfId="15212" xr:uid="{DAF0BC2A-2C56-45C9-9B8E-8A2C0D987CAC}"/>
    <cellStyle name="Style 97 6 2 3 2 2" xfId="30978" xr:uid="{3C96352A-172A-4AF1-8A14-A10A2FD53BE9}"/>
    <cellStyle name="Style 97 6 2 3 3" xfId="15213" xr:uid="{B33A5D9E-D940-461A-A008-BF5A095F4117}"/>
    <cellStyle name="Style 97 6 2 3 3 2" xfId="30979" xr:uid="{52993B62-A93E-4CAC-938E-F8644D05DCC8}"/>
    <cellStyle name="Style 97 6 2 4" xfId="15214" xr:uid="{24B3A63E-0609-430C-B21E-BE8158D8CD2A}"/>
    <cellStyle name="Style 97 6 2 4 2" xfId="15215" xr:uid="{8E9659A2-0C01-4EAD-9336-BA1BFFEA0A99}"/>
    <cellStyle name="Style 97 6 2 4 2 2" xfId="30980" xr:uid="{1768A318-B23F-4A20-AC6A-F7B16B65C827}"/>
    <cellStyle name="Style 97 6 2 4 3" xfId="15216" xr:uid="{1A954451-88E9-4111-AE47-4728B8B0F73B}"/>
    <cellStyle name="Style 97 6 2 4 3 2" xfId="30981" xr:uid="{0BA73D6A-B425-46C1-83B6-AE9849FE9C0B}"/>
    <cellStyle name="Style 97 6 2 4 4" xfId="22415" xr:uid="{4D6197A0-881D-47B6-AE9F-73132728586F}"/>
    <cellStyle name="Style 97 6 2 5" xfId="15217" xr:uid="{85E5184D-8326-403F-A8A2-08C7659729F7}"/>
    <cellStyle name="Style 97 6 2 5 2" xfId="15218" xr:uid="{0EA3B3D2-B58E-44DB-827F-FC19614A1BF7}"/>
    <cellStyle name="Style 97 6 2 5 2 2" xfId="30983" xr:uid="{61B9E308-07EA-4D28-AA07-E181C4B63CBA}"/>
    <cellStyle name="Style 97 6 2 5 3" xfId="30982" xr:uid="{1E709769-4CC9-4921-A873-808A1EA1E53A}"/>
    <cellStyle name="Style 97 6 2 6" xfId="15219" xr:uid="{7359F937-CFBA-46DD-B9AF-CB16944C83EB}"/>
    <cellStyle name="Style 97 6 2 6 2" xfId="15220" xr:uid="{DA6E23E3-82FB-4D59-82F6-5EA602FE2D35}"/>
    <cellStyle name="Style 97 6 2 6 2 2" xfId="30985" xr:uid="{BFD2DBCC-C1D5-4A16-A704-41786DF84885}"/>
    <cellStyle name="Style 97 6 2 6 3" xfId="30984" xr:uid="{65871DB1-E57A-4227-91CB-F75F50B75CCD}"/>
    <cellStyle name="Style 97 6 2 7" xfId="15221" xr:uid="{177E1B1F-7066-487F-8386-CE31D5F5688F}"/>
    <cellStyle name="Style 97 6 2 7 2" xfId="15222" xr:uid="{773C27D3-9CA3-49F0-82E3-C6F0083129E7}"/>
    <cellStyle name="Style 97 6 2 7 2 2" xfId="30987" xr:uid="{93C75CA4-AD86-4742-A162-C4FA7C3F81B5}"/>
    <cellStyle name="Style 97 6 2 7 3" xfId="30986" xr:uid="{22C4D706-6F2B-4523-8BB1-1AE474ABDE74}"/>
    <cellStyle name="Style 97 6 2 8" xfId="15223" xr:uid="{830B2ACD-1DFE-4306-9D63-315CF9804EB0}"/>
    <cellStyle name="Style 97 6 2 8 2" xfId="15224" xr:uid="{9A0681D2-5396-41C0-A124-21DEFE606E8B}"/>
    <cellStyle name="Style 97 6 2 8 2 2" xfId="30989" xr:uid="{5EAD4C2E-69A7-4149-9F24-C2ED9A71811B}"/>
    <cellStyle name="Style 97 6 2 8 3" xfId="30988" xr:uid="{D866DD2F-BA39-4971-8C84-2110692A84F7}"/>
    <cellStyle name="Style 97 6 2 9" xfId="15225" xr:uid="{457D1DF0-4C4A-4CA1-969A-DAC174BD81E7}"/>
    <cellStyle name="Style 97 6 2 9 2" xfId="30990" xr:uid="{EA07A969-9B0D-4DCB-9B3C-7DE2A9550DC2}"/>
    <cellStyle name="Style 97 6 3" xfId="2487" xr:uid="{539B7D31-8F33-40BB-B6F1-4415F34995EE}"/>
    <cellStyle name="Style 97 6 3 10" xfId="15226" xr:uid="{10086A80-95F5-41AD-8BB8-5053263AE31F}"/>
    <cellStyle name="Style 97 6 3 10 2" xfId="30991" xr:uid="{8D051690-3A8B-494D-92CF-F47394333DA8}"/>
    <cellStyle name="Style 97 6 3 11" xfId="15227" xr:uid="{112618D9-3D94-423C-A337-FE8F31F90C59}"/>
    <cellStyle name="Style 97 6 3 11 2" xfId="30992" xr:uid="{0CF1A2A7-7D8B-43C1-BAF6-9197B8B568BD}"/>
    <cellStyle name="Style 97 6 3 12" xfId="19308" xr:uid="{25E8E0F4-070A-41C4-AB80-91DDEDF9F796}"/>
    <cellStyle name="Style 97 6 3 2" xfId="2488" xr:uid="{AFAECA8E-FE52-4C42-81AC-527DB64F7A9E}"/>
    <cellStyle name="Style 97 6 3 2 10" xfId="15228" xr:uid="{FAC73498-500F-4D21-AE53-1533DB721959}"/>
    <cellStyle name="Style 97 6 3 2 10 2" xfId="30993" xr:uid="{8845CDD1-7744-4FB6-B668-EABB57D0C27A}"/>
    <cellStyle name="Style 97 6 3 2 11" xfId="19309" xr:uid="{C406F0D3-FFEA-48A0-BF15-B4E66A7F3688}"/>
    <cellStyle name="Style 97 6 3 2 2" xfId="5412" xr:uid="{40796994-784E-40E5-A7F6-550E37DF362A}"/>
    <cellStyle name="Style 97 6 3 2 2 2" xfId="15229" xr:uid="{C8D71989-F604-4B84-B3E5-387ED0227C97}"/>
    <cellStyle name="Style 97 6 3 2 2 2 2" xfId="15230" xr:uid="{4B372E52-AE48-4F60-B047-2ED1F367F2EB}"/>
    <cellStyle name="Style 97 6 3 2 2 2 2 2" xfId="30995" xr:uid="{6D9A8FC5-A764-486E-BD7B-E4076E148EB3}"/>
    <cellStyle name="Style 97 6 3 2 2 2 3" xfId="30994" xr:uid="{817A2ACC-933E-41CD-8AFD-747334FEFF4F}"/>
    <cellStyle name="Style 97 6 3 2 2 3" xfId="15231" xr:uid="{42398ED9-B61C-4F37-9FEC-A52B4BFF8EDE}"/>
    <cellStyle name="Style 97 6 3 2 2 3 2" xfId="15232" xr:uid="{645B8E73-7204-4F8D-A6B0-966400EF13E7}"/>
    <cellStyle name="Style 97 6 3 2 2 3 2 2" xfId="30996" xr:uid="{85A974BA-74C5-48A1-8672-1382D71412B7}"/>
    <cellStyle name="Style 97 6 3 2 2 4" xfId="15233" xr:uid="{3592BE13-B4BF-4FC1-BFB8-CBCBBA681A60}"/>
    <cellStyle name="Style 97 6 3 2 2 4 2" xfId="15234" xr:uid="{6D1A7B74-FCDF-4CC0-A8BD-9B5F8E7B43D7}"/>
    <cellStyle name="Style 97 6 3 2 2 4 2 2" xfId="30998" xr:uid="{A49AF068-EE96-42E7-9D11-921A2C286EEF}"/>
    <cellStyle name="Style 97 6 3 2 2 4 3" xfId="30997" xr:uid="{6F70AB42-6315-4BF8-8BA9-714BA53EC7CC}"/>
    <cellStyle name="Style 97 6 3 2 2 5" xfId="15235" xr:uid="{B6038AB9-5761-4802-8284-FED0C41B36DD}"/>
    <cellStyle name="Style 97 6 3 2 2 5 2" xfId="15236" xr:uid="{E382ABF0-A84F-4531-AEB9-A6AA15A3B9C3}"/>
    <cellStyle name="Style 97 6 3 2 2 5 3" xfId="30999" xr:uid="{1823546F-283D-418B-880D-655534EDB673}"/>
    <cellStyle name="Style 97 6 3 2 2 6" xfId="15237" xr:uid="{941C9A0B-0046-4B0A-AEDB-2B6986A897B6}"/>
    <cellStyle name="Style 97 6 3 2 2 6 2" xfId="31000" xr:uid="{8DBD0038-4062-423C-A579-14AD64BEDFD6}"/>
    <cellStyle name="Style 97 6 3 2 2 7" xfId="15238" xr:uid="{D082BDDE-FAC4-468D-9DFF-7881AA949C0B}"/>
    <cellStyle name="Style 97 6 3 2 2 7 2" xfId="31001" xr:uid="{17672B78-46D6-4875-B557-026B5651EC96}"/>
    <cellStyle name="Style 97 6 3 2 3 2" xfId="15239" xr:uid="{48A1DA74-A615-4804-A846-0E58950A969A}"/>
    <cellStyle name="Style 97 6 3 2 3 2 2" xfId="31002" xr:uid="{14AA54F5-F484-47B6-B408-7B00A12055BC}"/>
    <cellStyle name="Style 97 6 3 2 3 3" xfId="15240" xr:uid="{9E54C724-4E10-4C57-917C-CF6E0061F033}"/>
    <cellStyle name="Style 97 6 3 2 3 3 2" xfId="31003" xr:uid="{FF3EF168-0664-4B4B-8AC7-6DE9E6A60057}"/>
    <cellStyle name="Style 97 6 3 2 4" xfId="15241" xr:uid="{67A9E760-0CCD-4C46-BE79-C99CA9539A92}"/>
    <cellStyle name="Style 97 6 3 2 4 2" xfId="15242" xr:uid="{06A3F114-793C-442F-A9D4-4D0EBD4133BA}"/>
    <cellStyle name="Style 97 6 3 2 4 2 2" xfId="31004" xr:uid="{94318176-668F-48F6-8675-6F0086C811FA}"/>
    <cellStyle name="Style 97 6 3 2 4 3" xfId="15243" xr:uid="{A6F33648-A62E-40CD-9C1E-3C417B73760E}"/>
    <cellStyle name="Style 97 6 3 2 4 3 2" xfId="31005" xr:uid="{DA28E163-7661-450B-BFA9-7B8FDE1489B6}"/>
    <cellStyle name="Style 97 6 3 2 4 4" xfId="22417" xr:uid="{84D14103-C52C-4E5B-8254-133077FAD6C7}"/>
    <cellStyle name="Style 97 6 3 2 5" xfId="15244" xr:uid="{C91B4C69-0539-4ED1-BDE7-B75B868CCC7D}"/>
    <cellStyle name="Style 97 6 3 2 5 2 2" xfId="31007" xr:uid="{1D72249C-6AAE-47EB-B425-16A895BA4288}"/>
    <cellStyle name="Style 97 6 3 2 5 3" xfId="31006" xr:uid="{89A81BA8-57FD-441D-A705-585999884EE8}"/>
    <cellStyle name="Style 97 6 3 2 6" xfId="15245" xr:uid="{ED3446C4-9B30-4AC8-B589-EE2B8EE28DC1}"/>
    <cellStyle name="Style 97 6 3 2 6 2" xfId="15246" xr:uid="{8785CAA5-763A-406F-B509-D1B06BFE4DEA}"/>
    <cellStyle name="Style 97 6 3 2 6 2 2" xfId="31009" xr:uid="{B6662B68-CBE7-4E71-B399-1166F137EE7A}"/>
    <cellStyle name="Style 97 6 3 2 6 3" xfId="31008" xr:uid="{FD5365D3-393A-4501-BC67-63A93528A524}"/>
    <cellStyle name="Style 97 6 3 2 7" xfId="15247" xr:uid="{D480D297-DFAC-47C4-9F56-52AB6EE088F9}"/>
    <cellStyle name="Style 97 6 3 2 7 2" xfId="15248" xr:uid="{0F6C6F6A-41EE-4AAD-8DDE-AD1B153476BA}"/>
    <cellStyle name="Style 97 6 3 2 7 2 2" xfId="31011" xr:uid="{F254489F-62BB-4D41-8686-C688ADA8585F}"/>
    <cellStyle name="Style 97 6 3 2 7 3" xfId="31010" xr:uid="{7E2273BA-1835-4AD9-A398-2176BF0EC1C5}"/>
    <cellStyle name="Style 97 6 3 2 8" xfId="15249" xr:uid="{A3D0C63C-FF49-4391-8053-3C9163B47875}"/>
    <cellStyle name="Style 97 6 3 2 8 2" xfId="15250" xr:uid="{3C9D0F98-14E1-4B66-B218-A8E148B89635}"/>
    <cellStyle name="Style 97 6 3 2 8 2 2" xfId="31013" xr:uid="{54AC6B22-2821-4C54-A3A4-7D1CEF9A24E2}"/>
    <cellStyle name="Style 97 6 3 2 8 3" xfId="31012" xr:uid="{A62A3F6B-705F-4C47-8535-2C5FD944B2DD}"/>
    <cellStyle name="Style 97 6 3 2 9" xfId="15251" xr:uid="{8344CF1B-4B61-4BA4-8064-05248412F9EE}"/>
    <cellStyle name="Style 97 6 3 3" xfId="5413" xr:uid="{3979A42B-E44F-4D83-A5FB-DD3CF77D96F6}"/>
    <cellStyle name="Style 97 6 3 3 2" xfId="5414" xr:uid="{993C1D04-78C3-4273-AE5E-1268779E132A}"/>
    <cellStyle name="Style 97 6 3 3 2 2" xfId="15252" xr:uid="{1A2E25B1-3783-4096-AD78-455D32BD6D70}"/>
    <cellStyle name="Style 97 6 3 3 2 2 2" xfId="31014" xr:uid="{9AB8B7C9-59AF-4ED1-A3CD-98AAAE7229B0}"/>
    <cellStyle name="Style 97 6 3 3 2 3" xfId="15253" xr:uid="{8DE98FE9-757C-47B0-BE86-1F8CD47DBAC5}"/>
    <cellStyle name="Style 97 6 3 3 2 3 2" xfId="31015" xr:uid="{F5D4D0FB-8CC5-45FD-8737-E10EF6639CBC}"/>
    <cellStyle name="Style 97 6 3 3 2 4" xfId="15254" xr:uid="{9E9087F8-F0A1-4175-8E3B-27DD172FEF7E}"/>
    <cellStyle name="Style 97 6 3 3 2 4 2" xfId="31016" xr:uid="{0EE724CB-80AE-41AF-BCC5-2CE40BC11AA6}"/>
    <cellStyle name="Style 97 6 3 3 3" xfId="15255" xr:uid="{82461AF3-FE35-4DCB-9966-0D87B8A91576}"/>
    <cellStyle name="Style 97 6 3 3 3 2 2" xfId="31018" xr:uid="{30614A44-E3B9-49EB-AFED-0E8613EE9685}"/>
    <cellStyle name="Style 97 6 3 3 3 3" xfId="31017" xr:uid="{D2C7B4C0-72C2-406C-B348-69AC43DED115}"/>
    <cellStyle name="Style 97 6 3 3 4" xfId="15256" xr:uid="{BA87ADF8-5FCF-40BA-982A-8AE66AFF6F04}"/>
    <cellStyle name="Style 97 6 3 3 4 2" xfId="15257" xr:uid="{2AB36AB0-B73D-453B-80A9-4D4ADC84A946}"/>
    <cellStyle name="Style 97 6 3 3 4 2 2" xfId="31019" xr:uid="{E6AF0F32-CB50-48A3-BA73-489E8F7B0066}"/>
    <cellStyle name="Style 97 6 3 3 5" xfId="15258" xr:uid="{53393299-EE26-4437-B4BA-8CB63A67B5ED}"/>
    <cellStyle name="Style 97 6 3 3 5 2" xfId="15259" xr:uid="{6A9F94D6-87D3-418D-B7B2-B265BA351DE0}"/>
    <cellStyle name="Style 97 6 3 3 5 2 2" xfId="31020" xr:uid="{47D665E2-F4CA-4FEA-9B35-DFF4EEF03819}"/>
    <cellStyle name="Style 97 6 3 3 6" xfId="15260" xr:uid="{09328C4E-ED97-458B-9C61-E89D57CAC35C}"/>
    <cellStyle name="Style 97 6 3 3 6 2" xfId="31021" xr:uid="{36C39A02-4D17-4A15-A2BC-257FC527F9BB}"/>
    <cellStyle name="Style 97 6 3 3 7" xfId="15261" xr:uid="{A580EF67-96A5-446A-AE02-8CB42356A5FC}"/>
    <cellStyle name="Style 97 6 3 3 7 2" xfId="31022" xr:uid="{F8166901-9BBB-406F-A6D9-748BF3968407}"/>
    <cellStyle name="Style 97 6 3 3 8" xfId="19310" xr:uid="{6873A48F-79D4-414B-B37E-340101849478}"/>
    <cellStyle name="Style 97 6 3 4" xfId="5415" xr:uid="{F0AD1CC5-39E8-47EF-B0F0-DACA14F306F0}"/>
    <cellStyle name="Style 97 6 3 4 2" xfId="15262" xr:uid="{B9F1CB0D-DBC2-48C0-B083-44ADD16C976C}"/>
    <cellStyle name="Style 97 6 3 4 2 2" xfId="31023" xr:uid="{B8DB542F-3E36-4723-BFD6-0A91B5F6DF4E}"/>
    <cellStyle name="Style 97 6 3 4 3 2" xfId="31024" xr:uid="{1132D780-95B3-4A9B-A987-287AD3877370}"/>
    <cellStyle name="Style 97 6 3 4 4" xfId="15263" xr:uid="{555C0ADC-C549-4252-8594-1B24EA00AD5B}"/>
    <cellStyle name="Style 97 6 3 4 4 2" xfId="31025" xr:uid="{A14339C0-2957-48B3-BE60-80A09281FAB9}"/>
    <cellStyle name="Style 97 6 3 5" xfId="5416" xr:uid="{66740BE7-FCED-487D-91A7-22880C9B4A81}"/>
    <cellStyle name="Style 97 6 3 5 2" xfId="15264" xr:uid="{62D17C2A-2366-4FEC-89DA-FCCB0CFFC6BF}"/>
    <cellStyle name="Style 97 6 3 5 2 2" xfId="31026" xr:uid="{24A07E77-D6C1-4D94-A5A0-1D71B93EC8F4}"/>
    <cellStyle name="Style 97 6 3 5 3" xfId="15265" xr:uid="{3EDA3A3B-3FC1-4B7D-9A86-E50BF31C8C86}"/>
    <cellStyle name="Style 97 6 3 5 3 2" xfId="31027" xr:uid="{62F391E9-CBF7-4DF7-B9F9-1F617EC86662}"/>
    <cellStyle name="Style 97 6 3 6" xfId="5411" xr:uid="{0AECBB2C-0653-4E25-B379-033730050400}"/>
    <cellStyle name="Style 97 6 3 6 2" xfId="15266" xr:uid="{00BE663D-4F57-4052-8644-DACEBE516042}"/>
    <cellStyle name="Style 97 6 3 6 2 2" xfId="31028" xr:uid="{0F79DAE9-4A9A-4285-A341-8FA20692BC76}"/>
    <cellStyle name="Style 97 6 3 6 3" xfId="15267" xr:uid="{A900336C-CFA3-44E6-A2CA-37F7AEBB586B}"/>
    <cellStyle name="Style 97 6 3 6 3 2" xfId="31029" xr:uid="{22C7F0D4-F54D-45E6-9501-89818FA71586}"/>
    <cellStyle name="Style 97 6 3 7" xfId="15268" xr:uid="{99EF0DE0-40AE-4F09-B498-1DCC08D03CD5}"/>
    <cellStyle name="Style 97 6 3 7 2" xfId="15269" xr:uid="{5878C497-CC4B-4779-AE6A-B2876FEC5D56}"/>
    <cellStyle name="Style 97 6 3 7 2 2" xfId="31030" xr:uid="{0EDC109C-F1C9-48C9-B2B6-64649FB16E38}"/>
    <cellStyle name="Style 97 6 3 7 3" xfId="15270" xr:uid="{8572D5A5-91FA-42E1-B0FF-567D1D75A1AF}"/>
    <cellStyle name="Style 97 6 3 7 3 2" xfId="31031" xr:uid="{BF123604-D097-44C0-AC75-CCD7D8DD8772}"/>
    <cellStyle name="Style 97 6 3 7 4" xfId="22416" xr:uid="{19D0CAEF-0AA5-4F38-8344-83E45C2D5D86}"/>
    <cellStyle name="Style 97 6 3 8" xfId="15271" xr:uid="{6800D16C-CD8D-42F5-BA21-8BE247C15B15}"/>
    <cellStyle name="Style 97 6 3 8 2" xfId="15272" xr:uid="{1AEC379B-78A5-4995-9A7D-C0051F6B0BF6}"/>
    <cellStyle name="Style 97 6 3 8 2 2" xfId="31033" xr:uid="{6F55F761-FA94-4815-ACFD-0DE0A5142AAA}"/>
    <cellStyle name="Style 97 6 3 8 3" xfId="31032" xr:uid="{F337F632-B2E2-44A1-8F70-B278DB9F4C92}"/>
    <cellStyle name="Style 97 6 3 9" xfId="15273" xr:uid="{8F9BC801-2C09-4833-A8A5-1CF03A82B1E5}"/>
    <cellStyle name="Style 97 6 3 9 2" xfId="15274" xr:uid="{524C1C49-A6D2-40E9-B7C6-E6F30A921B1E}"/>
    <cellStyle name="Style 97 6 3 9 2 2" xfId="31035" xr:uid="{1E226492-42BE-4996-B37E-B7F6CAED08D0}"/>
    <cellStyle name="Style 97 6 3 9 3" xfId="31034" xr:uid="{B2092786-BE84-4B65-94C6-58223D465C62}"/>
    <cellStyle name="Style 97 6 4" xfId="2489" xr:uid="{C56DD3D2-0A87-4DFF-B81B-1BD5880FC764}"/>
    <cellStyle name="Style 97 6 4 10 2" xfId="31036" xr:uid="{E8B49AAA-7200-416F-9D8F-5467916AE3BC}"/>
    <cellStyle name="Style 97 6 4 11" xfId="15275" xr:uid="{B032E09E-5258-48CF-BFB1-9CA1D7A8E3BD}"/>
    <cellStyle name="Style 97 6 4 11 2" xfId="31037" xr:uid="{82E659A4-E479-4F53-99D3-5136CE0289CE}"/>
    <cellStyle name="Style 97 6 4 12" xfId="19311" xr:uid="{4BFB133B-4883-41B2-84C5-EE59A2CC0DB7}"/>
    <cellStyle name="Style 97 6 4 2" xfId="2490" xr:uid="{CFCE8CB1-FE66-4737-9682-D5F4D261CD86}"/>
    <cellStyle name="Style 97 6 4 2 10" xfId="15276" xr:uid="{659F8D99-9320-4AA3-8141-979AF6C1D4DA}"/>
    <cellStyle name="Style 97 6 4 2 10 2" xfId="31038" xr:uid="{4628982C-6EC7-4B04-8893-9BC2B0329B57}"/>
    <cellStyle name="Style 97 6 4 2 11" xfId="19312" xr:uid="{F660668F-CF90-4199-94DA-64AD711FEB08}"/>
    <cellStyle name="Style 97 6 4 2 2" xfId="5419" xr:uid="{C5FA4A42-4CCE-45E5-8F6C-240098FF44F1}"/>
    <cellStyle name="Style 97 6 4 2 2 2" xfId="15277" xr:uid="{0E15F265-3EBC-460D-8EAA-96059B0B313E}"/>
    <cellStyle name="Style 97 6 4 2 2 2 2" xfId="15278" xr:uid="{81972BC4-F50F-4E87-8DB7-D49A85247965}"/>
    <cellStyle name="Style 97 6 4 2 2 2 2 2" xfId="31040" xr:uid="{47E02C66-D4B7-4FE8-B957-12BDAE3BBFC5}"/>
    <cellStyle name="Style 97 6 4 2 2 2 3" xfId="31039" xr:uid="{A5F62234-3877-4AAD-93E6-7B57115B6659}"/>
    <cellStyle name="Style 97 6 4 2 2 3" xfId="15279" xr:uid="{EF97BFA5-3FB2-406E-A9C9-F0A0AC9DEB68}"/>
    <cellStyle name="Style 97 6 4 2 2 3 2" xfId="15280" xr:uid="{91464A96-7367-4B51-8FF5-D8FB98CD7C08}"/>
    <cellStyle name="Style 97 6 4 2 2 3 2 2" xfId="31042" xr:uid="{B15C3C20-B5EB-4863-9FA6-D36F212B6DDE}"/>
    <cellStyle name="Style 97 6 4 2 2 3 3" xfId="31041" xr:uid="{5C5B99D7-0A35-4229-8337-A0841013CF2C}"/>
    <cellStyle name="Style 97 6 4 2 2 4" xfId="15281" xr:uid="{229CA3C6-75D7-42E2-899C-AB8475070451}"/>
    <cellStyle name="Style 97 6 4 2 2 4 2" xfId="15282" xr:uid="{42921D2F-7EF4-450C-A093-B7A62BFC368F}"/>
    <cellStyle name="Style 97 6 4 2 2 4 2 2" xfId="31044" xr:uid="{5E20A455-FB90-4F57-87F5-AB421D851B1F}"/>
    <cellStyle name="Style 97 6 4 2 2 4 3" xfId="31043" xr:uid="{7FEE369C-ED8A-4D83-9E7C-9DE9B346AD1F}"/>
    <cellStyle name="Style 97 6 4 2 2 5" xfId="15283" xr:uid="{025DD53C-D7D0-4FA0-A477-BD95C88ED21E}"/>
    <cellStyle name="Style 97 6 4 2 2 5 2" xfId="15284" xr:uid="{648E4FAA-009E-40B9-8E5D-9EFAFBB60D9F}"/>
    <cellStyle name="Style 97 6 4 2 2 5 3" xfId="31045" xr:uid="{CC61D81F-8837-4560-92C6-6ADB8C082C4A}"/>
    <cellStyle name="Style 97 6 4 2 2 6" xfId="15285" xr:uid="{5043DE43-D87D-4863-80AB-4FE72A7C0AD7}"/>
    <cellStyle name="Style 97 6 4 2 2 6 2" xfId="31046" xr:uid="{DB48EAFB-85EE-4C03-92C3-69AE89292651}"/>
    <cellStyle name="Style 97 6 4 2 2 7" xfId="15286" xr:uid="{1F75A5B7-F8EA-457B-8662-8065AED54AB5}"/>
    <cellStyle name="Style 97 6 4 2 2 7 2" xfId="31047" xr:uid="{FCA8B6DE-96D1-4658-BA36-CBDC351FA12D}"/>
    <cellStyle name="Style 97 6 4 2 3" xfId="5418" xr:uid="{85902C19-96A2-4054-AF3A-76CEB938F127}"/>
    <cellStyle name="Style 97 6 4 2 3 2" xfId="15287" xr:uid="{E39CCA9A-A78E-49C9-9747-4337DFB120F2}"/>
    <cellStyle name="Style 97 6 4 2 3 2 2" xfId="31048" xr:uid="{C750D80C-69ED-4E41-ADC8-20375FA22685}"/>
    <cellStyle name="Style 97 6 4 2 3 3 2" xfId="31049" xr:uid="{D8D8CFB7-EAF7-4395-83C0-3BB8469B9D78}"/>
    <cellStyle name="Style 97 6 4 2 4" xfId="15288" xr:uid="{FD0B3316-B8B9-4CA6-B2C5-6DAF00C99DD0}"/>
    <cellStyle name="Style 97 6 4 2 4 2" xfId="15289" xr:uid="{83F5C051-9CB4-4836-B55A-5D657D0B7A14}"/>
    <cellStyle name="Style 97 6 4 2 4 2 2" xfId="31050" xr:uid="{076B6860-D060-4F46-BC54-1E134E66EBBB}"/>
    <cellStyle name="Style 97 6 4 2 4 3" xfId="15290" xr:uid="{F84B07BC-26FB-44B2-BE72-81002CCB3211}"/>
    <cellStyle name="Style 97 6 4 2 4 3 2" xfId="31051" xr:uid="{B8022950-5AB7-404F-B332-86BBD0417F93}"/>
    <cellStyle name="Style 97 6 4 2 4 4" xfId="22419" xr:uid="{763412CC-FEDF-4BD3-89B9-A884619CCE19}"/>
    <cellStyle name="Style 97 6 4 2 5" xfId="15291" xr:uid="{9CB09683-1ECE-4E53-9E7E-AAE5FC294ED4}"/>
    <cellStyle name="Style 97 6 4 2 5 2" xfId="15292" xr:uid="{202234E5-0368-4F94-95B8-D3F2086C3A61}"/>
    <cellStyle name="Style 97 6 4 2 5 2 2" xfId="31053" xr:uid="{B5A52500-F5B8-457A-8FF8-3C5D425E981D}"/>
    <cellStyle name="Style 97 6 4 2 5 3" xfId="31052" xr:uid="{713767C0-B538-4E4F-83BB-269D8F8726F9}"/>
    <cellStyle name="Style 97 6 4 2 6" xfId="15293" xr:uid="{EB0B91FE-E096-48D5-840B-E0476BB7C81F}"/>
    <cellStyle name="Style 97 6 4 2 6 2" xfId="15294" xr:uid="{C0DE79D7-5ED7-4935-A684-FE6126A509D5}"/>
    <cellStyle name="Style 97 6 4 2 6 2 2" xfId="31055" xr:uid="{37DE2E66-00FE-47BF-A356-B5BFE3434101}"/>
    <cellStyle name="Style 97 6 4 2 6 3" xfId="31054" xr:uid="{A66CB995-221A-4AD2-AE4A-62C4A7763756}"/>
    <cellStyle name="Style 97 6 4 2 7" xfId="15295" xr:uid="{2B2B37E3-2364-405E-93F1-7C78D8FDFFD7}"/>
    <cellStyle name="Style 97 6 4 2 7 2" xfId="15296" xr:uid="{0DDB56C9-15E3-4E2C-A482-89BB07A008D6}"/>
    <cellStyle name="Style 97 6 4 2 7 2 2" xfId="31057" xr:uid="{1068E657-1A72-4D40-98B4-ABBAD5FA920F}"/>
    <cellStyle name="Style 97 6 4 2 7 3" xfId="31056" xr:uid="{BF881452-25E6-4987-9194-B044F711F8F5}"/>
    <cellStyle name="Style 97 6 4 2 8" xfId="15297" xr:uid="{37DF7D21-A889-46F0-BBA9-A2D2024A96A0}"/>
    <cellStyle name="Style 97 6 4 2 8 2" xfId="15298" xr:uid="{A6247618-F637-476A-8BBA-1998CE6980C1}"/>
    <cellStyle name="Style 97 6 4 2 8 2 2" xfId="31059" xr:uid="{C49F5F79-1B2D-4E2A-A7F9-68CD41056040}"/>
    <cellStyle name="Style 97 6 4 2 8 3" xfId="31058" xr:uid="{6F58E07A-079A-467D-9BBA-50B0FC1AD057}"/>
    <cellStyle name="Style 97 6 4 2 9" xfId="15299" xr:uid="{1D236380-8359-440C-B370-DD825A2A462B}"/>
    <cellStyle name="Style 97 6 4 2 9 2" xfId="31060" xr:uid="{72DFA7DB-EE56-44A7-89D8-AF1522CD9E56}"/>
    <cellStyle name="Style 97 6 4 3" xfId="5420" xr:uid="{1319E703-18BA-44F7-A493-60EE58D03A00}"/>
    <cellStyle name="Style 97 6 4 3 2" xfId="15300" xr:uid="{D96C1562-E86A-4ECF-80FC-87173EE2C839}"/>
    <cellStyle name="Style 97 6 4 3 2 2" xfId="15301" xr:uid="{26B11A9F-D476-4BFA-8881-5BCDC86D4153}"/>
    <cellStyle name="Style 97 6 4 3 2 3" xfId="31061" xr:uid="{D35F6BDD-E963-4C0D-9554-AF40D39FC36C}"/>
    <cellStyle name="Style 97 6 4 3 3" xfId="15302" xr:uid="{3D77CB60-B523-40E5-B0A0-D06B3BF38D83}"/>
    <cellStyle name="Style 97 6 4 3 3 2" xfId="15303" xr:uid="{C26DFF8B-EDB8-4267-B30C-2982FACF7239}"/>
    <cellStyle name="Style 97 6 4 3 3 2 2" xfId="31063" xr:uid="{0F19B70B-87E4-4BE1-9E55-C8D1A96BA9E4}"/>
    <cellStyle name="Style 97 6 4 3 3 3" xfId="31062" xr:uid="{C8EDCB1F-6ECF-4790-9066-8683FD6ADAAF}"/>
    <cellStyle name="Style 97 6 4 3 4" xfId="15304" xr:uid="{07AF4A85-3612-4CFA-8794-F8F07B19C2D2}"/>
    <cellStyle name="Style 97 6 4 3 4 2" xfId="15305" xr:uid="{40A2DD60-0992-4C68-8B94-A5C2BDEE6382}"/>
    <cellStyle name="Style 97 6 4 3 4 2 2" xfId="31065" xr:uid="{F5075441-EC4F-481F-BE72-DBE0550384EB}"/>
    <cellStyle name="Style 97 6 4 3 4 3" xfId="31064" xr:uid="{38DD5287-4232-49BA-A300-E53062072858}"/>
    <cellStyle name="Style 97 6 4 3 5" xfId="15306" xr:uid="{40180D7F-DD29-4B8D-8F49-F9B239CB5B42}"/>
    <cellStyle name="Style 97 6 4 3 5 2" xfId="15307" xr:uid="{3A722596-DA90-417C-9CC1-FEC0D3D49C13}"/>
    <cellStyle name="Style 97 6 4 3 5 2 2" xfId="31067" xr:uid="{0A1ED9D1-D16B-4DBB-90B9-EC82983E8EF0}"/>
    <cellStyle name="Style 97 6 4 3 5 3" xfId="31066" xr:uid="{66C30B82-DDC8-4DA8-B6D7-CDDD700DDFD9}"/>
    <cellStyle name="Style 97 6 4 3 6" xfId="15308" xr:uid="{0D8D1E69-5405-4EF7-902B-5AF78609A75E}"/>
    <cellStyle name="Style 97 6 4 3 6 2" xfId="31068" xr:uid="{C8689E81-20EC-4218-9880-E449431E1961}"/>
    <cellStyle name="Style 97 6 4 3 7" xfId="15309" xr:uid="{1180E73D-A2A4-46B6-97E8-E90407FFAA5C}"/>
    <cellStyle name="Style 97 6 4 3 7 2" xfId="31069" xr:uid="{AEF98930-E6AD-41A2-822B-B62C6C48F5B5}"/>
    <cellStyle name="Style 97 6 4 4" xfId="5417" xr:uid="{3652922C-903F-4483-944B-2681AC644541}"/>
    <cellStyle name="Style 97 6 4 4 2" xfId="15310" xr:uid="{77ED68DB-F07C-4D04-B399-BC3EB0FE9741}"/>
    <cellStyle name="Style 97 6 4 4 2 2" xfId="31070" xr:uid="{4D9FECA6-7B82-4430-8B3E-3BEE726C2872}"/>
    <cellStyle name="Style 97 6 4 4 3" xfId="15311" xr:uid="{C0EEA32C-8589-4DE0-9645-AE9FAC3CDF22}"/>
    <cellStyle name="Style 97 6 4 5" xfId="15312" xr:uid="{9E8327C3-A703-4182-884F-11AD2E462267}"/>
    <cellStyle name="Style 97 6 4 5 2" xfId="15313" xr:uid="{3F158384-470D-481E-8B71-E28485F08606}"/>
    <cellStyle name="Style 97 6 4 5 2 2" xfId="31071" xr:uid="{B7421575-5735-4725-9CC3-21D43378C19C}"/>
    <cellStyle name="Style 97 6 4 5 3 2" xfId="31072" xr:uid="{1A1FDF5C-97CC-447B-983C-2CA47342A3BD}"/>
    <cellStyle name="Style 97 6 4 5 4" xfId="22418" xr:uid="{71FB25C0-C944-466C-8F05-C21405884478}"/>
    <cellStyle name="Style 97 6 4 6" xfId="15314" xr:uid="{7CEA3FCA-C553-4ABA-A364-B6680829A35C}"/>
    <cellStyle name="Style 97 6 4 6 2" xfId="15315" xr:uid="{7C809681-D83C-4B72-9CBA-81A6CDA3A590}"/>
    <cellStyle name="Style 97 6 4 6 2 2" xfId="31074" xr:uid="{D3E37D1D-68EA-43B5-A447-04C6C1C526E4}"/>
    <cellStyle name="Style 97 6 4 6 3" xfId="31073" xr:uid="{CE74B1BA-3905-417B-B077-A1BBA07DBEDA}"/>
    <cellStyle name="Style 97 6 4 7" xfId="15316" xr:uid="{A849290D-B1F6-491F-8F3A-A454F17EE64F}"/>
    <cellStyle name="Style 97 6 4 7 2" xfId="15317" xr:uid="{321A9A49-5862-473D-8E39-03E30C868AAB}"/>
    <cellStyle name="Style 97 6 4 7 3" xfId="31075" xr:uid="{9E1CB109-3829-43CB-9465-3753A27D808B}"/>
    <cellStyle name="Style 97 6 4 8" xfId="15318" xr:uid="{D86ED587-5B8F-4E6D-9BF0-57F953E63344}"/>
    <cellStyle name="Style 97 6 4 8 2" xfId="15319" xr:uid="{1CCAD2F6-BB20-416B-A636-D185E9D2EB09}"/>
    <cellStyle name="Style 97 6 4 8 2 2" xfId="31077" xr:uid="{E77B78AA-EC0C-4D48-BEF8-B55FB481398B}"/>
    <cellStyle name="Style 97 6 4 8 3" xfId="31076" xr:uid="{5363A103-0D46-4697-802B-A4C3D42487D1}"/>
    <cellStyle name="Style 97 6 4 9" xfId="15320" xr:uid="{0089041B-E9F3-46DB-8BAE-002A2B81C2CD}"/>
    <cellStyle name="Style 97 6 4 9 2" xfId="15321" xr:uid="{B718EFDA-ADE9-4E1A-B20F-98433DED6562}"/>
    <cellStyle name="Style 97 6 4 9 2 2" xfId="31079" xr:uid="{FD986C9B-5D2D-4341-B8B5-0F1C8D3B6544}"/>
    <cellStyle name="Style 97 6 4 9 3" xfId="31078" xr:uid="{A7B25FDD-71F5-4281-996D-C82BBE50BC53}"/>
    <cellStyle name="Style 97 6 5" xfId="5421" xr:uid="{D2822433-FCF3-4617-B7E7-1FD2B62AA1AA}"/>
    <cellStyle name="Style 97 6 5 2" xfId="15322" xr:uid="{CD4154E2-5E67-467A-94EC-C91C53384A07}"/>
    <cellStyle name="Style 97 6 5 2 2" xfId="15323" xr:uid="{D67B0BC9-B6E5-473A-B70D-DE852371AD96}"/>
    <cellStyle name="Style 97 6 5 2 2 2" xfId="31081" xr:uid="{67942243-3F5B-48EC-9E19-325508CB6C3F}"/>
    <cellStyle name="Style 97 6 5 2 3" xfId="15324" xr:uid="{CA3B283C-7B8A-4A7A-9BD4-942DC6863E81}"/>
    <cellStyle name="Style 97 6 5 2 3 2" xfId="31082" xr:uid="{977E3DFB-EDEC-4CF3-924D-2865D0562C77}"/>
    <cellStyle name="Style 97 6 5 2 4" xfId="31080" xr:uid="{226002CC-D8EE-417A-85F4-7250469C46F5}"/>
    <cellStyle name="Style 97 6 5 3" xfId="15325" xr:uid="{FE89D18C-D915-4CDE-82F6-79E147ECE58E}"/>
    <cellStyle name="Style 97 6 5 3 2" xfId="15326" xr:uid="{4C95799C-BC93-45EF-91B2-7DD56342066F}"/>
    <cellStyle name="Style 97 6 5 3 2 2" xfId="31084" xr:uid="{C4D36918-A544-4D7D-A730-2D9A9581707A}"/>
    <cellStyle name="Style 97 6 5 3 3" xfId="31083" xr:uid="{7CF79664-5423-4618-A565-26BC65FBA352}"/>
    <cellStyle name="Style 97 6 5 4" xfId="15327" xr:uid="{8F8F4C4D-6933-4B87-8951-EE4C09F0D2D6}"/>
    <cellStyle name="Style 97 6 5 4 2" xfId="15328" xr:uid="{D4FB8985-B4D6-4AFD-B754-A6279ED18BFF}"/>
    <cellStyle name="Style 97 6 5 4 2 2" xfId="31086" xr:uid="{3C8C38D0-757B-4BF7-A210-C4AC13746808}"/>
    <cellStyle name="Style 97 6 5 4 3" xfId="31085" xr:uid="{19D8096A-CC9D-4AAE-A482-1159402A2B72}"/>
    <cellStyle name="Style 97 6 5 5" xfId="15329" xr:uid="{BF9A3DA5-77B6-4B1C-A8CF-EE85A8221703}"/>
    <cellStyle name="Style 97 6 5 5 2" xfId="15330" xr:uid="{96483BA1-D687-461B-B3E1-44F95440D7F1}"/>
    <cellStyle name="Style 97 6 5 5 2 2" xfId="31088" xr:uid="{7AF29306-8B8B-49E4-BD68-F45B1CED8A74}"/>
    <cellStyle name="Style 97 6 5 5 3" xfId="31087" xr:uid="{D58583AB-8AD8-4160-9A13-44666FB8EA51}"/>
    <cellStyle name="Style 97 6 5 6 2" xfId="31089" xr:uid="{9951C3A3-188B-4639-A557-A35EAE968D4B}"/>
    <cellStyle name="Style 97 6 5 7" xfId="15331" xr:uid="{08C0BAFE-0135-40FD-9B61-825B96B58567}"/>
    <cellStyle name="Style 97 6 5 7 2" xfId="31090" xr:uid="{FC6A92D2-459A-4E79-8FA8-B243B6A614A9}"/>
    <cellStyle name="Style 97 6 6" xfId="5422" xr:uid="{8A3C4CE5-A738-492D-B0F9-A926998B6C71}"/>
    <cellStyle name="Style 97 6 6 2" xfId="15332" xr:uid="{CE20D251-BF6C-4727-BF22-4067D378CBD9}"/>
    <cellStyle name="Style 97 6 6 2 2" xfId="31091" xr:uid="{20B7014E-99A4-472E-B528-2858C2C24CBD}"/>
    <cellStyle name="Style 97 6 6 3" xfId="15333" xr:uid="{D0619FF6-DBA5-48DC-990F-44170BDBF83D}"/>
    <cellStyle name="Style 97 6 6 3 2" xfId="31092" xr:uid="{FEA2729C-CF3E-430F-A0C3-8F2244047EA4}"/>
    <cellStyle name="Style 97 6 6 4" xfId="15334" xr:uid="{3B4773BB-BB0B-4A80-97B9-EC398D8DE38B}"/>
    <cellStyle name="Style 97 6 6 4 2" xfId="31093" xr:uid="{07D52502-4E02-4976-865A-9F2B22BD3E8B}"/>
    <cellStyle name="Style 97 6 7" xfId="5408" xr:uid="{53BE9939-A2D9-4FD9-9AFC-2837D130EB05}"/>
    <cellStyle name="Style 97 6 7 2" xfId="15335" xr:uid="{73F29C0F-3FA9-4BDB-8AD2-DCF5E6539263}"/>
    <cellStyle name="Style 97 6 7 2 2" xfId="31094" xr:uid="{C9206F7C-DBED-4DF0-8AE2-4A1A5678A928}"/>
    <cellStyle name="Style 97 6 7 3" xfId="15336" xr:uid="{D991F882-7EB7-4DC3-A4C5-3BD3A38BC902}"/>
    <cellStyle name="Style 97 6 7 3 2" xfId="31095" xr:uid="{A6E65D65-65F5-427A-AB5D-E7C79336CF24}"/>
    <cellStyle name="Style 97 6 8" xfId="15337" xr:uid="{F00F3E46-688E-4FCD-BD13-96BDEBDED5B1}"/>
    <cellStyle name="Style 97 6 8 2" xfId="15338" xr:uid="{42E0DE4C-DF2F-4913-AC1D-B8E75CB1B388}"/>
    <cellStyle name="Style 97 6 8 2 2" xfId="31096" xr:uid="{1629EAFC-F1D6-4B25-B364-F6F8D2E48D9A}"/>
    <cellStyle name="Style 97 6 8 3" xfId="15339" xr:uid="{D48A4A63-BE88-4222-AAFF-C5D91CE7D301}"/>
    <cellStyle name="Style 97 6 8 3 2" xfId="31097" xr:uid="{A46E2406-FFB6-460A-B013-FE6AFE7EBCE8}"/>
    <cellStyle name="Style 97 6 8 4" xfId="22414" xr:uid="{600E147F-9307-4C1A-B43D-5AFF77AC48C7}"/>
    <cellStyle name="Style 97 6 9" xfId="15340" xr:uid="{09E0FF25-19AA-42BD-B528-653110D42AE7}"/>
    <cellStyle name="Style 97 6 9 2" xfId="15341" xr:uid="{AECE2CF2-C5BB-4C2F-9443-71B1B70B7F9B}"/>
    <cellStyle name="Style 97 6 9 3" xfId="31098" xr:uid="{EE8A01C1-E66D-41E0-9F2C-18CCD5BD0487}"/>
    <cellStyle name="Style 97 7" xfId="2491" xr:uid="{641D3CC6-0E06-482B-BA1F-8CABDC9A56B2}"/>
    <cellStyle name="Style 97 7 10" xfId="15342" xr:uid="{8349B0E4-0E27-4DD5-A4F3-F7B98C7FC8BF}"/>
    <cellStyle name="Style 97 7 10 2" xfId="31099" xr:uid="{14A9ED81-D041-4E0A-9C6E-D0C952992D9A}"/>
    <cellStyle name="Style 97 7 11" xfId="15343" xr:uid="{98F2117E-11A3-4398-B393-5C2D4ADBF6B5}"/>
    <cellStyle name="Style 97 7 11 2" xfId="31100" xr:uid="{BD3F33E4-C315-4E52-80D1-144E18DD632E}"/>
    <cellStyle name="Style 97 7 12" xfId="19313" xr:uid="{EECB8AE2-F0F5-401E-8BE3-807AA0A1CBD5}"/>
    <cellStyle name="Style 97 7 2" xfId="2492" xr:uid="{EEE480CC-51B4-4C15-8627-CDC2517A6B40}"/>
    <cellStyle name="Style 97 7 2 10 2" xfId="31101" xr:uid="{9E066B43-9F19-4746-98AD-2D6281605DCF}"/>
    <cellStyle name="Style 97 7 2 11" xfId="19314" xr:uid="{04B65466-07DC-4240-806E-36323881C757}"/>
    <cellStyle name="Style 97 7 2 2" xfId="5425" xr:uid="{2D5619C0-0FCF-4A65-92AA-B3B03E83A430}"/>
    <cellStyle name="Style 97 7 2 2 2" xfId="15344" xr:uid="{F9D1F518-B56A-4BFC-9533-CFA8E88A17E2}"/>
    <cellStyle name="Style 97 7 2 2 2 2" xfId="15345" xr:uid="{90910DB1-80C1-4E4F-B884-E099CC013A80}"/>
    <cellStyle name="Style 97 7 2 2 2 2 2" xfId="31103" xr:uid="{59996A24-B16E-48B9-93F4-5903D7558B38}"/>
    <cellStyle name="Style 97 7 2 2 2 3" xfId="31102" xr:uid="{D2FFD3BD-B490-4FC9-A1B9-24219AB84E25}"/>
    <cellStyle name="Style 97 7 2 2 3" xfId="15346" xr:uid="{D620C99A-AA02-4683-B09B-60D7F589B896}"/>
    <cellStyle name="Style 97 7 2 2 3 2" xfId="15347" xr:uid="{A3848BC4-1A5A-45C1-AA7D-83DE695402D2}"/>
    <cellStyle name="Style 97 7 2 2 3 2 2" xfId="31105" xr:uid="{E64F4F09-8346-48F0-931D-7DA0690B9BDD}"/>
    <cellStyle name="Style 97 7 2 2 3 3" xfId="31104" xr:uid="{04B05505-ED2E-4312-8615-37660F4B5CFF}"/>
    <cellStyle name="Style 97 7 2 2 4" xfId="15348" xr:uid="{18CFA908-C66D-45F6-84D8-A648D7394289}"/>
    <cellStyle name="Style 97 7 2 2 4 2" xfId="15349" xr:uid="{1B7D9DC7-24E6-4A6D-A874-C2CFDE4361D6}"/>
    <cellStyle name="Style 97 7 2 2 4 2 2" xfId="31107" xr:uid="{3C67F6BB-406E-4823-959E-A2DC4D0F3B0A}"/>
    <cellStyle name="Style 97 7 2 2 4 3" xfId="31106" xr:uid="{2B4C3A77-E9A4-48F8-9B9D-A152F74D1597}"/>
    <cellStyle name="Style 97 7 2 2 5" xfId="15350" xr:uid="{DD27AC50-E150-4D6B-934A-646B00727467}"/>
    <cellStyle name="Style 97 7 2 2 5 2" xfId="15351" xr:uid="{86571974-36FB-4EB1-9541-D796D92C106D}"/>
    <cellStyle name="Style 97 7 2 2 5 2 2" xfId="31109" xr:uid="{A937D99E-6C54-403C-8B36-9228EE681677}"/>
    <cellStyle name="Style 97 7 2 2 5 3" xfId="31108" xr:uid="{BED0D215-47EF-41EC-A692-64966157F2DC}"/>
    <cellStyle name="Style 97 7 2 2 6" xfId="15352" xr:uid="{D3BBD065-73C6-4A84-9163-2F76D6B404DD}"/>
    <cellStyle name="Style 97 7 2 2 6 2" xfId="31110" xr:uid="{EB867C7D-819B-497A-B54F-721B9E264965}"/>
    <cellStyle name="Style 97 7 2 2 7" xfId="15353" xr:uid="{4D3C0AA3-8530-4A07-AF6A-BFD74C13555C}"/>
    <cellStyle name="Style 97 7 2 2 7 2" xfId="31111" xr:uid="{206BA758-BEC8-4C52-8AB2-70A78DF90313}"/>
    <cellStyle name="Style 97 7 2 3" xfId="5424" xr:uid="{FAE473A2-0021-40A2-8195-BEA7FCAB7CC3}"/>
    <cellStyle name="Style 97 7 2 3 2" xfId="15354" xr:uid="{799AC816-9C24-4BB3-95DD-17E58D2923C5}"/>
    <cellStyle name="Style 97 7 2 3 2 2" xfId="31112" xr:uid="{2193E792-E6C8-446E-A6C4-2795E9514B4E}"/>
    <cellStyle name="Style 97 7 2 3 3" xfId="15355" xr:uid="{C9FDAD0D-8D9C-4B5B-9E77-1FBF2E2D08CA}"/>
    <cellStyle name="Style 97 7 2 3 3 2" xfId="31113" xr:uid="{87290134-E5EE-440F-A840-823830CFB886}"/>
    <cellStyle name="Style 97 7 2 4 2" xfId="15356" xr:uid="{1345F7D1-B1C2-44DF-A1BE-CC355450D37A}"/>
    <cellStyle name="Style 97 7 2 4 2 2" xfId="31114" xr:uid="{B57251FA-C324-4FFE-A0ED-D89C54D973B0}"/>
    <cellStyle name="Style 97 7 2 4 3" xfId="15357" xr:uid="{92906366-9F9E-4D8E-87E2-1A09BAB8B291}"/>
    <cellStyle name="Style 97 7 2 4 3 2" xfId="31115" xr:uid="{4DFB98B9-39BC-45CE-AE84-89B3CD2F6B4E}"/>
    <cellStyle name="Style 97 7 2 4 4" xfId="22421" xr:uid="{17667658-A2DF-452F-9AE2-9E7052A30DA8}"/>
    <cellStyle name="Style 97 7 2 5" xfId="15358" xr:uid="{6671FBFB-7AFD-4D68-9BA0-B652329147BF}"/>
    <cellStyle name="Style 97 7 2 5 2" xfId="15359" xr:uid="{8531C0FD-CD9D-4DE0-9CDA-A06812A44982}"/>
    <cellStyle name="Style 97 7 2 5 2 2" xfId="31117" xr:uid="{237A9251-8570-486C-A96E-C0B933787D09}"/>
    <cellStyle name="Style 97 7 2 5 3" xfId="31116" xr:uid="{65768D46-1945-4026-B25B-0530A373D355}"/>
    <cellStyle name="Style 97 7 2 6" xfId="15360" xr:uid="{77AA6055-5B32-4233-9CA5-914194442382}"/>
    <cellStyle name="Style 97 7 2 6 2" xfId="15361" xr:uid="{4DB628FF-A1BE-453E-A42B-ED821B59EC51}"/>
    <cellStyle name="Style 97 7 2 6 2 2" xfId="31119" xr:uid="{ECA2E347-0509-4C22-9B8B-F24550AD5B4B}"/>
    <cellStyle name="Style 97 7 2 6 3" xfId="31118" xr:uid="{D595101D-0274-4BD7-A291-DC643C92C109}"/>
    <cellStyle name="Style 97 7 2 7" xfId="15362" xr:uid="{8157E2FC-C333-4FA9-B53B-042AE20EE45D}"/>
    <cellStyle name="Style 97 7 2 7 2" xfId="15363" xr:uid="{33453EB5-10E8-4E77-90A0-FB5200503361}"/>
    <cellStyle name="Style 97 7 2 7 2 2" xfId="31121" xr:uid="{01F01746-BE58-4C38-88A2-7B65D7A1A772}"/>
    <cellStyle name="Style 97 7 2 7 3" xfId="31120" xr:uid="{D0C5986A-7C6F-42B6-83CE-681B8E205B1F}"/>
    <cellStyle name="Style 97 7 2 8 2" xfId="15364" xr:uid="{938D937C-9AE7-44A2-8F58-9F7985E3E825}"/>
    <cellStyle name="Style 97 7 2 8 2 2" xfId="31123" xr:uid="{376DFB4E-2F46-4D0B-9C57-2E895A467C32}"/>
    <cellStyle name="Style 97 7 2 8 3" xfId="31122" xr:uid="{5936E638-3FD4-4053-B5EA-0EDFF1E143A8}"/>
    <cellStyle name="Style 97 7 2 9" xfId="15365" xr:uid="{760F3E81-80A6-4747-AB4D-6B31099B15ED}"/>
    <cellStyle name="Style 97 7 2 9 2" xfId="31124" xr:uid="{C350333E-EAE2-4806-965B-24E12BC6EF34}"/>
    <cellStyle name="Style 97 7 3 2" xfId="5426" xr:uid="{4356781A-28AB-48A8-B37B-2FE8AABA4C2A}"/>
    <cellStyle name="Style 97 7 3 2 2" xfId="15366" xr:uid="{73501183-51D3-4C6B-988C-5D337E529189}"/>
    <cellStyle name="Style 97 7 3 2 2 2" xfId="31125" xr:uid="{88F43059-DAD0-42E6-BD17-2E59613C32FB}"/>
    <cellStyle name="Style 97 7 3 2 3 2" xfId="31126" xr:uid="{0FBF25FE-8B94-4EA5-8AE4-95432A9F8B63}"/>
    <cellStyle name="Style 97 7 3 2 4" xfId="15367" xr:uid="{C1264E44-32B2-4BE7-A938-9A18CCF74B46}"/>
    <cellStyle name="Style 97 7 3 2 4 2" xfId="31127" xr:uid="{E6EAC3ED-7C65-4D9F-A505-7E28F0EC044C}"/>
    <cellStyle name="Style 97 7 3 3" xfId="15368" xr:uid="{91AB59DB-921E-4A7F-9618-98301291E76F}"/>
    <cellStyle name="Style 97 7 3 3 2" xfId="15369" xr:uid="{19670E5C-7B59-46ED-81A7-7AE7410D8C1C}"/>
    <cellStyle name="Style 97 7 3 3 2 2" xfId="31129" xr:uid="{5A9700AA-36A1-41B9-BC16-CAB9CBF2142D}"/>
    <cellStyle name="Style 97 7 3 3 3" xfId="31128" xr:uid="{BDB5F44D-8253-4B6E-8A98-A1EEBC386827}"/>
    <cellStyle name="Style 97 7 3 4" xfId="15370" xr:uid="{86B82661-1C99-4B80-A6D4-27EB244797DD}"/>
    <cellStyle name="Style 97 7 3 4 2 2" xfId="31131" xr:uid="{0F06C8EE-32FC-4E5A-A143-0847B47227B7}"/>
    <cellStyle name="Style 97 7 3 4 3" xfId="31130" xr:uid="{D28502C5-54AF-415C-BD48-FBBAD83402A1}"/>
    <cellStyle name="Style 97 7 3 5" xfId="15371" xr:uid="{3E0E370B-1099-44DB-BD50-46239D29620C}"/>
    <cellStyle name="Style 97 7 3 5 2" xfId="15372" xr:uid="{7825BA02-A8D6-4197-817A-0AEA2C7FF1CD}"/>
    <cellStyle name="Style 97 7 3 5 2 2" xfId="31133" xr:uid="{B3807137-9767-405D-B283-2341405050C6}"/>
    <cellStyle name="Style 97 7 3 5 3" xfId="31132" xr:uid="{5FA0BDFA-C16A-4796-9739-7F4738D08EF5}"/>
    <cellStyle name="Style 97 7 3 6" xfId="15373" xr:uid="{7BB27DC1-9604-425F-B4C2-5F01EAB6D495}"/>
    <cellStyle name="Style 97 7 3 6 2" xfId="31134" xr:uid="{0FFC7767-9003-43F0-815D-FFFFDE9C7C55}"/>
    <cellStyle name="Style 97 7 3 7" xfId="15374" xr:uid="{3CEB3964-A3F3-4D29-AFE8-64BAEAC19E8F}"/>
    <cellStyle name="Style 97 7 3 7 2" xfId="31135" xr:uid="{41A75CE1-1E41-4B21-A679-BAB3EF53E92B}"/>
    <cellStyle name="Style 97 7 3 8" xfId="19315" xr:uid="{026D8D48-3F9F-43DE-A02F-24526461F8AE}"/>
    <cellStyle name="Style 97 7 4" xfId="5427" xr:uid="{79F41811-1CA1-4BEC-B4D8-839AED63736D}"/>
    <cellStyle name="Style 97 7 4 2" xfId="15375" xr:uid="{C56EFCB2-1234-40FE-9955-51EC19D858EA}"/>
    <cellStyle name="Style 97 7 4 2 2" xfId="31136" xr:uid="{50D33D96-9155-4449-814E-C5FD9D55EF22}"/>
    <cellStyle name="Style 97 7 4 3" xfId="15376" xr:uid="{4F9D5165-B9D4-47BD-82F9-6C9B75F1710D}"/>
    <cellStyle name="Style 97 7 4 3 2" xfId="31137" xr:uid="{18ACE587-BA2A-4B3B-A4F9-4F764646E2DF}"/>
    <cellStyle name="Style 97 7 4 4" xfId="15377" xr:uid="{07E475B5-65CA-4FE9-B1C7-42588EE44FC5}"/>
    <cellStyle name="Style 97 7 4 4 2" xfId="31138" xr:uid="{F008EF6F-2A46-4542-A93B-ED10B5AE1AA9}"/>
    <cellStyle name="Style 97 7 5" xfId="5428" xr:uid="{78A61E00-8319-45D6-820C-69414D48E6C2}"/>
    <cellStyle name="Style 97 7 5 2" xfId="15378" xr:uid="{48834978-2D95-4C7E-A71B-E85AC1B812D5}"/>
    <cellStyle name="Style 97 7 5 2 2" xfId="31139" xr:uid="{854F779D-5EE1-4A10-B84C-8BD825587BF8}"/>
    <cellStyle name="Style 97 7 5 3" xfId="15379" xr:uid="{5044602F-5991-4781-81DF-FCBCF2E1EA9D}"/>
    <cellStyle name="Style 97 7 5 3 2" xfId="31140" xr:uid="{1905783D-ED43-4BC6-8EE8-7844E1CB5FC0}"/>
    <cellStyle name="Style 97 7 6" xfId="5423" xr:uid="{B59A39BA-41B8-4BD9-BFEA-30B3F9071D48}"/>
    <cellStyle name="Style 97 7 6 2" xfId="15380" xr:uid="{40EEB541-3657-4CFF-BF2C-53BC9BF186DC}"/>
    <cellStyle name="Style 97 7 6 2 2" xfId="31141" xr:uid="{15721377-1409-4012-8396-D81897D57F5A}"/>
    <cellStyle name="Style 97 7 6 3" xfId="15381" xr:uid="{FCC1727C-2614-4372-9234-4B1B8A3C86AB}"/>
    <cellStyle name="Style 97 7 6 3 2" xfId="31142" xr:uid="{119633C7-3E60-4EFA-AF9E-60CB2A1F4D86}"/>
    <cellStyle name="Style 97 7 7 2" xfId="15382" xr:uid="{63331D29-88B3-4F0F-AE2D-34402C7BB745}"/>
    <cellStyle name="Style 97 7 7 2 2" xfId="31143" xr:uid="{1311525E-5E39-42E5-8635-F88D72C4CF51}"/>
    <cellStyle name="Style 97 7 7 3" xfId="15383" xr:uid="{3E5117FF-AD79-446F-9C1F-45A646A7B22B}"/>
    <cellStyle name="Style 97 7 7 3 2" xfId="31144" xr:uid="{ABBA8E3D-5B4C-4DFA-8D22-82BF9B75FF36}"/>
    <cellStyle name="Style 97 7 7 4" xfId="22420" xr:uid="{5211FB79-829F-4EB5-A2EE-52225BAFEC78}"/>
    <cellStyle name="Style 97 7 8" xfId="15384" xr:uid="{1319694B-B4BE-4D49-8894-7AFBE29342CF}"/>
    <cellStyle name="Style 97 7 8 2" xfId="15385" xr:uid="{F4586F27-E624-44F5-8D21-844DECDD1A69}"/>
    <cellStyle name="Style 97 7 8 2 2" xfId="31146" xr:uid="{5B6F7A86-38B6-4CF2-A757-3D211794B99F}"/>
    <cellStyle name="Style 97 7 8 3" xfId="31145" xr:uid="{6DCC3C51-AAD1-46F9-8A74-30DC582419C5}"/>
    <cellStyle name="Style 97 7 9" xfId="15386" xr:uid="{9D6E60EB-2F45-478E-B952-E764996AD8D4}"/>
    <cellStyle name="Style 97 7 9 2" xfId="15387" xr:uid="{882C54E6-72FE-4777-88AC-004A79D70A6C}"/>
    <cellStyle name="Style 97 7 9 2 2" xfId="31148" xr:uid="{BA7B0339-4C14-44DC-BCA6-747DD04C904C}"/>
    <cellStyle name="Style 97 7 9 3" xfId="31147" xr:uid="{85653A24-B5E7-433C-A311-6FFD9800A03A}"/>
    <cellStyle name="Style 97 8" xfId="2493" xr:uid="{7D6D8CF8-B047-4F35-9521-F0FF87EE2AEE}"/>
    <cellStyle name="Style 97 8 10" xfId="15388" xr:uid="{5195CD2C-FF90-4933-993A-C52937590D65}"/>
    <cellStyle name="Style 97 8 10 2" xfId="31149" xr:uid="{83444DD0-06D4-41C6-B5DE-0465D6AAC213}"/>
    <cellStyle name="Style 97 8 11" xfId="15389" xr:uid="{4B71552E-FC90-4773-A548-1B4C21242F4D}"/>
    <cellStyle name="Style 97 8 11 2" xfId="31150" xr:uid="{39962B37-D059-4A4E-A404-F38A6C687C35}"/>
    <cellStyle name="Style 97 8 12" xfId="19316" xr:uid="{682F3C11-6F76-4B3A-870F-8798163C9E8C}"/>
    <cellStyle name="Style 97 8 2" xfId="2494" xr:uid="{B78D5EA9-2CDD-4AE9-982A-279A660728B4}"/>
    <cellStyle name="Style 97 8 2 10" xfId="15390" xr:uid="{48CC7026-C527-48CE-90AB-0FB58368E14F}"/>
    <cellStyle name="Style 97 8 2 10 2" xfId="31151" xr:uid="{B20AF71E-B7DC-495A-869A-97D901F40F85}"/>
    <cellStyle name="Style 97 8 2 11" xfId="19317" xr:uid="{CCCD9868-AF9F-4E7B-84C1-8617DD9874BE}"/>
    <cellStyle name="Style 97 8 2 2 2" xfId="15391" xr:uid="{80D31D29-DC76-4AB9-B4F4-C0D2FC353536}"/>
    <cellStyle name="Style 97 8 2 2 2 2" xfId="15392" xr:uid="{3B8130AC-0E79-4DA8-89D8-363476CA3712}"/>
    <cellStyle name="Style 97 8 2 2 2 2 2" xfId="31153" xr:uid="{EE4FDDDF-DD43-401E-A643-F292DA289DC6}"/>
    <cellStyle name="Style 97 8 2 2 2 3" xfId="31152" xr:uid="{D391B428-9494-41C0-9030-C16F564C2AB8}"/>
    <cellStyle name="Style 97 8 2 2 3" xfId="15393" xr:uid="{C3E5037C-C20A-4578-99A3-78C27B68B0F1}"/>
    <cellStyle name="Style 97 8 2 2 3 2" xfId="15394" xr:uid="{9CF4B811-F991-4A93-B514-F7E4C515655E}"/>
    <cellStyle name="Style 97 8 2 2 3 2 2" xfId="31155" xr:uid="{CDF8B907-2FB9-483C-8DBF-97D637F5309A}"/>
    <cellStyle name="Style 97 8 2 2 3 3" xfId="31154" xr:uid="{72B2A837-5132-46E5-804E-55F4DB4AAEF4}"/>
    <cellStyle name="Style 97 8 2 2 4 2" xfId="15395" xr:uid="{08C79681-592F-4CDB-AA3E-275C3816083A}"/>
    <cellStyle name="Style 97 8 2 2 4 2 2" xfId="31157" xr:uid="{52748E8F-B494-4183-8D57-AE36DD76476D}"/>
    <cellStyle name="Style 97 8 2 2 4 3" xfId="31156" xr:uid="{2FAFF4D3-1FD4-42EF-8B19-5717C235FD47}"/>
    <cellStyle name="Style 97 8 2 2 5" xfId="15396" xr:uid="{A3DF5241-1C49-46F0-ABBF-89D8EE43223D}"/>
    <cellStyle name="Style 97 8 2 2 5 2" xfId="15397" xr:uid="{E800B616-C121-4268-97DA-E3289E0B47D9}"/>
    <cellStyle name="Style 97 8 2 2 5 2 2" xfId="31159" xr:uid="{369726A1-DFC4-4B4F-8C5F-2850C672E82F}"/>
    <cellStyle name="Style 97 8 2 2 5 3" xfId="31158" xr:uid="{DAD9B0BE-48E8-4AAE-8EFC-8AFF05ECFC85}"/>
    <cellStyle name="Style 97 8 2 2 6" xfId="15398" xr:uid="{AE924C68-579F-4FDB-9204-3F847CA7EBDB}"/>
    <cellStyle name="Style 97 8 2 2 6 2" xfId="31160" xr:uid="{AF0EC746-F378-4596-A98A-B1DB5721EF12}"/>
    <cellStyle name="Style 97 8 2 2 7" xfId="15399" xr:uid="{53FE8148-93EF-4EC3-8A13-6E42A4EA45D2}"/>
    <cellStyle name="Style 97 8 2 2 7 2" xfId="31161" xr:uid="{473FF696-48A1-48E2-A9C8-F0D4304C88C7}"/>
    <cellStyle name="Style 97 8 2 3" xfId="5430" xr:uid="{3DCF5D3B-7DEE-44DE-8A11-EE3A6A1BAE07}"/>
    <cellStyle name="Style 97 8 2 3 2" xfId="15400" xr:uid="{F996C011-10CF-4857-830C-66FAEB337EF6}"/>
    <cellStyle name="Style 97 8 2 3 2 2" xfId="31162" xr:uid="{9534A92D-6AF6-4B17-8A2A-7D2C622EA048}"/>
    <cellStyle name="Style 97 8 2 3 3" xfId="15401" xr:uid="{59E19710-8EA2-4CDE-84C9-9F03B2193013}"/>
    <cellStyle name="Style 97 8 2 3 3 2" xfId="31163" xr:uid="{06A7B95E-764F-4209-8511-7B20A442AD4B}"/>
    <cellStyle name="Style 97 8 2 4" xfId="15402" xr:uid="{370385A5-2E9A-4564-8527-87C10F52C94B}"/>
    <cellStyle name="Style 97 8 2 4 2" xfId="15403" xr:uid="{1E1F7168-38E6-488C-8E2B-E296E1BF7837}"/>
    <cellStyle name="Style 97 8 2 4 2 2" xfId="31164" xr:uid="{77569CE5-86A3-4629-B98B-42A16D9BCB68}"/>
    <cellStyle name="Style 97 8 2 4 3" xfId="15404" xr:uid="{1551C679-6AB1-422D-B5D6-5B3829120EAA}"/>
    <cellStyle name="Style 97 8 2 4 3 2" xfId="31165" xr:uid="{4F592C66-FC64-4415-8619-B4E7CCB4FD41}"/>
    <cellStyle name="Style 97 8 2 4 4" xfId="22423" xr:uid="{D9325B0C-016A-4214-AD95-DDB51F50722A}"/>
    <cellStyle name="Style 97 8 2 5" xfId="15405" xr:uid="{39649E39-623E-4EF8-8922-0FBF0AF052DF}"/>
    <cellStyle name="Style 97 8 2 5 2" xfId="15406" xr:uid="{D145A795-A7A4-430E-90B5-CE4A286E3018}"/>
    <cellStyle name="Style 97 8 2 5 2 2" xfId="31167" xr:uid="{FDF59BFA-D29D-43CC-8933-25CBE27D97CF}"/>
    <cellStyle name="Style 97 8 2 5 3" xfId="31166" xr:uid="{BF7F3189-A2CB-4099-9822-98164A1F53D0}"/>
    <cellStyle name="Style 97 8 2 6" xfId="15407" xr:uid="{35A49F8F-5A80-4F2C-930B-C51B4DA7C288}"/>
    <cellStyle name="Style 97 8 2 6 2" xfId="15408" xr:uid="{344ED374-C4B3-4384-983E-A9693524FD10}"/>
    <cellStyle name="Style 97 8 2 6 3" xfId="31168" xr:uid="{9E7F409E-FDD3-4B80-B5F5-28B032C49C54}"/>
    <cellStyle name="Style 97 8 2 7" xfId="15409" xr:uid="{A7E900D2-AB65-427A-A8B1-1261C2540140}"/>
    <cellStyle name="Style 97 8 2 7 2" xfId="15410" xr:uid="{7885F21D-2FFA-4CB7-83C4-04EF55A60883}"/>
    <cellStyle name="Style 97 8 2 7 2 2" xfId="31170" xr:uid="{8915D839-6319-4D33-B5FA-ED7F82F6027C}"/>
    <cellStyle name="Style 97 8 2 7 3" xfId="31169" xr:uid="{589670D3-5E54-4E4E-AA61-CDDCCF42809A}"/>
    <cellStyle name="Style 97 8 2 8" xfId="15411" xr:uid="{3D5A1C0C-46FD-41AA-86DD-BDACCBB20C54}"/>
    <cellStyle name="Style 97 8 2 8 2" xfId="15412" xr:uid="{AB557962-8E0E-4902-929D-DB84F020CE13}"/>
    <cellStyle name="Style 97 8 2 8 2 2" xfId="31172" xr:uid="{B2828954-1CD4-41BC-B13E-A39DBDF11271}"/>
    <cellStyle name="Style 97 8 2 8 3" xfId="31171" xr:uid="{4FCEC92E-FCFD-4B9F-A341-B767681B0DC3}"/>
    <cellStyle name="Style 97 8 2 9" xfId="15413" xr:uid="{49A9B3A9-20CA-4A37-BDCA-397AF9E0B6AB}"/>
    <cellStyle name="Style 97 8 2 9 2" xfId="31173" xr:uid="{9A6EB435-35BE-43A9-879A-CC2A9C740A59}"/>
    <cellStyle name="Style 97 8 3" xfId="5431" xr:uid="{A3D4B25C-699F-49F7-AD24-8A63D1B58EC3}"/>
    <cellStyle name="Style 97 8 3 2" xfId="5432" xr:uid="{904F3B18-34D9-4618-B231-F6C785989F4C}"/>
    <cellStyle name="Style 97 8 3 2 2" xfId="15414" xr:uid="{1C42A151-307D-4FE1-B702-0A54F81B9264}"/>
    <cellStyle name="Style 97 8 3 2 2 2" xfId="31174" xr:uid="{7BBC3E6B-5588-4250-A9BE-59A44D6CF6C0}"/>
    <cellStyle name="Style 97 8 3 2 3" xfId="15415" xr:uid="{7524D950-4970-43CC-B081-7EA13904258B}"/>
    <cellStyle name="Style 97 8 3 2 3 2" xfId="31175" xr:uid="{E496FD3D-7518-4BD2-B1D2-CB246E5CE176}"/>
    <cellStyle name="Style 97 8 3 3" xfId="15416" xr:uid="{8B7A6A10-5313-4849-88E0-590D2110197B}"/>
    <cellStyle name="Style 97 8 3 3 2" xfId="15417" xr:uid="{29F63754-C500-41A8-ACCC-42BE5751820E}"/>
    <cellStyle name="Style 97 8 3 3 2 2" xfId="31177" xr:uid="{9C08C116-1383-404C-B27A-58D719F6E142}"/>
    <cellStyle name="Style 97 8 3 3 3" xfId="31176" xr:uid="{17565F34-4EEE-447D-8054-F0DA624A57BA}"/>
    <cellStyle name="Style 97 8 3 4 2" xfId="15418" xr:uid="{C62D18F4-AB8D-4695-964D-E84A6EBE2B31}"/>
    <cellStyle name="Style 97 8 3 4 2 2" xfId="31179" xr:uid="{CACC93D0-6EE9-4790-B9D8-F8CE7E36CDB0}"/>
    <cellStyle name="Style 97 8 3 4 3" xfId="31178" xr:uid="{45BA9880-6DDE-40F8-AA63-2C19FF3FA51E}"/>
    <cellStyle name="Style 97 8 3 5 2" xfId="15419" xr:uid="{2737BCFA-B77F-467C-9E03-2BE9C35DEC68}"/>
    <cellStyle name="Style 97 8 3 5 2 2" xfId="31181" xr:uid="{7037E93B-4604-4F28-9043-F81E93B39ECF}"/>
    <cellStyle name="Style 97 8 3 5 3" xfId="31180" xr:uid="{FA7C8974-F1B7-4260-A91C-848132C439D7}"/>
    <cellStyle name="Style 97 8 3 6" xfId="15420" xr:uid="{5F524FB4-2729-46BF-B993-10D838D12044}"/>
    <cellStyle name="Style 97 8 3 6 2" xfId="31182" xr:uid="{B43DAEC6-3CF7-4ECA-A487-466275A5CE4B}"/>
    <cellStyle name="Style 97 8 3 7" xfId="15421" xr:uid="{84A88445-D2D7-4B9E-A33E-6968008CBC97}"/>
    <cellStyle name="Style 97 8 3 7 2" xfId="31183" xr:uid="{26DBF0CB-119C-462D-8A7C-42DB591D88FC}"/>
    <cellStyle name="Style 97 8 3 8" xfId="19318" xr:uid="{4B7DC9A7-01F2-4DED-B80F-F3887539AB55}"/>
    <cellStyle name="Style 97 8 4 2" xfId="15422" xr:uid="{84F8F6E0-A895-4636-8A14-996D69D1EE35}"/>
    <cellStyle name="Style 97 8 4 2 2" xfId="31184" xr:uid="{785E6189-2919-42C0-B856-21AD7BE7C1D3}"/>
    <cellStyle name="Style 97 8 4 3" xfId="15423" xr:uid="{7455240A-23AE-484F-A070-655838138196}"/>
    <cellStyle name="Style 97 8 4 3 2" xfId="31185" xr:uid="{E9E2F5FF-8E52-4A52-BCCD-5F4CD9DE4E27}"/>
    <cellStyle name="Style 97 8 5" xfId="5433" xr:uid="{AE5505BD-6406-4BD8-A206-60324EDD6C80}"/>
    <cellStyle name="Style 97 8 5 2" xfId="15424" xr:uid="{06F30ADF-78C0-4FAC-849B-CB1C42E2DDC9}"/>
    <cellStyle name="Style 97 8 5 2 2" xfId="31186" xr:uid="{12DF1F11-444F-4DAE-BFB0-54ED5F407B9E}"/>
    <cellStyle name="Style 97 8 5 3" xfId="15425" xr:uid="{53B0F7B2-3739-4540-8350-B31574D00D6A}"/>
    <cellStyle name="Style 97 8 5 3 2" xfId="31187" xr:uid="{690ADA47-6D65-4DCC-B02C-88C16DB9A396}"/>
    <cellStyle name="Style 97 8 6" xfId="5429" xr:uid="{DC2CB28E-957B-4DE0-8335-ED6EFFA19244}"/>
    <cellStyle name="Style 97 8 6 2" xfId="15426" xr:uid="{2565637C-5AD1-4374-AC06-C03CFF46BD66}"/>
    <cellStyle name="Style 97 8 6 2 2" xfId="31188" xr:uid="{CB925525-A279-49C1-BF6A-C17103DC30D9}"/>
    <cellStyle name="Style 97 8 6 3" xfId="15427" xr:uid="{B130A73C-986D-4817-A947-298FFF4C18C1}"/>
    <cellStyle name="Style 97 8 6 3 2" xfId="31189" xr:uid="{E890B3D6-EFAE-4EE3-AEFF-BC0FA7FA7A41}"/>
    <cellStyle name="Style 97 8 7" xfId="15428" xr:uid="{4B023E03-B85E-4700-8FB1-5412323E08DF}"/>
    <cellStyle name="Style 97 8 7 2" xfId="15429" xr:uid="{90A9FF60-B611-41A7-907C-8C33A6F2C578}"/>
    <cellStyle name="Style 97 8 7 2 2" xfId="31190" xr:uid="{9695D22D-9671-4EDD-A5B2-4F34DA050604}"/>
    <cellStyle name="Style 97 8 7 3" xfId="15430" xr:uid="{C9DE88FC-9482-4B79-BBDE-8982A7D26C8E}"/>
    <cellStyle name="Style 97 8 7 3 2" xfId="31191" xr:uid="{3255B905-2A85-4EF9-9FB7-6EAF538991E7}"/>
    <cellStyle name="Style 97 8 7 4" xfId="22422" xr:uid="{DD75BF66-FFF3-43FF-80B2-A509D29D7EFF}"/>
    <cellStyle name="Style 97 8 8" xfId="15431" xr:uid="{E8E46FEB-0683-4D9A-AFE7-0681D8D0631F}"/>
    <cellStyle name="Style 97 8 8 2" xfId="15432" xr:uid="{D88C9E22-F467-4102-A562-D5D5668A55B0}"/>
    <cellStyle name="Style 97 8 8 2 2" xfId="31193" xr:uid="{40B6DAB6-1644-4461-B6F2-9ACCB620F9F4}"/>
    <cellStyle name="Style 97 8 8 3" xfId="31192" xr:uid="{23929B0C-2754-4C3E-ACC9-A55F8FD7B670}"/>
    <cellStyle name="Style 97 8 9" xfId="15433" xr:uid="{422FDAA1-8F9B-4902-935E-BCCE180758DB}"/>
    <cellStyle name="Style 97 8 9 2" xfId="15434" xr:uid="{DABF0D26-734B-4EF2-B65B-7C34B41206D5}"/>
    <cellStyle name="Style 97 8 9 2 2" xfId="31195" xr:uid="{4BA130E6-4B0F-444C-9A85-CCFFD7D2AF43}"/>
    <cellStyle name="Style 97 8 9 3" xfId="31194" xr:uid="{36C8A0AB-7EB0-4A52-BB16-42F481643783}"/>
    <cellStyle name="Style 97 9 10" xfId="15435" xr:uid="{7430F6D9-3386-4978-83CA-DA6746A3DE47}"/>
    <cellStyle name="Style 97 9 10 2" xfId="31196" xr:uid="{97C522A2-CA61-4CE6-9F42-6C75EDADE859}"/>
    <cellStyle name="Style 97 9 11" xfId="15436" xr:uid="{B8D22656-FE5F-445F-A5DF-286CAB8D343A}"/>
    <cellStyle name="Style 97 9 11 2" xfId="31197" xr:uid="{2FEB556E-8AA6-4D93-86B8-17FC6FAC314F}"/>
    <cellStyle name="Style 97 9 12" xfId="19319" xr:uid="{367C714E-B736-4505-92D2-017D608AC3F2}"/>
    <cellStyle name="Style 97 9 2" xfId="2495" xr:uid="{2480E517-ABAD-4105-A685-7AC9EBB619DF}"/>
    <cellStyle name="Style 97 9 2 2" xfId="5435" xr:uid="{D503878B-9A8B-480C-B10F-37D65BEC2F7D}"/>
    <cellStyle name="Style 97 9 2 2 2" xfId="15437" xr:uid="{EE869138-6F0C-437B-AC92-D877619E625D}"/>
    <cellStyle name="Style 97 9 2 2 2 2" xfId="15438" xr:uid="{3D868159-44B7-4CF0-9478-2ED673E56FA2}"/>
    <cellStyle name="Style 97 9 2 2 2 2 2" xfId="31199" xr:uid="{6D2EB776-9B94-4552-975F-EAE84CED035E}"/>
    <cellStyle name="Style 97 9 2 2 2 3" xfId="31198" xr:uid="{1F3B0EA0-79D7-4857-914F-534C346F0D6E}"/>
    <cellStyle name="Style 97 9 2 2 3" xfId="15439" xr:uid="{72D0E913-170B-4E01-80F6-7022FD876E0A}"/>
    <cellStyle name="Style 97 9 2 2 3 2" xfId="15440" xr:uid="{5A816A39-CE3A-4B21-B278-2A55BDE35C56}"/>
    <cellStyle name="Style 97 9 2 2 3 2 2" xfId="31201" xr:uid="{318F4958-9603-473E-A44A-EF0D30E1E1B0}"/>
    <cellStyle name="Style 97 9 2 2 3 3" xfId="31200" xr:uid="{9CE09FF1-D73D-4F67-9A21-3BC5D236B6D1}"/>
    <cellStyle name="Style 97 9 2 2 4" xfId="15441" xr:uid="{B5661EA9-48B8-4BF0-8679-77DB346EDA5F}"/>
    <cellStyle name="Style 97 9 2 2 4 2" xfId="15442" xr:uid="{21BB4EC0-30C5-4A49-8D46-A2D6F214877B}"/>
    <cellStyle name="Style 97 9 2 2 4 2 2" xfId="31203" xr:uid="{5EC31D86-E090-4160-8B1F-E5F90808EDF5}"/>
    <cellStyle name="Style 97 9 2 2 4 3" xfId="31202" xr:uid="{43DFB96F-EBD2-49EC-8FF0-E130FDFB01F0}"/>
    <cellStyle name="Style 97 9 2 2 5" xfId="15443" xr:uid="{9177ACD4-6976-474F-B18A-9C2B756C5DAE}"/>
    <cellStyle name="Style 97 9 2 2 5 2" xfId="15444" xr:uid="{77EF3964-2E95-46C3-8F9B-ED61986A1B0C}"/>
    <cellStyle name="Style 97 9 2 2 5 2 2" xfId="31205" xr:uid="{A65B778E-14AE-4FFB-94F0-93767D644EB4}"/>
    <cellStyle name="Style 97 9 2 2 5 3" xfId="31204" xr:uid="{C0690D32-2F3A-478A-9B66-F604C8E12B45}"/>
    <cellStyle name="Style 97 9 2 2 6 2" xfId="31206" xr:uid="{D80AC82F-F2EE-4627-853A-C3DFC5328827}"/>
    <cellStyle name="Style 97 9 2 2 7" xfId="15445" xr:uid="{9D2F8CF3-DD19-446E-93DD-E4A2EDECAAE2}"/>
    <cellStyle name="Style 97 9 2 2 7 2" xfId="31207" xr:uid="{10D224CB-2618-4CEF-8973-69806968EBD0}"/>
    <cellStyle name="Style 97 9 2 3" xfId="15446" xr:uid="{12BE4506-74E2-40FC-9B92-5FA71542F569}"/>
    <cellStyle name="Style 97 9 2 3 2" xfId="15447" xr:uid="{2E444706-8EF7-456A-9253-8C250C14FAB2}"/>
    <cellStyle name="Style 97 9 2 3 2 2" xfId="31208" xr:uid="{446FE04C-CE40-470B-87E3-5080B86DDAAB}"/>
    <cellStyle name="Style 97 9 2 3 3" xfId="15448" xr:uid="{393A2171-9E3A-49D4-A53D-25857A746E44}"/>
    <cellStyle name="Style 97 9 2 3 3 2" xfId="31209" xr:uid="{FD08C8BE-790E-47A8-ADE8-61BDB1FE6F76}"/>
    <cellStyle name="Style 97 9 2 4" xfId="15449" xr:uid="{41A6943A-A334-4C41-B780-0F106AE9E8E5}"/>
    <cellStyle name="Style 97 9 2 4 2" xfId="15450" xr:uid="{662BEB54-A240-4D1B-9965-57A999840698}"/>
    <cellStyle name="Style 97 9 2 4 2 2" xfId="31211" xr:uid="{7AE14903-2066-4703-84C8-901469867F7A}"/>
    <cellStyle name="Style 97 9 2 4 3" xfId="31210" xr:uid="{77FCC8FD-2DC6-4F0B-996F-82CE3923E4B0}"/>
    <cellStyle name="Style 97 9 2 5" xfId="15451" xr:uid="{C64E9700-DD26-4DDE-922B-2AAF1EE35B12}"/>
    <cellStyle name="Style 97 9 2 5 2" xfId="15452" xr:uid="{597B10E5-82DC-4704-8F6D-84760FBE4FDF}"/>
    <cellStyle name="Style 97 9 2 5 2 2" xfId="31213" xr:uid="{C8553911-D871-4CC6-8969-48343C167391}"/>
    <cellStyle name="Style 97 9 2 5 3" xfId="31212" xr:uid="{47DB131B-B99A-42C8-B1AF-D7296A8EB86E}"/>
    <cellStyle name="Style 97 9 2 6" xfId="15453" xr:uid="{3997B82F-C522-4127-B573-CE80E0FD0A1F}"/>
    <cellStyle name="Style 97 9 2 6 2" xfId="15454" xr:uid="{FD216DCD-B03F-446C-835F-7A93B427B599}"/>
    <cellStyle name="Style 97 9 2 6 2 2" xfId="31215" xr:uid="{622746EF-E92D-41FE-9DDB-EFF2CF1B7145}"/>
    <cellStyle name="Style 97 9 2 6 3" xfId="31214" xr:uid="{76AA01A2-2A67-41E6-9C74-432C254B78C2}"/>
    <cellStyle name="Style 97 9 2 7" xfId="15455" xr:uid="{A718F49D-6880-44EB-BB03-A0EFA1A564E8}"/>
    <cellStyle name="Style 97 9 2 7 2" xfId="15456" xr:uid="{7B0CD87E-8CFC-4623-BAD1-07BD3FCD8162}"/>
    <cellStyle name="Style 97 9 2 7 2 2" xfId="31217" xr:uid="{097AA35B-60E7-42A5-9CAC-8EF2C0307D8B}"/>
    <cellStyle name="Style 97 9 2 7 3" xfId="31216" xr:uid="{2129805B-0C5F-4743-9EBD-560A610BCDA3}"/>
    <cellStyle name="Style 97 9 2 8" xfId="15457" xr:uid="{7A05A8E1-11CF-42A6-9074-B495AC5CD281}"/>
    <cellStyle name="Style 97 9 2 8 2" xfId="31218" xr:uid="{AAE6BC8F-3CA3-4C77-979B-D93014D366DB}"/>
    <cellStyle name="Style 97 9 2 9" xfId="15458" xr:uid="{9D58FEB7-BE25-4FC8-95ED-4A2AFF16C77D}"/>
    <cellStyle name="Style 97 9 2 9 2" xfId="31219" xr:uid="{D398296B-7D4E-404E-AF37-61CCD72409A7}"/>
    <cellStyle name="Style 97 9 3" xfId="2804" xr:uid="{E6FF5DEC-8921-49AE-830A-598605341681}"/>
    <cellStyle name="Style 97 9 3 2" xfId="5436" xr:uid="{77650B67-A805-455F-A0E6-DC57B1201CC4}"/>
    <cellStyle name="Style 97 9 3 2 2" xfId="15459" xr:uid="{FA614628-5AB6-4FFA-A445-D9A5540FD720}"/>
    <cellStyle name="Style 97 9 3 2 2 2" xfId="31220" xr:uid="{AEA34102-7427-415A-A2E3-B4585874EE8B}"/>
    <cellStyle name="Style 97 9 3 2 3" xfId="15460" xr:uid="{0D1F7332-CF5E-4BCD-9E58-C750056F335A}"/>
    <cellStyle name="Style 97 9 3 2 3 2" xfId="31221" xr:uid="{342D4C86-B9DD-42C9-B8F8-CBD53C9ABF1E}"/>
    <cellStyle name="Style 97 9 3 2 4" xfId="22550" xr:uid="{BA24E4AE-48D1-4C4A-A6D1-3A852FBFA207}"/>
    <cellStyle name="Style 97 9 3 3" xfId="15461" xr:uid="{91078A8C-38D9-4F3B-ABB7-B3B534038E48}"/>
    <cellStyle name="Style 97 9 3 3 2 2" xfId="31223" xr:uid="{A3B2AA56-00F4-477C-8E42-21E0C840528D}"/>
    <cellStyle name="Style 97 9 3 3 3" xfId="31222" xr:uid="{96090ADD-C868-4DD8-B4C0-07EAF3ED8843}"/>
    <cellStyle name="Style 97 9 3 4" xfId="15462" xr:uid="{74E4A5AC-A02E-48DF-BEE5-CB1F62081425}"/>
    <cellStyle name="Style 97 9 3 4 2" xfId="15463" xr:uid="{93FAA078-BB10-4AF1-944F-154285A9F9E7}"/>
    <cellStyle name="Style 97 9 3 4 2 2" xfId="31225" xr:uid="{572FC925-1E08-4AD6-A855-440E0793A66B}"/>
    <cellStyle name="Style 97 9 3 4 3" xfId="31224" xr:uid="{9922B85E-AB7B-45ED-B366-12CB76AB4641}"/>
    <cellStyle name="Style 97 9 3 5" xfId="15464" xr:uid="{4CD65632-D8FD-4694-A32F-5FEF1E4DB82A}"/>
    <cellStyle name="Style 97 9 3 5 2" xfId="15465" xr:uid="{B46462E7-B651-44B1-84DA-1C55514628B6}"/>
    <cellStyle name="Style 97 9 3 5 2 2" xfId="31227" xr:uid="{0CF6EA7A-2EC9-4FF1-81B7-5D70B473A7C9}"/>
    <cellStyle name="Style 97 9 3 5 3" xfId="31226" xr:uid="{4BE0B707-0E72-4D2F-B068-90BDCEE40DE6}"/>
    <cellStyle name="Style 97 9 3 6" xfId="15466" xr:uid="{9AA112B4-F08A-4B07-9262-B770BEDA9E6F}"/>
    <cellStyle name="Style 97 9 3 6 2" xfId="31228" xr:uid="{081A14B9-A293-4EF5-A50C-803F99550BA1}"/>
    <cellStyle name="Style 97 9 3 7" xfId="15467" xr:uid="{960C91DE-073D-4734-9669-5624B7FFA20E}"/>
    <cellStyle name="Style 97 9 4" xfId="5434" xr:uid="{1355651A-5252-42D6-BA42-12491890F798}"/>
    <cellStyle name="Style 97 9 4 2" xfId="15468" xr:uid="{4940B274-8B05-4237-9942-4F5AFABB8976}"/>
    <cellStyle name="Style 97 9 4 2 2" xfId="31229" xr:uid="{C06A3309-ACB0-443E-999C-092C4978E8E0}"/>
    <cellStyle name="Style 97 9 4 3" xfId="15469" xr:uid="{271982E9-4AB2-44CF-8FE8-57A0A1108C30}"/>
    <cellStyle name="Style 97 9 4 3 2" xfId="31230" xr:uid="{956AD00A-D0A7-4ACB-9469-CA575C081D7B}"/>
    <cellStyle name="Style 97 9 5" xfId="15470" xr:uid="{F2AD5DD6-0722-4FAD-85DD-8DD041AA8647}"/>
    <cellStyle name="Style 97 9 5 2" xfId="15471" xr:uid="{F2FE23AB-AE97-435C-9C51-FE06C823167D}"/>
    <cellStyle name="Style 97 9 5 2 2" xfId="31231" xr:uid="{5269A65E-1F2E-4C9B-AB01-9D3A517889D3}"/>
    <cellStyle name="Style 97 9 5 3" xfId="15472" xr:uid="{0B74B6F3-6D56-49FA-929F-DC8B0D20188A}"/>
    <cellStyle name="Style 97 9 5 3 2" xfId="31232" xr:uid="{491A5997-18A2-417A-942C-3C35E0F58C6B}"/>
    <cellStyle name="Style 97 9 5 4" xfId="22424" xr:uid="{1AC0C85B-3CBA-4BB2-B3E7-431E26541858}"/>
    <cellStyle name="Style 97 9 6" xfId="15473" xr:uid="{7943754C-D68B-4FF7-8115-6671D9E2CE9F}"/>
    <cellStyle name="Style 97 9 6 2" xfId="15474" xr:uid="{DBDF9B74-E29F-48F9-976C-0C0064D0C3CD}"/>
    <cellStyle name="Style 97 9 6 3" xfId="31233" xr:uid="{06BD0918-C36D-4805-9B10-977B564BFA2F}"/>
    <cellStyle name="Style 97 9 7" xfId="15475" xr:uid="{7C3C6DD9-1ACE-4023-8A9B-C4EF0D3A62EC}"/>
    <cellStyle name="Style 97 9 7 2" xfId="15476" xr:uid="{09CC6BD6-1ADA-4683-96D0-65432FEB5581}"/>
    <cellStyle name="Style 97 9 7 2 2" xfId="31235" xr:uid="{5EA035F4-E22F-4DE9-A002-78A70DBDFEC0}"/>
    <cellStyle name="Style 97 9 7 3" xfId="31234" xr:uid="{55C85F3C-6B62-495F-8E54-9E149251D06A}"/>
    <cellStyle name="Style 97 9 8" xfId="15477" xr:uid="{49F67CA0-55C8-4C54-93BA-2F36067FFDEC}"/>
    <cellStyle name="Style 97 9 8 2" xfId="15478" xr:uid="{A3E9AE3A-5B5E-427E-8F52-8C8C96B9A6B6}"/>
    <cellStyle name="Style 97 9 8 2 2" xfId="31237" xr:uid="{C40FEE38-851F-4A83-8471-0A20EC30E7FD}"/>
    <cellStyle name="Style 97 9 8 3" xfId="31236" xr:uid="{85632A75-B461-456C-A52C-FCF0C20998AF}"/>
    <cellStyle name="Style 97 9 9 2" xfId="15479" xr:uid="{C55D3E42-C47B-4F01-9FAD-D2EBCDCA7A22}"/>
    <cellStyle name="Style 97 9 9 2 2" xfId="31239" xr:uid="{E62AB56A-ED84-46C4-B638-2FF13DFB7620}"/>
    <cellStyle name="Style 97 9 9 3" xfId="31238" xr:uid="{EA1FFDC8-9B2E-4CD2-8BCE-D1A05F38FF8B}"/>
    <cellStyle name="Style 97_ADDON" xfId="20539" xr:uid="{A9D13B34-4D55-4AAC-98F6-64F149A8FC66}"/>
    <cellStyle name="Style 98" xfId="2496" xr:uid="{4A3F8EBA-40F6-4312-9C46-39C8562844E8}"/>
    <cellStyle name="Style 98 10 2" xfId="15480" xr:uid="{9860412D-C654-442F-A553-BD278FF00604}"/>
    <cellStyle name="Style 98 10 2 2" xfId="31240" xr:uid="{ABE01779-F5E2-4AAD-A9A8-292BDA1CA8E2}"/>
    <cellStyle name="Style 98 10 3" xfId="15481" xr:uid="{FFA7F8BB-2EF3-4723-B73D-D064EBBD0E13}"/>
    <cellStyle name="Style 98 11" xfId="15482" xr:uid="{9688CB07-0540-4CA6-85BF-CA3D641DFCB4}"/>
    <cellStyle name="Style 98 11 2" xfId="15483" xr:uid="{084BCC79-0BC9-45A0-96EB-E0CD68A20C75}"/>
    <cellStyle name="Style 98 11 2 2" xfId="31241" xr:uid="{4D963365-6A95-4598-9FE1-405631894A48}"/>
    <cellStyle name="Style 98 11 3" xfId="15484" xr:uid="{E5592BE1-D3CD-4197-B57A-C936A93D6601}"/>
    <cellStyle name="Style 98 11 3 2" xfId="31242" xr:uid="{7CFE384B-9F63-4640-8A98-2C56CD4E1953}"/>
    <cellStyle name="Style 98 11 4" xfId="21338" xr:uid="{9141C501-4F29-4D36-B3CA-8F8C4B02301A}"/>
    <cellStyle name="Style 98 12" xfId="15485" xr:uid="{E23AE5E4-1514-4C0C-8CB8-DC5755C7FB64}"/>
    <cellStyle name="Style 98 12 2" xfId="15486" xr:uid="{EC19C575-245E-45E8-BD84-03F7F0776101}"/>
    <cellStyle name="Style 98 12 3" xfId="31243" xr:uid="{CF74F55B-C8D9-439E-B311-78FF93BA6EAA}"/>
    <cellStyle name="Style 98 13" xfId="15487" xr:uid="{DD058D86-2324-40CF-8B4E-07F6CA1884EF}"/>
    <cellStyle name="Style 98 13 2" xfId="15488" xr:uid="{AE995AB2-48C2-42A4-80CC-3E500816C0DC}"/>
    <cellStyle name="Style 98 13 2 2" xfId="31245" xr:uid="{2A5CB0D1-A00C-4020-B2D6-C5E8B3517FFD}"/>
    <cellStyle name="Style 98 13 3" xfId="31244" xr:uid="{93CD79B4-15A3-4AD1-AD17-15BAF009BD4A}"/>
    <cellStyle name="Style 98 14" xfId="15489" xr:uid="{17A99966-D409-4AE2-9AA1-E49409A3C8A7}"/>
    <cellStyle name="Style 98 14 2" xfId="31246" xr:uid="{0FDD866F-7988-4A1A-A692-D328F51C2F80}"/>
    <cellStyle name="Style 98 15" xfId="15490" xr:uid="{900AF8EA-096E-4E7E-885F-A266AD9D63BA}"/>
    <cellStyle name="Style 98 15 2" xfId="31247" xr:uid="{85492379-2C61-4205-BCBF-A0E42C4D4488}"/>
    <cellStyle name="Style 98 16" xfId="15491" xr:uid="{84EC6C89-3528-4184-934D-7FB86B16790C}"/>
    <cellStyle name="Style 98 16 2" xfId="31248" xr:uid="{6BBA587B-1111-4E2D-B7B1-42DA845F3246}"/>
    <cellStyle name="Style 98 2" xfId="2497" xr:uid="{DCC7341B-E9CB-45D3-AD4E-1355AE66F37B}"/>
    <cellStyle name="Style 98 2 10" xfId="15492" xr:uid="{BA9A818E-425D-4818-AF1F-DE1B162468A4}"/>
    <cellStyle name="Style 98 2 10 2" xfId="15493" xr:uid="{630BEE30-8057-4F2A-BA86-EB9365B50B9D}"/>
    <cellStyle name="Style 98 2 10 2 2" xfId="31250" xr:uid="{E735F6A5-0171-4789-8499-AD78F1B7652F}"/>
    <cellStyle name="Style 98 2 10 3" xfId="31249" xr:uid="{65CBD0BD-2809-4F09-8E64-9686790F91B1}"/>
    <cellStyle name="Style 98 2 11" xfId="15494" xr:uid="{91479FFB-5D41-44AE-A078-CAEADF4E14E1}"/>
    <cellStyle name="Style 98 2 11 2" xfId="15495" xr:uid="{432D368A-5368-43D8-B9E6-1F08411660A3}"/>
    <cellStyle name="Style 98 2 11 2 2" xfId="31252" xr:uid="{5ADA1C8D-93C2-4326-B0F8-F44300C5DB90}"/>
    <cellStyle name="Style 98 2 11 3" xfId="31251" xr:uid="{7B1262DF-6B0F-47C2-BE30-95EDC511EA9F}"/>
    <cellStyle name="Style 98 2 12" xfId="15496" xr:uid="{19CCC8A6-B70D-4F3F-B76C-36918431F439}"/>
    <cellStyle name="Style 98 2 12 2" xfId="15497" xr:uid="{0FBA7EBB-2B02-4CDF-9065-A663C5D09902}"/>
    <cellStyle name="Style 98 2 12 2 2" xfId="31254" xr:uid="{EB932343-1492-45C3-BC16-A5EA5649E690}"/>
    <cellStyle name="Style 98 2 12 3" xfId="31253" xr:uid="{E4179D1E-C716-4F1B-BD1E-30DA1EA72F0F}"/>
    <cellStyle name="Style 98 2 13" xfId="15498" xr:uid="{2068A67F-09DE-479D-A6AA-0EB3C43FD4F3}"/>
    <cellStyle name="Style 98 2 13 2" xfId="31255" xr:uid="{4487B6AA-2193-442C-A633-8C47E21849B1}"/>
    <cellStyle name="Style 98 2 14" xfId="15499" xr:uid="{15E7FD00-4C88-488F-AFA3-05ED8698DB04}"/>
    <cellStyle name="Style 98 2 14 2" xfId="31256" xr:uid="{F169CBD6-4392-4367-B4AD-85F787D6A834}"/>
    <cellStyle name="Style 98 2 15 2" xfId="31257" xr:uid="{1380BF51-8AB1-47FC-AB54-DCD27BC75F92}"/>
    <cellStyle name="Style 98 2 2" xfId="2498" xr:uid="{FC1CA262-E34E-4BEF-9B06-3D284DC568C7}"/>
    <cellStyle name="Style 98 2 2 10" xfId="15500" xr:uid="{4C27D447-34ED-44D8-B4E9-720C07A4BF87}"/>
    <cellStyle name="Style 98 2 2 10 2" xfId="15501" xr:uid="{84C83C66-13EE-4195-BA19-7A9CCF6C6F6F}"/>
    <cellStyle name="Style 98 2 2 10 2 2" xfId="31259" xr:uid="{1E339054-34F3-4313-935A-40A0A344E204}"/>
    <cellStyle name="Style 98 2 2 10 3" xfId="31258" xr:uid="{FA266C9A-9EB4-480F-94D8-CCD6338F65BD}"/>
    <cellStyle name="Style 98 2 2 11" xfId="15502" xr:uid="{F8A3D743-30AA-417F-BEE7-4EDE03B1A136}"/>
    <cellStyle name="Style 98 2 2 11 2" xfId="15503" xr:uid="{451D696B-078A-4184-9895-5B68AE76FD7A}"/>
    <cellStyle name="Style 98 2 2 11 2 2" xfId="31261" xr:uid="{4C8A53B9-D270-4C5F-ADDF-6EF1CD413752}"/>
    <cellStyle name="Style 98 2 2 11 3" xfId="31260" xr:uid="{FF659A76-9AF5-41B8-BD34-335B92EC137F}"/>
    <cellStyle name="Style 98 2 2 12" xfId="15504" xr:uid="{C0EE1AC2-2476-4617-B8D1-AEB355632E73}"/>
    <cellStyle name="Style 98 2 2 12 2" xfId="31262" xr:uid="{F394B084-70EF-48FC-A279-030C047437BE}"/>
    <cellStyle name="Style 98 2 2 13" xfId="15505" xr:uid="{35A9A177-5723-4B94-8834-1CC729A4C529}"/>
    <cellStyle name="Style 98 2 2 13 2" xfId="31263" xr:uid="{740C6619-8832-4013-9917-1FFD745C2897}"/>
    <cellStyle name="Style 98 2 2 2" xfId="2499" xr:uid="{2CC5FB68-89A9-4852-A07F-DE17461E0E68}"/>
    <cellStyle name="Style 98 2 2 2 10" xfId="15506" xr:uid="{D867ACC4-B108-4E76-9A89-23372E55F4DB}"/>
    <cellStyle name="Style 98 2 2 2 10 2" xfId="15507" xr:uid="{42BB957A-A498-4629-9CE0-C9B5C1B871B0}"/>
    <cellStyle name="Style 98 2 2 2 10 2 2" xfId="31265" xr:uid="{BB6CF89A-2D3C-4048-A7EB-0ECF40393FC6}"/>
    <cellStyle name="Style 98 2 2 2 10 3" xfId="31264" xr:uid="{473F9805-2AE3-4D94-8E66-18AB02AA5B4D}"/>
    <cellStyle name="Style 98 2 2 2 11" xfId="15508" xr:uid="{1786ECF3-B9C9-47CD-8177-A6446EC23DD5}"/>
    <cellStyle name="Style 98 2 2 2 11 2" xfId="31266" xr:uid="{06EAFC56-60AF-477F-A42E-CD5981016F7B}"/>
    <cellStyle name="Style 98 2 2 2 12" xfId="15509" xr:uid="{B4230F63-0581-4A61-9381-BDD6DD532F47}"/>
    <cellStyle name="Style 98 2 2 2 12 2" xfId="31267" xr:uid="{04B4EF69-918C-4DE0-8C82-9A2917B5DD6E}"/>
    <cellStyle name="Style 98 2 2 2 2 10" xfId="15510" xr:uid="{D9DB4658-FB9E-4A66-BCBE-EEFC219F6F82}"/>
    <cellStyle name="Style 98 2 2 2 2 10 2" xfId="31268" xr:uid="{D1188A28-C11F-4474-ACEC-FA5C61D692EA}"/>
    <cellStyle name="Style 98 2 2 2 2 11" xfId="15511" xr:uid="{45E0A099-6938-45AC-9DDC-1CED377B9FD4}"/>
    <cellStyle name="Style 98 2 2 2 2 11 2" xfId="31269" xr:uid="{B405FDED-FD54-4EB4-A859-7CBB79C6BE57}"/>
    <cellStyle name="Style 98 2 2 2 2 2" xfId="2500" xr:uid="{5B265198-1961-4541-9178-59AF25FF606D}"/>
    <cellStyle name="Style 98 2 2 2 2 2 2" xfId="5441" xr:uid="{AD41CDD7-FC6C-49C1-98CE-C5845E1923F0}"/>
    <cellStyle name="Style 98 2 2 2 2 2 2 2" xfId="15512" xr:uid="{8F01CF79-7C8E-4B92-AD78-9DA79A7A981F}"/>
    <cellStyle name="Style 98 2 2 2 2 2 2 2 2" xfId="15513" xr:uid="{28C0FD75-0A37-49AD-B728-633D16DA6BE4}"/>
    <cellStyle name="Style 98 2 2 2 2 2 2 2 3" xfId="31270" xr:uid="{5CC725F7-D0A1-4C4F-86BE-A149724CACAF}"/>
    <cellStyle name="Style 98 2 2 2 2 2 2 3" xfId="15514" xr:uid="{BE499ABA-FAD9-46A0-8703-991DCA7DCDE1}"/>
    <cellStyle name="Style 98 2 2 2 2 2 2 3 2" xfId="15515" xr:uid="{3C995D23-E9E5-47B7-B285-7D704E5C03E5}"/>
    <cellStyle name="Style 98 2 2 2 2 2 2 3 2 2" xfId="31272" xr:uid="{16F7311E-8805-454E-8D10-3E9E10513AAF}"/>
    <cellStyle name="Style 98 2 2 2 2 2 2 3 3" xfId="31271" xr:uid="{1A5F4F18-1FA1-4F45-B6DE-32933983C6FD}"/>
    <cellStyle name="Style 98 2 2 2 2 2 2 4" xfId="15516" xr:uid="{0CD55CE0-2602-4FC8-95DE-B8CCC8C99094}"/>
    <cellStyle name="Style 98 2 2 2 2 2 2 4 2" xfId="15517" xr:uid="{0F2BECEB-B9CB-4D58-B6DD-EE1FFEAE9168}"/>
    <cellStyle name="Style 98 2 2 2 2 2 2 4 2 2" xfId="31274" xr:uid="{EE5E92AF-7D16-45CD-8FE3-6FAAF4CC4CD3}"/>
    <cellStyle name="Style 98 2 2 2 2 2 2 4 3" xfId="31273" xr:uid="{859910C1-8255-421B-8BCA-CA357A6034D2}"/>
    <cellStyle name="Style 98 2 2 2 2 2 2 5" xfId="15518" xr:uid="{6A7AA94C-CF92-4254-A361-55F724CD687B}"/>
    <cellStyle name="Style 98 2 2 2 2 2 2 5 2" xfId="15519" xr:uid="{F804DFA5-E6BB-4975-A012-F2BC77027485}"/>
    <cellStyle name="Style 98 2 2 2 2 2 2 5 2 2" xfId="31276" xr:uid="{3AFC3C9C-2AC3-4620-AAD9-A870E5673D71}"/>
    <cellStyle name="Style 98 2 2 2 2 2 2 5 3" xfId="31275" xr:uid="{27256960-F2E0-43B4-A5A2-CD13D63B8F01}"/>
    <cellStyle name="Style 98 2 2 2 2 2 2 6" xfId="15520" xr:uid="{EA0F1214-4B7C-4D5C-926A-27390EB87B2D}"/>
    <cellStyle name="Style 98 2 2 2 2 2 2 6 2" xfId="31277" xr:uid="{6BB2D5B1-EBFB-41F8-885D-C5CF1DE97C2A}"/>
    <cellStyle name="Style 98 2 2 2 2 2 2 7" xfId="15521" xr:uid="{E486533D-2578-4787-A542-E610062CB6B4}"/>
    <cellStyle name="Style 98 2 2 2 2 2 2 7 2" xfId="31278" xr:uid="{DEAC9BDA-CEF6-4029-BBF5-A37D92C6590B}"/>
    <cellStyle name="Style 98 2 2 2 2 2 3" xfId="15522" xr:uid="{EBD1B451-F463-495B-B694-1244ABC8E9DA}"/>
    <cellStyle name="Style 98 2 2 2 2 2 3 2" xfId="15523" xr:uid="{7C49E412-2FE5-4AC0-861F-D17573FB1925}"/>
    <cellStyle name="Style 98 2 2 2 2 2 3 2 2" xfId="31279" xr:uid="{5E359A93-A6AB-44D5-B123-AE1D99357190}"/>
    <cellStyle name="Style 98 2 2 2 2 2 3 3" xfId="15524" xr:uid="{F1AAA837-E161-4DA1-BEFE-8614AE6771E5}"/>
    <cellStyle name="Style 98 2 2 2 2 2 3 3 2" xfId="31280" xr:uid="{BB4137CC-D38C-4C6C-A56D-F21801ADF286}"/>
    <cellStyle name="Style 98 2 2 2 2 2 4" xfId="15525" xr:uid="{29E9D9C3-9762-426E-A5D0-1B63C1AD605F}"/>
    <cellStyle name="Style 98 2 2 2 2 2 4 2" xfId="15526" xr:uid="{4A9837BE-B2A6-4C56-817F-B93398CC438D}"/>
    <cellStyle name="Style 98 2 2 2 2 2 4 2 2" xfId="31282" xr:uid="{92450791-CA30-4A13-AB6B-5D5000CD8B92}"/>
    <cellStyle name="Style 98 2 2 2 2 2 4 3" xfId="31281" xr:uid="{C9F62DA9-4B43-401C-9840-BA15B0532DEF}"/>
    <cellStyle name="Style 98 2 2 2 2 2 5" xfId="15527" xr:uid="{300C65BF-369A-4796-8B94-1EC1EE258237}"/>
    <cellStyle name="Style 98 2 2 2 2 2 5 2" xfId="15528" xr:uid="{FE0C2C9B-ABB3-4DE0-86F8-8B3EF9D91098}"/>
    <cellStyle name="Style 98 2 2 2 2 2 5 3" xfId="31283" xr:uid="{931AF5CD-C99D-42DC-9996-E43EBBE455A6}"/>
    <cellStyle name="Style 98 2 2 2 2 2 6" xfId="15529" xr:uid="{90CE45EE-2E70-4DF6-8A89-4FB2B2556768}"/>
    <cellStyle name="Style 98 2 2 2 2 2 6 2" xfId="15530" xr:uid="{D8DDADBB-DF4F-4C99-A85C-60FC35B8FDFE}"/>
    <cellStyle name="Style 98 2 2 2 2 2 6 2 2" xfId="31285" xr:uid="{927CA558-A8E5-43FD-841F-BEF91201053F}"/>
    <cellStyle name="Style 98 2 2 2 2 2 6 3" xfId="31284" xr:uid="{DC4D60F0-21B4-4A96-B2A3-959C9D8D7190}"/>
    <cellStyle name="Style 98 2 2 2 2 2 7" xfId="15531" xr:uid="{BA8278AA-36E7-42C2-AA1B-D400D46D55C6}"/>
    <cellStyle name="Style 98 2 2 2 2 2 7 2" xfId="15532" xr:uid="{6F485FE6-B494-4739-AB00-E3161AF587CA}"/>
    <cellStyle name="Style 98 2 2 2 2 2 7 2 2" xfId="31287" xr:uid="{C396C445-02A7-4A72-8ACA-703F0DBF2185}"/>
    <cellStyle name="Style 98 2 2 2 2 2 7 3" xfId="31286" xr:uid="{07A3999E-F8E5-45D3-9508-78A9BD97C765}"/>
    <cellStyle name="Style 98 2 2 2 2 2 8" xfId="15533" xr:uid="{F072A8A1-76CD-4197-BB08-2D13331E87D0}"/>
    <cellStyle name="Style 98 2 2 2 2 2 8 2" xfId="31288" xr:uid="{C71A2476-44C9-45F9-98E8-4C14F6B331FA}"/>
    <cellStyle name="Style 98 2 2 2 2 2 9" xfId="15534" xr:uid="{9E9B9264-A13F-44A1-AE8D-3D0544FF0D24}"/>
    <cellStyle name="Style 98 2 2 2 2 2 9 2" xfId="31289" xr:uid="{81433B2C-EB83-4CAA-9209-DD29FE32482F}"/>
    <cellStyle name="Style 98 2 2 2 2 3" xfId="5440" xr:uid="{F595BC29-AF76-49D6-B8D2-0B3857B06E3F}"/>
    <cellStyle name="Style 98 2 2 2 2 3 2" xfId="15535" xr:uid="{01D2CE35-E256-497A-AAB0-BE72F33B1B52}"/>
    <cellStyle name="Style 98 2 2 2 2 3 2 2" xfId="15536" xr:uid="{EE94247C-4E8B-4F2A-AAA3-18F1284F1F00}"/>
    <cellStyle name="Style 98 2 2 2 2 3 2 2 2" xfId="31291" xr:uid="{615F7BAF-B0EE-41D9-B0EB-A4BB623A4DA9}"/>
    <cellStyle name="Style 98 2 2 2 2 3 2 3" xfId="31290" xr:uid="{DD15984C-0CC2-44E7-A0A7-BF2A5380BB76}"/>
    <cellStyle name="Style 98 2 2 2 2 3 3" xfId="15537" xr:uid="{D0CF0BBB-6773-45AA-B1CE-39768B05FBF0}"/>
    <cellStyle name="Style 98 2 2 2 2 3 3 2" xfId="15538" xr:uid="{B76F4383-D73C-4A59-B9AC-CDE5336723BB}"/>
    <cellStyle name="Style 98 2 2 2 2 3 3 2 2" xfId="31292" xr:uid="{B290EF42-F0A1-4404-A7AC-252E236B146A}"/>
    <cellStyle name="Style 98 2 2 2 2 3 4" xfId="15539" xr:uid="{6CF69693-CEE4-4895-8320-36F71C937975}"/>
    <cellStyle name="Style 98 2 2 2 2 3 4 2" xfId="15540" xr:uid="{4B7805AF-0835-4073-A63B-2EF2A86FE8E4}"/>
    <cellStyle name="Style 98 2 2 2 2 3 4 2 2" xfId="31293" xr:uid="{DCBAF23D-E37E-4B46-B9F6-17BCF1701F74}"/>
    <cellStyle name="Style 98 2 2 2 2 3 5" xfId="15541" xr:uid="{72CDAD84-378A-4082-AF95-AB02E31F3FBF}"/>
    <cellStyle name="Style 98 2 2 2 2 3 5 2" xfId="15542" xr:uid="{3FAB68F5-DA31-477F-ABD1-391B6CF528B5}"/>
    <cellStyle name="Style 98 2 2 2 2 3 5 2 2" xfId="31295" xr:uid="{3FC01DCB-A8F0-4E8E-AEEE-9991A948914B}"/>
    <cellStyle name="Style 98 2 2 2 2 3 5 3" xfId="31294" xr:uid="{6F78F417-BD1B-4A79-A439-277A3FFD322A}"/>
    <cellStyle name="Style 98 2 2 2 2 3 6" xfId="15543" xr:uid="{7BE4280C-140F-4DB3-8331-0AB70DDAE00E}"/>
    <cellStyle name="Style 98 2 2 2 2 3 6 2" xfId="31296" xr:uid="{76AE0C51-5198-4E4C-9081-E4C6D65AEFA7}"/>
    <cellStyle name="Style 98 2 2 2 2 3 7" xfId="15544" xr:uid="{1E514CD8-ED80-4C14-84B7-0B8617E2CAE3}"/>
    <cellStyle name="Style 98 2 2 2 2 3 7 2" xfId="31297" xr:uid="{DA88CB20-5C5F-4672-87E8-4F66EAC64EC4}"/>
    <cellStyle name="Style 98 2 2 2 2 4 2" xfId="15545" xr:uid="{FBD80098-A3A3-446D-84F7-2A917EFFCB4D}"/>
    <cellStyle name="Style 98 2 2 2 2 4 2 2" xfId="31298" xr:uid="{9A1CAA0D-ACFB-4632-BC57-AC26E6E43893}"/>
    <cellStyle name="Style 98 2 2 2 2 4 3" xfId="15546" xr:uid="{6414EB9C-C6AF-41ED-BAB6-FAC3ABBC2BA7}"/>
    <cellStyle name="Style 98 2 2 2 2 4 3 2" xfId="31299" xr:uid="{40FB6109-E6CE-4634-B95A-8DE6446BE28C}"/>
    <cellStyle name="Style 98 2 2 2 2 5" xfId="15547" xr:uid="{12A94B43-6999-40B3-AF8D-A186852F2113}"/>
    <cellStyle name="Style 98 2 2 2 2 5 2" xfId="15548" xr:uid="{0CF7D1FA-0A1D-4432-B52A-B1EB584546BB}"/>
    <cellStyle name="Style 98 2 2 2 2 5 2 2" xfId="31301" xr:uid="{0D1B7665-38EF-4FFE-9209-85606D618105}"/>
    <cellStyle name="Style 98 2 2 2 2 5 3" xfId="31300" xr:uid="{3ECB9843-7783-40F8-B7D1-15449C7C10BB}"/>
    <cellStyle name="Style 98 2 2 2 2 6" xfId="15549" xr:uid="{EC2446CB-A3D7-4A52-AFEE-FA9EE4EB643F}"/>
    <cellStyle name="Style 98 2 2 2 2 6 2" xfId="15550" xr:uid="{5AD216E8-9B3A-4D6D-B9D6-D0B56A4ED4DA}"/>
    <cellStyle name="Style 98 2 2 2 2 6 2 2" xfId="31303" xr:uid="{199FFB06-F6ED-4764-B203-A50F3C3CC734}"/>
    <cellStyle name="Style 98 2 2 2 2 6 3" xfId="31302" xr:uid="{1EBFECFC-EA1A-4430-952E-30878C693292}"/>
    <cellStyle name="Style 98 2 2 2 2 7" xfId="15551" xr:uid="{BDC46B63-4002-4F98-A664-3DD312FD47B6}"/>
    <cellStyle name="Style 98 2 2 2 2 7 2" xfId="15552" xr:uid="{005E124E-2ECE-4FAE-8580-3DEFFA465FF2}"/>
    <cellStyle name="Style 98 2 2 2 2 7 2 2" xfId="31305" xr:uid="{82F24C0E-71B1-4F5C-BD17-64BA8CB6C6BF}"/>
    <cellStyle name="Style 98 2 2 2 2 7 3" xfId="31304" xr:uid="{16196ABD-0E0F-455F-A28D-5C3E3870E11A}"/>
    <cellStyle name="Style 98 2 2 2 2 8" xfId="15553" xr:uid="{BFE3026E-A1F7-4003-A803-0EA24240925F}"/>
    <cellStyle name="Style 98 2 2 2 2 8 2" xfId="15554" xr:uid="{61FD0130-104F-4A0E-B7B9-03D90B2E42BA}"/>
    <cellStyle name="Style 98 2 2 2 2 8 2 2" xfId="31307" xr:uid="{D82D4A75-8529-457E-A2A2-1703FCE8DA3B}"/>
    <cellStyle name="Style 98 2 2 2 2 8 3" xfId="31306" xr:uid="{000C5B3D-A564-4A97-90F3-0E39F3A4FD5A}"/>
    <cellStyle name="Style 98 2 2 2 2 9" xfId="15555" xr:uid="{AB128188-B1DD-4719-9027-4F7C3CFA20F1}"/>
    <cellStyle name="Style 98 2 2 2 2 9 2" xfId="15556" xr:uid="{B6F5D010-F6E5-4CD1-B140-CD512E353D6A}"/>
    <cellStyle name="Style 98 2 2 2 2 9 2 2" xfId="31309" xr:uid="{8E989F7B-3DC1-4862-B268-64E45141F05E}"/>
    <cellStyle name="Style 98 2 2 2 2 9 3" xfId="31308" xr:uid="{5A36A8EF-AF9D-4C29-A5FE-93499685287D}"/>
    <cellStyle name="Style 98 2 2 2 3" xfId="2501" xr:uid="{A3D0364B-EBDD-4291-A0C7-9E08232E5788}"/>
    <cellStyle name="Style 98 2 2 2 3 2" xfId="5442" xr:uid="{68D74947-1276-4E31-92ED-449F6A088733}"/>
    <cellStyle name="Style 98 2 2 2 3 2 2" xfId="15557" xr:uid="{BFF6609D-8E7B-4335-A935-5483A8010311}"/>
    <cellStyle name="Style 98 2 2 2 3 2 2 2" xfId="15558" xr:uid="{E25186D5-A5B6-483E-BEC4-8A8D10AB12F0}"/>
    <cellStyle name="Style 98 2 2 2 3 2 2 3" xfId="31310" xr:uid="{9BFE681D-C280-4FA3-AF9A-3C460AF4019B}"/>
    <cellStyle name="Style 98 2 2 2 3 2 3" xfId="15559" xr:uid="{16064415-EED0-4E9B-9E81-FF5BC25573D4}"/>
    <cellStyle name="Style 98 2 2 2 3 2 3 2" xfId="15560" xr:uid="{B202149E-2375-497F-85F1-AA326279FF75}"/>
    <cellStyle name="Style 98 2 2 2 3 2 3 2 2" xfId="31312" xr:uid="{9100C9F8-B8DC-4D8E-BBDF-4449DD9E0774}"/>
    <cellStyle name="Style 98 2 2 2 3 2 3 3" xfId="31311" xr:uid="{5DE019F1-0060-4274-AB37-2E187433C069}"/>
    <cellStyle name="Style 98 2 2 2 3 2 4" xfId="15561" xr:uid="{45578F18-DB06-4BA3-8245-0A1C5164C0A3}"/>
    <cellStyle name="Style 98 2 2 2 3 2 4 2" xfId="15562" xr:uid="{BEB07221-518F-4DF9-9452-9B597212C5E6}"/>
    <cellStyle name="Style 98 2 2 2 3 2 4 2 2" xfId="31314" xr:uid="{A958BDF5-0239-4BB2-9DB4-FFC4DEDAC3A8}"/>
    <cellStyle name="Style 98 2 2 2 3 2 4 3" xfId="31313" xr:uid="{367B9DE1-D4BB-40B3-BEF4-06A1871D7AF3}"/>
    <cellStyle name="Style 98 2 2 2 3 2 5" xfId="15563" xr:uid="{74434911-87A9-4372-87B1-BB87093C650E}"/>
    <cellStyle name="Style 98 2 2 2 3 2 5 2" xfId="15564" xr:uid="{DF66A18C-F9BD-4260-B135-A2A59678807E}"/>
    <cellStyle name="Style 98 2 2 2 3 2 5 2 2" xfId="31316" xr:uid="{6EFFF0B7-1C95-4613-8462-7DE67D5E038D}"/>
    <cellStyle name="Style 98 2 2 2 3 2 5 3" xfId="31315" xr:uid="{CFF6FC88-B207-49B8-9F7D-30CA97A42FC0}"/>
    <cellStyle name="Style 98 2 2 2 3 2 6" xfId="15565" xr:uid="{9AFCE462-90B4-40BF-A2B4-81A5F28B56FD}"/>
    <cellStyle name="Style 98 2 2 2 3 2 6 2" xfId="31317" xr:uid="{2E194814-8CFD-4916-8D62-F007BA1AABFE}"/>
    <cellStyle name="Style 98 2 2 2 3 2 7" xfId="15566" xr:uid="{F2095835-561E-4BC0-A762-FEF173857CDD}"/>
    <cellStyle name="Style 98 2 2 2 3 2 7 2" xfId="31318" xr:uid="{3C99EA19-15DA-4377-AA0D-47B3BF1F8D60}"/>
    <cellStyle name="Style 98 2 2 2 3 3" xfId="15567" xr:uid="{65F7EF65-2ED3-49DD-8DA3-F481C233A0D5}"/>
    <cellStyle name="Style 98 2 2 2 3 3 2" xfId="15568" xr:uid="{1355D84B-2FC8-4421-9B37-EDCD2BD8A867}"/>
    <cellStyle name="Style 98 2 2 2 3 3 2 2" xfId="31319" xr:uid="{4A49990D-C6B4-4B61-B5DD-43A22FE40744}"/>
    <cellStyle name="Style 98 2 2 2 3 3 3" xfId="15569" xr:uid="{50E08812-2FE5-41C2-8DFB-1780C35E050E}"/>
    <cellStyle name="Style 98 2 2 2 3 3 3 2" xfId="31320" xr:uid="{AC39DFAF-DC25-4893-A46A-3B6186E72361}"/>
    <cellStyle name="Style 98 2 2 2 3 4" xfId="15570" xr:uid="{60BDFE2E-DDF6-4DC4-8CD1-05EC46A34A53}"/>
    <cellStyle name="Style 98 2 2 2 3 4 2 2" xfId="31322" xr:uid="{9485CF65-8AC7-4DE6-BB3D-A181A0D49268}"/>
    <cellStyle name="Style 98 2 2 2 3 4 3" xfId="31321" xr:uid="{6EF602EE-74D5-4B8D-BF07-C8CDB1DD39A2}"/>
    <cellStyle name="Style 98 2 2 2 3 5" xfId="15571" xr:uid="{1DC1D41A-F00B-4A0C-944C-39D018870BC3}"/>
    <cellStyle name="Style 98 2 2 2 3 5 2" xfId="15572" xr:uid="{6EC74589-E111-4D9B-B222-753C07027029}"/>
    <cellStyle name="Style 98 2 2 2 3 5 2 2" xfId="31324" xr:uid="{A8BEFAE9-0685-451A-94D1-19EE4AEB3C64}"/>
    <cellStyle name="Style 98 2 2 2 3 5 3" xfId="31323" xr:uid="{A753B585-417B-4699-841B-706F9021DA39}"/>
    <cellStyle name="Style 98 2 2 2 3 6" xfId="15573" xr:uid="{D1E8216D-5049-464F-BB56-6B0C6FFF145E}"/>
    <cellStyle name="Style 98 2 2 2 3 6 2" xfId="15574" xr:uid="{A70A4E07-8D67-43E9-9331-2A465866998F}"/>
    <cellStyle name="Style 98 2 2 2 3 6 3" xfId="31325" xr:uid="{B5649B1D-59D9-4DC3-AEC3-F6AC5A5365BB}"/>
    <cellStyle name="Style 98 2 2 2 3 7" xfId="15575" xr:uid="{2848C21B-71AE-49E5-9C5D-BAFA401BFD84}"/>
    <cellStyle name="Style 98 2 2 2 3 7 2" xfId="15576" xr:uid="{807DF62C-291D-4B54-BF35-729AA7EAB222}"/>
    <cellStyle name="Style 98 2 2 2 3 7 2 2" xfId="31327" xr:uid="{F9DBF73A-F4EF-479C-8F88-A2CE5A8164CC}"/>
    <cellStyle name="Style 98 2 2 2 3 7 3" xfId="31326" xr:uid="{3776CD46-3ED2-4F50-9688-EFCD72582064}"/>
    <cellStyle name="Style 98 2 2 2 3 8" xfId="15577" xr:uid="{267A01E8-98FC-48D9-9097-BBF364A4A0E2}"/>
    <cellStyle name="Style 98 2 2 2 3 8 2" xfId="31328" xr:uid="{C7C91AD4-58A2-4B4B-BADD-B34C3FF463F0}"/>
    <cellStyle name="Style 98 2 2 2 3 9" xfId="15578" xr:uid="{58224554-8635-4296-AE39-990569A50FC4}"/>
    <cellStyle name="Style 98 2 2 2 3 9 2" xfId="31329" xr:uid="{9938F48A-B44D-4EF4-8C8F-3E3E3F803F48}"/>
    <cellStyle name="Style 98 2 2 2 4" xfId="5439" xr:uid="{D68C896E-AD91-421B-AA82-1E7D069EF667}"/>
    <cellStyle name="Style 98 2 2 2 4 2" xfId="15579" xr:uid="{B7B5CAA0-BBEC-44C7-ACA7-EC652BF430C2}"/>
    <cellStyle name="Style 98 2 2 2 4 2 2" xfId="15580" xr:uid="{12F15C01-B21A-47BC-B476-DA15C143A78D}"/>
    <cellStyle name="Style 98 2 2 2 4 2 2 2" xfId="31331" xr:uid="{930F2BC4-3C76-40D5-90EC-8985802D34CC}"/>
    <cellStyle name="Style 98 2 2 2 4 2 3" xfId="31330" xr:uid="{BB262446-1C6C-4544-A846-5DC984601451}"/>
    <cellStyle name="Style 98 2 2 2 4 3" xfId="15581" xr:uid="{55DD138B-54AE-47D7-B28E-C7D3A30B3E2B}"/>
    <cellStyle name="Style 98 2 2 2 4 3 2" xfId="15582" xr:uid="{FEF872F5-2FC7-471F-8F75-5B6EE31C81F6}"/>
    <cellStyle name="Style 98 2 2 2 4 3 2 2" xfId="31333" xr:uid="{46E74B71-46C1-43B1-A862-A916448A1136}"/>
    <cellStyle name="Style 98 2 2 2 4 3 3" xfId="31332" xr:uid="{0ADAF8AA-3EDC-4D13-8BF2-58B1A6D2EA74}"/>
    <cellStyle name="Style 98 2 2 2 4 4" xfId="15583" xr:uid="{CA93769D-E39F-4AD4-8047-08473E89846B}"/>
    <cellStyle name="Style 98 2 2 2 4 4 2" xfId="15584" xr:uid="{C7CD1DC9-5FE0-4F2E-B0B4-4D9039BC92A7}"/>
    <cellStyle name="Style 98 2 2 2 4 4 2 2" xfId="31335" xr:uid="{539CCC1C-3BD3-4705-89AB-62BFB974C26F}"/>
    <cellStyle name="Style 98 2 2 2 4 4 3" xfId="31334" xr:uid="{D42A2ABA-9A0C-436B-B19E-DBC9D6595577}"/>
    <cellStyle name="Style 98 2 2 2 4 5" xfId="15585" xr:uid="{AAC0D444-894D-427F-A8DF-62BE06FA3410}"/>
    <cellStyle name="Style 98 2 2 2 4 5 2" xfId="15586" xr:uid="{3CCF1D6A-A8B2-47F7-A17E-14920435E094}"/>
    <cellStyle name="Style 98 2 2 2 4 5 2 2" xfId="31337" xr:uid="{D752FB0A-F8D6-4CAA-9742-FAE9E667A0EB}"/>
    <cellStyle name="Style 98 2 2 2 4 5 3" xfId="31336" xr:uid="{06D71DAF-E586-476A-8B38-228687A35A25}"/>
    <cellStyle name="Style 98 2 2 2 4 6" xfId="15587" xr:uid="{3598A9A3-3FA5-4B90-A8F1-357837CFCCB3}"/>
    <cellStyle name="Style 98 2 2 2 4 6 2" xfId="31338" xr:uid="{9C8C074D-6C13-4A28-B8EF-17C644F60EC1}"/>
    <cellStyle name="Style 98 2 2 2 4 7 2" xfId="31339" xr:uid="{55FC9DEA-9B5A-4F0D-8C3F-164B3A401022}"/>
    <cellStyle name="Style 98 2 2 2 5" xfId="15588" xr:uid="{A069FC3B-57EE-484A-BC63-77B3C60321AD}"/>
    <cellStyle name="Style 98 2 2 2 5 2" xfId="15589" xr:uid="{2781A2AB-ECE2-4D2E-A8AC-954E34F192BF}"/>
    <cellStyle name="Style 98 2 2 2 5 2 2" xfId="31340" xr:uid="{EE2030E8-6338-4037-A05F-3FB972174DB1}"/>
    <cellStyle name="Style 98 2 2 2 5 3" xfId="15590" xr:uid="{3E8B8C16-9284-4A15-93F9-C3B1AFBBD61B}"/>
    <cellStyle name="Style 98 2 2 2 5 3 2" xfId="31341" xr:uid="{223946CD-89C0-4432-98BA-8805B4EDBF99}"/>
    <cellStyle name="Style 98 2 2 2 6" xfId="15591" xr:uid="{7A975409-1478-484C-A1CD-26BDB0CC8B1A}"/>
    <cellStyle name="Style 98 2 2 2 6 2" xfId="15592" xr:uid="{17958454-DB0E-4618-BC1B-089E9B4C5B8F}"/>
    <cellStyle name="Style 98 2 2 2 6 2 2" xfId="31343" xr:uid="{577B9A8F-8004-4D05-A488-817D38E67120}"/>
    <cellStyle name="Style 98 2 2 2 6 3" xfId="31342" xr:uid="{AB827BB6-BD44-4E3F-A0F0-7296EA18A2D0}"/>
    <cellStyle name="Style 98 2 2 2 7" xfId="15593" xr:uid="{B2FF0C83-3630-4DDC-905A-48CC69381A47}"/>
    <cellStyle name="Style 98 2 2 2 7 2" xfId="15594" xr:uid="{C3B3713A-6635-47D8-95E6-3308CE6C23C3}"/>
    <cellStyle name="Style 98 2 2 2 7 2 2" xfId="31344" xr:uid="{B7639B3F-C56C-4A89-8F84-802D2381C3BD}"/>
    <cellStyle name="Style 98 2 2 2 8" xfId="15595" xr:uid="{A69E2EDE-39A2-4F65-95FF-9D8401071DBB}"/>
    <cellStyle name="Style 98 2 2 2 8 2 2" xfId="31346" xr:uid="{27ADB40C-2F33-4176-8C97-000709656267}"/>
    <cellStyle name="Style 98 2 2 2 8 3" xfId="31345" xr:uid="{B438BC3D-5736-4777-ADEC-F0BE9F5240B6}"/>
    <cellStyle name="Style 98 2 2 2 9" xfId="15596" xr:uid="{EFA0D71E-3507-43BF-8989-020585472759}"/>
    <cellStyle name="Style 98 2 2 3" xfId="2502" xr:uid="{C0057C85-24E9-450F-A0A0-EB7F66591BB2}"/>
    <cellStyle name="Style 98 2 2 3 10" xfId="15597" xr:uid="{AB47A842-F2C4-48EC-BA77-8A01F2D92BF0}"/>
    <cellStyle name="Style 98 2 2 3 10 2" xfId="31347" xr:uid="{37129440-75F9-4325-AEDA-717700D6012C}"/>
    <cellStyle name="Style 98 2 2 3 11" xfId="15598" xr:uid="{409353A1-AF10-4E34-8879-DCFE7B858344}"/>
    <cellStyle name="Style 98 2 2 3 11 2" xfId="31348" xr:uid="{5720226F-F652-419C-B2B3-CBE52FE2C75A}"/>
    <cellStyle name="Style 98 2 2 3 2 2" xfId="5444" xr:uid="{71AE3FA5-32D9-462F-9553-FB8797D98B6F}"/>
    <cellStyle name="Style 98 2 2 3 2 2 2" xfId="15599" xr:uid="{C88E790C-B04E-424F-9431-518E2F9FC3AA}"/>
    <cellStyle name="Style 98 2 2 3 2 2 2 2 2" xfId="31350" xr:uid="{84258C28-3D5E-4664-96AB-E5010D278788}"/>
    <cellStyle name="Style 98 2 2 3 2 2 2 3" xfId="31349" xr:uid="{F0D5BEC8-9CB6-41C9-B15E-074EE9EA5AD5}"/>
    <cellStyle name="Style 98 2 2 3 2 2 3" xfId="15600" xr:uid="{57D5BAA3-487E-401A-A2FF-1A31B31C87CC}"/>
    <cellStyle name="Style 98 2 2 3 2 2 3 2 2" xfId="31351" xr:uid="{CD5D03FC-832B-4111-9ACD-B3947B40AD1E}"/>
    <cellStyle name="Style 98 2 2 3 2 2 4" xfId="15601" xr:uid="{64F7FC6D-C9A5-422B-9DC7-E3790EC35FE3}"/>
    <cellStyle name="Style 98 2 2 3 2 2 4 2" xfId="15602" xr:uid="{8025E63C-8ECF-4F3D-8F5E-1C4381D17085}"/>
    <cellStyle name="Style 98 2 2 3 2 2 4 3" xfId="31352" xr:uid="{013F10C3-F64C-49EC-A536-2A1CAECCCD45}"/>
    <cellStyle name="Style 98 2 2 3 2 2 5" xfId="15603" xr:uid="{C8D27092-E97B-4F1A-8DA6-C627EDEC1E7F}"/>
    <cellStyle name="Style 98 2 2 3 2 2 5 2" xfId="15604" xr:uid="{E9D1E358-A879-4D66-B27E-9ECA1EE401B4}"/>
    <cellStyle name="Style 98 2 2 3 2 2 5 2 2" xfId="31354" xr:uid="{09E5FD6E-1AEB-4509-B26D-5B6D80820D37}"/>
    <cellStyle name="Style 98 2 2 3 2 2 5 3" xfId="31353" xr:uid="{CF834025-ED5B-44F5-B254-4454FEE7F870}"/>
    <cellStyle name="Style 98 2 2 3 2 2 6" xfId="15605" xr:uid="{07B468C8-F011-4DA6-8AFA-5124153CF217}"/>
    <cellStyle name="Style 98 2 2 3 2 2 6 2" xfId="31355" xr:uid="{0CAABDB3-0A15-4F70-9C5E-6E29B072AAF4}"/>
    <cellStyle name="Style 98 2 2 3 2 2 7" xfId="15606" xr:uid="{3BF62F3C-FF58-484B-9211-742288EA8CD0}"/>
    <cellStyle name="Style 98 2 2 3 2 3" xfId="15607" xr:uid="{11649BAE-98D9-454B-8E18-18AD082D82CC}"/>
    <cellStyle name="Style 98 2 2 3 2 3 2" xfId="15608" xr:uid="{C7D51620-1BF1-438B-A172-994BDCE2532E}"/>
    <cellStyle name="Style 98 2 2 3 2 3 2 2" xfId="31356" xr:uid="{FCD2E1B1-0DD6-4525-8BFE-9B7967915986}"/>
    <cellStyle name="Style 98 2 2 3 2 3 3" xfId="15609" xr:uid="{AECDE94E-A4E4-4546-AC8F-D68EBAE6FB88}"/>
    <cellStyle name="Style 98 2 2 3 2 3 3 2" xfId="31357" xr:uid="{CF3F3DF4-7BBE-40E0-AE84-2C2088E3176D}"/>
    <cellStyle name="Style 98 2 2 3 2 4 2" xfId="15610" xr:uid="{0DB4EF91-CD78-4505-84EC-A071A5ACF82A}"/>
    <cellStyle name="Style 98 2 2 3 2 4 2 2" xfId="31359" xr:uid="{245BA40E-5A7E-4BE9-A8F0-EC090C84E1D7}"/>
    <cellStyle name="Style 98 2 2 3 2 4 3" xfId="31358" xr:uid="{68E6B8C1-157A-4EAB-B79A-1C3D50D547D6}"/>
    <cellStyle name="Style 98 2 2 3 2 5" xfId="15611" xr:uid="{AB82130D-757A-4200-81CF-E7DEB09F7EB3}"/>
    <cellStyle name="Style 98 2 2 3 2 5 2 2" xfId="31361" xr:uid="{2898250F-CD2C-453E-B710-B1A876FC6F5E}"/>
    <cellStyle name="Style 98 2 2 3 2 5 3" xfId="31360" xr:uid="{20A56E23-EC2E-400C-99CE-33B555323A74}"/>
    <cellStyle name="Style 98 2 2 3 2 6" xfId="15612" xr:uid="{9CEBE9F2-93E5-411E-A145-1BE23795E88E}"/>
    <cellStyle name="Style 98 2 2 3 2 6 2" xfId="15613" xr:uid="{14825DD6-6EB3-4FEC-A7B7-DF2C5E6AF428}"/>
    <cellStyle name="Style 98 2 2 3 2 6 2 2" xfId="31363" xr:uid="{2A8BB394-5435-48CB-BB0F-CA02D42D7E6B}"/>
    <cellStyle name="Style 98 2 2 3 2 6 3" xfId="31362" xr:uid="{C7D4A4DC-7F32-4440-8935-044CC9DBC274}"/>
    <cellStyle name="Style 98 2 2 3 2 7" xfId="15614" xr:uid="{E765A401-9225-46E6-ACDE-CC1F723FD114}"/>
    <cellStyle name="Style 98 2 2 3 2 7 2" xfId="15615" xr:uid="{37595D09-2970-499B-976E-D742AA5ADC18}"/>
    <cellStyle name="Style 98 2 2 3 2 7 2 2" xfId="31365" xr:uid="{DDDAD890-72CB-4870-AB6B-6FA25E08BDF9}"/>
    <cellStyle name="Style 98 2 2 3 2 7 3" xfId="31364" xr:uid="{6324C5E6-7473-49D2-8ACD-012B09BE6B62}"/>
    <cellStyle name="Style 98 2 2 3 2 8 2" xfId="31366" xr:uid="{61DB920F-FE03-4EB4-8142-04FBF6D601C2}"/>
    <cellStyle name="Style 98 2 2 3 2 9" xfId="15616" xr:uid="{A16F9F9D-68D2-4877-B856-14DCDA3AA258}"/>
    <cellStyle name="Style 98 2 2 3 2 9 2" xfId="31367" xr:uid="{21F70AB6-87FD-4C69-8152-38B9DF1F0A5E}"/>
    <cellStyle name="Style 98 2 2 3 3" xfId="5443" xr:uid="{292D1A79-A2D1-4E9E-A567-30E01C0EB52A}"/>
    <cellStyle name="Style 98 2 2 3 3 2" xfId="15617" xr:uid="{E2847CC8-49DF-48E0-A7CA-D7577DC6C3D0}"/>
    <cellStyle name="Style 98 2 2 3 3 2 2 2" xfId="31369" xr:uid="{DB7BCC4A-9DD9-4416-8584-8526A7090CE2}"/>
    <cellStyle name="Style 98 2 2 3 3 2 3" xfId="31368" xr:uid="{F144F8E6-1445-40B8-82E5-6E2BC1FDBB39}"/>
    <cellStyle name="Style 98 2 2 3 3 3" xfId="15618" xr:uid="{5BBDC350-2053-4E5B-B517-E26707541BB1}"/>
    <cellStyle name="Style 98 2 2 3 3 3 2" xfId="15619" xr:uid="{D4ECB361-61C3-4C49-A282-9589CB2788A1}"/>
    <cellStyle name="Style 98 2 2 3 3 3 3" xfId="31370" xr:uid="{37279313-0107-4BE7-98B8-E7572E710074}"/>
    <cellStyle name="Style 98 2 2 3 3 4" xfId="15620" xr:uid="{670ABA82-A8BA-4039-8A06-92A94491449C}"/>
    <cellStyle name="Style 98 2 2 3 3 4 2" xfId="15621" xr:uid="{44A05CF7-F2A8-42FF-9FB3-B1A5F16A45F0}"/>
    <cellStyle name="Style 98 2 2 3 3 4 2 2" xfId="31372" xr:uid="{B4D21EC7-D7A3-45CF-AF97-093E1A96C76D}"/>
    <cellStyle name="Style 98 2 2 3 3 4 3" xfId="31371" xr:uid="{71048A35-EC55-475B-B4E9-671267045EAF}"/>
    <cellStyle name="Style 98 2 2 3 3 5" xfId="15622" xr:uid="{EF699A53-1857-4A4F-B665-5D3A5D1F45D5}"/>
    <cellStyle name="Style 98 2 2 3 3 5 2" xfId="15623" xr:uid="{701C1061-8060-438B-ACE1-7EC4A2200190}"/>
    <cellStyle name="Style 98 2 2 3 3 5 2 2" xfId="31374" xr:uid="{6B576EFD-6CBD-4328-BBE0-A406939B9822}"/>
    <cellStyle name="Style 98 2 2 3 3 5 3" xfId="31373" xr:uid="{77BDACA8-AF7D-43C7-855B-650FE400EFF2}"/>
    <cellStyle name="Style 98 2 2 3 3 6" xfId="15624" xr:uid="{E1BC2F78-A461-4490-86DD-5602602F48BC}"/>
    <cellStyle name="Style 98 2 2 3 3 7" xfId="15625" xr:uid="{EEC09045-E848-4766-B009-F52BDF1FCF97}"/>
    <cellStyle name="Style 98 2 2 3 3 7 2" xfId="31375" xr:uid="{C5E1870A-D86E-4771-A936-9C70C1589640}"/>
    <cellStyle name="Style 98 2 2 3 4" xfId="15626" xr:uid="{19B3B4D1-4F41-4A19-8AFF-1529582A031A}"/>
    <cellStyle name="Style 98 2 2 3 4 2 2" xfId="31376" xr:uid="{894AF698-AE20-48D6-ADDE-DB2DABB63F80}"/>
    <cellStyle name="Style 98 2 2 3 4 3 2" xfId="31377" xr:uid="{B425BCA7-9086-4532-91D0-E87243AF32B6}"/>
    <cellStyle name="Style 98 2 2 3 5" xfId="15627" xr:uid="{3975B60E-AA3E-467E-AB14-656ACFE568D9}"/>
    <cellStyle name="Style 98 2 2 3 5 2" xfId="15628" xr:uid="{FB3A882D-F112-4BD4-919B-2818317C6D23}"/>
    <cellStyle name="Style 98 2 2 3 5 2 2" xfId="31379" xr:uid="{387F2E11-9A87-4BD3-98A4-5A5EA0A5E276}"/>
    <cellStyle name="Style 98 2 2 3 5 3" xfId="31378" xr:uid="{D0E80E41-9E35-471F-B5D7-6ADA21D88546}"/>
    <cellStyle name="Style 98 2 2 3 6" xfId="15629" xr:uid="{0C22A028-4518-40A2-8870-B400EB4D1907}"/>
    <cellStyle name="Style 98 2 2 3 6 2" xfId="15630" xr:uid="{CE2F5FD9-8A6F-46E2-A8E7-177F209802F8}"/>
    <cellStyle name="Style 98 2 2 3 6 2 2" xfId="31380" xr:uid="{094D65F0-84B6-414D-A257-93612E696C4E}"/>
    <cellStyle name="Style 98 2 2 3 7" xfId="15631" xr:uid="{C26F1BF4-A37E-45C0-91D4-5C4845785971}"/>
    <cellStyle name="Style 98 2 2 3 7 2 2" xfId="31382" xr:uid="{5B7CC95C-7F9A-4A73-9B61-50A1C13E79F4}"/>
    <cellStyle name="Style 98 2 2 3 7 3" xfId="31381" xr:uid="{7E82521A-4F32-46B4-803B-A72885AC1518}"/>
    <cellStyle name="Style 98 2 2 3 8" xfId="15632" xr:uid="{A6DF3E3A-4383-42CC-B6DB-6A52B5FF1DE5}"/>
    <cellStyle name="Style 98 2 2 3 8 2 2" xfId="31384" xr:uid="{C4324534-D4C5-4B0D-A31F-376D2BB168FB}"/>
    <cellStyle name="Style 98 2 2 3 8 3" xfId="31383" xr:uid="{EBE3B80D-289C-4361-81E7-179E68E0ECF8}"/>
    <cellStyle name="Style 98 2 2 3 9" xfId="15633" xr:uid="{8CDB7B78-2275-4A03-BC8D-7566D5BDE3E3}"/>
    <cellStyle name="Style 98 2 2 3 9 2" xfId="15634" xr:uid="{BFBEE8EC-010E-456A-95A9-C333D829347E}"/>
    <cellStyle name="Style 98 2 2 3 9 2 2" xfId="31385" xr:uid="{AD2B9DC8-6692-4C20-822E-7A6E1B5A3FD7}"/>
    <cellStyle name="Style 98 2 2 4" xfId="2503" xr:uid="{77CD77FA-EB5A-4F34-8EF4-4B69FDB15161}"/>
    <cellStyle name="Style 98 2 2 4 2" xfId="5445" xr:uid="{DEAD3BD3-3159-48CF-A6D3-3C3E8A6F1C98}"/>
    <cellStyle name="Style 98 2 2 4 2 2" xfId="15635" xr:uid="{D67A146F-3E51-4566-9954-03FE4C01F03D}"/>
    <cellStyle name="Style 98 2 2 4 2 2 2" xfId="15636" xr:uid="{08D29779-DBD3-4752-9E91-2F85DF92A5A1}"/>
    <cellStyle name="Style 98 2 2 4 2 2 2 2" xfId="31387" xr:uid="{179EBC71-01B3-487F-9920-E31F5BB2313E}"/>
    <cellStyle name="Style 98 2 2 4 2 2 3" xfId="31386" xr:uid="{20E9CD24-2AF4-4BE2-A170-76E471969C77}"/>
    <cellStyle name="Style 98 2 2 4 2 3" xfId="15637" xr:uid="{033BD804-FC39-416F-B1A4-0EF2115060FC}"/>
    <cellStyle name="Style 98 2 2 4 2 3 2" xfId="15638" xr:uid="{1DED156A-36BF-45D1-9C34-3FCFF26EF57D}"/>
    <cellStyle name="Style 98 2 2 4 2 3 2 2" xfId="31389" xr:uid="{76C70E28-862C-40B9-8F45-D211E80CC412}"/>
    <cellStyle name="Style 98 2 2 4 2 3 3" xfId="31388" xr:uid="{5EA59B4C-6834-4EB8-9EAA-B8C73FCF1838}"/>
    <cellStyle name="Style 98 2 2 4 2 4" xfId="15639" xr:uid="{727514DA-0952-4066-9CC5-4B986BA8DCEC}"/>
    <cellStyle name="Style 98 2 2 4 2 4 2" xfId="15640" xr:uid="{F5AEE39C-C028-422F-BBD1-89D05A0B6CF9}"/>
    <cellStyle name="Style 98 2 2 4 2 4 2 2" xfId="31391" xr:uid="{41DB1AAB-C20C-419C-869F-A44BA0277448}"/>
    <cellStyle name="Style 98 2 2 4 2 4 3" xfId="31390" xr:uid="{A89120C3-C450-443F-A85F-B50D3C1FD7C0}"/>
    <cellStyle name="Style 98 2 2 4 2 5" xfId="15641" xr:uid="{F5C849FE-4A1A-4416-9612-BE65DB048049}"/>
    <cellStyle name="Style 98 2 2 4 2 5 2" xfId="15642" xr:uid="{39198046-9CF0-423D-8B3C-0ADF15B218F3}"/>
    <cellStyle name="Style 98 2 2 4 2 5 2 2" xfId="31393" xr:uid="{687F399F-8314-4187-A1CC-88055B0F2FF3}"/>
    <cellStyle name="Style 98 2 2 4 2 5 3" xfId="31392" xr:uid="{CCC85FD6-0F9E-482A-A44B-7139EE875971}"/>
    <cellStyle name="Style 98 2 2 4 2 6" xfId="15643" xr:uid="{3D703C2A-7B62-4AA7-898B-A17F73ED99F1}"/>
    <cellStyle name="Style 98 2 2 4 2 6 2" xfId="31394" xr:uid="{69531415-D8C8-46C5-B60C-B3264F344CBD}"/>
    <cellStyle name="Style 98 2 2 4 2 7" xfId="15644" xr:uid="{41549542-3F22-4EAF-A7BF-D246A9A074A2}"/>
    <cellStyle name="Style 98 2 2 4 2 7 2" xfId="31395" xr:uid="{9909EA64-8522-4FAE-BCD7-8A085AF2C46C}"/>
    <cellStyle name="Style 98 2 2 4 3" xfId="15645" xr:uid="{0C7991D1-19BF-46EB-9114-353DE7D9D38B}"/>
    <cellStyle name="Style 98 2 2 4 3 2 2" xfId="31396" xr:uid="{A342BD3F-CF4B-4EA7-8C66-EFC87EB6B22D}"/>
    <cellStyle name="Style 98 2 2 4 3 3" xfId="15646" xr:uid="{8E5D41EF-93C2-4029-ACC1-ECF5B11D914D}"/>
    <cellStyle name="Style 98 2 2 4 3 3 2" xfId="31397" xr:uid="{3C5396D5-2BFF-4C5C-A874-EDD31BA1F13A}"/>
    <cellStyle name="Style 98 2 2 4 4" xfId="15647" xr:uid="{3936CE9B-E4F9-4914-B2D7-421364B4AA97}"/>
    <cellStyle name="Style 98 2 2 4 4 2" xfId="15648" xr:uid="{9EB47EC3-0BD5-4523-A621-8F316125D525}"/>
    <cellStyle name="Style 98 2 2 4 5" xfId="15649" xr:uid="{E1621F1F-2346-4F4C-9F58-F74A5D0C4287}"/>
    <cellStyle name="Style 98 2 2 4 5 2" xfId="15650" xr:uid="{0B824B1F-87A8-419A-BF89-02F744A86898}"/>
    <cellStyle name="Style 98 2 2 4 5 2 2" xfId="31399" xr:uid="{3E499E6A-EF3C-4284-B247-81DF58B96C04}"/>
    <cellStyle name="Style 98 2 2 4 5 3" xfId="31398" xr:uid="{17C37433-8D69-470A-9FB7-D80CA83EB865}"/>
    <cellStyle name="Style 98 2 2 4 6" xfId="15651" xr:uid="{1F6DE983-EB8A-43F1-BD52-A53662FB1BFA}"/>
    <cellStyle name="Style 98 2 2 4 6 2" xfId="15652" xr:uid="{2AF54451-74DE-4222-A6BF-75158F8C71F0}"/>
    <cellStyle name="Style 98 2 2 4 6 2 2" xfId="31401" xr:uid="{A64A986B-7EB1-499A-B63E-7FBE7EADEE83}"/>
    <cellStyle name="Style 98 2 2 4 6 3" xfId="31400" xr:uid="{93AAD1FE-B801-49B0-B9E1-9091196C5734}"/>
    <cellStyle name="Style 98 2 2 4 7" xfId="15653" xr:uid="{B7E937E6-615E-4400-9470-FBE6689E4BAD}"/>
    <cellStyle name="Style 98 2 2 4 7 2" xfId="15654" xr:uid="{4F6785AA-3090-492F-B1D4-DE19A5128B27}"/>
    <cellStyle name="Style 98 2 2 4 7 2 2" xfId="31403" xr:uid="{7F7B2870-A73E-434D-B6D1-04979601AACF}"/>
    <cellStyle name="Style 98 2 2 4 7 3" xfId="31402" xr:uid="{F4BA99D8-3177-4A87-BEC6-2B8D325F7B1A}"/>
    <cellStyle name="Style 98 2 2 4 8" xfId="15655" xr:uid="{C554CDE6-C893-43EE-A204-4F2668E7DFF4}"/>
    <cellStyle name="Style 98 2 2 4 8 2" xfId="31404" xr:uid="{9E3D2A6E-7CE6-406C-82DD-381A917D8E46}"/>
    <cellStyle name="Style 98 2 2 4 9 2" xfId="31405" xr:uid="{11D18329-C251-4A93-80BC-F79C238A66AC}"/>
    <cellStyle name="Style 98 2 2 5" xfId="5438" xr:uid="{9550FAA3-A99F-4435-82B5-1B005EC93432}"/>
    <cellStyle name="Style 98 2 2 5 2" xfId="15656" xr:uid="{2E97AA5C-C2E9-4F9F-967A-0BD448ED7E8D}"/>
    <cellStyle name="Style 98 2 2 5 2 2" xfId="15657" xr:uid="{043C4FE0-2FD9-453C-A4CF-974CD0F84A45}"/>
    <cellStyle name="Style 98 2 2 5 2 2 2" xfId="31407" xr:uid="{01603242-D8BE-47E5-AF15-65EF0464FB21}"/>
    <cellStyle name="Style 98 2 2 5 2 3" xfId="31406" xr:uid="{9B5B132F-7A01-418E-A53F-84B0CCEDB618}"/>
    <cellStyle name="Style 98 2 2 5 3" xfId="15658" xr:uid="{9376C6E8-D93F-43C2-975D-22F6A1C144DB}"/>
    <cellStyle name="Style 98 2 2 5 3 2 2" xfId="31409" xr:uid="{464D2FF7-B322-4CCF-A1CB-BF8ECEFE5A1B}"/>
    <cellStyle name="Style 98 2 2 5 3 3" xfId="31408" xr:uid="{8AF6C732-DE5A-451B-AB56-D06F04E70C9B}"/>
    <cellStyle name="Style 98 2 2 5 4" xfId="15659" xr:uid="{27DF3945-399B-4823-9DE3-E20FB23E248C}"/>
    <cellStyle name="Style 98 2 2 5 4 2" xfId="15660" xr:uid="{FF60A968-7D0A-481D-B753-EDCCD1F960A2}"/>
    <cellStyle name="Style 98 2 2 5 4 2 2" xfId="31411" xr:uid="{9A55E683-8290-4972-8CF4-B5F0B6DFBBFE}"/>
    <cellStyle name="Style 98 2 2 5 4 3" xfId="31410" xr:uid="{64181A14-06DC-42DC-91BF-722A01CA9AA6}"/>
    <cellStyle name="Style 98 2 2 5 5" xfId="15661" xr:uid="{2781824B-A5F2-4B56-9F3D-9AF37572A4E9}"/>
    <cellStyle name="Style 98 2 2 5 5 2" xfId="15662" xr:uid="{B4434AC1-E5E6-4E21-93FA-6992FFEE93B7}"/>
    <cellStyle name="Style 98 2 2 5 5 2 2" xfId="31413" xr:uid="{B12E4F13-0FD8-41E9-A980-F43C2B15C5E2}"/>
    <cellStyle name="Style 98 2 2 5 5 3" xfId="31412" xr:uid="{0B928F5B-AA7A-47CC-8CBC-3047476EB774}"/>
    <cellStyle name="Style 98 2 2 5 6" xfId="15663" xr:uid="{E79DE2BE-FB80-41A9-B567-0386DC9D4A18}"/>
    <cellStyle name="Style 98 2 2 5 6 2" xfId="31414" xr:uid="{0797E9A7-60BA-4E34-A201-7C9E2EE96B6F}"/>
    <cellStyle name="Style 98 2 2 5 7" xfId="15664" xr:uid="{B9C8DC8F-2729-43E2-AB85-1B89FB0C1EFC}"/>
    <cellStyle name="Style 98 2 2 6" xfId="15665" xr:uid="{5B20FEB7-6D1E-4EAF-A883-6E0CFC107EFB}"/>
    <cellStyle name="Style 98 2 2 6 2" xfId="15666" xr:uid="{A1F77A52-F5E5-4E87-A45E-022A4E72571F}"/>
    <cellStyle name="Style 98 2 2 6 3" xfId="15667" xr:uid="{57A05B24-C873-4C2C-B742-752FC7FB41F1}"/>
    <cellStyle name="Style 98 2 2 6 3 2" xfId="31415" xr:uid="{5C0CFAEA-5379-40EA-AED2-07A7705DCDE0}"/>
    <cellStyle name="Style 98 2 2 7" xfId="15668" xr:uid="{4E71C2BF-3556-4E8D-9741-1318BAC15381}"/>
    <cellStyle name="Style 98 2 2 7 2" xfId="15669" xr:uid="{439DD796-688E-4C18-9EEB-759A4F4BC00B}"/>
    <cellStyle name="Style 98 2 2 7 2 2" xfId="31417" xr:uid="{96635265-EE89-4762-B06F-7FA5A0BA4FB7}"/>
    <cellStyle name="Style 98 2 2 7 3" xfId="31416" xr:uid="{9956E638-DA9F-4E50-8B1D-C90C8F8B7ACD}"/>
    <cellStyle name="Style 98 2 2 8" xfId="15670" xr:uid="{D9E15520-5501-450E-9472-3B5411C82FDF}"/>
    <cellStyle name="Style 98 2 2 8 2" xfId="15671" xr:uid="{03271013-D46C-41F6-932E-D2407C4DE96A}"/>
    <cellStyle name="Style 98 2 2 8 2 2" xfId="31419" xr:uid="{E3220951-7C34-4CF4-857C-20CA45014C20}"/>
    <cellStyle name="Style 98 2 2 8 3" xfId="31418" xr:uid="{15D235FE-620A-4765-8686-EAEB55FEDED7}"/>
    <cellStyle name="Style 98 2 2 9" xfId="15672" xr:uid="{AE6B9493-5647-49A8-86CA-AF17C18109F9}"/>
    <cellStyle name="Style 98 2 2 9 2" xfId="15673" xr:uid="{1342D1A7-91DA-4C9E-8953-B37EC7D27F4D}"/>
    <cellStyle name="Style 98 2 2 9 2 2" xfId="31421" xr:uid="{508A1D8D-7DE9-450C-AE8F-D13A6A57FE3F}"/>
    <cellStyle name="Style 98 2 2 9 3" xfId="31420" xr:uid="{CBE80DB7-7503-49ED-966E-87701A91C146}"/>
    <cellStyle name="Style 98 2 3" xfId="2504" xr:uid="{B836D269-7BBC-4DEB-83CF-3E2C93531457}"/>
    <cellStyle name="Style 98 2 3 10" xfId="15674" xr:uid="{EAC6F5C4-7BAE-487F-9963-042942BDDAC2}"/>
    <cellStyle name="Style 98 2 3 10 2" xfId="15675" xr:uid="{0825155A-E131-4F76-9F18-2F5C9463A2E9}"/>
    <cellStyle name="Style 98 2 3 10 2 2" xfId="31423" xr:uid="{29061EB7-B5F4-4B21-BCC5-105472638121}"/>
    <cellStyle name="Style 98 2 3 10 3" xfId="31422" xr:uid="{E8B3907C-0D8A-4BC2-AFEC-0FC206681A97}"/>
    <cellStyle name="Style 98 2 3 11" xfId="15676" xr:uid="{7AEB4690-ACA0-44F3-9F3E-FFF0CF020696}"/>
    <cellStyle name="Style 98 2 3 11 2" xfId="31424" xr:uid="{D6E1D5F2-1633-489F-A833-5AC4C2A122C1}"/>
    <cellStyle name="Style 98 2 3 12 2" xfId="31425" xr:uid="{C8B439AA-0A66-4508-B614-EC178F6D16DC}"/>
    <cellStyle name="Style 98 2 3 2" xfId="2505" xr:uid="{0122EFAA-34AE-4036-8F7D-EE3B56F340F4}"/>
    <cellStyle name="Style 98 2 3 2 10" xfId="15677" xr:uid="{562BD841-041F-4403-8DD0-6D04A7EF1804}"/>
    <cellStyle name="Style 98 2 3 2 10 2" xfId="31426" xr:uid="{812F1EEE-55A7-4F64-9F62-75F647FC3E08}"/>
    <cellStyle name="Style 98 2 3 2 11" xfId="15678" xr:uid="{7EDC6E83-1098-437F-85A5-ED750D68950C}"/>
    <cellStyle name="Style 98 2 3 2 11 2" xfId="31427" xr:uid="{C84ED9CD-2F85-4502-AD11-78F12D436335}"/>
    <cellStyle name="Style 98 2 3 2 2" xfId="2506" xr:uid="{A506587F-D385-462F-A678-94EA66AC9129}"/>
    <cellStyle name="Style 98 2 3 2 2 2" xfId="5448" xr:uid="{84956710-BF39-4C0D-B1FB-4CE2A2BEF50C}"/>
    <cellStyle name="Style 98 2 3 2 2 2 2" xfId="15679" xr:uid="{7DB83DFF-F712-445A-9B25-A83572E5ACAD}"/>
    <cellStyle name="Style 98 2 3 2 2 2 2 2" xfId="15680" xr:uid="{B87D3736-09A0-48D0-BAAD-7C58FB704815}"/>
    <cellStyle name="Style 98 2 3 2 2 2 2 2 2" xfId="31428" xr:uid="{A1E0A848-11B8-4F63-A847-31F6C3D762B6}"/>
    <cellStyle name="Style 98 2 3 2 2 2 3" xfId="15681" xr:uid="{BD97ACE3-FBBC-44E1-B864-901F69C90068}"/>
    <cellStyle name="Style 98 2 3 2 2 2 3 2" xfId="15682" xr:uid="{EF50589F-C55F-453C-993E-D3200D1DFD1E}"/>
    <cellStyle name="Style 98 2 3 2 2 2 3 2 2" xfId="31430" xr:uid="{D73BB064-E53E-43A6-B3AD-76A5F7D3ACCA}"/>
    <cellStyle name="Style 98 2 3 2 2 2 3 3" xfId="31429" xr:uid="{26C67C3F-BB26-481F-B8D6-FCC6380DC595}"/>
    <cellStyle name="Style 98 2 3 2 2 2 4" xfId="15683" xr:uid="{12F3C58F-09D4-42A1-BD7D-A9A1EBFD727C}"/>
    <cellStyle name="Style 98 2 3 2 2 2 4 2" xfId="15684" xr:uid="{9D72967F-2C48-4601-83D1-63B2F8F746D6}"/>
    <cellStyle name="Style 98 2 3 2 2 2 4 2 2" xfId="31432" xr:uid="{DD69BB9A-1638-4DBD-BBA2-71C0C35555E2}"/>
    <cellStyle name="Style 98 2 3 2 2 2 4 3" xfId="31431" xr:uid="{684498D7-216B-457D-B32E-37ECF89BA290}"/>
    <cellStyle name="Style 98 2 3 2 2 2 5" xfId="15685" xr:uid="{84BCDE9D-3678-4045-9E61-1D82B99CF0C7}"/>
    <cellStyle name="Style 98 2 3 2 2 2 5 2" xfId="15686" xr:uid="{86F4FD25-046C-49E6-B42C-282433A4A4BD}"/>
    <cellStyle name="Style 98 2 3 2 2 2 5 2 2" xfId="31434" xr:uid="{CBCC406A-8A60-446D-ACAB-B5817F0FD895}"/>
    <cellStyle name="Style 98 2 3 2 2 2 5 3" xfId="31433" xr:uid="{4EBDE782-530F-43C9-8C56-EFA02B33B7D0}"/>
    <cellStyle name="Style 98 2 3 2 2 2 6" xfId="15687" xr:uid="{41FD7AEB-5D14-4E2B-8F1A-B7A15DBAF04D}"/>
    <cellStyle name="Style 98 2 3 2 2 2 7" xfId="15688" xr:uid="{F6C10409-DAE2-44B8-B2DA-4674A84F3FA2}"/>
    <cellStyle name="Style 98 2 3 2 2 2 7 2" xfId="31435" xr:uid="{528BD139-011F-4D5D-9614-CF3EA3EF5853}"/>
    <cellStyle name="Style 98 2 3 2 2 3" xfId="15689" xr:uid="{D59BD727-5F29-45C4-93D4-9286BCF8664A}"/>
    <cellStyle name="Style 98 2 3 2 2 3 2 2" xfId="31436" xr:uid="{7B08CC61-0165-40A7-837C-CD68F8642DB7}"/>
    <cellStyle name="Style 98 2 3 2 2 3 3" xfId="15690" xr:uid="{CF3517B7-B8E9-4259-9E84-D2EB1D47D720}"/>
    <cellStyle name="Style 98 2 3 2 2 3 3 2" xfId="31437" xr:uid="{68E52ABC-238A-449B-998A-C10567526EB6}"/>
    <cellStyle name="Style 98 2 3 2 2 4" xfId="15691" xr:uid="{E3B8C435-07EC-41E6-98DF-BCA638DB1FD6}"/>
    <cellStyle name="Style 98 2 3 2 2 4 2" xfId="15692" xr:uid="{3B6031A6-38FB-4B6A-9A5C-B95891BA49D6}"/>
    <cellStyle name="Style 98 2 3 2 2 4 2 2" xfId="31439" xr:uid="{76873F8D-93F8-455E-85F2-EB62284C8F2F}"/>
    <cellStyle name="Style 98 2 3 2 2 4 3" xfId="31438" xr:uid="{7DAE739A-720E-4EDB-8F13-FB7E37AEA614}"/>
    <cellStyle name="Style 98 2 3 2 2 5" xfId="15693" xr:uid="{B78794D7-E746-4CC9-B62F-C1397A6554D2}"/>
    <cellStyle name="Style 98 2 3 2 2 5 2 2" xfId="31441" xr:uid="{4EB293D4-B1F4-49FB-BAAF-39675C10B040}"/>
    <cellStyle name="Style 98 2 3 2 2 5 3" xfId="31440" xr:uid="{D0CD887A-E7AF-4123-A552-B8F4E353311F}"/>
    <cellStyle name="Style 98 2 3 2 2 6" xfId="15694" xr:uid="{4816F9C4-5BE5-41C0-9C92-948C621BC6DD}"/>
    <cellStyle name="Style 98 2 3 2 2 6 2" xfId="15695" xr:uid="{9930E5A9-0327-41E4-9C31-D20867B7A372}"/>
    <cellStyle name="Style 98 2 3 2 2 6 2 2" xfId="31443" xr:uid="{F3846552-9D9B-45C4-B81B-7FDF6C8DAE45}"/>
    <cellStyle name="Style 98 2 3 2 2 6 3" xfId="31442" xr:uid="{82AF4D5B-49F1-4827-AD9B-0A48FB403384}"/>
    <cellStyle name="Style 98 2 3 2 2 7" xfId="15696" xr:uid="{425440EC-28E8-43E5-AA75-D626761A6439}"/>
    <cellStyle name="Style 98 2 3 2 2 7 2" xfId="15697" xr:uid="{6BCF2ACE-1659-46EC-9573-73EF3641FB3E}"/>
    <cellStyle name="Style 98 2 3 2 2 7 2 2" xfId="31445" xr:uid="{4C08D3BD-FB1C-488E-BD81-CE9620396728}"/>
    <cellStyle name="Style 98 2 3 2 2 7 3" xfId="31444" xr:uid="{7981473D-BD07-4712-8B31-7868B6449119}"/>
    <cellStyle name="Style 98 2 3 2 2 8" xfId="15698" xr:uid="{E67B2468-2D6B-4543-BA5C-02C7790A0697}"/>
    <cellStyle name="Style 98 2 3 2 2 8 2" xfId="31446" xr:uid="{31F1B3C5-3BDB-454C-B54B-0159AFF8EFA4}"/>
    <cellStyle name="Style 98 2 3 2 2 9" xfId="15699" xr:uid="{BAAD407F-0284-40B2-BA11-B6E0307CA312}"/>
    <cellStyle name="Style 98 2 3 2 2 9 2" xfId="31447" xr:uid="{54B22D50-DFBD-4061-9FA2-B967ADDF2667}"/>
    <cellStyle name="Style 98 2 3 2 3" xfId="5447" xr:uid="{44513785-9891-48EB-85CE-4D707F84AACE}"/>
    <cellStyle name="Style 98 2 3 2 3 2" xfId="15700" xr:uid="{42CAB635-4FE9-43F1-A2DB-2E7FF2015790}"/>
    <cellStyle name="Style 98 2 3 2 3 2 2" xfId="15701" xr:uid="{4C615832-1DD9-4BFD-A5FD-3B849F0A8D14}"/>
    <cellStyle name="Style 98 2 3 2 3 2 2 2" xfId="31449" xr:uid="{A06E6928-4335-4B74-93D5-B5A24172B731}"/>
    <cellStyle name="Style 98 2 3 2 3 2 3" xfId="31448" xr:uid="{91300337-D887-4C40-8095-297830A0D8AD}"/>
    <cellStyle name="Style 98 2 3 2 3 3" xfId="15702" xr:uid="{ECC4B32D-E424-49BC-894A-D98F7A380319}"/>
    <cellStyle name="Style 98 2 3 2 3 3 2" xfId="15703" xr:uid="{83DE90EB-204F-44B5-87B2-6C9C38D10C80}"/>
    <cellStyle name="Style 98 2 3 2 3 3 2 2" xfId="31451" xr:uid="{1F346CE8-470C-4884-9044-8A240D36FF5C}"/>
    <cellStyle name="Style 98 2 3 2 3 3 3" xfId="31450" xr:uid="{79C8C607-BFDA-4F01-82A9-6197AB695C83}"/>
    <cellStyle name="Style 98 2 3 2 3 4" xfId="15704" xr:uid="{872543CF-3F29-46C6-9128-3FDACCB95B41}"/>
    <cellStyle name="Style 98 2 3 2 3 4 2" xfId="15705" xr:uid="{9CF5D969-DC9E-43A2-990C-A3D8CAAAB22C}"/>
    <cellStyle name="Style 98 2 3 2 3 4 2 2" xfId="31452" xr:uid="{4925D974-D5D5-43BC-8616-0603EC1354E2}"/>
    <cellStyle name="Style 98 2 3 2 3 5" xfId="15706" xr:uid="{1763EB98-001A-4C25-9D0E-A92C265D031E}"/>
    <cellStyle name="Style 98 2 3 2 3 5 2" xfId="15707" xr:uid="{8D873A89-73C0-4056-B3CE-D88380CF1487}"/>
    <cellStyle name="Style 98 2 3 2 3 5 3" xfId="31453" xr:uid="{8BCF1BCA-C37F-4EFA-8778-2C7AA1E96261}"/>
    <cellStyle name="Style 98 2 3 2 3 6" xfId="15708" xr:uid="{58E7C0DF-85C8-4375-88A7-CF58DA186A4A}"/>
    <cellStyle name="Style 98 2 3 2 3 7" xfId="15709" xr:uid="{19BB2822-1A36-4081-A694-048B75EB5783}"/>
    <cellStyle name="Style 98 2 3 2 3 7 2" xfId="31454" xr:uid="{D45804F0-753C-4E0E-B330-EA50C34AE1CD}"/>
    <cellStyle name="Style 98 2 3 2 4" xfId="15710" xr:uid="{ED827448-8514-4291-AD47-1661B3E4D306}"/>
    <cellStyle name="Style 98 2 3 2 4 2" xfId="15711" xr:uid="{58D3AE0D-D396-44A1-9065-23C3A82DE3A7}"/>
    <cellStyle name="Style 98 2 3 2 4 2 2" xfId="31455" xr:uid="{2450D8B0-BAF5-4DB2-9DAD-5B8D068C9AFC}"/>
    <cellStyle name="Style 98 2 3 2 4 3" xfId="15712" xr:uid="{D241914E-0A20-4042-A245-99722BE8E23B}"/>
    <cellStyle name="Style 98 2 3 2 4 3 2" xfId="31456" xr:uid="{52B61A8D-5BB9-4A65-8789-97A1F00641B0}"/>
    <cellStyle name="Style 98 2 3 2 5" xfId="15713" xr:uid="{BE1BB728-8CF3-4831-863A-03CFF3B6F319}"/>
    <cellStyle name="Style 98 2 3 2 5 2" xfId="15714" xr:uid="{D1E20104-31D9-4B2C-B3F1-553D83D20377}"/>
    <cellStyle name="Style 98 2 3 2 5 2 2" xfId="31458" xr:uid="{EF52067C-B373-49A7-8828-FAEF1AEB15CB}"/>
    <cellStyle name="Style 98 2 3 2 5 3" xfId="31457" xr:uid="{B91B756B-CC65-41E1-A0AC-E899E0E8EE36}"/>
    <cellStyle name="Style 98 2 3 2 6" xfId="15715" xr:uid="{3E2D78BE-1D64-4FAE-BF28-4C4CE291AB40}"/>
    <cellStyle name="Style 98 2 3 2 6 2" xfId="15716" xr:uid="{3EF75ED6-6461-455E-A882-E636A8A2D8E8}"/>
    <cellStyle name="Style 98 2 3 2 6 2 2" xfId="31460" xr:uid="{0022A19D-1FCC-4787-8C8D-F529E627B3FA}"/>
    <cellStyle name="Style 98 2 3 2 6 3" xfId="31459" xr:uid="{499149A3-E35E-4A72-AF1B-45E4909149FA}"/>
    <cellStyle name="Style 98 2 3 2 7" xfId="15717" xr:uid="{640F2B42-7FAC-4CF3-BFF5-B158260AD6A4}"/>
    <cellStyle name="Style 98 2 3 2 7 2" xfId="15718" xr:uid="{D1C5E771-7872-44EB-B958-FC274269FD42}"/>
    <cellStyle name="Style 98 2 3 2 7 3" xfId="31461" xr:uid="{CE215A9D-0427-4BCE-AAE5-DCD1D5C33886}"/>
    <cellStyle name="Style 98 2 3 2 8" xfId="15719" xr:uid="{B42FE2B9-18EE-48F3-9EA9-37906ED38428}"/>
    <cellStyle name="Style 98 2 3 2 8 2" xfId="15720" xr:uid="{1C3D6155-6BAC-4C25-9293-13C17DE89D23}"/>
    <cellStyle name="Style 98 2 3 2 8 3" xfId="31462" xr:uid="{37984D2D-F2A6-4FDB-88A1-79029171F67D}"/>
    <cellStyle name="Style 98 2 3 2 9 2" xfId="15721" xr:uid="{ADFC3032-5250-4D00-856C-F40B7776593C}"/>
    <cellStyle name="Style 98 2 3 2 9 2 2" xfId="31464" xr:uid="{62832CAA-7484-464D-B528-41C9A58856F7}"/>
    <cellStyle name="Style 98 2 3 2 9 3" xfId="31463" xr:uid="{BCFEF153-6ED8-41FF-9964-171FA10AB426}"/>
    <cellStyle name="Style 98 2 3 3" xfId="2507" xr:uid="{E579AE8E-C509-4FCA-BFA7-09F646D697FC}"/>
    <cellStyle name="Style 98 2 3 3 2" xfId="5449" xr:uid="{9F6DE3C8-314C-4003-9C92-58BC04B07A8A}"/>
    <cellStyle name="Style 98 2 3 3 2 2" xfId="15722" xr:uid="{1E93FC7C-617C-4799-B6C0-6564DFB8645B}"/>
    <cellStyle name="Style 98 2 3 3 2 2 2" xfId="15723" xr:uid="{DCAD3133-72B6-4575-A524-65DCCE50EB74}"/>
    <cellStyle name="Style 98 2 3 3 2 2 2 2" xfId="31465" xr:uid="{86B33C44-29AF-495A-AD76-E9FEE3D027E7}"/>
    <cellStyle name="Style 98 2 3 3 2 3" xfId="15724" xr:uid="{4E5E5E39-77AF-4306-881E-92B0972004C5}"/>
    <cellStyle name="Style 98 2 3 3 2 3 2" xfId="15725" xr:uid="{9983A40D-BB6A-4AF4-AAFD-80D61AC0C840}"/>
    <cellStyle name="Style 98 2 3 3 2 3 3" xfId="31466" xr:uid="{060751D0-F878-426D-8F22-805159C60860}"/>
    <cellStyle name="Style 98 2 3 3 2 4" xfId="15726" xr:uid="{198A05D5-CE56-407D-B74F-8F694A616BB4}"/>
    <cellStyle name="Style 98 2 3 3 2 4 2" xfId="15727" xr:uid="{A8AC8C8E-7C74-4109-A787-98F27B5180F5}"/>
    <cellStyle name="Style 98 2 3 3 2 4 2 2" xfId="31468" xr:uid="{34F634AA-85B1-410E-A188-F824335F382C}"/>
    <cellStyle name="Style 98 2 3 3 2 4 3" xfId="31467" xr:uid="{605874DF-3AB7-4AC6-90FD-CC57B2520E98}"/>
    <cellStyle name="Style 98 2 3 3 2 5 2" xfId="15728" xr:uid="{37F3FFF1-0D04-475C-8CC5-65FFD5BDD6F4}"/>
    <cellStyle name="Style 98 2 3 3 2 5 2 2" xfId="31470" xr:uid="{D87CD558-46B6-4D02-B769-506762F08E74}"/>
    <cellStyle name="Style 98 2 3 3 2 5 3" xfId="31469" xr:uid="{7119627D-1455-4E32-A7CA-DE641AFE9E2D}"/>
    <cellStyle name="Style 98 2 3 3 2 6" xfId="15729" xr:uid="{5B702002-F5DD-47C3-BC68-78F84A901264}"/>
    <cellStyle name="Style 98 2 3 3 2 6 2" xfId="31471" xr:uid="{90B9D018-1D78-417C-8AC1-7FBFF70B231F}"/>
    <cellStyle name="Style 98 2 3 3 2 7" xfId="15730" xr:uid="{185D099E-5BB5-4611-877A-1EFDEB35251D}"/>
    <cellStyle name="Style 98 2 3 3 2 7 2" xfId="31472" xr:uid="{9F352695-6D66-48F5-9145-14E1F67CF297}"/>
    <cellStyle name="Style 98 2 3 3 3" xfId="15731" xr:uid="{A761B6E3-233E-4962-8D47-84E9032D9A80}"/>
    <cellStyle name="Style 98 2 3 3 3 2" xfId="15732" xr:uid="{45687BA1-88E2-4434-9875-CF3451E63168}"/>
    <cellStyle name="Style 98 2 3 3 3 2 2" xfId="31473" xr:uid="{63313496-011E-497A-8C5C-30D0ADF9408B}"/>
    <cellStyle name="Style 98 2 3 3 3 3" xfId="15733" xr:uid="{DBF76D64-132C-47B6-9F6B-5759EC223C54}"/>
    <cellStyle name="Style 98 2 3 3 3 3 2" xfId="31474" xr:uid="{87F25640-67BD-4CA2-91C3-AFB55ECC8A75}"/>
    <cellStyle name="Style 98 2 3 3 4" xfId="15734" xr:uid="{1E06FEB1-305D-490F-81B5-2C4C1D1368C9}"/>
    <cellStyle name="Style 98 2 3 3 4 2" xfId="15735" xr:uid="{4DD1751F-6895-4172-9A22-7807184625A0}"/>
    <cellStyle name="Style 98 2 3 3 4 2 2" xfId="31476" xr:uid="{26AF80EA-50D3-4739-A6BB-5A1DC60FF291}"/>
    <cellStyle name="Style 98 2 3 3 4 3" xfId="31475" xr:uid="{5F26516E-669B-4BD5-9FE9-1DB802E940EB}"/>
    <cellStyle name="Style 98 2 3 3 5" xfId="15736" xr:uid="{9AD7242D-A824-4F69-B329-B48AD4D7D3A7}"/>
    <cellStyle name="Style 98 2 3 3 5 2" xfId="15737" xr:uid="{DACCA339-1FD6-4AE1-8D4D-0EAB62D06B6D}"/>
    <cellStyle name="Style 98 2 3 3 5 2 2" xfId="31478" xr:uid="{27F5F6E6-3744-4CE3-BD6F-C68F252BB874}"/>
    <cellStyle name="Style 98 2 3 3 5 3" xfId="31477" xr:uid="{CC7FC061-4FF6-4D76-9C42-B789ADFC0B89}"/>
    <cellStyle name="Style 98 2 3 3 6" xfId="15738" xr:uid="{7ADE3430-E347-4724-814B-F08AAFA1A600}"/>
    <cellStyle name="Style 98 2 3 3 6 2" xfId="15739" xr:uid="{83B9DCDF-6B07-4B68-92DE-90DBC77411CF}"/>
    <cellStyle name="Style 98 2 3 3 6 2 2" xfId="31480" xr:uid="{B56A436C-E74F-4A47-A43E-39BC3B8768B9}"/>
    <cellStyle name="Style 98 2 3 3 6 3" xfId="31479" xr:uid="{A5857002-46DC-44B1-9671-5961E11FAA38}"/>
    <cellStyle name="Style 98 2 3 3 7" xfId="15740" xr:uid="{D25A3F0F-B758-414F-A342-7A026DFB48B3}"/>
    <cellStyle name="Style 98 2 3 3 7 2" xfId="15741" xr:uid="{6E4BAA6D-CCF1-4823-AA9C-B270CAE83DDD}"/>
    <cellStyle name="Style 98 2 3 3 8" xfId="15742" xr:uid="{A76CE15F-86DC-4D7E-B299-DAF7447AA8A2}"/>
    <cellStyle name="Style 98 2 3 3 9" xfId="15743" xr:uid="{EADE2624-402A-4A8D-8F55-691489B1E875}"/>
    <cellStyle name="Style 98 2 3 3 9 2" xfId="31481" xr:uid="{C690D5B9-8753-4450-8551-BB9D8FE9BA43}"/>
    <cellStyle name="Style 98 2 3 4" xfId="5446" xr:uid="{7C7DB7D5-631F-4FD5-9F75-FF00D6CDF5BF}"/>
    <cellStyle name="Style 98 2 3 4 2" xfId="15744" xr:uid="{C24BB4AB-06B6-43A6-ABEA-7A1E6B99D4A0}"/>
    <cellStyle name="Style 98 2 3 4 2 2" xfId="15745" xr:uid="{28934160-3D91-4421-A432-E4B3CB8FDF6B}"/>
    <cellStyle name="Style 98 2 3 4 2 2 2" xfId="31483" xr:uid="{10E6F4C6-6249-4B1C-B89E-4A78606639A0}"/>
    <cellStyle name="Style 98 2 3 4 2 3" xfId="31482" xr:uid="{93508C37-5F9B-4A35-A945-3C4918912A29}"/>
    <cellStyle name="Style 98 2 3 4 3" xfId="15746" xr:uid="{E77A5683-C0F0-4EC6-9924-CA4E6933C3E3}"/>
    <cellStyle name="Style 98 2 3 4 3 2 2" xfId="31485" xr:uid="{1102D7F6-95BD-4FD1-A44D-281E478209AB}"/>
    <cellStyle name="Style 98 2 3 4 3 3" xfId="31484" xr:uid="{22236F11-14BA-4E2C-A287-74C624611DC2}"/>
    <cellStyle name="Style 98 2 3 4 4 2" xfId="15747" xr:uid="{4407759C-B1BF-4C6F-AD62-6D0AA73643D6}"/>
    <cellStyle name="Style 98 2 3 4 4 3" xfId="31486" xr:uid="{85AC0682-E17D-4F80-8377-5205D8166A95}"/>
    <cellStyle name="Style 98 2 3 4 5" xfId="15748" xr:uid="{A182FFC2-93E4-457A-9AF4-6FF6DD04D8B1}"/>
    <cellStyle name="Style 98 2 3 4 5 3" xfId="31487" xr:uid="{5A1029A3-82BA-4C97-838E-5F4070D201B1}"/>
    <cellStyle name="Style 98 2 3 4 6 2" xfId="31488" xr:uid="{E951465B-0794-45C2-A572-E3F31F26FFA9}"/>
    <cellStyle name="Style 98 2 3 4 7 2" xfId="31489" xr:uid="{9D4559DD-CC50-4BA9-B651-52C23936DC36}"/>
    <cellStyle name="Style 98 2 3 5" xfId="15749" xr:uid="{4EEEC561-81AF-469C-AB49-B1AB6EE2AACC}"/>
    <cellStyle name="Style 98 2 3 5 2" xfId="15750" xr:uid="{FA058818-1EC2-4F75-AEDC-30A385F0207F}"/>
    <cellStyle name="Style 98 2 3 5 3" xfId="15751" xr:uid="{995D0D06-903C-49BA-ADA9-849A85C5E623}"/>
    <cellStyle name="Style 98 2 3 5 3 2" xfId="31490" xr:uid="{DDDF8093-83DD-4963-B6F3-2C3F05298151}"/>
    <cellStyle name="Style 98 2 3 6" xfId="15752" xr:uid="{A1B3D59C-95F3-428E-83CC-1B7F3F2601FC}"/>
    <cellStyle name="Style 98 2 3 6 2 2" xfId="31492" xr:uid="{56FDC8A1-C3E7-4DA8-9CC8-FC48452DC0F4}"/>
    <cellStyle name="Style 98 2 3 6 3" xfId="31491" xr:uid="{BCF347E5-8828-40DB-969D-11D02C87C984}"/>
    <cellStyle name="Style 98 2 3 7" xfId="15753" xr:uid="{97E3F525-D22E-4E45-A546-C42859B17C58}"/>
    <cellStyle name="Style 98 2 3 7 2" xfId="15754" xr:uid="{B7BB31A9-D93B-4D50-A5CB-F539F53B864F}"/>
    <cellStyle name="Style 98 2 3 7 2 2" xfId="31493" xr:uid="{64DA62F9-876A-4BDA-87F3-DE3D52F60B1C}"/>
    <cellStyle name="Style 98 2 3 8" xfId="15755" xr:uid="{2B6E97AA-8B48-4D95-AF0A-F12F9E6F360D}"/>
    <cellStyle name="Style 98 2 3 8 2" xfId="15756" xr:uid="{E0BF9CF1-C562-4A22-A102-B8F0AA28FC09}"/>
    <cellStyle name="Style 98 2 3 8 2 2" xfId="31494" xr:uid="{26AF41AA-0FE9-4C14-856B-155FF8CAF8C1}"/>
    <cellStyle name="Style 98 2 3 9" xfId="15757" xr:uid="{596C6C32-CF31-4B16-A83F-05E36E59FE7C}"/>
    <cellStyle name="Style 98 2 3 9 2 2" xfId="31496" xr:uid="{5CA9BA66-CECF-4729-97F4-ADCBD63C43A3}"/>
    <cellStyle name="Style 98 2 3 9 3" xfId="31495" xr:uid="{B044EDA0-18DA-4566-9DC9-0F5DD6DBBCCF}"/>
    <cellStyle name="Style 98 2 4" xfId="2508" xr:uid="{8E4C22EB-4378-4299-BC7B-59FB1C0AEFA4}"/>
    <cellStyle name="Style 98 2 4 10" xfId="15758" xr:uid="{61781521-745F-432E-817A-1CBAFF2F2D7A}"/>
    <cellStyle name="Style 98 2 4 10 2" xfId="31497" xr:uid="{6FFBF2C8-42EE-4592-A897-574176DD18C1}"/>
    <cellStyle name="Style 98 2 4 11" xfId="15759" xr:uid="{13B22BEA-BB41-4A40-9244-3351BB0661CF}"/>
    <cellStyle name="Style 98 2 4 11 2" xfId="31498" xr:uid="{61C8E3DD-83C1-4EF9-81E5-85A73D658812}"/>
    <cellStyle name="Style 98 2 4 2" xfId="2509" xr:uid="{4CD5C876-E8DB-4ED3-881B-B08328230EFE}"/>
    <cellStyle name="Style 98 2 4 2 2" xfId="5450" xr:uid="{8DC21557-C770-4DCC-B42A-AECFFF4D1F1A}"/>
    <cellStyle name="Style 98 2 4 2 2 2" xfId="15760" xr:uid="{AFCF2F1B-60A5-4D74-A890-FBC18E9DE7D2}"/>
    <cellStyle name="Style 98 2 4 2 2 2 2" xfId="15761" xr:uid="{4D44D2A3-F4D9-44DC-A058-FC7AB15A08D0}"/>
    <cellStyle name="Style 98 2 4 2 2 2 2 2" xfId="31500" xr:uid="{372A53CA-95E5-4B68-A5F5-DF0B21E6144E}"/>
    <cellStyle name="Style 98 2 4 2 2 2 3" xfId="31499" xr:uid="{DF5C9523-3679-4565-A229-91125ED0606C}"/>
    <cellStyle name="Style 98 2 4 2 2 3" xfId="15762" xr:uid="{120E6C70-B15F-4296-B9D5-C014061001F8}"/>
    <cellStyle name="Style 98 2 4 2 2 3 2" xfId="15763" xr:uid="{7AE4B7D3-1064-4F90-A4F1-5A0EF1DDF553}"/>
    <cellStyle name="Style 98 2 4 2 2 3 2 2" xfId="31502" xr:uid="{F655EA80-6187-45E2-9AE1-E6B149A1AE30}"/>
    <cellStyle name="Style 98 2 4 2 2 3 3" xfId="31501" xr:uid="{15955087-1A0F-4C18-961E-59A373ECAC1D}"/>
    <cellStyle name="Style 98 2 4 2 2 4" xfId="15764" xr:uid="{6A25FABA-4327-44B9-8EAE-6B4190F4A89A}"/>
    <cellStyle name="Style 98 2 4 2 2 4 2" xfId="15765" xr:uid="{21E685E9-71E1-4A05-B0D4-483DC8721735}"/>
    <cellStyle name="Style 98 2 4 2 2 4 2 2" xfId="31504" xr:uid="{F0E15C6F-9A8F-436B-B6A2-049E9F20E709}"/>
    <cellStyle name="Style 98 2 4 2 2 4 3" xfId="31503" xr:uid="{D59ED52F-E97E-4991-8170-6994E06D0BBA}"/>
    <cellStyle name="Style 98 2 4 2 2 5" xfId="15766" xr:uid="{27BA3341-1A78-49D2-A8A4-7C2DFD790B04}"/>
    <cellStyle name="Style 98 2 4 2 2 5 2" xfId="15767" xr:uid="{8A294C50-6E94-4006-80FB-27CE66BC2A0D}"/>
    <cellStyle name="Style 98 2 4 2 2 5 2 2" xfId="31506" xr:uid="{85785E05-400A-443A-BBAE-00036D91C97A}"/>
    <cellStyle name="Style 98 2 4 2 2 5 3" xfId="31505" xr:uid="{086AD711-3104-4F7C-9E2F-80C6B8F63913}"/>
    <cellStyle name="Style 98 2 4 2 2 6" xfId="15768" xr:uid="{DEAD40C3-DA25-4295-8224-42203BFA584F}"/>
    <cellStyle name="Style 98 2 4 2 2 6 2" xfId="31507" xr:uid="{634E7E4F-5366-44BD-B885-E8F5AE722624}"/>
    <cellStyle name="Style 98 2 4 2 2 7 2" xfId="31508" xr:uid="{84C81F2E-849A-4D51-87AF-0F6F60344239}"/>
    <cellStyle name="Style 98 2 4 2 3 2" xfId="15769" xr:uid="{54489012-D33C-4789-8F0C-B925B6A6CC86}"/>
    <cellStyle name="Style 98 2 4 2 3 2 2" xfId="31509" xr:uid="{E4E4D4ED-1FF3-4219-9CED-57A0A75A3815}"/>
    <cellStyle name="Style 98 2 4 2 3 3" xfId="15770" xr:uid="{93BD2845-CEE5-47CE-8063-952ED7F1130B}"/>
    <cellStyle name="Style 98 2 4 2 3 3 2" xfId="31510" xr:uid="{040594FF-26FF-4427-9840-E68A83EEB9EF}"/>
    <cellStyle name="Style 98 2 4 2 4" xfId="15771" xr:uid="{DCE2B028-7F4B-4415-A8E5-3E85F5215E37}"/>
    <cellStyle name="Style 98 2 4 2 4 2 2" xfId="31512" xr:uid="{4D2044D9-6F4F-4829-9AB9-8F2F470D4B54}"/>
    <cellStyle name="Style 98 2 4 2 4 3" xfId="31511" xr:uid="{C99F5883-011F-4A56-BC51-93A4D2CDB4C7}"/>
    <cellStyle name="Style 98 2 4 2 5" xfId="15772" xr:uid="{A56DDD22-49F6-44B2-A46E-8A3BB9831587}"/>
    <cellStyle name="Style 98 2 4 2 5 2" xfId="15773" xr:uid="{FE0F62B5-5AB2-403F-A519-F69370546337}"/>
    <cellStyle name="Style 98 2 4 2 5 2 2" xfId="31514" xr:uid="{8267A25A-77C1-4854-A6CD-C039E0D7D1B3}"/>
    <cellStyle name="Style 98 2 4 2 5 3" xfId="31513" xr:uid="{99EF0D29-8848-4232-BDA1-AF7D30143C59}"/>
    <cellStyle name="Style 98 2 4 2 6" xfId="15774" xr:uid="{6B00FEA6-9BA6-4076-A01C-AC31998D2E5A}"/>
    <cellStyle name="Style 98 2 4 2 6 2" xfId="15775" xr:uid="{BCFE65C9-5CEC-4C90-884D-1B2F2603EC7E}"/>
    <cellStyle name="Style 98 2 4 2 6 2 2" xfId="31516" xr:uid="{AFCC1013-B26C-4C4C-8BA4-A5C8574A5AFE}"/>
    <cellStyle name="Style 98 2 4 2 6 3" xfId="31515" xr:uid="{80BD1E3C-F631-4453-8FDE-52CBFE954C5A}"/>
    <cellStyle name="Style 98 2 4 2 7" xfId="15776" xr:uid="{6FC2A42A-7530-4853-88C2-02505B3CBF0E}"/>
    <cellStyle name="Style 98 2 4 2 7 2" xfId="15777" xr:uid="{AC283722-C26B-4489-A6B2-A83AF2E80974}"/>
    <cellStyle name="Style 98 2 4 2 7 2 2" xfId="31518" xr:uid="{079EDAD2-C6EF-456E-A9A6-5FA60DE0FDCF}"/>
    <cellStyle name="Style 98 2 4 2 7 3" xfId="31517" xr:uid="{C871E53D-E78C-4AD3-963A-FE6EA5DD5327}"/>
    <cellStyle name="Style 98 2 4 2 8" xfId="15778" xr:uid="{45E2D984-0EBB-408F-A8A4-1BA75344D15C}"/>
    <cellStyle name="Style 98 2 4 2 9" xfId="15779" xr:uid="{A01AE20B-1307-4B39-BBA5-3A8BBC725599}"/>
    <cellStyle name="Style 98 2 4 2 9 2" xfId="31519" xr:uid="{97C97D67-B575-4348-B8F3-BB8872007203}"/>
    <cellStyle name="Style 98 2 4 3 2" xfId="15780" xr:uid="{60EBF228-7B32-404E-A9FC-A5C58A44F187}"/>
    <cellStyle name="Style 98 2 4 3 2 2" xfId="15781" xr:uid="{EEF24601-FF8A-42B6-878E-81EC2B5A5520}"/>
    <cellStyle name="Style 98 2 4 3 2 2 2" xfId="31521" xr:uid="{B6FD60AF-E80B-44AB-929D-0A1B4EBEDE94}"/>
    <cellStyle name="Style 98 2 4 3 2 3" xfId="31520" xr:uid="{6ABE50AD-4158-49BA-BC7F-E4BCE55550E1}"/>
    <cellStyle name="Style 98 2 4 3 3" xfId="15782" xr:uid="{82E3E22F-FC9B-4B9A-AC33-7BB0CC8AF704}"/>
    <cellStyle name="Style 98 2 4 3 3 2" xfId="15783" xr:uid="{80E6EB71-E85C-40DE-8785-C6BDBAFC8706}"/>
    <cellStyle name="Style 98 2 4 3 3 3" xfId="31522" xr:uid="{98DD6F4D-7142-4EC0-BDDF-C3237A16EAD7}"/>
    <cellStyle name="Style 98 2 4 3 4 2" xfId="15784" xr:uid="{35338165-33E6-4948-8783-15E5371B5339}"/>
    <cellStyle name="Style 98 2 4 3 5" xfId="15785" xr:uid="{543D71EE-6FB8-4035-8F3E-EFC39C1BD85A}"/>
    <cellStyle name="Style 98 2 4 3 5 2" xfId="15786" xr:uid="{7FC34CEA-BA34-4F66-9BF6-6EC521FD1A46}"/>
    <cellStyle name="Style 98 2 4 3 5 2 2" xfId="31524" xr:uid="{C59DBC09-98FF-4B43-9B12-5BE0ED454FEA}"/>
    <cellStyle name="Style 98 2 4 3 5 3" xfId="31523" xr:uid="{0DF49BF7-3F19-4F4B-A2D1-BBA00651AF5D}"/>
    <cellStyle name="Style 98 2 4 3 6" xfId="15787" xr:uid="{AD75FEBA-5A81-4B24-B6C5-5A92BDFB0C54}"/>
    <cellStyle name="Style 98 2 4 3 6 2" xfId="31525" xr:uid="{A56B4E26-0EAF-44E3-8A20-3E2A1B4DB970}"/>
    <cellStyle name="Style 98 2 4 3 7" xfId="15788" xr:uid="{2AA1477F-1883-4987-A2A4-0ADC0C22EA27}"/>
    <cellStyle name="Style 98 2 4 3 7 2" xfId="31526" xr:uid="{ABC96324-02E3-40D3-9034-1479FB8B5B4F}"/>
    <cellStyle name="Style 98 2 4 4" xfId="15789" xr:uid="{8AF84501-F2AD-4E26-80B6-5C9AB82B34F9}"/>
    <cellStyle name="Style 98 2 4 4 2" xfId="15790" xr:uid="{AEE6F638-213E-49AD-8907-C5BB44529F1A}"/>
    <cellStyle name="Style 98 2 4 4 2 2" xfId="31527" xr:uid="{721E36B4-90C4-48E1-8757-46B22DC8F7FE}"/>
    <cellStyle name="Style 98 2 4 4 3" xfId="15791" xr:uid="{128DA244-96CE-49F1-93A6-1E694661C61A}"/>
    <cellStyle name="Style 98 2 4 5" xfId="15792" xr:uid="{9B0C6D9A-0565-46EF-8870-99B8EEC5DB8B}"/>
    <cellStyle name="Style 98 2 4 5 2" xfId="15793" xr:uid="{33FA3D71-F633-4069-88BD-4828B3C0BC71}"/>
    <cellStyle name="Style 98 2 4 5 2 2" xfId="31529" xr:uid="{C9A73979-33FA-4F51-8D18-3EA19B19E8B4}"/>
    <cellStyle name="Style 98 2 4 5 3" xfId="31528" xr:uid="{6F7F6B77-7FE8-4FEF-A941-D32507FE9EC0}"/>
    <cellStyle name="Style 98 2 4 6" xfId="15794" xr:uid="{B1862EEA-6D4C-4D84-83A6-F84A33AB3144}"/>
    <cellStyle name="Style 98 2 4 6 2 2" xfId="31531" xr:uid="{9C17F882-BD18-4BF1-BF42-60CBE8A4B6D0}"/>
    <cellStyle name="Style 98 2 4 6 3" xfId="31530" xr:uid="{50E931E0-70F3-486F-A554-821BD81BE00D}"/>
    <cellStyle name="Style 98 2 4 7" xfId="15795" xr:uid="{20706B9E-D923-4225-8D18-0BBD4BE2C19B}"/>
    <cellStyle name="Style 98 2 4 7 2" xfId="15796" xr:uid="{16E357A8-99F1-4AD7-AF9B-922D655B58A1}"/>
    <cellStyle name="Style 98 2 4 7 2 2" xfId="31533" xr:uid="{86DA9201-5874-40F3-BABA-3357EC09AA16}"/>
    <cellStyle name="Style 98 2 4 7 3" xfId="31532" xr:uid="{BD12C6FB-96F2-4797-9DAF-22C1274C495E}"/>
    <cellStyle name="Style 98 2 4 8" xfId="15797" xr:uid="{60A87DB0-732B-4049-BCF5-341033D5ABA2}"/>
    <cellStyle name="Style 98 2 4 8 2" xfId="15798" xr:uid="{7B53F42A-409D-4BDC-86A4-E79E2076088C}"/>
    <cellStyle name="Style 98 2 4 8 2 2" xfId="31535" xr:uid="{D39E443B-5023-4DC3-B631-40A922376871}"/>
    <cellStyle name="Style 98 2 4 8 3" xfId="31534" xr:uid="{51FB93AE-C3FB-4221-B5C4-8A0A25AE7F63}"/>
    <cellStyle name="Style 98 2 4 9" xfId="15799" xr:uid="{581216CC-A796-4840-A7EE-270C8A25C1D1}"/>
    <cellStyle name="Style 98 2 4 9 2 2" xfId="31537" xr:uid="{F495190A-DF43-4E4E-8508-F9D24C4C2212}"/>
    <cellStyle name="Style 98 2 4 9 3" xfId="31536" xr:uid="{BB17F4A2-52F2-45A5-AD69-B8BB6C43664E}"/>
    <cellStyle name="Style 98 2 5" xfId="2510" xr:uid="{A184F389-D61C-4EED-8993-2D50386A3D96}"/>
    <cellStyle name="Style 98 2 5 2" xfId="5452" xr:uid="{F59EF710-C5B3-4B6C-A59A-521E2F3DD237}"/>
    <cellStyle name="Style 98 2 5 2 2" xfId="15800" xr:uid="{168EE2FE-4000-4B29-8DF1-1026DE404802}"/>
    <cellStyle name="Style 98 2 5 2 2 2 2" xfId="31539" xr:uid="{D61944B4-ED3B-4170-9C6E-BEC957E1BEAC}"/>
    <cellStyle name="Style 98 2 5 2 2 3" xfId="31538" xr:uid="{D8D80DE5-B8C5-456A-861A-DF9BFEF7C2B6}"/>
    <cellStyle name="Style 98 2 5 2 3" xfId="15801" xr:uid="{DEE35839-F289-42A9-B446-8BB8BD9CE876}"/>
    <cellStyle name="Style 98 2 5 2 3 2 2" xfId="31540" xr:uid="{F0CDA4D6-F258-4251-82E4-CDBF0D7BC99B}"/>
    <cellStyle name="Style 98 2 5 2 4" xfId="15802" xr:uid="{24BCF0C4-41D4-426D-8D44-8029F37866DE}"/>
    <cellStyle name="Style 98 2 5 2 4 2 2" xfId="31542" xr:uid="{BD2AF7EF-629D-4113-B758-4497742F0D29}"/>
    <cellStyle name="Style 98 2 5 2 4 3" xfId="31541" xr:uid="{81405D16-E9A4-4308-889C-1BC32A391187}"/>
    <cellStyle name="Style 98 2 5 2 5" xfId="15803" xr:uid="{14B69E4E-3791-4B3F-8F75-F5201B5C0C76}"/>
    <cellStyle name="Style 98 2 5 2 5 2" xfId="15804" xr:uid="{23BB90B2-2165-4CD6-86FD-4CE97D510590}"/>
    <cellStyle name="Style 98 2 5 2 5 2 2" xfId="31544" xr:uid="{E8269680-8DB8-47CA-A11C-C24D3BE1E208}"/>
    <cellStyle name="Style 98 2 5 2 5 3" xfId="31543" xr:uid="{F4692560-B1C9-4806-BDA2-54852C0D0E7D}"/>
    <cellStyle name="Style 98 2 5 2 6" xfId="15805" xr:uid="{EEB4D219-E947-47DF-AC6E-BB7E9F2E9B65}"/>
    <cellStyle name="Style 98 2 5 2 6 2" xfId="31545" xr:uid="{BD65FE27-82CE-4C10-9987-3B8A831379EE}"/>
    <cellStyle name="Style 98 2 5 2 7" xfId="15806" xr:uid="{410914E1-4B05-4F1D-8CA3-9050DF8A82E5}"/>
    <cellStyle name="Style 98 2 5 2 7 2" xfId="31546" xr:uid="{FA4668BA-5A8C-4E64-8E65-D69CD469CFDD}"/>
    <cellStyle name="Style 98 2 5 3" xfId="5451" xr:uid="{01B41ED8-4ECD-4BE1-9760-4D473D115FD7}"/>
    <cellStyle name="Style 98 2 5 3 2 2" xfId="31547" xr:uid="{D0A5C89C-74B8-4789-AC45-2FFF66078BBC}"/>
    <cellStyle name="Style 98 2 5 3 3 2" xfId="31548" xr:uid="{E931BA67-6EE0-40E6-A72F-F9C4D980DFA1}"/>
    <cellStyle name="Style 98 2 5 4" xfId="15807" xr:uid="{7967827F-718C-402F-83D2-882EC2CA3DD5}"/>
    <cellStyle name="Style 98 2 5 4 2" xfId="15808" xr:uid="{026A0A00-39DB-4DB3-A817-83DF191F875F}"/>
    <cellStyle name="Style 98 2 5 4 2 2" xfId="31549" xr:uid="{FDC098AF-A7BC-4A6F-9F46-E998F521E8C9}"/>
    <cellStyle name="Style 98 2 5 4 3" xfId="15809" xr:uid="{682C616C-6BF7-4376-92B3-E2E60E32E6C7}"/>
    <cellStyle name="Style 98 2 5 5" xfId="15810" xr:uid="{A4B99F8C-ABA5-45CC-A0EE-2C02CC2C4F36}"/>
    <cellStyle name="Style 98 2 5 5 2" xfId="15811" xr:uid="{16A171C3-4C24-4EDF-AE33-2F0A3AED7BCE}"/>
    <cellStyle name="Style 98 2 5 5 2 2" xfId="31551" xr:uid="{AFCDD63F-9D61-4A69-9DC1-C86669E0B3DD}"/>
    <cellStyle name="Style 98 2 5 5 3" xfId="31550" xr:uid="{F8A50910-A7F2-4D91-97F6-970CA90D63EA}"/>
    <cellStyle name="Style 98 2 5 6" xfId="15812" xr:uid="{C40E2046-C79D-4CF6-95BD-DDC612E5A1EE}"/>
    <cellStyle name="Style 98 2 5 6 2" xfId="15813" xr:uid="{90F007FE-95B4-4B60-A518-8A019F25897A}"/>
    <cellStyle name="Style 98 2 5 6 2 2" xfId="31552" xr:uid="{48AE02D4-4849-4DAD-B0C7-FBFB26E123EF}"/>
    <cellStyle name="Style 98 2 5 7" xfId="15814" xr:uid="{245AD8B2-9C9E-4D99-B232-55A51E1EBB15}"/>
    <cellStyle name="Style 98 2 5 7 2" xfId="15815" xr:uid="{DD71F71B-E36D-4124-8533-C3B689B1A58C}"/>
    <cellStyle name="Style 98 2 5 7 2 2" xfId="31554" xr:uid="{89313C65-BD32-44B2-BB79-7D275D5904B5}"/>
    <cellStyle name="Style 98 2 5 7 3" xfId="31553" xr:uid="{21DDA6E3-FF30-462D-9F04-DC3E435609C8}"/>
    <cellStyle name="Style 98 2 5 8" xfId="15816" xr:uid="{5784308D-8092-4904-B98B-9461459BFE56}"/>
    <cellStyle name="Style 98 2 5 8 2" xfId="31555" xr:uid="{9D1C2E92-6278-4F53-A953-EE02C727159C}"/>
    <cellStyle name="Style 98 2 5 9" xfId="15817" xr:uid="{0E543513-3C5B-4D1B-B5B4-4FB1D7C07B0A}"/>
    <cellStyle name="Style 98 2 5 9 2" xfId="31556" xr:uid="{E5C6C882-56CF-4BF2-B3D8-CA2089D58114}"/>
    <cellStyle name="Style 98 2 6" xfId="5453" xr:uid="{CAAD34F4-27D2-4EDE-B5A1-34D309FB8065}"/>
    <cellStyle name="Style 98 2 6 2" xfId="15818" xr:uid="{60E6E8B8-A609-4C2A-9CC2-16444C6D9C5C}"/>
    <cellStyle name="Style 98 2 6 2 2" xfId="15819" xr:uid="{35B85DCA-205E-4A90-8AFE-B5E31291F781}"/>
    <cellStyle name="Style 98 2 6 2 2 2" xfId="31558" xr:uid="{DB5ECECE-B33D-45ED-BA8C-9BF3D489653F}"/>
    <cellStyle name="Style 98 2 6 2 3" xfId="31557" xr:uid="{D5A7C9E5-E257-4CA8-BB87-31499366FFED}"/>
    <cellStyle name="Style 98 2 6 3" xfId="15820" xr:uid="{61A24D04-4450-4438-9A2C-65D0EBEA55C2}"/>
    <cellStyle name="Style 98 2 6 3 2" xfId="15821" xr:uid="{A0B56D77-AA3E-44B6-AC96-7324D7A32B48}"/>
    <cellStyle name="Style 98 2 6 3 2 2" xfId="31560" xr:uid="{434A4247-AA9B-422B-B561-7D91250A3C87}"/>
    <cellStyle name="Style 98 2 6 3 3" xfId="31559" xr:uid="{3D774D6C-606D-4F0E-9B1E-9A3EE3165C1E}"/>
    <cellStyle name="Style 98 2 6 4" xfId="15822" xr:uid="{FB2CFA96-0DFC-4D84-BB3C-46E6662E9F75}"/>
    <cellStyle name="Style 98 2 6 4 2" xfId="15823" xr:uid="{235A5C53-9FA3-4E9C-A25D-4A11FD35EA9F}"/>
    <cellStyle name="Style 98 2 6 4 2 2" xfId="31562" xr:uid="{02992BA0-0054-42FC-AB6D-D1A74E74722D}"/>
    <cellStyle name="Style 98 2 6 4 3" xfId="31561" xr:uid="{988797AF-088B-4821-B34B-ABAED61348DE}"/>
    <cellStyle name="Style 98 2 6 5" xfId="15824" xr:uid="{6EE0FFC6-F30A-4292-BF36-2FE06667BFD1}"/>
    <cellStyle name="Style 98 2 6 5 2" xfId="15825" xr:uid="{A683AD4D-F37E-4C91-B6CB-A5739C59215A}"/>
    <cellStyle name="Style 98 2 6 5 3" xfId="31563" xr:uid="{E4FDED0E-48E0-4CEE-BA02-CF1EC62F3E15}"/>
    <cellStyle name="Style 98 2 6 6" xfId="15826" xr:uid="{977A9C13-721C-4F12-AC2A-DAF1F4A6E1FA}"/>
    <cellStyle name="Style 98 2 6 6 2" xfId="31564" xr:uid="{B6288907-6AB3-45B1-B360-D54B176B85DB}"/>
    <cellStyle name="Style 98 2 6 7" xfId="15827" xr:uid="{CE8D1BA0-E080-4348-B033-10FE3CA97C2D}"/>
    <cellStyle name="Style 98 2 6 7 2" xfId="31565" xr:uid="{4A54AC26-3379-4E71-9FD5-7749795EB2CC}"/>
    <cellStyle name="Style 98 2 7" xfId="5437" xr:uid="{29C20746-04A9-4838-A195-402662F6A73F}"/>
    <cellStyle name="Style 98 2 7 2" xfId="15828" xr:uid="{4CDD35E4-8F03-4DA5-8B6D-2038DB457546}"/>
    <cellStyle name="Style 98 2 7 2 2" xfId="31566" xr:uid="{808E37D3-509C-4D05-BC83-E80A15090285}"/>
    <cellStyle name="Style 98 2 7 3" xfId="15829" xr:uid="{5B373A6F-8601-47DA-BAEC-397D43B911FB}"/>
    <cellStyle name="Style 98 2 7 3 2" xfId="31567" xr:uid="{F8775AFA-85CA-40B3-A69B-B819C79FFD34}"/>
    <cellStyle name="Style 98 2 8" xfId="15830" xr:uid="{381AC079-DD50-4741-8AD1-1690F2CB336F}"/>
    <cellStyle name="Style 98 2 8 2 2" xfId="31568" xr:uid="{5B02143F-30B6-43EC-B3E3-81FD1550EE96}"/>
    <cellStyle name="Style 98 2 8 3" xfId="15831" xr:uid="{4734308B-5B27-4F1C-8182-48844CCD59A5}"/>
    <cellStyle name="Style 98 2 8 3 2" xfId="31569" xr:uid="{28E9FE54-E20A-4749-ACFC-4A76DD84DAC4}"/>
    <cellStyle name="Style 98 2 9" xfId="15832" xr:uid="{436B8A91-6877-4008-9463-7E4DDC429933}"/>
    <cellStyle name="Style 98 2 9 2" xfId="15833" xr:uid="{A2AF6624-CCA9-4B14-9EE2-5A2BCDC8F3F1}"/>
    <cellStyle name="Style 98 2 9 2 2" xfId="31570" xr:uid="{637CD2F2-71DD-425D-8242-51ACCA799C0D}"/>
    <cellStyle name="Style 98 3" xfId="2511" xr:uid="{C9441447-4A25-478B-A404-04EC8EC1FD01}"/>
    <cellStyle name="Style 98 3 10" xfId="15834" xr:uid="{071D4118-1563-4888-B4A9-BAC29CF2770C}"/>
    <cellStyle name="Style 98 3 10 2" xfId="15835" xr:uid="{BBFA8D2B-C173-4A16-A437-9714BDC23461}"/>
    <cellStyle name="Style 98 3 10 2 2" xfId="31572" xr:uid="{AA60B043-EF3F-416A-A483-143D35C92C78}"/>
    <cellStyle name="Style 98 3 10 3" xfId="31571" xr:uid="{B7337EF1-5A51-47AD-826E-B3BB8D4AA29C}"/>
    <cellStyle name="Style 98 3 11 2" xfId="15836" xr:uid="{ACFB6218-31F8-4CB5-A00C-16037D9D001C}"/>
    <cellStyle name="Style 98 3 11 2 2" xfId="31573" xr:uid="{22D97C72-E25F-42A3-B7E0-221A0B57D1A4}"/>
    <cellStyle name="Style 98 3 12" xfId="15837" xr:uid="{33CED6D2-9002-4208-97BA-AB21AFA03BCB}"/>
    <cellStyle name="Style 98 3 12 2" xfId="15838" xr:uid="{E0EE2F91-C6ED-4A9C-B66E-469ACF1E9C85}"/>
    <cellStyle name="Style 98 3 12 2 2" xfId="31574" xr:uid="{6567FDBC-AD42-4CAA-887A-CC143804D4D7}"/>
    <cellStyle name="Style 98 3 13 2" xfId="31575" xr:uid="{78673C4A-65DA-4A03-815F-7EC924810F4E}"/>
    <cellStyle name="Style 98 3 14" xfId="15839" xr:uid="{BD891136-6A6D-48C3-BBF2-7D933C264647}"/>
    <cellStyle name="Style 98 3 14 2" xfId="31576" xr:uid="{7B44FA6D-383A-45DE-9DE6-23E57F9F812A}"/>
    <cellStyle name="Style 98 3 2 10" xfId="15840" xr:uid="{25C8AB1D-32CD-46A4-B55E-9BBE80554CA3}"/>
    <cellStyle name="Style 98 3 2 10 2 2" xfId="31577" xr:uid="{EA7918EE-13C7-4073-AAB4-767D3873BA8C}"/>
    <cellStyle name="Style 98 3 2 11" xfId="15841" xr:uid="{F003972B-811C-4B83-A3D3-E16CD07D5C2E}"/>
    <cellStyle name="Style 98 3 2 11 2" xfId="15842" xr:uid="{CF55EEFD-FF0A-4F0E-9A37-80824CF08886}"/>
    <cellStyle name="Style 98 3 2 11 2 2" xfId="31578" xr:uid="{138AB316-6FEA-48D9-B186-C05821ED29C2}"/>
    <cellStyle name="Style 98 3 2 12" xfId="15843" xr:uid="{872AD8AA-D650-47AF-A050-BE15EB8250EF}"/>
    <cellStyle name="Style 98 3 2 12 2" xfId="31579" xr:uid="{C38697BB-11AE-4784-A383-39C8B3F928BA}"/>
    <cellStyle name="Style 98 3 2 13" xfId="15844" xr:uid="{05F4215A-35B8-4002-85D1-925470C997C8}"/>
    <cellStyle name="Style 98 3 2 13 2" xfId="31580" xr:uid="{45A472C7-DCB3-4166-984C-8DAE9979D9A1}"/>
    <cellStyle name="Style 98 3 2 2" xfId="2512" xr:uid="{CA56BD16-4872-4B48-A7CF-8CE2B18C67A6}"/>
    <cellStyle name="Style 98 3 2 2 10" xfId="15845" xr:uid="{877451C0-7C3C-49F6-BDA7-1F768AF96FE6}"/>
    <cellStyle name="Style 98 3 2 2 10 2" xfId="15846" xr:uid="{38550C82-A255-46CC-A3F8-AF6FBE49988A}"/>
    <cellStyle name="Style 98 3 2 2 10 2 2" xfId="31582" xr:uid="{16ADAB86-C15C-426C-A770-8B37D02E78EF}"/>
    <cellStyle name="Style 98 3 2 2 10 3" xfId="31581" xr:uid="{BB093C5B-CC88-4B8C-99B1-85FA1E67C237}"/>
    <cellStyle name="Style 98 3 2 2 11 2" xfId="31583" xr:uid="{7296EE02-0F71-4F7D-8BF3-05E85D0EFC02}"/>
    <cellStyle name="Style 98 3 2 2 12" xfId="15847" xr:uid="{A28A0723-7A65-4BFA-8A66-2F72C261C302}"/>
    <cellStyle name="Style 98 3 2 2 12 2" xfId="31584" xr:uid="{29E21929-332D-4B67-8838-A162DBC84EAB}"/>
    <cellStyle name="Style 98 3 2 2 2" xfId="2513" xr:uid="{151AF456-4677-4A13-B7E0-46A71011D663}"/>
    <cellStyle name="Style 98 3 2 2 2 10" xfId="15848" xr:uid="{D13FB783-3DF3-494B-A01D-C32C06D91806}"/>
    <cellStyle name="Style 98 3 2 2 2 11" xfId="15849" xr:uid="{3191A49A-EBBC-4541-89A6-E60F14479D29}"/>
    <cellStyle name="Style 98 3 2 2 2 11 2" xfId="31585" xr:uid="{69614317-7F39-4107-956C-AB24317DE89C}"/>
    <cellStyle name="Style 98 3 2 2 2 2" xfId="2514" xr:uid="{1AE82F2F-2CE8-4B1B-93DF-B973771E9BCF}"/>
    <cellStyle name="Style 98 3 2 2 2 2 2" xfId="5458" xr:uid="{F48C881B-407E-42C3-B307-F0BDBDC8E815}"/>
    <cellStyle name="Style 98 3 2 2 2 2 2 2" xfId="15850" xr:uid="{4E5C8641-F1EE-457E-9F09-AC93B42FB4F9}"/>
    <cellStyle name="Style 98 3 2 2 2 2 2 2 2" xfId="15851" xr:uid="{3BB971ED-D80A-4FB9-B0BB-4C05A7783224}"/>
    <cellStyle name="Style 98 3 2 2 2 2 2 2 2 2" xfId="31587" xr:uid="{739031F2-00DC-4956-A04D-98F295556681}"/>
    <cellStyle name="Style 98 3 2 2 2 2 2 2 3" xfId="31586" xr:uid="{F9AFDF67-FF44-47C7-84F8-C07D67F18E33}"/>
    <cellStyle name="Style 98 3 2 2 2 2 2 3" xfId="15852" xr:uid="{1B823682-DEC9-4B50-8AAF-B8679B75C684}"/>
    <cellStyle name="Style 98 3 2 2 2 2 2 3 2" xfId="15853" xr:uid="{A2DCC4AF-B8B1-49DB-A1C3-F4B29920291B}"/>
    <cellStyle name="Style 98 3 2 2 2 2 2 3 2 2" xfId="31589" xr:uid="{A4527087-18F1-4204-9D08-E2547264A37C}"/>
    <cellStyle name="Style 98 3 2 2 2 2 2 3 3" xfId="31588" xr:uid="{E4C8CF8B-EEFE-48E6-B894-0FDFDC8E2971}"/>
    <cellStyle name="Style 98 3 2 2 2 2 2 4" xfId="15854" xr:uid="{5B3EFE58-3F79-4A56-9C70-9FBDB87A48BA}"/>
    <cellStyle name="Style 98 3 2 2 2 2 2 4 2" xfId="15855" xr:uid="{8CBB3965-2ADD-4F96-95E8-24773AC8588E}"/>
    <cellStyle name="Style 98 3 2 2 2 2 2 5" xfId="15856" xr:uid="{B50F05EF-0103-4DBF-84F7-12353048A788}"/>
    <cellStyle name="Style 98 3 2 2 2 2 2 5 2 2" xfId="31591" xr:uid="{31AA9D31-DC4F-46CA-9423-F5E9A9C8FD6C}"/>
    <cellStyle name="Style 98 3 2 2 2 2 2 5 3" xfId="31590" xr:uid="{23D5F45C-C1EA-4254-8117-8AF7EDBCFF0A}"/>
    <cellStyle name="Style 98 3 2 2 2 2 2 6" xfId="15857" xr:uid="{B52A93A8-D9DA-4B4C-A6C0-FD3FC8068A9D}"/>
    <cellStyle name="Style 98 3 2 2 2 2 2 7" xfId="15858" xr:uid="{54C84609-B345-4EDB-8E78-891F0E357CCF}"/>
    <cellStyle name="Style 98 3 2 2 2 2 3" xfId="15859" xr:uid="{96466BE6-C62F-4AEA-B59E-6546594BA337}"/>
    <cellStyle name="Style 98 3 2 2 2 2 3 2" xfId="15860" xr:uid="{5AF5FF3C-6142-4FC5-B86D-97A4BB1CB4BB}"/>
    <cellStyle name="Style 98 3 2 2 2 2 3 2 2" xfId="31592" xr:uid="{943BF2CE-17D5-461F-BE06-36539A364B28}"/>
    <cellStyle name="Style 98 3 2 2 2 2 3 3" xfId="15861" xr:uid="{CEE37AD8-63D0-491B-B0A0-A1234B00D3E9}"/>
    <cellStyle name="Style 98 3 2 2 2 2 3 3 2" xfId="31593" xr:uid="{B764CF6C-324F-4953-9C43-CDFEDEEE9165}"/>
    <cellStyle name="Style 98 3 2 2 2 2 4" xfId="15862" xr:uid="{A9279D91-8160-4F23-9407-B90149193E7B}"/>
    <cellStyle name="Style 98 3 2 2 2 2 4 2" xfId="15863" xr:uid="{32FDC18E-B56E-4720-AA09-AE9A9E95F5E6}"/>
    <cellStyle name="Style 98 3 2 2 2 2 4 2 2" xfId="31594" xr:uid="{EFC1F66D-7811-42DC-B656-4899E79FE7B3}"/>
    <cellStyle name="Style 98 3 2 2 2 2 5" xfId="15864" xr:uid="{8042B732-037A-4EEA-B02C-4B9106A42EF5}"/>
    <cellStyle name="Style 98 3 2 2 2 2 5 2 2" xfId="31596" xr:uid="{245EEB4C-1676-4392-958D-A3DA3C3C9F30}"/>
    <cellStyle name="Style 98 3 2 2 2 2 5 3" xfId="31595" xr:uid="{215816A3-2353-4F39-8FB8-6EF0AC44FD3B}"/>
    <cellStyle name="Style 98 3 2 2 2 2 6" xfId="15865" xr:uid="{9A275C41-AFB6-4AA6-BDDF-6AEB47354C5C}"/>
    <cellStyle name="Style 98 3 2 2 2 2 6 2 2" xfId="31598" xr:uid="{63EA0F65-83D9-4F84-B668-2B150CACACA2}"/>
    <cellStyle name="Style 98 3 2 2 2 2 6 3" xfId="31597" xr:uid="{23E241C4-764D-4DFA-A0BA-7AD3E59293A4}"/>
    <cellStyle name="Style 98 3 2 2 2 2 7 2" xfId="15866" xr:uid="{06EAD14F-AD50-47A5-8E2C-D0292964FAC0}"/>
    <cellStyle name="Style 98 3 2 2 2 2 7 2 2" xfId="31600" xr:uid="{5E3DA4A1-63D9-40EC-8987-A93B70D1F453}"/>
    <cellStyle name="Style 98 3 2 2 2 2 7 3" xfId="31599" xr:uid="{E2FF4C70-4FB3-4D7D-9A9A-727920E84463}"/>
    <cellStyle name="Style 98 3 2 2 2 2 8" xfId="15867" xr:uid="{E1BCBB80-CA9D-425C-A82B-443DEDBA5FE9}"/>
    <cellStyle name="Style 98 3 2 2 2 2 9" xfId="15868" xr:uid="{DC847F56-E9FB-4C35-BFC9-4DD768C80DB0}"/>
    <cellStyle name="Style 98 3 2 2 2 3" xfId="5457" xr:uid="{C759D984-938C-482A-BE3D-76490E053F61}"/>
    <cellStyle name="Style 98 3 2 2 2 3 2" xfId="15869" xr:uid="{37D00C04-9BAD-42C9-9AB8-EADF57935C6A}"/>
    <cellStyle name="Style 98 3 2 2 2 3 2 2" xfId="15870" xr:uid="{C5A816C8-40F6-4C0F-81DF-2DD4FDF61EA7}"/>
    <cellStyle name="Style 98 3 2 2 2 3 2 2 2" xfId="31601" xr:uid="{7E4211AC-EA8E-47A5-9FAA-53FE54B84DC4}"/>
    <cellStyle name="Style 98 3 2 2 2 3 3" xfId="15871" xr:uid="{2B1EE64A-DB04-41C2-9985-27A6D0B071FB}"/>
    <cellStyle name="Style 98 3 2 2 2 3 3 2" xfId="15872" xr:uid="{32895402-74A7-4713-A6C8-7314F294D3CF}"/>
    <cellStyle name="Style 98 3 2 2 2 3 3 3" xfId="31602" xr:uid="{28C67639-FE3A-49CC-9E03-46315BE820D1}"/>
    <cellStyle name="Style 98 3 2 2 2 3 4" xfId="15873" xr:uid="{8F6427EE-ACA9-40B0-8FCD-1B909544E26B}"/>
    <cellStyle name="Style 98 3 2 2 2 3 4 2" xfId="15874" xr:uid="{21F5A93B-92A6-4689-B90B-94BAA04BA987}"/>
    <cellStyle name="Style 98 3 2 2 2 3 4 2 2" xfId="31603" xr:uid="{25D14020-FD7D-4361-B11E-89CAB31FA37B}"/>
    <cellStyle name="Style 98 3 2 2 2 3 5" xfId="15875" xr:uid="{509D42DB-023E-4D42-899C-D9B4911B1483}"/>
    <cellStyle name="Style 98 3 2 2 2 3 5 2" xfId="15876" xr:uid="{36F81E36-86CF-41AD-9551-0511C75A2BA5}"/>
    <cellStyle name="Style 98 3 2 2 2 3 5 2 2" xfId="31605" xr:uid="{3F9F975D-3914-470D-AE8B-46535C4BCC2E}"/>
    <cellStyle name="Style 98 3 2 2 2 3 5 3" xfId="31604" xr:uid="{D6DF1760-E464-40CE-B408-29A9BBBF5622}"/>
    <cellStyle name="Style 98 3 2 2 2 3 6" xfId="15877" xr:uid="{E73C6215-3897-43B2-9FDC-88D391C1A298}"/>
    <cellStyle name="Style 98 3 2 2 2 3 6 2" xfId="31606" xr:uid="{ED77547C-C3AC-4987-8563-63F9ED965088}"/>
    <cellStyle name="Style 98 3 2 2 2 3 7" xfId="15878" xr:uid="{B4AF55E5-FCBF-4760-865B-14814EDBFE43}"/>
    <cellStyle name="Style 98 3 2 2 2 3 7 2" xfId="31607" xr:uid="{4DE38A55-5BB3-4534-933F-6F6D04BA814E}"/>
    <cellStyle name="Style 98 3 2 2 2 4" xfId="15879" xr:uid="{ADB522F2-B97D-4CAB-972B-1DE588E35514}"/>
    <cellStyle name="Style 98 3 2 2 2 4 3" xfId="15880" xr:uid="{59930F30-6DF9-412A-AEEC-8D0A8264820B}"/>
    <cellStyle name="Style 98 3 2 2 2 4 3 2" xfId="31608" xr:uid="{18343B0F-F10B-466A-A301-AF9FAD9FE8E2}"/>
    <cellStyle name="Style 98 3 2 2 2 5" xfId="15881" xr:uid="{E93CB7D0-A1C8-4E73-8709-CAC3D9B87919}"/>
    <cellStyle name="Style 98 3 2 2 2 5 2" xfId="15882" xr:uid="{B39A6CC7-B0B8-45E8-9828-DAE28FF43429}"/>
    <cellStyle name="Style 98 3 2 2 2 5 2 2" xfId="31609" xr:uid="{D5167011-F6CF-47EC-B8D6-CC782FCBE913}"/>
    <cellStyle name="Style 98 3 2 2 2 6" xfId="15883" xr:uid="{7AFD75D9-DEFB-4B24-BD64-C90B5F0C7995}"/>
    <cellStyle name="Style 98 3 2 2 2 6 2" xfId="15884" xr:uid="{05CD9549-989C-4F7D-8C56-0E9A2B892274}"/>
    <cellStyle name="Style 98 3 2 2 2 6 2 2" xfId="31611" xr:uid="{D7CF1740-D299-48F0-A847-82AA3139D1CE}"/>
    <cellStyle name="Style 98 3 2 2 2 6 3" xfId="31610" xr:uid="{0BFFF3AF-8AF6-43CC-A76F-7AD30728AA46}"/>
    <cellStyle name="Style 98 3 2 2 2 7" xfId="15885" xr:uid="{BEDCF0CD-58BB-40F3-9E4A-05124CDA7103}"/>
    <cellStyle name="Style 98 3 2 2 2 7 2" xfId="15886" xr:uid="{A97752D9-1053-4878-BF4B-04508FDF7042}"/>
    <cellStyle name="Style 98 3 2 2 2 7 2 2" xfId="31612" xr:uid="{FE40A291-3596-4B82-A56F-CE93FD808546}"/>
    <cellStyle name="Style 98 3 2 2 2 8" xfId="15887" xr:uid="{8539C137-3E1B-4213-9C9F-2FD57DC143BB}"/>
    <cellStyle name="Style 98 3 2 2 2 8 2" xfId="15888" xr:uid="{804C526D-79EE-40C5-B997-D36B4216770C}"/>
    <cellStyle name="Style 98 3 2 2 2 8 2 2" xfId="31614" xr:uid="{5204C756-6B4D-4B2D-A8C7-5AC3A3C2A3AB}"/>
    <cellStyle name="Style 98 3 2 2 2 8 3" xfId="31613" xr:uid="{786DD555-0CCE-4EEB-8654-46F0EF2C2ABB}"/>
    <cellStyle name="Style 98 3 2 2 2 9" xfId="15889" xr:uid="{714C0B17-35F7-45F7-97BE-96330E49E3E2}"/>
    <cellStyle name="Style 98 3 2 2 3" xfId="2515" xr:uid="{96BAC616-0696-457D-97B4-B5D0CB60917B}"/>
    <cellStyle name="Style 98 3 2 2 3 2" xfId="5459" xr:uid="{E32235D6-33F9-4382-B421-A1B010101820}"/>
    <cellStyle name="Style 98 3 2 2 3 2 2" xfId="15890" xr:uid="{13FD18B3-3B14-4A96-9A30-C0A6CC7B962B}"/>
    <cellStyle name="Style 98 3 2 2 3 2 2 2 2" xfId="31615" xr:uid="{FEE68FB5-638B-42BF-BA96-29BA25E68FE7}"/>
    <cellStyle name="Style 98 3 2 2 3 2 3 2" xfId="15891" xr:uid="{D015D18E-A3E8-44E5-A467-53A66EC5C7BC}"/>
    <cellStyle name="Style 98 3 2 2 3 2 3 3" xfId="31616" xr:uid="{7E6DA9F1-165E-43A7-A151-10FDFDB04107}"/>
    <cellStyle name="Style 98 3 2 2 3 2 4" xfId="15892" xr:uid="{143A8A8A-2FA9-4529-A476-D4EF1B562813}"/>
    <cellStyle name="Style 98 3 2 2 3 2 4 2" xfId="15893" xr:uid="{BF829305-F266-433A-B5CC-DBA1B8BAB545}"/>
    <cellStyle name="Style 98 3 2 2 3 2 4 3" xfId="31617" xr:uid="{335185BF-0949-4811-92A0-B43A485459E4}"/>
    <cellStyle name="Style 98 3 2 2 3 2 5 2" xfId="15894" xr:uid="{EAC788AE-0E1E-4A91-8E2F-018116486F48}"/>
    <cellStyle name="Style 98 3 2 2 3 2 5 2 2" xfId="31618" xr:uid="{1832D0FA-C21A-4F08-AADF-928D06E996DB}"/>
    <cellStyle name="Style 98 3 2 2 3 2 6" xfId="15895" xr:uid="{94FA7BD5-DD55-435F-B6B2-38DA2631AE23}"/>
    <cellStyle name="Style 98 3 2 2 3 2 7 2" xfId="31619" xr:uid="{C5789AE5-9193-409E-8C4A-A871BE301516}"/>
    <cellStyle name="Style 98 3 2 2 3 3" xfId="15896" xr:uid="{61B9589F-6C56-4249-920F-31B693B48705}"/>
    <cellStyle name="Style 98 3 2 2 3 3 2" xfId="15897" xr:uid="{4E4E1664-96FF-467D-897C-713E99BDB392}"/>
    <cellStyle name="Style 98 3 2 2 3 3 2 2" xfId="31620" xr:uid="{0E02E01E-62F9-4942-BA6C-2DB612FB4D73}"/>
    <cellStyle name="Style 98 3 2 2 3 3 3" xfId="15898" xr:uid="{72F7E85F-F755-4906-B750-64F0DECBA2CE}"/>
    <cellStyle name="Style 98 3 2 2 3 3 3 2" xfId="31621" xr:uid="{DC83A768-21D7-485E-9DE4-C04468DB0F1E}"/>
    <cellStyle name="Style 98 3 2 2 3 4" xfId="15899" xr:uid="{60018053-5674-4471-86A1-1EF43431548F}"/>
    <cellStyle name="Style 98 3 2 2 3 4 2" xfId="15900" xr:uid="{D51F4707-F674-49DA-9528-26087605A19E}"/>
    <cellStyle name="Style 98 3 2 2 3 4 2 2" xfId="31623" xr:uid="{F36344FE-2EA3-4A7D-AB03-51FD92397E15}"/>
    <cellStyle name="Style 98 3 2 2 3 4 3" xfId="31622" xr:uid="{C0B7D7A9-DDE0-47CA-9442-6998C9A8B99E}"/>
    <cellStyle name="Style 98 3 2 2 3 5" xfId="15901" xr:uid="{DEC08FC2-5B28-48BD-B02F-C5E4F54D2622}"/>
    <cellStyle name="Style 98 3 2 2 3 5 2" xfId="15902" xr:uid="{E72D8D20-3030-4D32-BEEF-548EECA6AF9B}"/>
    <cellStyle name="Style 98 3 2 2 3 5 2 2" xfId="31625" xr:uid="{54D141AA-09E3-4D30-9922-E827386DB132}"/>
    <cellStyle name="Style 98 3 2 2 3 5 3" xfId="31624" xr:uid="{04B07BEC-455C-4188-A193-52BAAFCF2603}"/>
    <cellStyle name="Style 98 3 2 2 3 6" xfId="15903" xr:uid="{9F1B5500-B4DD-4DCB-A054-DF750CA16315}"/>
    <cellStyle name="Style 98 3 2 2 3 6 2" xfId="15904" xr:uid="{6224EDF0-9D04-4CE1-9BEA-8F58EDC4EE03}"/>
    <cellStyle name="Style 98 3 2 2 3 6 3" xfId="31626" xr:uid="{8343F4D9-ED19-48DC-9EFF-D97C38F3430C}"/>
    <cellStyle name="Style 98 3 2 2 3 7" xfId="15905" xr:uid="{BB97DDA7-5523-4507-AFA0-B37187856A9E}"/>
    <cellStyle name="Style 98 3 2 2 3 7 2" xfId="15906" xr:uid="{D0998551-AB66-4449-889C-3AB0318D7FB6}"/>
    <cellStyle name="Style 98 3 2 2 3 7 2 2" xfId="31628" xr:uid="{71254135-AE1C-40C0-A26C-6DE094FC1194}"/>
    <cellStyle name="Style 98 3 2 2 3 7 3" xfId="31627" xr:uid="{3C6DFA06-6F70-4FDB-9F00-99A656AA6399}"/>
    <cellStyle name="Style 98 3 2 2 3 8 2" xfId="31629" xr:uid="{D564080D-44C3-4780-8B88-4D932D7C93A5}"/>
    <cellStyle name="Style 98 3 2 2 3 9" xfId="15907" xr:uid="{1FB47A26-31C6-475E-9E5B-820CC58BA8BA}"/>
    <cellStyle name="Style 98 3 2 2 3 9 2" xfId="31630" xr:uid="{F2805C4B-2B07-43F8-A0E2-B2B1EB4C8F92}"/>
    <cellStyle name="Style 98 3 2 2 4" xfId="5456" xr:uid="{6B09EE90-7CAC-4ADC-85C0-3112F722D90B}"/>
    <cellStyle name="Style 98 3 2 2 4 2" xfId="15908" xr:uid="{A373EF96-2B62-4B5F-A2F4-D0ACB225855E}"/>
    <cellStyle name="Style 98 3 2 2 4 2 2" xfId="15909" xr:uid="{24E0C432-6CD8-4695-AA3E-EE7E717CA1CE}"/>
    <cellStyle name="Style 98 3 2 2 4 2 3" xfId="31631" xr:uid="{BAA6A0A3-D99F-4C93-8AA3-472724FEDF66}"/>
    <cellStyle name="Style 98 3 2 2 4 3" xfId="15910" xr:uid="{E71541A5-865C-4994-8F20-2E22B7B08B5E}"/>
    <cellStyle name="Style 98 3 2 2 4 3 2" xfId="15911" xr:uid="{F4D946D8-77CE-4477-8C1A-FDBD99D70816}"/>
    <cellStyle name="Style 98 3 2 2 4 3 2 2" xfId="31633" xr:uid="{5E71F8DF-FA8D-4128-AD12-FD0CDFE7E6DE}"/>
    <cellStyle name="Style 98 3 2 2 4 3 3" xfId="31632" xr:uid="{C32147C6-A562-450D-868D-16114ED3F21B}"/>
    <cellStyle name="Style 98 3 2 2 4 4 2" xfId="15912" xr:uid="{65572087-9083-4FC4-AECE-7BE475B82F45}"/>
    <cellStyle name="Style 98 3 2 2 4 4 2 2" xfId="31635" xr:uid="{158FCD2D-7EC4-4575-800C-DB8FC322957D}"/>
    <cellStyle name="Style 98 3 2 2 4 4 3" xfId="31634" xr:uid="{259C49E3-77F8-4412-BAEE-FA99D1858066}"/>
    <cellStyle name="Style 98 3 2 2 4 5" xfId="15913" xr:uid="{FFF5AD5E-E1DA-4EF1-8355-ED4CBEE3AC8B}"/>
    <cellStyle name="Style 98 3 2 2 4 5 2" xfId="15914" xr:uid="{22BC36F2-7B6B-428F-8C6C-E463A7075914}"/>
    <cellStyle name="Style 98 3 2 2 4 5 2 2" xfId="31637" xr:uid="{88147017-D66B-42BB-9BDD-CF40FB4553EF}"/>
    <cellStyle name="Style 98 3 2 2 4 5 3" xfId="31636" xr:uid="{099CBA8C-F949-48B5-BEE2-BF52E829B1EE}"/>
    <cellStyle name="Style 98 3 2 2 4 6 2" xfId="31638" xr:uid="{25BDAC48-7C6B-457F-B09B-419639357118}"/>
    <cellStyle name="Style 98 3 2 2 4 7" xfId="15915" xr:uid="{3A8E1319-1BE3-45AF-A0EC-2268015FB60D}"/>
    <cellStyle name="Style 98 3 2 2 4 7 2" xfId="31639" xr:uid="{2C30650B-24E2-47C8-9355-C2E0A3826280}"/>
    <cellStyle name="Style 98 3 2 2 5" xfId="15916" xr:uid="{CFD420CE-AD06-4224-A164-4EDDE1EEC157}"/>
    <cellStyle name="Style 98 3 2 2 5 2" xfId="15917" xr:uid="{2C602918-EA8F-4C57-B9BC-FC2B71F13CE6}"/>
    <cellStyle name="Style 98 3 2 2 5 2 2" xfId="31640" xr:uid="{59D98EAB-A87B-4FDC-9E82-18F8632AFD2C}"/>
    <cellStyle name="Style 98 3 2 2 5 3" xfId="15918" xr:uid="{0342D0E0-B30B-4525-829B-2E8815CC9823}"/>
    <cellStyle name="Style 98 3 2 2 6" xfId="15919" xr:uid="{5144F78B-052D-4C67-83EF-0C6BA62205D7}"/>
    <cellStyle name="Style 98 3 2 2 6 2" xfId="15920" xr:uid="{49613F49-D12D-4327-A520-5F71FBF199A8}"/>
    <cellStyle name="Style 98 3 2 2 6 2 2" xfId="31642" xr:uid="{73AFDD8A-9EF5-4BC6-9B98-6DCA92707B48}"/>
    <cellStyle name="Style 98 3 2 2 6 3" xfId="31641" xr:uid="{0E138B74-065F-4523-8B9D-206533213EFF}"/>
    <cellStyle name="Style 98 3 2 2 7 2" xfId="15921" xr:uid="{32E34853-1484-42A4-BBF0-F00F37095F71}"/>
    <cellStyle name="Style 98 3 2 2 7 2 2" xfId="31644" xr:uid="{13BB80B0-6098-44D9-9570-D2B6B7FB6DB0}"/>
    <cellStyle name="Style 98 3 2 2 7 3" xfId="31643" xr:uid="{27907B32-5CCB-44BE-BD62-93A6B1D5F22B}"/>
    <cellStyle name="Style 98 3 2 2 8" xfId="15922" xr:uid="{81B71990-12B1-46D1-AE87-71C36C2DC2C1}"/>
    <cellStyle name="Style 98 3 2 2 8 2" xfId="15923" xr:uid="{ED751570-01C6-4AF8-B1CA-5F231338B8D3}"/>
    <cellStyle name="Style 98 3 2 2 8 3" xfId="31645" xr:uid="{D9BA4FC9-775E-48D0-9DA4-47A0C7354947}"/>
    <cellStyle name="Style 98 3 2 2 9" xfId="15924" xr:uid="{1A81C0F3-2CF5-4143-9238-0C1F76BA37FE}"/>
    <cellStyle name="Style 98 3 2 2 9 2" xfId="15925" xr:uid="{DEE9B26C-1FF6-40BB-89ED-E88F0631BA39}"/>
    <cellStyle name="Style 98 3 2 2 9 2 2" xfId="31647" xr:uid="{A774266F-62A0-444A-A833-D48D6EE98008}"/>
    <cellStyle name="Style 98 3 2 2 9 3" xfId="31646" xr:uid="{FAC46E42-8151-4A43-8C51-187B6C6FEE37}"/>
    <cellStyle name="Style 98 3 2 3 10" xfId="15926" xr:uid="{19B2D081-368E-4E80-B4A5-FF78F5BD6C7A}"/>
    <cellStyle name="Style 98 3 2 3 10 2" xfId="31648" xr:uid="{CFDB568C-FC3D-4378-AAB9-4BDDD1C8FC7A}"/>
    <cellStyle name="Style 98 3 2 3 11" xfId="15927" xr:uid="{278981FD-6B96-4B17-BE95-544096437B4A}"/>
    <cellStyle name="Style 98 3 2 3 11 2" xfId="31649" xr:uid="{B28BCF08-BBEF-402D-A5EB-B488F07C0166}"/>
    <cellStyle name="Style 98 3 2 3 2" xfId="2516" xr:uid="{33CAEBFF-9886-452C-9D2E-953E91E085A9}"/>
    <cellStyle name="Style 98 3 2 3 2 2 2" xfId="15928" xr:uid="{9701B6E4-FA96-40AB-A29C-EBFEC1E83EF9}"/>
    <cellStyle name="Style 98 3 2 3 2 2 2 3" xfId="31650" xr:uid="{B817A291-5ADB-44C7-93E9-06C9993AD641}"/>
    <cellStyle name="Style 98 3 2 3 2 2 3" xfId="15929" xr:uid="{D2C5F5ED-197B-4DEE-BCB9-514DC0A62FEB}"/>
    <cellStyle name="Style 98 3 2 3 2 2 3 2" xfId="15930" xr:uid="{E5D948AB-0F5D-4679-8D36-52FAE7941E53}"/>
    <cellStyle name="Style 98 3 2 3 2 2 3 2 2" xfId="31652" xr:uid="{92559637-66CD-4DFA-94A8-66E53BA4B28A}"/>
    <cellStyle name="Style 98 3 2 3 2 2 3 3" xfId="31651" xr:uid="{D17ABAD5-8E5B-4449-A256-BCBD40443E09}"/>
    <cellStyle name="Style 98 3 2 3 2 2 4" xfId="15931" xr:uid="{6BD389CA-7397-40BA-A366-8CD15217D460}"/>
    <cellStyle name="Style 98 3 2 3 2 2 4 2" xfId="15932" xr:uid="{7B13700C-5D4B-40D6-BF03-2A70E5E46E02}"/>
    <cellStyle name="Style 98 3 2 3 2 2 4 2 2" xfId="31654" xr:uid="{158EDBB4-E739-46F9-8071-8934E2565699}"/>
    <cellStyle name="Style 98 3 2 3 2 2 4 3" xfId="31653" xr:uid="{0FE94083-EADA-4BBB-BA33-544091617BD6}"/>
    <cellStyle name="Style 98 3 2 3 2 2 5 2" xfId="15933" xr:uid="{C0391002-82B8-4FDB-B246-24CB58807B5F}"/>
    <cellStyle name="Style 98 3 2 3 2 2 5 3" xfId="31655" xr:uid="{D024D7E1-73DA-4C28-8F1C-CADE6C6814DE}"/>
    <cellStyle name="Style 98 3 2 3 2 2 6 2" xfId="31656" xr:uid="{57FCE226-C9ED-4DB3-953B-4815222DD0DA}"/>
    <cellStyle name="Style 98 3 2 3 2 2 7" xfId="15934" xr:uid="{89937F90-915D-4CBF-9970-24DC4474191E}"/>
    <cellStyle name="Style 98 3 2 3 2 2 7 2" xfId="31657" xr:uid="{62A6E241-49C5-4349-A392-447BBB09AAC7}"/>
    <cellStyle name="Style 98 3 2 3 2 3" xfId="15935" xr:uid="{F2D8093D-B672-4883-B61A-35008CAEB4DA}"/>
    <cellStyle name="Style 98 3 2 3 2 3 2" xfId="15936" xr:uid="{860162E1-157C-4D47-8483-E19D35745AC7}"/>
    <cellStyle name="Style 98 3 2 3 2 3 2 2" xfId="31658" xr:uid="{1DDC7A3F-B3DE-48EF-A8B9-0F67481F59CB}"/>
    <cellStyle name="Style 98 3 2 3 2 3 3 2" xfId="31659" xr:uid="{91B0BD29-CBF0-4C5A-9FEF-2B8143C11965}"/>
    <cellStyle name="Style 98 3 2 3 2 4" xfId="15937" xr:uid="{0D2F93E5-D513-498E-8E0A-40281854F28B}"/>
    <cellStyle name="Style 98 3 2 3 2 4 2" xfId="15938" xr:uid="{E1136C83-77D3-4ECA-9F14-AC37149F8081}"/>
    <cellStyle name="Style 98 3 2 3 2 4 2 2" xfId="31661" xr:uid="{D6B72BB2-EFB0-4252-BBDF-345A1E74AE04}"/>
    <cellStyle name="Style 98 3 2 3 2 4 3" xfId="31660" xr:uid="{7D3723B4-F674-4FD8-96D2-B065D5FEB9A2}"/>
    <cellStyle name="Style 98 3 2 3 2 5" xfId="15939" xr:uid="{1D587129-FE25-49B0-ADB8-386C90661FD9}"/>
    <cellStyle name="Style 98 3 2 3 2 5 2" xfId="15940" xr:uid="{5CA51BFA-E1DC-4F74-A9E9-A63D811A2502}"/>
    <cellStyle name="Style 98 3 2 3 2 5 3" xfId="31662" xr:uid="{2AB3E8C9-A781-410C-B9E5-5A2D39758BF8}"/>
    <cellStyle name="Style 98 3 2 3 2 6" xfId="15941" xr:uid="{219026BA-15AD-411C-B7AC-37E277AECDB5}"/>
    <cellStyle name="Style 98 3 2 3 2 6 2" xfId="15942" xr:uid="{E793E02F-AE73-48DA-9444-146C47410727}"/>
    <cellStyle name="Style 98 3 2 3 2 6 2 2" xfId="31664" xr:uid="{21DBE28B-3EE3-4B5C-8843-683F5CDCD114}"/>
    <cellStyle name="Style 98 3 2 3 2 6 3" xfId="31663" xr:uid="{33D55BAD-AE8A-46AA-B5CF-96AD42CA71D9}"/>
    <cellStyle name="Style 98 3 2 3 2 7 2" xfId="15943" xr:uid="{486E98CA-2794-4BA9-863F-F388942EE5A0}"/>
    <cellStyle name="Style 98 3 2 3 2 7 2 2" xfId="31666" xr:uid="{D5663F2B-F008-429D-A141-E8277CFCC38A}"/>
    <cellStyle name="Style 98 3 2 3 2 7 3" xfId="31665" xr:uid="{80DB1AA2-1652-4C60-B72B-1520FE74F671}"/>
    <cellStyle name="Style 98 3 2 3 2 8" xfId="15944" xr:uid="{C5401DA7-1F42-44DE-AE0F-947D4D17FD59}"/>
    <cellStyle name="Style 98 3 2 3 2 8 2" xfId="31667" xr:uid="{0B08A49C-A9DB-406F-A0EC-55A7A11D5B55}"/>
    <cellStyle name="Style 98 3 2 3 2 9" xfId="15945" xr:uid="{7BFEA376-55B8-4C81-AF28-881A34B431B1}"/>
    <cellStyle name="Style 98 3 2 3 2 9 2" xfId="31668" xr:uid="{F7B9DC4A-1BF0-42B1-A5B8-2AC12639EF6B}"/>
    <cellStyle name="Style 98 3 2 3 3" xfId="5460" xr:uid="{9A5CEB2A-2954-400C-BFEF-65AD1A0780DA}"/>
    <cellStyle name="Style 98 3 2 3 3 2" xfId="15946" xr:uid="{2A20475C-33D1-475E-9A80-3486C31710A4}"/>
    <cellStyle name="Style 98 3 2 3 3 2 2" xfId="15947" xr:uid="{CC453115-CED8-461C-AE2A-9A5B071839D1}"/>
    <cellStyle name="Style 98 3 2 3 3 2 2 2" xfId="31670" xr:uid="{C0E000C4-F3EF-43C8-83F5-A0928C04C307}"/>
    <cellStyle name="Style 98 3 2 3 3 2 3" xfId="31669" xr:uid="{552AF2C5-38E1-4C64-B172-BA7A6E85D3A3}"/>
    <cellStyle name="Style 98 3 2 3 3 3" xfId="15948" xr:uid="{1ED99442-7AB2-4BE7-8AAA-6FA4EF5C256D}"/>
    <cellStyle name="Style 98 3 2 3 3 3 2" xfId="15949" xr:uid="{30917479-4403-475D-B653-BF488EC3547F}"/>
    <cellStyle name="Style 98 3 2 3 3 3 2 2" xfId="31672" xr:uid="{D1165675-F246-40F7-9B2E-E05FF934D092}"/>
    <cellStyle name="Style 98 3 2 3 3 3 3" xfId="31671" xr:uid="{CD0A2E58-044B-443A-9733-4E2D63B55F7F}"/>
    <cellStyle name="Style 98 3 2 3 3 4" xfId="15950" xr:uid="{0329E58B-1326-4D5C-98A6-3020D937E50E}"/>
    <cellStyle name="Style 98 3 2 3 3 4 2 2" xfId="31674" xr:uid="{6657B731-6E1A-4086-A2B2-407B564E0D70}"/>
    <cellStyle name="Style 98 3 2 3 3 4 3" xfId="31673" xr:uid="{939BACDC-F575-4E2D-AB0D-7F65BF432921}"/>
    <cellStyle name="Style 98 3 2 3 3 5" xfId="15951" xr:uid="{6264F1C5-EB73-4C4F-95AD-619428185C4B}"/>
    <cellStyle name="Style 98 3 2 3 3 5 2 2" xfId="31675" xr:uid="{BA5A6CF9-39F8-4004-8C5C-7A880AD8E07C}"/>
    <cellStyle name="Style 98 3 2 3 3 6" xfId="15952" xr:uid="{A3BD28E5-9A41-4DE7-AE06-544AC12327C7}"/>
    <cellStyle name="Style 98 3 2 3 3 7" xfId="15953" xr:uid="{D4EA04D5-C4CD-4D2C-8304-6EF93976CB32}"/>
    <cellStyle name="Style 98 3 2 3 3 7 2" xfId="31676" xr:uid="{48AC8D7E-7D19-47DC-97CD-E993EC5FE24B}"/>
    <cellStyle name="Style 98 3 2 3 4" xfId="15954" xr:uid="{1514DBA7-EBA8-4CB0-81AE-2D3B178BAE33}"/>
    <cellStyle name="Style 98 3 2 3 4 2" xfId="15955" xr:uid="{1CAD4344-DC84-4B26-8BE5-F24514998DBD}"/>
    <cellStyle name="Style 98 3 2 3 4 2 2" xfId="31677" xr:uid="{0DAE45E0-4039-41BD-9213-A240930CA002}"/>
    <cellStyle name="Style 98 3 2 3 4 3" xfId="15956" xr:uid="{65CFEBCA-A3BF-4AF1-8636-028AF5D852A9}"/>
    <cellStyle name="Style 98 3 2 3 4 3 2" xfId="31678" xr:uid="{C03500B7-BB1C-44E2-B7AC-AE9420F3731F}"/>
    <cellStyle name="Style 98 3 2 3 5" xfId="15957" xr:uid="{BD0AF309-CCAD-4A7D-91C0-7FC9EEE3E6C5}"/>
    <cellStyle name="Style 98 3 2 3 5 2" xfId="15958" xr:uid="{7DCF379B-8E82-4A59-965D-597B317AAD81}"/>
    <cellStyle name="Style 98 3 2 3 5 2 2" xfId="31680" xr:uid="{A00DE152-16A6-4A5C-9797-66AB2FF8BD2C}"/>
    <cellStyle name="Style 98 3 2 3 5 3" xfId="31679" xr:uid="{EA255E9F-240E-4E5C-882B-0C3E9FEBAA84}"/>
    <cellStyle name="Style 98 3 2 3 6" xfId="15959" xr:uid="{3ADDB082-D5EC-4F02-A709-A611133993ED}"/>
    <cellStyle name="Style 98 3 2 3 6 2" xfId="15960" xr:uid="{23347039-529F-4D56-83E6-77A44567CF7C}"/>
    <cellStyle name="Style 98 3 2 3 6 3" xfId="31681" xr:uid="{5DA2162F-0371-43BA-8D1B-E1FC95FFE6F0}"/>
    <cellStyle name="Style 98 3 2 3 7" xfId="15961" xr:uid="{553C00DF-8331-459E-995C-BB8D944560D1}"/>
    <cellStyle name="Style 98 3 2 3 7 2" xfId="15962" xr:uid="{1F4512EF-DDFB-4F82-83D6-76A4743F4F01}"/>
    <cellStyle name="Style 98 3 2 3 7 2 2" xfId="31683" xr:uid="{AA8349D4-F549-46EF-B42E-F06F24F6C613}"/>
    <cellStyle name="Style 98 3 2 3 7 3" xfId="31682" xr:uid="{525FD4E5-D711-4176-AAC4-A26BC20569C3}"/>
    <cellStyle name="Style 98 3 2 3 8 2" xfId="15963" xr:uid="{84FEFDC1-5AAB-40F1-B05A-2AF7DEFA5B42}"/>
    <cellStyle name="Style 98 3 2 3 8 2 2" xfId="31685" xr:uid="{D23F4F6C-9B6D-44FD-A648-EFCF4D80A40E}"/>
    <cellStyle name="Style 98 3 2 3 8 3" xfId="31684" xr:uid="{FEED9724-4DF1-4A92-884D-4DDDA6044EBC}"/>
    <cellStyle name="Style 98 3 2 3 9" xfId="15964" xr:uid="{35852FAF-1CB2-4D90-AA40-06EE9A2B7830}"/>
    <cellStyle name="Style 98 3 2 3 9 2" xfId="15965" xr:uid="{EA12733D-9D07-4A30-A4EE-9537FF7ED5FD}"/>
    <cellStyle name="Style 98 3 2 3 9 3" xfId="31686" xr:uid="{C6869534-CF7C-47EA-8401-5BBB0D377936}"/>
    <cellStyle name="Style 98 3 2 4" xfId="2517" xr:uid="{6B2576D3-7BE2-4019-9DAC-835C8D7783F5}"/>
    <cellStyle name="Style 98 3 2 4 2" xfId="5461" xr:uid="{1F19D22D-DA96-4C00-B132-BB5FC93ACF35}"/>
    <cellStyle name="Style 98 3 2 4 2 2" xfId="15966" xr:uid="{CC05F448-1C61-4CDE-B6AA-6696F45EF08F}"/>
    <cellStyle name="Style 98 3 2 4 2 2 2" xfId="15967" xr:uid="{71DAFE4F-E0CF-40FA-988D-9EDBD19EBFF2}"/>
    <cellStyle name="Style 98 3 2 4 2 2 3" xfId="31687" xr:uid="{0A827FA7-A1A5-41DB-B0E9-D72C8CCEC292}"/>
    <cellStyle name="Style 98 3 2 4 2 3" xfId="15968" xr:uid="{6D1547EC-1DCD-414B-A626-8386BA7339DF}"/>
    <cellStyle name="Style 98 3 2 4 2 3 2" xfId="15969" xr:uid="{D44B3B7D-5D48-44C2-8E7B-2E227BFE4C18}"/>
    <cellStyle name="Style 98 3 2 4 2 3 2 2" xfId="31689" xr:uid="{9B6CE962-CDE9-4E7F-90A7-A557A29994B6}"/>
    <cellStyle name="Style 98 3 2 4 2 3 3" xfId="31688" xr:uid="{3CD9EAD3-AB92-406C-B5BB-954059E27DB2}"/>
    <cellStyle name="Style 98 3 2 4 2 4" xfId="15970" xr:uid="{C19C6A6D-3159-4BCC-8C9D-172D4BAB9E41}"/>
    <cellStyle name="Style 98 3 2 4 2 4 2" xfId="15971" xr:uid="{CEF177FE-900E-467B-A009-A1EBBFD7714B}"/>
    <cellStyle name="Style 98 3 2 4 2 4 2 2" xfId="31691" xr:uid="{9F112659-D9DF-40CF-B33F-4E0335254B59}"/>
    <cellStyle name="Style 98 3 2 4 2 4 3" xfId="31690" xr:uid="{EDB8FD97-49CD-4A34-A8CF-9B5424F1A52B}"/>
    <cellStyle name="Style 98 3 2 4 2 5" xfId="15972" xr:uid="{AA02D333-1388-415E-AA97-6A72632E635F}"/>
    <cellStyle name="Style 98 3 2 4 2 5 2" xfId="15973" xr:uid="{8509226F-8CA3-461F-B556-FE4BB2D12035}"/>
    <cellStyle name="Style 98 3 2 4 2 5 2 2" xfId="31693" xr:uid="{C83A07A4-2281-4756-8BC2-DF3AADE902D1}"/>
    <cellStyle name="Style 98 3 2 4 2 5 3" xfId="31692" xr:uid="{322FB105-1B15-4C3C-B287-3CDA4525F00B}"/>
    <cellStyle name="Style 98 3 2 4 2 6" xfId="15974" xr:uid="{3E839DC3-954D-4ECC-B2BE-A1188A6EA20B}"/>
    <cellStyle name="Style 98 3 2 4 2 6 2" xfId="31694" xr:uid="{D51FE72E-F443-47B8-AD47-C23EF0B44AF8}"/>
    <cellStyle name="Style 98 3 2 4 2 7" xfId="15975" xr:uid="{056943DE-72B3-447E-BBD9-E7EAA12CA329}"/>
    <cellStyle name="Style 98 3 2 4 2 7 2" xfId="31695" xr:uid="{F2795E61-F7D2-40E2-BD24-8242F193226B}"/>
    <cellStyle name="Style 98 3 2 4 3 2" xfId="15976" xr:uid="{C6392D44-461D-4248-A594-DB4640E43924}"/>
    <cellStyle name="Style 98 3 2 4 3 2 2" xfId="31696" xr:uid="{2F98729F-75A4-47F6-AC2F-DE17C18D9203}"/>
    <cellStyle name="Style 98 3 2 4 3 3" xfId="15977" xr:uid="{F3A4F89D-3F3B-45C2-96EA-7688212633F3}"/>
    <cellStyle name="Style 98 3 2 4 4" xfId="15978" xr:uid="{15451993-FE55-4002-9AAF-1CE9F734413A}"/>
    <cellStyle name="Style 98 3 2 4 4 2 2" xfId="31698" xr:uid="{82673509-1DA6-4856-826D-B9DC7DBC418B}"/>
    <cellStyle name="Style 98 3 2 4 4 3" xfId="31697" xr:uid="{EDD376FD-85E4-40DF-8342-AC2EAA4DECB0}"/>
    <cellStyle name="Style 98 3 2 4 5" xfId="15979" xr:uid="{DA6AD006-BE37-416B-9283-53F80512E110}"/>
    <cellStyle name="Style 98 3 2 4 5 2" xfId="15980" xr:uid="{0D655218-5FC7-4701-8CC2-A617A15749B3}"/>
    <cellStyle name="Style 98 3 2 4 5 2 2" xfId="31700" xr:uid="{7A174221-F2E8-4E39-A244-0FFF5BF12AD7}"/>
    <cellStyle name="Style 98 3 2 4 5 3" xfId="31699" xr:uid="{E48C05CA-1392-4E2A-9CC4-48B3E3BF8FB5}"/>
    <cellStyle name="Style 98 3 2 4 6" xfId="15981" xr:uid="{E0FE9B63-FE52-47AF-9FC5-A730F0D14E81}"/>
    <cellStyle name="Style 98 3 2 4 6 2" xfId="15982" xr:uid="{16F295AC-E9B4-4554-85C5-062C7C59387D}"/>
    <cellStyle name="Style 98 3 2 4 6 2 2" xfId="31702" xr:uid="{9C70E23F-87A2-4101-93AE-4FF92C603316}"/>
    <cellStyle name="Style 98 3 2 4 6 3" xfId="31701" xr:uid="{3B36191D-F070-48FF-B5C3-E7A7502107F3}"/>
    <cellStyle name="Style 98 3 2 4 7" xfId="15983" xr:uid="{904E125E-980C-44DC-9CB1-660E6055ABDE}"/>
    <cellStyle name="Style 98 3 2 4 7 2 2" xfId="31704" xr:uid="{DDC05B1C-8951-4031-A7CC-AA55A3784156}"/>
    <cellStyle name="Style 98 3 2 4 7 3" xfId="31703" xr:uid="{28AD66EC-D59F-4929-A32F-5131F4608975}"/>
    <cellStyle name="Style 98 3 2 4 8" xfId="15984" xr:uid="{B1250249-2A3C-452D-8AB9-C0AB80877E63}"/>
    <cellStyle name="Style 98 3 2 4 8 2" xfId="31705" xr:uid="{6AE4CC69-A075-4AC5-99D4-2BA5D53C9525}"/>
    <cellStyle name="Style 98 3 2 4 9" xfId="15985" xr:uid="{84A44142-5DA4-43E7-A427-44C08DFEBC49}"/>
    <cellStyle name="Style 98 3 2 5" xfId="5455" xr:uid="{9AEFFCEB-7FB3-4694-9641-F777C114B351}"/>
    <cellStyle name="Style 98 3 2 5 2" xfId="15986" xr:uid="{BC13FAA7-294F-49A9-A71B-00621CE5CAAF}"/>
    <cellStyle name="Style 98 3 2 5 2 2 2" xfId="31707" xr:uid="{10DEF4DA-BB3B-4D09-89FA-7860DEDAAA68}"/>
    <cellStyle name="Style 98 3 2 5 2 3" xfId="31706" xr:uid="{B2EE5994-2B0C-46DD-BAD9-4AE2EC16DA59}"/>
    <cellStyle name="Style 98 3 2 5 3" xfId="15987" xr:uid="{92988C11-768B-4554-AD6D-577288A98C84}"/>
    <cellStyle name="Style 98 3 2 5 3 2" xfId="15988" xr:uid="{816143B0-262B-42C5-B175-D0FFD3C2281A}"/>
    <cellStyle name="Style 98 3 2 5 3 2 2" xfId="31708" xr:uid="{984256E3-9692-43CA-A480-63C4FAB4A8DF}"/>
    <cellStyle name="Style 98 3 2 5 4" xfId="15989" xr:uid="{7CD4B4BA-2C68-43B6-88DE-498C387DAE12}"/>
    <cellStyle name="Style 98 3 2 5 4 2" xfId="15990" xr:uid="{B5F3C8CF-A1EA-4D17-A41E-DFEC974C80DA}"/>
    <cellStyle name="Style 98 3 2 5 4 2 2" xfId="31710" xr:uid="{4B1A7410-B3F0-4694-9301-CF9CB5D98C28}"/>
    <cellStyle name="Style 98 3 2 5 4 3" xfId="31709" xr:uid="{63CE5B22-305A-4F7D-8FFE-3CC1954E94BF}"/>
    <cellStyle name="Style 98 3 2 5 5" xfId="15991" xr:uid="{8217EE5F-3A7C-4BD1-B4ED-492E2AB4D684}"/>
    <cellStyle name="Style 98 3 2 5 5 2" xfId="15992" xr:uid="{DEFE5482-16B8-41F6-8FFB-7B827FC27AD1}"/>
    <cellStyle name="Style 98 3 2 5 5 2 2" xfId="31711" xr:uid="{5B6355C0-EF6E-4DFD-985B-C05588D7C411}"/>
    <cellStyle name="Style 98 3 2 5 6" xfId="15993" xr:uid="{EBA098C9-293B-492C-ADC4-B608E556BA9B}"/>
    <cellStyle name="Style 98 3 2 5 6 2" xfId="31712" xr:uid="{C3AA88A4-8264-4838-9E6F-D1A94C1C55E5}"/>
    <cellStyle name="Style 98 3 2 5 7" xfId="15994" xr:uid="{8CB09E6A-1829-4AE5-B709-EEF48EC41014}"/>
    <cellStyle name="Style 98 3 2 6" xfId="15995" xr:uid="{EA67EFE6-8F42-4268-80B5-78F71839A673}"/>
    <cellStyle name="Style 98 3 2 6 2 2" xfId="31713" xr:uid="{03040C18-1E8C-4AC4-B318-5200F7D7C78A}"/>
    <cellStyle name="Style 98 3 2 6 3 2" xfId="31714" xr:uid="{5357EFA0-A5F5-4AF6-8F7B-E8D1B05FC2B4}"/>
    <cellStyle name="Style 98 3 2 7" xfId="15996" xr:uid="{60335C9A-1C59-4522-8ECF-F3AFC6344C70}"/>
    <cellStyle name="Style 98 3 2 7 2 2" xfId="31715" xr:uid="{B6FD156A-8C6F-4608-AA8C-57348C876D66}"/>
    <cellStyle name="Style 98 3 2 8" xfId="15997" xr:uid="{EDDDF986-09D3-45B9-B79B-B229E07E1929}"/>
    <cellStyle name="Style 98 3 2 8 2" xfId="15998" xr:uid="{999F07E7-EFF6-42BC-A84C-8EF15B2266AC}"/>
    <cellStyle name="Style 98 3 2 8 2 2" xfId="31717" xr:uid="{8ADC30BD-E1AB-430D-88DB-DBBCCA2637FC}"/>
    <cellStyle name="Style 98 3 2 8 3" xfId="31716" xr:uid="{38B3D43C-C7EF-493F-86D1-42C690A397A8}"/>
    <cellStyle name="Style 98 3 2 9" xfId="15999" xr:uid="{D8C74E11-B707-4292-97D4-5214D2EC5730}"/>
    <cellStyle name="Style 98 3 2 9 2" xfId="16000" xr:uid="{3E3575BE-EDA1-403B-992A-D5BCB8688B21}"/>
    <cellStyle name="Style 98 3 2 9 2 2" xfId="31719" xr:uid="{836A2042-2B88-4563-A29F-35CDEC89DA9D}"/>
    <cellStyle name="Style 98 3 2 9 3" xfId="31718" xr:uid="{4BA11F60-D31B-4EB6-B417-7111BAF71FA9}"/>
    <cellStyle name="Style 98 3 3" xfId="2518" xr:uid="{DAD2C32C-AB09-43E0-9E1F-697F21F81B33}"/>
    <cellStyle name="Style 98 3 3 10" xfId="16001" xr:uid="{A33B41A9-622C-496A-8530-E295F6A31E41}"/>
    <cellStyle name="Style 98 3 3 10 3" xfId="31720" xr:uid="{A4801A9D-B29A-43C9-A5F1-E1F34958BCC5}"/>
    <cellStyle name="Style 98 3 3 11 2" xfId="31721" xr:uid="{B86ECDC7-FDE5-4BBC-8986-D485DC8952F2}"/>
    <cellStyle name="Style 98 3 3 12" xfId="16002" xr:uid="{653203E7-47AD-4A55-8104-9F4B323A5F88}"/>
    <cellStyle name="Style 98 3 3 12 2" xfId="31722" xr:uid="{B288D63E-7F5E-4A51-946E-0C12ACB6FC0E}"/>
    <cellStyle name="Style 98 3 3 2 10" xfId="16003" xr:uid="{725C5D10-8082-45F8-9E61-63A6BA45FF19}"/>
    <cellStyle name="Style 98 3 3 2 11" xfId="16004" xr:uid="{DCABDFA6-BDC7-4444-8510-CF62D5C61A6C}"/>
    <cellStyle name="Style 98 3 3 2 11 2" xfId="31723" xr:uid="{38FCA0CA-DC89-4290-B213-A3FE1C63E9C5}"/>
    <cellStyle name="Style 98 3 3 2 12" xfId="16005" xr:uid="{B5B62FBE-D81E-4BB9-8AD5-82E9C13F5AD6}"/>
    <cellStyle name="Style 98 3 3 2 12 2" xfId="31724" xr:uid="{56E91F7A-63F9-4665-BCED-14C393A78B36}"/>
    <cellStyle name="Style 98 3 3 2 2" xfId="2519" xr:uid="{19279FDA-48EC-4336-AE66-6E8BD8F06A3A}"/>
    <cellStyle name="Style 98 3 3 2 2 10" xfId="16006" xr:uid="{FD9BAA15-CD46-470E-970F-87B202F8DA7F}"/>
    <cellStyle name="Style 98 3 3 2 2 10 2" xfId="31725" xr:uid="{96A10483-93B1-4794-B1BD-6DAF34E02148}"/>
    <cellStyle name="Style 98 3 3 2 2 11" xfId="16007" xr:uid="{5983949D-8730-4434-9EAB-9EADAB74F59A}"/>
    <cellStyle name="Style 98 3 3 2 2 11 2" xfId="31726" xr:uid="{4B842E6D-E125-41C8-8F12-66B3DD282C50}"/>
    <cellStyle name="Style 98 3 3 2 2 2" xfId="2520" xr:uid="{27E64BEC-7D62-455A-8A50-D8964C2830F2}"/>
    <cellStyle name="Style 98 3 3 2 2 2 2" xfId="5465" xr:uid="{5411A115-124A-4C39-95DE-579E8DF67C2D}"/>
    <cellStyle name="Style 98 3 3 2 2 2 2 2" xfId="16008" xr:uid="{55C6C49A-C059-4812-A780-7A2B89023434}"/>
    <cellStyle name="Style 98 3 3 2 2 2 2 2 2" xfId="16009" xr:uid="{D64EDD15-F5E8-420F-B51E-1630FD088759}"/>
    <cellStyle name="Style 98 3 3 2 2 2 2 2 3" xfId="31727" xr:uid="{EEE90D1E-B3E8-4A26-8553-7513E80DDC0A}"/>
    <cellStyle name="Style 98 3 3 2 2 2 2 3" xfId="16010" xr:uid="{B2AA981E-10F1-40BB-9A7B-DEFBD0D95571}"/>
    <cellStyle name="Style 98 3 3 2 2 2 2 3 2" xfId="16011" xr:uid="{D5123443-EEAE-4B04-B817-DD988EDBE59F}"/>
    <cellStyle name="Style 98 3 3 2 2 2 2 3 2 2" xfId="31729" xr:uid="{14830941-BEA3-4C12-8CDF-918343C36ED9}"/>
    <cellStyle name="Style 98 3 3 2 2 2 2 3 3" xfId="31728" xr:uid="{4E140DE2-00E1-411B-85F3-18678F556449}"/>
    <cellStyle name="Style 98 3 3 2 2 2 2 4 2" xfId="16012" xr:uid="{E077CC71-081B-461D-BA94-96A2EDE2164F}"/>
    <cellStyle name="Style 98 3 3 2 2 2 2 4 2 2" xfId="31731" xr:uid="{F4D369F3-5329-48BE-9D62-124E7437514B}"/>
    <cellStyle name="Style 98 3 3 2 2 2 2 4 3" xfId="31730" xr:uid="{4C24162C-4001-4406-A787-D34CFD39C55F}"/>
    <cellStyle name="Style 98 3 3 2 2 2 2 5" xfId="16013" xr:uid="{9EC4B442-62C7-4931-B714-DBE09D8F0518}"/>
    <cellStyle name="Style 98 3 3 2 2 2 2 5 2" xfId="16014" xr:uid="{450E17B8-2721-4B67-BE8A-38D749E1C32F}"/>
    <cellStyle name="Style 98 3 3 2 2 2 2 5 2 2" xfId="31733" xr:uid="{A57E5155-CD1E-4FC9-911B-2A09465781A8}"/>
    <cellStyle name="Style 98 3 3 2 2 2 2 5 3" xfId="31732" xr:uid="{B6CC89E5-04F7-405D-90FA-47D53EF01AFB}"/>
    <cellStyle name="Style 98 3 3 2 2 2 2 6" xfId="16015" xr:uid="{8FC175AE-F19F-4412-A11B-DE47CE1B4D35}"/>
    <cellStyle name="Style 98 3 3 2 2 2 2 6 2" xfId="31734" xr:uid="{E58D2366-8588-4ED3-B0BC-6F7AA9545D38}"/>
    <cellStyle name="Style 98 3 3 2 2 2 2 7" xfId="16016" xr:uid="{30B67583-B59C-4477-A532-5FC81C996A85}"/>
    <cellStyle name="Style 98 3 3 2 2 2 2 7 2" xfId="31735" xr:uid="{A00D6A46-DA21-4392-BC44-9977FEFA8AB1}"/>
    <cellStyle name="Style 98 3 3 2 2 2 3 2" xfId="16017" xr:uid="{681D5C75-49B4-4305-99A8-9BA210D59426}"/>
    <cellStyle name="Style 98 3 3 2 2 2 3 2 2" xfId="31736" xr:uid="{7B3B9872-23C3-4C94-876B-551CFDAE876F}"/>
    <cellStyle name="Style 98 3 3 2 2 2 3 3" xfId="16018" xr:uid="{B505358F-A70A-4D8A-85D6-E66CE6D1FA55}"/>
    <cellStyle name="Style 98 3 3 2 2 2 3 3 2" xfId="31737" xr:uid="{5EAC91E4-6376-4D14-8E73-C6F0FCEDE4B9}"/>
    <cellStyle name="Style 98 3 3 2 2 2 4" xfId="16019" xr:uid="{59E29F62-06ED-45D3-A017-6FD676B25BC5}"/>
    <cellStyle name="Style 98 3 3 2 2 2 4 2 2" xfId="31739" xr:uid="{16AA2407-83FD-40BF-8334-76FE82905B48}"/>
    <cellStyle name="Style 98 3 3 2 2 2 4 3" xfId="31738" xr:uid="{04DB251F-5271-42A3-AC2B-F489699EAC9A}"/>
    <cellStyle name="Style 98 3 3 2 2 2 5" xfId="16020" xr:uid="{DEE0CF5B-501C-4FC1-9740-9A9454399C06}"/>
    <cellStyle name="Style 98 3 3 2 2 2 5 2" xfId="16021" xr:uid="{2158E629-F734-4303-9699-F44F88533960}"/>
    <cellStyle name="Style 98 3 3 2 2 2 5 2 2" xfId="31741" xr:uid="{59DFD47F-085C-4543-865D-B0DB47450938}"/>
    <cellStyle name="Style 98 3 3 2 2 2 5 3" xfId="31740" xr:uid="{4A10754D-1C28-4358-82C5-CE714B09C579}"/>
    <cellStyle name="Style 98 3 3 2 2 2 6" xfId="16022" xr:uid="{986D6A6F-7711-4310-9487-0DF1F4AE8B10}"/>
    <cellStyle name="Style 98 3 3 2 2 2 6 2" xfId="16023" xr:uid="{0286D1C4-00B1-46B0-AA66-0811A8AB2B75}"/>
    <cellStyle name="Style 98 3 3 2 2 2 6 2 2" xfId="31743" xr:uid="{D34276E1-D314-48BF-8EC0-163212ED4A17}"/>
    <cellStyle name="Style 98 3 3 2 2 2 6 3" xfId="31742" xr:uid="{F357A818-2D54-4C44-A5E7-7716E28831C5}"/>
    <cellStyle name="Style 98 3 3 2 2 2 7" xfId="16024" xr:uid="{70D76609-4DFF-489D-99EC-9777FD719075}"/>
    <cellStyle name="Style 98 3 3 2 2 2 7 2 2" xfId="31745" xr:uid="{765964D0-B9AE-400E-B9E3-76A977450EEE}"/>
    <cellStyle name="Style 98 3 3 2 2 2 7 3" xfId="31744" xr:uid="{909DEB12-E894-41E7-A06B-7ECF847EDA92}"/>
    <cellStyle name="Style 98 3 3 2 2 2 8" xfId="16025" xr:uid="{297B787D-F6F6-4C48-A10D-3A0236F93F87}"/>
    <cellStyle name="Style 98 3 3 2 2 2 8 2" xfId="31746" xr:uid="{D4717E1A-16AE-46FC-8CE0-D8850F7E3A7B}"/>
    <cellStyle name="Style 98 3 3 2 2 2 9" xfId="16026" xr:uid="{60F64A95-1603-4903-98AC-62DD951CAE37}"/>
    <cellStyle name="Style 98 3 3 2 2 3" xfId="5464" xr:uid="{79E88F2B-F36B-41BF-B060-5780DC6EBE29}"/>
    <cellStyle name="Style 98 3 3 2 2 3 2" xfId="16027" xr:uid="{DBE349A1-1A5A-4B6F-B992-0DE6D79C953C}"/>
    <cellStyle name="Style 98 3 3 2 2 3 2 2" xfId="16028" xr:uid="{EE8BA0A2-46D7-4656-A4F7-75011701B298}"/>
    <cellStyle name="Style 98 3 3 2 2 3 2 2 2" xfId="31748" xr:uid="{48CDFCDE-3493-4C8B-835A-60FAC8B91145}"/>
    <cellStyle name="Style 98 3 3 2 2 3 2 3" xfId="31747" xr:uid="{8D863875-5BA3-4AD6-ADF2-BEBCE3F2E202}"/>
    <cellStyle name="Style 98 3 3 2 2 3 3" xfId="16029" xr:uid="{4F7C8EBD-5BE5-4E61-8E97-A1F930EBC202}"/>
    <cellStyle name="Style 98 3 3 2 2 3 3 2" xfId="16030" xr:uid="{121ECBFF-C018-468C-84AC-8F605F36F855}"/>
    <cellStyle name="Style 98 3 3 2 2 3 3 2 2" xfId="31750" xr:uid="{0D254DE6-FBF0-477E-9E3F-4B4E3E84894D}"/>
    <cellStyle name="Style 98 3 3 2 2 3 3 3" xfId="31749" xr:uid="{099D61C1-8B80-4F01-996F-2D9A7155B8F0}"/>
    <cellStyle name="Style 98 3 3 2 2 3 4" xfId="16031" xr:uid="{10A10EFB-44EA-44D7-8FA4-56A55B037917}"/>
    <cellStyle name="Style 98 3 3 2 2 3 4 2" xfId="16032" xr:uid="{F74549F5-F04A-4301-BDBC-348B5D30CB09}"/>
    <cellStyle name="Style 98 3 3 2 2 3 4 2 2" xfId="31752" xr:uid="{1E292708-82D8-4989-9087-5F9F75B954D4}"/>
    <cellStyle name="Style 98 3 3 2 2 3 4 3" xfId="31751" xr:uid="{100E9165-A4BE-46E0-A6C4-0D4A5D05E347}"/>
    <cellStyle name="Style 98 3 3 2 2 3 5" xfId="16033" xr:uid="{F17EAD6F-A8CA-4FB2-89D7-809D057E6AAF}"/>
    <cellStyle name="Style 98 3 3 2 2 3 5 2" xfId="16034" xr:uid="{D3B3481E-09B9-4A2B-B3D6-7DBEDAFA2422}"/>
    <cellStyle name="Style 98 3 3 2 2 3 5 3" xfId="31753" xr:uid="{14BEB8D6-9830-4C83-92B2-B7DDA24083F8}"/>
    <cellStyle name="Style 98 3 3 2 2 3 6" xfId="16035" xr:uid="{EA985E4A-6799-496F-B633-A6A8B8E2BD22}"/>
    <cellStyle name="Style 98 3 3 2 2 3 6 2" xfId="31754" xr:uid="{C4CBFC79-73CB-4164-AF6B-6D564E85B826}"/>
    <cellStyle name="Style 98 3 3 2 2 3 7" xfId="16036" xr:uid="{CCC396DD-90FB-4FD8-90F3-F6FB6E78B631}"/>
    <cellStyle name="Style 98 3 3 2 2 3 7 2" xfId="31755" xr:uid="{750CEDBA-618D-4882-A5BB-96C447C33A28}"/>
    <cellStyle name="Style 98 3 3 2 2 4" xfId="16037" xr:uid="{2D1271AD-AE74-465C-AFF4-624EDEB10C70}"/>
    <cellStyle name="Style 98 3 3 2 2 4 2" xfId="16038" xr:uid="{D5E64F0B-E574-4CB5-BB25-E87265EC51CF}"/>
    <cellStyle name="Style 98 3 3 2 2 4 2 2" xfId="31756" xr:uid="{FA885CA0-C34C-4019-847C-65CD13BD24CF}"/>
    <cellStyle name="Style 98 3 3 2 2 4 3" xfId="16039" xr:uid="{11D6021E-5566-40BB-8E31-C5AE7F291A9F}"/>
    <cellStyle name="Style 98 3 3 2 2 5 2 2" xfId="31757" xr:uid="{2F1180C2-AFFC-4A73-87C1-2E324F166308}"/>
    <cellStyle name="Style 98 3 3 2 2 6" xfId="16040" xr:uid="{F3F69FB1-0665-449A-B84A-5D1D0C55C227}"/>
    <cellStyle name="Style 98 3 3 2 2 6 2" xfId="16041" xr:uid="{AD4CDC03-4D11-4077-AC8A-63D7B9F89FBD}"/>
    <cellStyle name="Style 98 3 3 2 2 6 2 2" xfId="31759" xr:uid="{49DE0618-6B06-4419-9101-A64E7033BE8C}"/>
    <cellStyle name="Style 98 3 3 2 2 6 3" xfId="31758" xr:uid="{F4C05693-F8E4-4BC3-9952-E02EDC38077E}"/>
    <cellStyle name="Style 98 3 3 2 2 7 2" xfId="16042" xr:uid="{711F054E-A098-4029-879E-C1BD757546AF}"/>
    <cellStyle name="Style 98 3 3 2 2 7 2 2" xfId="31761" xr:uid="{AD0D9864-E2EE-41C1-8252-0BF746058CF9}"/>
    <cellStyle name="Style 98 3 3 2 2 7 3" xfId="31760" xr:uid="{40907707-2543-4943-B39B-5DEE3801387F}"/>
    <cellStyle name="Style 98 3 3 2 2 8" xfId="16043" xr:uid="{1BBBC0DF-DAD9-42B2-853A-818D8E4AA233}"/>
    <cellStyle name="Style 98 3 3 2 2 8 2" xfId="16044" xr:uid="{B0738C15-FB44-4417-8FD8-898FFF13395D}"/>
    <cellStyle name="Style 98 3 3 2 2 8 3" xfId="31762" xr:uid="{7B4C3B32-1549-4785-933D-A6D23F0FE969}"/>
    <cellStyle name="Style 98 3 3 2 2 9 2 2" xfId="31764" xr:uid="{96E75941-409F-4F7D-9621-1E61F7771D3C}"/>
    <cellStyle name="Style 98 3 3 2 2 9 3" xfId="31763" xr:uid="{891F3F59-417A-4E26-9A1B-7FD7CB24588A}"/>
    <cellStyle name="Style 98 3 3 2 3" xfId="2521" xr:uid="{98435495-A17C-4B87-99C9-BB1E63DD1238}"/>
    <cellStyle name="Style 98 3 3 2 3 2" xfId="5466" xr:uid="{7FB8B198-FC3F-4BEA-8E29-DA470ED85A12}"/>
    <cellStyle name="Style 98 3 3 2 3 2 2" xfId="16045" xr:uid="{766B4E2F-4732-4A3B-80FD-0CD520990176}"/>
    <cellStyle name="Style 98 3 3 2 3 2 2 2 2" xfId="31766" xr:uid="{9A184D49-4B68-48E2-8C98-36F6ACDAA5A1}"/>
    <cellStyle name="Style 98 3 3 2 3 2 2 3" xfId="31765" xr:uid="{87A9FB57-18A9-4541-8AE5-05D3480A0C0A}"/>
    <cellStyle name="Style 98 3 3 2 3 2 3" xfId="16046" xr:uid="{E0E03034-217A-4D20-9E3D-3FCEAC389067}"/>
    <cellStyle name="Style 98 3 3 2 3 2 3 2" xfId="16047" xr:uid="{7F45AE4F-FD64-4043-B2D1-5294A623A9AF}"/>
    <cellStyle name="Style 98 3 3 2 3 2 3 2 2" xfId="31768" xr:uid="{6DFAEBF8-0C5D-48BA-9B30-6CFDF0681A3F}"/>
    <cellStyle name="Style 98 3 3 2 3 2 3 3" xfId="31767" xr:uid="{6231CC06-DC04-4824-9D49-251CEDE23269}"/>
    <cellStyle name="Style 98 3 3 2 3 2 4" xfId="16048" xr:uid="{E15D382F-CDE4-43D8-B426-9855FCD768D0}"/>
    <cellStyle name="Style 98 3 3 2 3 2 4 2" xfId="16049" xr:uid="{A791C67C-2E46-441D-A2BD-EDF0C7AB63D8}"/>
    <cellStyle name="Style 98 3 3 2 3 2 4 3" xfId="31769" xr:uid="{E822E889-B437-4B4E-8D5B-03EFD4F7345D}"/>
    <cellStyle name="Style 98 3 3 2 3 2 5" xfId="16050" xr:uid="{39A3DC33-B215-48FD-BBD1-1CA708CD64D0}"/>
    <cellStyle name="Style 98 3 3 2 3 2 5 2" xfId="16051" xr:uid="{CAFDA673-2443-4761-B99A-AD49EB55B76C}"/>
    <cellStyle name="Style 98 3 3 2 3 2 5 2 2" xfId="31771" xr:uid="{6125909C-6C3F-4A2B-8E8B-441539C3F2D1}"/>
    <cellStyle name="Style 98 3 3 2 3 2 5 3" xfId="31770" xr:uid="{4FD6D1E4-A068-4A17-B608-4A03F2550BE2}"/>
    <cellStyle name="Style 98 3 3 2 3 2 6 2" xfId="31772" xr:uid="{A3D06492-27FC-4D57-89E5-7E08DF0E3184}"/>
    <cellStyle name="Style 98 3 3 2 3 2 7" xfId="16052" xr:uid="{A6D4DC0E-9344-461B-B39B-DF88D6D09D22}"/>
    <cellStyle name="Style 98 3 3 2 3 3" xfId="16053" xr:uid="{2F6A44E5-86A3-471A-97EA-79C47AC20106}"/>
    <cellStyle name="Style 98 3 3 2 3 3 2" xfId="16054" xr:uid="{CEC1A792-7ED0-480E-B613-9E6B3924297C}"/>
    <cellStyle name="Style 98 3 3 2 3 3 2 2" xfId="31773" xr:uid="{83BA3344-FBB1-4F43-9FE2-E924D07E3455}"/>
    <cellStyle name="Style 98 3 3 2 3 3 3 2" xfId="31774" xr:uid="{61F584AB-836B-4F34-AA05-6E91E9DBA837}"/>
    <cellStyle name="Style 98 3 3 2 3 4 2" xfId="16055" xr:uid="{688B517D-0E19-4FDD-88F0-1395B5EA44B2}"/>
    <cellStyle name="Style 98 3 3 2 3 4 3" xfId="31775" xr:uid="{E05D07BD-632F-400A-B0E4-A0727ECAF26A}"/>
    <cellStyle name="Style 98 3 3 2 3 5" xfId="16056" xr:uid="{96CF9F82-ACE2-4682-A300-100F0D33F0E4}"/>
    <cellStyle name="Style 98 3 3 2 3 5 2" xfId="16057" xr:uid="{85D0D58A-2D35-4B02-9207-28731A926FA5}"/>
    <cellStyle name="Style 98 3 3 2 3 5 2 2" xfId="31777" xr:uid="{2F1FF153-C79B-4082-B2EF-E106E930C12C}"/>
    <cellStyle name="Style 98 3 3 2 3 5 3" xfId="31776" xr:uid="{881EA7DA-7F92-481E-8C79-8CB5A51E1F2B}"/>
    <cellStyle name="Style 98 3 3 2 3 6" xfId="16058" xr:uid="{B79B5552-C969-45B9-8A61-896A1A43DF70}"/>
    <cellStyle name="Style 98 3 3 2 3 6 2" xfId="16059" xr:uid="{3F04A519-0EBF-45AA-9502-85D4829497D6}"/>
    <cellStyle name="Style 98 3 3 2 3 6 2 2" xfId="31779" xr:uid="{8DE0F87F-1CDD-4EFA-8277-FDE3D64DC608}"/>
    <cellStyle name="Style 98 3 3 2 3 6 3" xfId="31778" xr:uid="{FDDF5890-1535-488B-8221-11AB0A27E8B1}"/>
    <cellStyle name="Style 98 3 3 2 3 7" xfId="16060" xr:uid="{70BBB20E-C052-41D5-A75F-ED1AB5EE467B}"/>
    <cellStyle name="Style 98 3 3 2 3 7 2" xfId="16061" xr:uid="{C24E05DB-F336-4E77-861E-DEC9282B3451}"/>
    <cellStyle name="Style 98 3 3 2 3 7 2 2" xfId="31781" xr:uid="{4796E84B-F3B4-4D63-820B-B8F425ECF56B}"/>
    <cellStyle name="Style 98 3 3 2 3 7 3" xfId="31780" xr:uid="{29731773-381D-409B-86DD-5577205C02E5}"/>
    <cellStyle name="Style 98 3 3 2 3 8 2" xfId="31782" xr:uid="{A07EAAD6-A9A5-4B50-9D79-086DE6DD4BE2}"/>
    <cellStyle name="Style 98 3 3 2 3 9" xfId="16062" xr:uid="{3B905E59-E81E-434A-BDA7-43E638A1A589}"/>
    <cellStyle name="Style 98 3 3 2 3 9 2" xfId="31783" xr:uid="{8A319C32-163D-4EDC-96E8-D0A0F85D4A6D}"/>
    <cellStyle name="Style 98 3 3 2 4" xfId="5463" xr:uid="{26ED77F6-C6FC-471A-8C63-5B70052E4C52}"/>
    <cellStyle name="Style 98 3 3 2 4 2" xfId="16063" xr:uid="{B5161AE1-BABD-49E5-A56C-62799DED9466}"/>
    <cellStyle name="Style 98 3 3 2 4 2 2 2" xfId="31785" xr:uid="{A5A7B916-545E-4AE6-BED3-99ECD1EF5B25}"/>
    <cellStyle name="Style 98 3 3 2 4 2 3" xfId="31784" xr:uid="{3D0AAA85-0701-4F67-8037-E2CCA2431445}"/>
    <cellStyle name="Style 98 3 3 2 4 3" xfId="16064" xr:uid="{E75143BA-56C5-4646-96EA-03BE73890F53}"/>
    <cellStyle name="Style 98 3 3 2 4 3 2" xfId="16065" xr:uid="{3E80BFD8-8F91-4A44-98B0-AF7F05FDD1B7}"/>
    <cellStyle name="Style 98 3 3 2 4 3 2 2" xfId="31787" xr:uid="{FE7D6E5C-7348-4DEF-8AE8-75BE0D39B1B2}"/>
    <cellStyle name="Style 98 3 3 2 4 3 3" xfId="31786" xr:uid="{AAD2B473-F054-4746-8603-5304552351FE}"/>
    <cellStyle name="Style 98 3 3 2 4 4" xfId="16066" xr:uid="{0A71EDA6-300C-438B-A032-62EAA74D8FE6}"/>
    <cellStyle name="Style 98 3 3 2 4 4 2 2" xfId="31789" xr:uid="{223C450E-33EB-465C-BE0B-2AD9A680DDC9}"/>
    <cellStyle name="Style 98 3 3 2 4 4 3" xfId="31788" xr:uid="{45AD96BE-46AD-4549-809F-13C7237B9F88}"/>
    <cellStyle name="Style 98 3 3 2 4 5" xfId="16067" xr:uid="{0B4D7FAC-2E25-42EB-9C1E-AA1736DC9564}"/>
    <cellStyle name="Style 98 3 3 2 4 5 2" xfId="16068" xr:uid="{0D5EFC8A-9F25-4B51-96A8-02EA626CD997}"/>
    <cellStyle name="Style 98 3 3 2 4 5 2 2" xfId="31791" xr:uid="{591DD03B-D4C1-4BD0-BE81-F27BC1A510E7}"/>
    <cellStyle name="Style 98 3 3 2 4 5 3" xfId="31790" xr:uid="{512809DA-DE34-4693-8546-8BFBF9BD0119}"/>
    <cellStyle name="Style 98 3 3 2 4 6" xfId="16069" xr:uid="{E0575F2C-A76B-4453-92BA-5F9A6DBB33C0}"/>
    <cellStyle name="Style 98 3 3 2 4 6 2" xfId="31792" xr:uid="{2AC2F2AD-0EB1-4C6A-93FC-1E95E6972DBE}"/>
    <cellStyle name="Style 98 3 3 2 4 7" xfId="16070" xr:uid="{E841D1E0-9390-47E6-9BA7-40AC61E3CDDB}"/>
    <cellStyle name="Style 98 3 3 2 4 7 2" xfId="31793" xr:uid="{F34318C8-8B85-47BA-861E-E7C05FE85A1F}"/>
    <cellStyle name="Style 98 3 3 2 5" xfId="16071" xr:uid="{C1DAE4A4-97C6-460B-AAC1-B1DA3ECE7B3F}"/>
    <cellStyle name="Style 98 3 3 2 5 2" xfId="16072" xr:uid="{5556E048-53D7-4BDE-906A-7B62B27FAD2B}"/>
    <cellStyle name="Style 98 3 3 2 5 2 2" xfId="31794" xr:uid="{8EAF824E-7BE7-45CD-B99B-F1FA8BDBA889}"/>
    <cellStyle name="Style 98 3 3 2 5 3 2" xfId="31795" xr:uid="{C2F0B6FA-7DB4-46AD-8B16-E4EE9C844CA5}"/>
    <cellStyle name="Style 98 3 3 2 6" xfId="16073" xr:uid="{CC47B4E4-478E-49D8-B603-90612CF4D071}"/>
    <cellStyle name="Style 98 3 3 2 6 2" xfId="16074" xr:uid="{6455EAA8-2AAD-4991-B3FE-F42B650ED59C}"/>
    <cellStyle name="Style 98 3 3 2 6 2 2" xfId="31797" xr:uid="{FD4BD41F-6B55-4287-8CE3-E533D9F2C712}"/>
    <cellStyle name="Style 98 3 3 2 6 3" xfId="31796" xr:uid="{E782715A-7A27-4D0C-9DB5-5D491A1C1796}"/>
    <cellStyle name="Style 98 3 3 2 7 2" xfId="16075" xr:uid="{71314969-80DE-4C69-9CD4-C5D7B0CC6359}"/>
    <cellStyle name="Style 98 3 3 2 7 3" xfId="31798" xr:uid="{820954F9-81A5-47CD-B958-6BA410FE2097}"/>
    <cellStyle name="Style 98 3 3 2 8 2" xfId="16076" xr:uid="{3F6E49E3-663A-47AA-A2DF-50C1D775C879}"/>
    <cellStyle name="Style 98 3 3 2 8 2 2" xfId="31800" xr:uid="{60FC76CC-EB13-4641-AB17-75524D8B9BD7}"/>
    <cellStyle name="Style 98 3 3 2 8 3" xfId="31799" xr:uid="{FDC904DD-0FB4-4288-A7E6-3197C7F58E7C}"/>
    <cellStyle name="Style 98 3 3 2 9" xfId="16077" xr:uid="{016A4190-F84C-467B-A657-CCEC28A22A21}"/>
    <cellStyle name="Style 98 3 3 2 9 2 2" xfId="31802" xr:uid="{F3D2EF27-75DA-4A78-B7F6-A2BF4C962FF7}"/>
    <cellStyle name="Style 98 3 3 2 9 3" xfId="31801" xr:uid="{A430E0EC-9734-45E5-8AE6-ED244944F864}"/>
    <cellStyle name="Style 98 3 3 3" xfId="2522" xr:uid="{6CF4C3F8-BDAE-466E-B2B8-76C943FADD7E}"/>
    <cellStyle name="Style 98 3 3 3 2" xfId="5468" xr:uid="{C47BA122-A11C-4C55-833A-A277E25501DA}"/>
    <cellStyle name="Style 98 3 3 3 2 2" xfId="16078" xr:uid="{C2962F51-914F-44B8-9950-B077B833ADA3}"/>
    <cellStyle name="Style 98 3 3 3 2 2 2 2" xfId="31804" xr:uid="{B4C197A2-6FF4-4A57-852D-889AA0AFBEBD}"/>
    <cellStyle name="Style 98 3 3 3 2 2 3" xfId="31803" xr:uid="{B4B7F0EE-54B2-4EA2-93C7-545DA33DA517}"/>
    <cellStyle name="Style 98 3 3 3 2 3" xfId="16079" xr:uid="{66D61EBA-3C35-4B47-8132-F99710BD1B74}"/>
    <cellStyle name="Style 98 3 3 3 2 3 2" xfId="16080" xr:uid="{AF967613-279A-409C-A63D-BFFCE9C0ACF8}"/>
    <cellStyle name="Style 98 3 3 3 2 3 2 2" xfId="31805" xr:uid="{10543F70-B444-4F57-A2B9-FF32C1176A5D}"/>
    <cellStyle name="Style 98 3 3 3 2 4" xfId="16081" xr:uid="{D4216510-98D5-4910-9964-89717A9F14E4}"/>
    <cellStyle name="Style 98 3 3 3 2 4 3" xfId="31806" xr:uid="{DA0837DC-C909-4A1D-8785-58940F4A4D83}"/>
    <cellStyle name="Style 98 3 3 3 2 5" xfId="16082" xr:uid="{7E44A743-EAC6-4847-9928-4622C09E2086}"/>
    <cellStyle name="Style 98 3 3 3 2 5 2" xfId="16083" xr:uid="{74B2316D-D762-4477-9A83-02B6C3AD48DF}"/>
    <cellStyle name="Style 98 3 3 3 2 5 2 2" xfId="31807" xr:uid="{5509A127-17B7-4C12-99EC-004A6A425A23}"/>
    <cellStyle name="Style 98 3 3 3 2 6" xfId="16084" xr:uid="{E4D1B6BB-830E-4EC3-9FFD-48A8BF282658}"/>
    <cellStyle name="Style 98 3 3 3 2 6 2" xfId="31808" xr:uid="{6BFC0DDF-D2F6-495D-947F-9DD647712166}"/>
    <cellStyle name="Style 98 3 3 3 2 7" xfId="16085" xr:uid="{ECDA6C59-DEA1-4BB8-BCD9-B80456D34D54}"/>
    <cellStyle name="Style 98 3 3 3 2 7 2" xfId="31809" xr:uid="{A91FA3AB-F0B0-4000-94EA-B1B052C085F1}"/>
    <cellStyle name="Style 98 3 3 3 3" xfId="5467" xr:uid="{7171B7E4-8146-4B86-95B7-2E3213AA403D}"/>
    <cellStyle name="Style 98 3 3 3 3 2 2" xfId="31810" xr:uid="{B1F34380-C399-4AA1-849A-1232FA3F9F34}"/>
    <cellStyle name="Style 98 3 3 3 4" xfId="16086" xr:uid="{7EF3361D-DD8E-43A3-99A3-4AA10E3CC668}"/>
    <cellStyle name="Style 98 3 3 3 4 3" xfId="16087" xr:uid="{4929419B-7974-41C9-9D77-B7300402D0BC}"/>
    <cellStyle name="Style 98 3 3 3 5" xfId="16088" xr:uid="{9919E717-9900-43AA-A4D9-A81608AD2E63}"/>
    <cellStyle name="Style 98 3 3 3 5 2 2" xfId="31812" xr:uid="{ECA34B58-C1EF-4F90-8561-842790A4A168}"/>
    <cellStyle name="Style 98 3 3 3 5 3" xfId="31811" xr:uid="{DAE1C544-9E64-4207-AF25-E2D354E66ACF}"/>
    <cellStyle name="Style 98 3 3 3 6" xfId="16089" xr:uid="{943BEED9-4B2B-4D47-86CA-D6F37151FB4D}"/>
    <cellStyle name="Style 98 3 3 3 6 2" xfId="16090" xr:uid="{FFCC78BD-4AEA-4FCF-819E-5D7E99C455F1}"/>
    <cellStyle name="Style 98 3 3 3 6 2 2" xfId="31814" xr:uid="{5E18D8AF-8666-4918-ADC7-00478A627633}"/>
    <cellStyle name="Style 98 3 3 3 6 3" xfId="31813" xr:uid="{CC263EBB-96C2-40C8-A625-FF8E5534C0AE}"/>
    <cellStyle name="Style 98 3 3 3 7" xfId="16091" xr:uid="{12CDCBAC-B426-4F23-A214-303BF18275AF}"/>
    <cellStyle name="Style 98 3 3 3 7 2" xfId="16092" xr:uid="{B44CC521-4D51-4723-9C63-C8B021FCD94E}"/>
    <cellStyle name="Style 98 3 3 3 7 2 2" xfId="31816" xr:uid="{2387CA9A-E388-49E0-A8AB-C1BC9EAA5228}"/>
    <cellStyle name="Style 98 3 3 3 7 3" xfId="31815" xr:uid="{C7D8B39B-941A-478D-9505-CB41A927A807}"/>
    <cellStyle name="Style 98 3 3 3 8" xfId="16093" xr:uid="{26E50E5A-B5C3-4D62-B35B-0E19A6962EA9}"/>
    <cellStyle name="Style 98 3 3 3 9" xfId="16094" xr:uid="{BCB29952-6E3C-4B79-B38A-180091E9B9D8}"/>
    <cellStyle name="Style 98 3 3 4" xfId="5469" xr:uid="{52C7E8D2-1B73-4319-BC39-6B99622A952D}"/>
    <cellStyle name="Style 98 3 3 4 2" xfId="16095" xr:uid="{7CE731C7-4DEB-4366-8779-DD336C75ADE7}"/>
    <cellStyle name="Style 98 3 3 4 2 2" xfId="16096" xr:uid="{99025E86-962F-4B00-906D-8A4202C2199C}"/>
    <cellStyle name="Style 98 3 3 4 2 2 2" xfId="31817" xr:uid="{C34A4265-68A0-4427-9586-61C0348F084C}"/>
    <cellStyle name="Style 98 3 3 4 3 2" xfId="16097" xr:uid="{B3DB7BEE-87DF-4E83-BA9C-4928BCB483E4}"/>
    <cellStyle name="Style 98 3 3 4 3 2 2" xfId="31819" xr:uid="{B6AB64FD-AE5C-4C0F-97AB-34FEE4ADEBC5}"/>
    <cellStyle name="Style 98 3 3 4 3 3" xfId="31818" xr:uid="{C9C8794F-CFAF-4B6E-B1A5-BCEA294CD5DA}"/>
    <cellStyle name="Style 98 3 3 4 4" xfId="16098" xr:uid="{307D31C1-7632-406E-8762-D1EC41AD38A8}"/>
    <cellStyle name="Style 98 3 3 4 4 2" xfId="16099" xr:uid="{307830E4-FC08-40B8-93A2-8D2E7C8EFEDA}"/>
    <cellStyle name="Style 98 3 3 4 4 2 2" xfId="31821" xr:uid="{2F9528C7-B87A-430D-A0C5-496549A91FB5}"/>
    <cellStyle name="Style 98 3 3 4 4 3" xfId="31820" xr:uid="{981A68CD-1584-43FF-AC5A-E9760553A909}"/>
    <cellStyle name="Style 98 3 3 4 5" xfId="16100" xr:uid="{B5FF385E-6C6F-4AAA-8DBC-8D8416004747}"/>
    <cellStyle name="Style 98 3 3 4 5 2" xfId="16101" xr:uid="{EB363E5C-3427-4CA3-A336-53B6232B805D}"/>
    <cellStyle name="Style 98 3 3 4 5 2 2" xfId="31823" xr:uid="{B65E0EC3-3C2D-4703-82D1-974F3B50F310}"/>
    <cellStyle name="Style 98 3 3 4 5 3" xfId="31822" xr:uid="{C54F18FC-7D4D-42A8-A4A8-6747AAFBAA0B}"/>
    <cellStyle name="Style 98 3 3 4 6" xfId="16102" xr:uid="{797CAF73-C809-4F29-863C-C6E165B024EE}"/>
    <cellStyle name="Style 98 3 3 4 6 2" xfId="31824" xr:uid="{72CA13D1-6AD0-4B69-B960-2A4E620A6733}"/>
    <cellStyle name="Style 98 3 3 4 7" xfId="16103" xr:uid="{49891BDE-EF66-4F10-815F-729AB1A7FEBA}"/>
    <cellStyle name="Style 98 3 3 4 7 2" xfId="31825" xr:uid="{D32CBE24-808F-4182-9D63-25D0F719E585}"/>
    <cellStyle name="Style 98 3 3 5" xfId="5470" xr:uid="{E15FF9DB-0F10-4A32-A2B5-E047F35C4DE1}"/>
    <cellStyle name="Style 98 3 3 5 2" xfId="16104" xr:uid="{2AAD60C8-B77A-4E7C-B9EE-1D61DA126628}"/>
    <cellStyle name="Style 98 3 3 5 3" xfId="16105" xr:uid="{187649A6-D42D-4779-90A1-1893AA26C9E6}"/>
    <cellStyle name="Style 98 3 3 5 3 2" xfId="31826" xr:uid="{BDDDE4DA-C546-45A9-B4AF-D67B30FD778C}"/>
    <cellStyle name="Style 98 3 3 6" xfId="5462" xr:uid="{47EAAE8A-C0FC-4CD3-B6D7-DA0476765457}"/>
    <cellStyle name="Style 98 3 3 6 2 2" xfId="31827" xr:uid="{9A5D8146-9B50-403F-A4FF-3582EE1FE49A}"/>
    <cellStyle name="Style 98 3 3 6 3 2" xfId="31828" xr:uid="{581D1344-5428-44DE-AFF5-E0EE2A88FDD5}"/>
    <cellStyle name="Style 98 3 3 7" xfId="16106" xr:uid="{9FD19158-52EC-4D67-8AED-22B101151D9D}"/>
    <cellStyle name="Style 98 3 3 7 2" xfId="16107" xr:uid="{8B4FF8C7-B3BD-45FB-947A-1CB0930B5DDE}"/>
    <cellStyle name="Style 98 3 3 7 3" xfId="16108" xr:uid="{4C588588-D30F-4E6C-B2C0-6916756FA53C}"/>
    <cellStyle name="Style 98 3 3 8" xfId="16109" xr:uid="{8B9D3ED9-FBAA-4ED4-B1A9-F961B88DF94B}"/>
    <cellStyle name="Style 98 3 3 8 2" xfId="16110" xr:uid="{E8457864-BFC0-4C15-B105-569AD02C28F4}"/>
    <cellStyle name="Style 98 3 3 8 2 2" xfId="31830" xr:uid="{FD929173-76C6-4240-B4C2-1AAE17CE6152}"/>
    <cellStyle name="Style 98 3 3 8 3" xfId="31829" xr:uid="{AC664617-219D-4F84-B6A8-A750CE051425}"/>
    <cellStyle name="Style 98 3 3 9" xfId="16111" xr:uid="{3F11754B-3CA8-4FDD-BF53-4668667F396A}"/>
    <cellStyle name="Style 98 3 3 9 2 2" xfId="31832" xr:uid="{A6F02557-8678-4210-A5CF-915A628B69E8}"/>
    <cellStyle name="Style 98 3 3 9 3" xfId="31831" xr:uid="{90350534-48E1-42F8-829F-21F12119296C}"/>
    <cellStyle name="Style 98 3 4" xfId="2523" xr:uid="{ED98D575-391C-49A7-8721-42D85962ACDA}"/>
    <cellStyle name="Style 98 3 4 10" xfId="16112" xr:uid="{CA7DB61C-391E-4944-A2DE-9E87A5023256}"/>
    <cellStyle name="Style 98 3 4 10 2" xfId="31833" xr:uid="{99818754-B5A4-497B-B02D-BFAB3B63D53C}"/>
    <cellStyle name="Style 98 3 4 11" xfId="16113" xr:uid="{C3280A29-3D5D-4A10-BDCD-A50B1C928011}"/>
    <cellStyle name="Style 98 3 4 11 2" xfId="31834" xr:uid="{56B56E07-BDBE-4A18-8DA4-1C4938A30C08}"/>
    <cellStyle name="Style 98 3 4 2" xfId="2524" xr:uid="{8F72B832-BA5A-44CA-9AC7-E9634FBC25C4}"/>
    <cellStyle name="Style 98 3 4 2 2" xfId="5471" xr:uid="{DCA210CC-9D40-43DA-A3D7-326A49AEBA75}"/>
    <cellStyle name="Style 98 3 4 2 2 2" xfId="16114" xr:uid="{67101BCF-3AEA-47D2-8F5A-97B98D1010A2}"/>
    <cellStyle name="Style 98 3 4 2 2 2 2" xfId="16115" xr:uid="{65D3557F-CE54-451C-90AC-E9D9F510E391}"/>
    <cellStyle name="Style 98 3 4 2 2 2 2 2" xfId="31836" xr:uid="{9203E172-CDAA-430C-A1BB-AC0D93F9B5CE}"/>
    <cellStyle name="Style 98 3 4 2 2 2 3" xfId="31835" xr:uid="{61BEE1FF-0C55-4165-A67C-87A66A738154}"/>
    <cellStyle name="Style 98 3 4 2 2 3" xfId="16116" xr:uid="{58E2F413-9774-4EAB-853D-271DC2131323}"/>
    <cellStyle name="Style 98 3 4 2 2 3 2" xfId="16117" xr:uid="{AD6BD52F-548F-4D34-A2FB-EF9FAEA4E117}"/>
    <cellStyle name="Style 98 3 4 2 2 3 2 2" xfId="31838" xr:uid="{EB9AA62A-9EE5-40C2-9E9F-FAFC5CB02477}"/>
    <cellStyle name="Style 98 3 4 2 2 3 3" xfId="31837" xr:uid="{3B0DEE8F-3D90-4B5B-93D0-04C78CF4B357}"/>
    <cellStyle name="Style 98 3 4 2 2 4" xfId="16118" xr:uid="{5EF7216A-F376-462C-A168-7F972FF09310}"/>
    <cellStyle name="Style 98 3 4 2 2 4 2" xfId="16119" xr:uid="{CB7992FB-5532-43C2-9B01-2D6383D16383}"/>
    <cellStyle name="Style 98 3 4 2 2 4 2 2" xfId="31840" xr:uid="{6F40B8CE-FD63-4585-8CDD-013B0DF8CAB5}"/>
    <cellStyle name="Style 98 3 4 2 2 4 3" xfId="31839" xr:uid="{6AAD4C01-18A6-4FE3-AE5E-067722D42035}"/>
    <cellStyle name="Style 98 3 4 2 2 5 2" xfId="16120" xr:uid="{A5F6BE73-B807-4CC1-83A3-76D7D10D132E}"/>
    <cellStyle name="Style 98 3 4 2 2 5 2 2" xfId="31842" xr:uid="{DFAC0FFF-64E9-4F14-B977-5DAA32FA70CE}"/>
    <cellStyle name="Style 98 3 4 2 2 5 3" xfId="31841" xr:uid="{88940E8F-72CC-4C9F-A815-EDCF3D69D426}"/>
    <cellStyle name="Style 98 3 4 2 2 6" xfId="16121" xr:uid="{D5E286D9-E2FB-49B9-9779-5DD85C3FA0BF}"/>
    <cellStyle name="Style 98 3 4 2 2 6 2" xfId="31843" xr:uid="{5D4632EA-E158-4B21-866A-AB2E62FE569B}"/>
    <cellStyle name="Style 98 3 4 2 2 7 2" xfId="31844" xr:uid="{C155D7DC-B5C0-4839-9CE6-51EBB62DB974}"/>
    <cellStyle name="Style 98 3 4 2 3" xfId="16122" xr:uid="{E1C3F483-B15D-41A6-985E-F247487606ED}"/>
    <cellStyle name="Style 98 3 4 2 3 2" xfId="16123" xr:uid="{DDB8454B-902E-4710-A22C-9FC5BEA93C01}"/>
    <cellStyle name="Style 98 3 4 2 3 2 2" xfId="31845" xr:uid="{0BA0E703-E84D-468E-A610-E5279E95CCC1}"/>
    <cellStyle name="Style 98 3 4 2 3 3" xfId="16124" xr:uid="{96A742D0-7F42-4E0B-B333-7BFAA16C8D23}"/>
    <cellStyle name="Style 98 3 4 2 3 3 2" xfId="31846" xr:uid="{25E6BF2C-149D-4ACF-9568-5CDF599AD0CD}"/>
    <cellStyle name="Style 98 3 4 2 4" xfId="16125" xr:uid="{12B08E54-B6EB-4180-86E3-D7D03E192267}"/>
    <cellStyle name="Style 98 3 4 2 4 2" xfId="16126" xr:uid="{B10FC021-6C57-4759-835F-F9956850221F}"/>
    <cellStyle name="Style 98 3 4 2 4 2 2" xfId="31848" xr:uid="{F25486DB-EA6F-4D50-8C6D-928EA846BC2E}"/>
    <cellStyle name="Style 98 3 4 2 4 3" xfId="31847" xr:uid="{20E6ACF5-1CC8-489A-B9D5-CC83EE1FACFC}"/>
    <cellStyle name="Style 98 3 4 2 5" xfId="16127" xr:uid="{BA511EE5-2056-4728-8F78-4879C196D629}"/>
    <cellStyle name="Style 98 3 4 2 5 2" xfId="16128" xr:uid="{DEDF71A7-14EE-441B-A437-6C4365AEABB7}"/>
    <cellStyle name="Style 98 3 4 2 5 3" xfId="31849" xr:uid="{3D32E058-2BBB-4F8C-BAB4-17306D6CB952}"/>
    <cellStyle name="Style 98 3 4 2 6" xfId="16129" xr:uid="{FE7CFBD8-B1FC-45D0-A720-5D2E3936C7D7}"/>
    <cellStyle name="Style 98 3 4 2 6 2" xfId="16130" xr:uid="{275BC13B-3AD6-47C8-9103-4F0FAD1D4FBA}"/>
    <cellStyle name="Style 98 3 4 2 6 2 2" xfId="31851" xr:uid="{C0D54606-0852-4D7B-AEA8-30F919D8E297}"/>
    <cellStyle name="Style 98 3 4 2 6 3" xfId="31850" xr:uid="{CB35CF6E-A784-43FB-B4B5-2BB0392834A1}"/>
    <cellStyle name="Style 98 3 4 2 7 2" xfId="16131" xr:uid="{CF43B889-5E34-464B-B965-A330EC4A8208}"/>
    <cellStyle name="Style 98 3 4 2 7 2 2" xfId="31853" xr:uid="{2126F539-4DE0-4DD6-ABD4-9686534AA1C5}"/>
    <cellStyle name="Style 98 3 4 2 7 3" xfId="31852" xr:uid="{13EA2374-1FFA-4EC5-B6D3-6BA6BCC7D752}"/>
    <cellStyle name="Style 98 3 4 2 8" xfId="16132" xr:uid="{DD440AE9-B1C8-4DC7-A3BD-EBC35B07905C}"/>
    <cellStyle name="Style 98 3 4 2 8 2" xfId="31854" xr:uid="{E692973C-8F6C-4A83-85D1-9272A34CF30A}"/>
    <cellStyle name="Style 98 3 4 2 9 2" xfId="31855" xr:uid="{B9FAD55F-F15C-48C4-83EB-C71DE89C0173}"/>
    <cellStyle name="Style 98 3 4 3 2" xfId="16133" xr:uid="{C0B875E8-B0E6-4E9B-9C97-AB27E4B7EDB8}"/>
    <cellStyle name="Style 98 3 4 3 2 2" xfId="16134" xr:uid="{D1CDBF23-42F1-4C52-BD2A-230446DEC68A}"/>
    <cellStyle name="Style 98 3 4 3 2 2 2" xfId="31857" xr:uid="{2EDD4A06-70A8-48E8-8F01-5A8BDCEC9418}"/>
    <cellStyle name="Style 98 3 4 3 2 3" xfId="31856" xr:uid="{A13DB16A-B050-4FC5-82DD-F219885E71C0}"/>
    <cellStyle name="Style 98 3 4 3 3" xfId="16135" xr:uid="{34AB5A71-C23F-42E1-8983-01C034E81F2E}"/>
    <cellStyle name="Style 98 3 4 3 3 2" xfId="16136" xr:uid="{975193A0-7DD8-41F9-8054-4D5CDDAD17B0}"/>
    <cellStyle name="Style 98 3 4 3 3 2 2" xfId="31859" xr:uid="{B89262AD-6E47-4450-9BF6-2F2B5A8DD598}"/>
    <cellStyle name="Style 98 3 4 3 3 3" xfId="31858" xr:uid="{9860E3E3-6637-4F36-8A61-17E677AF688C}"/>
    <cellStyle name="Style 98 3 4 3 4" xfId="16137" xr:uid="{C0D0ED8D-5E6A-46EB-AD70-DDC78DD7A828}"/>
    <cellStyle name="Style 98 3 4 3 4 2 2" xfId="31860" xr:uid="{4EB88F71-FB1E-4BA4-A0D2-2A2463915867}"/>
    <cellStyle name="Style 98 3 4 3 5" xfId="16138" xr:uid="{DEDBEFA3-59A9-439B-9446-A82F5A9BF846}"/>
    <cellStyle name="Style 98 3 4 3 5 2" xfId="16139" xr:uid="{69E13789-CC26-4216-BDAC-BB40080D5BEB}"/>
    <cellStyle name="Style 98 3 4 3 5 2 2" xfId="31862" xr:uid="{27D12672-19A1-4D2A-80B5-6071AB017C86}"/>
    <cellStyle name="Style 98 3 4 3 5 3" xfId="31861" xr:uid="{4167BD1A-8032-446C-803E-09900937B474}"/>
    <cellStyle name="Style 98 3 4 3 6" xfId="16140" xr:uid="{673F6665-BECC-4C32-B589-8190E9197BFF}"/>
    <cellStyle name="Style 98 3 4 3 6 2" xfId="31863" xr:uid="{3453B6CA-72CC-4B46-9DED-D4E4EE34797E}"/>
    <cellStyle name="Style 98 3 4 3 7" xfId="16141" xr:uid="{917B4B39-701A-46A2-8420-4768EA4DA3D6}"/>
    <cellStyle name="Style 98 3 4 3 7 2" xfId="31864" xr:uid="{D97AB0E6-5EC9-476C-881D-ECBFFAE3DB41}"/>
    <cellStyle name="Style 98 3 4 4" xfId="16142" xr:uid="{9240DBEF-C055-429C-9C19-D1603723CA45}"/>
    <cellStyle name="Style 98 3 4 4 2" xfId="16143" xr:uid="{3EB3EB9D-14B3-48B4-91D4-51F9DB576504}"/>
    <cellStyle name="Style 98 3 4 4 2 2" xfId="31865" xr:uid="{918537D8-3307-444C-9EAF-82B65FAF62F2}"/>
    <cellStyle name="Style 98 3 4 4 3" xfId="16144" xr:uid="{918D8CD5-229B-4270-B03B-96517CE6D09D}"/>
    <cellStyle name="Style 98 3 4 4 3 2" xfId="31866" xr:uid="{5885CA5A-B1C3-48D6-8992-03064C667A3E}"/>
    <cellStyle name="Style 98 3 4 5" xfId="16145" xr:uid="{CFF9AE19-4F81-41A8-9595-936E4601B89A}"/>
    <cellStyle name="Style 98 3 4 5 2 2" xfId="31868" xr:uid="{28EAE5B4-6CA7-4777-8D5F-8AAC7BF6A85A}"/>
    <cellStyle name="Style 98 3 4 5 3" xfId="31867" xr:uid="{244189BD-71A9-4BD2-914E-0B89F8E6B180}"/>
    <cellStyle name="Style 98 3 4 6" xfId="16146" xr:uid="{2708CD20-5E27-4A0F-87EE-F3D793F8CBE0}"/>
    <cellStyle name="Style 98 3 4 6 2" xfId="16147" xr:uid="{1414816B-28BC-427F-8110-A8158BDB73FD}"/>
    <cellStyle name="Style 98 3 4 7" xfId="16148" xr:uid="{F952DC0B-7E86-4845-A75E-369DB69C85D4}"/>
    <cellStyle name="Style 98 3 4 7 2" xfId="16149" xr:uid="{E41BFBAD-5362-488A-8F9A-385E3449D030}"/>
    <cellStyle name="Style 98 3 4 7 2 2" xfId="31870" xr:uid="{89E6E8E3-08A9-4A65-A152-BDEE19F9601C}"/>
    <cellStyle name="Style 98 3 4 7 3" xfId="31869" xr:uid="{B45A7715-800F-4D55-8A50-F718130BCD1D}"/>
    <cellStyle name="Style 98 3 4 8" xfId="16150" xr:uid="{CA5C6823-1C25-4B9F-8EE6-F5D0A7F25189}"/>
    <cellStyle name="Style 98 3 4 8 2 2" xfId="31872" xr:uid="{FDDD0B4B-1AA5-44F7-AEF6-846F08A7B2FC}"/>
    <cellStyle name="Style 98 3 4 8 3" xfId="31871" xr:uid="{8DDBEF53-E893-4C2B-9DE9-22802D7A7694}"/>
    <cellStyle name="Style 98 3 4 9" xfId="16151" xr:uid="{E5AA0C44-5113-414E-997F-BA40389F0D19}"/>
    <cellStyle name="Style 98 3 4 9 2" xfId="16152" xr:uid="{63A83062-080C-4FE9-B78C-0D7C087286B1}"/>
    <cellStyle name="Style 98 3 4 9 2 2" xfId="31874" xr:uid="{DBC16B7E-3C6E-4F7A-B47B-73CA875510E8}"/>
    <cellStyle name="Style 98 3 4 9 3" xfId="31873" xr:uid="{E671B4FC-2DA9-4A01-B156-5E7D5CEFD918}"/>
    <cellStyle name="Style 98 3 5" xfId="2525" xr:uid="{CC71B412-C441-46DE-A663-7B096760BE26}"/>
    <cellStyle name="Style 98 3 5 2 2" xfId="16153" xr:uid="{ED6A4B3F-1F0A-4A9B-805C-71D4441D33A1}"/>
    <cellStyle name="Style 98 3 5 2 2 2" xfId="16154" xr:uid="{C567A5A8-BF1D-49CF-BA54-86BC52EA711A}"/>
    <cellStyle name="Style 98 3 5 2 2 2 2" xfId="31876" xr:uid="{34345E72-7FBB-43C7-BA6A-A2F6065630EE}"/>
    <cellStyle name="Style 98 3 5 2 2 3" xfId="31875" xr:uid="{6B8671D9-90C6-4D65-B7D8-E17F27782B5B}"/>
    <cellStyle name="Style 98 3 5 2 3 2" xfId="16155" xr:uid="{AD79B282-8D0D-4D85-8EAE-6071E25E9664}"/>
    <cellStyle name="Style 98 3 5 2 3 3" xfId="31877" xr:uid="{944E4A66-2FEA-4DA2-84E0-D70142C724A5}"/>
    <cellStyle name="Style 98 3 5 2 4 2" xfId="16156" xr:uid="{F61DF566-CAC7-47A2-9CAC-B2847E23DC5D}"/>
    <cellStyle name="Style 98 3 5 2 4 2 2" xfId="31879" xr:uid="{158514DA-C66F-44FE-BD34-94B4260EA071}"/>
    <cellStyle name="Style 98 3 5 2 4 3" xfId="31878" xr:uid="{2A789C9B-1950-46CF-9E13-252E0F39CF16}"/>
    <cellStyle name="Style 98 3 5 2 5 2" xfId="16157" xr:uid="{FB7FDDD3-D1E3-456C-95DA-8C7C3B733151}"/>
    <cellStyle name="Style 98 3 5 2 5 2 2" xfId="31881" xr:uid="{85474B5D-2555-4B05-8A11-3BADB79DBF6B}"/>
    <cellStyle name="Style 98 3 5 2 5 3" xfId="31880" xr:uid="{1725606D-A66F-4930-8C3E-3D6C1545E234}"/>
    <cellStyle name="Style 98 3 5 2 6 2" xfId="31882" xr:uid="{85A871AF-6004-4A5D-9111-D613E14AB14A}"/>
    <cellStyle name="Style 98 3 5 2 7" xfId="16158" xr:uid="{CABAA191-E01C-420C-9626-2591BBFA28E4}"/>
    <cellStyle name="Style 98 3 5 2 7 2" xfId="31883" xr:uid="{59DA16FF-D8B1-4F71-A8F8-1EFE47808F03}"/>
    <cellStyle name="Style 98 3 5 3" xfId="16159" xr:uid="{90D2A3B5-A809-46A1-A039-308C05634146}"/>
    <cellStyle name="Style 98 3 5 3 2" xfId="16160" xr:uid="{F61256DD-BED4-4461-A3D6-E9247C90C33E}"/>
    <cellStyle name="Style 98 3 5 3 3" xfId="16161" xr:uid="{780F7819-B3D2-43E5-84CE-1C8AFE10D7F5}"/>
    <cellStyle name="Style 98 3 5 3 3 2" xfId="31884" xr:uid="{D02FE400-254F-492E-BC29-FB8E69100C94}"/>
    <cellStyle name="Style 98 3 5 4" xfId="16162" xr:uid="{93CFF458-8EDB-44AD-A432-F7580B467AE7}"/>
    <cellStyle name="Style 98 3 5 4 2" xfId="16163" xr:uid="{46987953-684D-4380-8D97-0D46B8C38B2E}"/>
    <cellStyle name="Style 98 3 5 4 2 2" xfId="31885" xr:uid="{28C3E7DD-D82A-42FE-B00D-260AFF418F46}"/>
    <cellStyle name="Style 98 3 5 5" xfId="16164" xr:uid="{2CB1E023-ECC3-4A5C-A5C4-A28992D542E9}"/>
    <cellStyle name="Style 98 3 5 5 2" xfId="16165" xr:uid="{F784E403-0573-4A79-A241-4FAB25ED71E3}"/>
    <cellStyle name="Style 98 3 5 5 2 2" xfId="31887" xr:uid="{B0DD97FC-173E-4543-9534-365EC4F651F0}"/>
    <cellStyle name="Style 98 3 5 5 3" xfId="31886" xr:uid="{3FFB8D2E-1C6C-4EA8-9E96-E2952733B3B4}"/>
    <cellStyle name="Style 98 3 5 6" xfId="16166" xr:uid="{AB758EF0-39A3-44BC-942B-9E2F136C534F}"/>
    <cellStyle name="Style 98 3 5 6 2 2" xfId="31888" xr:uid="{406CBED4-5409-49C6-ACF6-211D20D25C0A}"/>
    <cellStyle name="Style 98 3 5 7" xfId="16167" xr:uid="{3AE22806-4E15-4D44-8C95-75CF03A31A7D}"/>
    <cellStyle name="Style 98 3 5 7 2" xfId="16168" xr:uid="{FF03EDB4-7170-4AC4-B27B-0DB73C733104}"/>
    <cellStyle name="Style 98 3 5 7 2 2" xfId="31890" xr:uid="{87ED96BD-3C59-4DD9-8E1B-F3F83C8A33F3}"/>
    <cellStyle name="Style 98 3 5 7 3" xfId="31889" xr:uid="{EE6F668E-B5BC-470A-BFA4-46CBF10DD036}"/>
    <cellStyle name="Style 98 3 5 8" xfId="16169" xr:uid="{716C3BA6-65CB-4A76-9EB7-A1F11C39E530}"/>
    <cellStyle name="Style 98 3 5 8 2" xfId="31891" xr:uid="{B3E56DCF-B6FA-4801-8997-46A01FD1ABD1}"/>
    <cellStyle name="Style 98 3 5 9" xfId="16170" xr:uid="{8C13B1DF-AE35-4B9C-8E8D-A6C88E89DD4E}"/>
    <cellStyle name="Style 98 3 5 9 2" xfId="31892" xr:uid="{D0FDDE8B-2BBB-4545-9490-C4E570A08740}"/>
    <cellStyle name="Style 98 3 6 2 2" xfId="16171" xr:uid="{D1ED187B-ABD5-4DE0-99BF-087E11EB2B87}"/>
    <cellStyle name="Style 98 3 6 2 3" xfId="31893" xr:uid="{936F1DD9-BA69-4BDC-916E-BDC03372CB35}"/>
    <cellStyle name="Style 98 3 6 3 2" xfId="16172" xr:uid="{C26A751B-D007-455F-B48D-498799E51397}"/>
    <cellStyle name="Style 98 3 6 3 2 2" xfId="31895" xr:uid="{662F90F6-B1AE-4F2F-809A-7F6D7AA72E10}"/>
    <cellStyle name="Style 98 3 6 3 3" xfId="31894" xr:uid="{3753E2A4-D34C-4AC8-8165-1B939996CA23}"/>
    <cellStyle name="Style 98 3 6 4 2" xfId="16173" xr:uid="{A95720BB-0330-42BA-9B20-79D07BCB7FF0}"/>
    <cellStyle name="Style 98 3 6 4 2 2" xfId="31897" xr:uid="{F4300265-794C-439F-BBFF-3C259F6D57B4}"/>
    <cellStyle name="Style 98 3 6 4 3" xfId="31896" xr:uid="{F4ECDA97-3677-4279-BC98-FF678594134D}"/>
    <cellStyle name="Style 98 3 6 5" xfId="16174" xr:uid="{9B0307D8-DF7F-4E95-B217-BB1DD8C2F1F8}"/>
    <cellStyle name="Style 98 3 6 5 2" xfId="16175" xr:uid="{A470B32F-C0E4-491B-AF81-E4ED1BE94127}"/>
    <cellStyle name="Style 98 3 6 5 2 2" xfId="31899" xr:uid="{574487C0-B666-4E42-98F6-B4E2858DD51D}"/>
    <cellStyle name="Style 98 3 6 5 3" xfId="31898" xr:uid="{7354F750-05F2-42B8-BC57-83A9B6EA633C}"/>
    <cellStyle name="Style 98 3 6 6" xfId="16176" xr:uid="{F63061D8-E9DA-40E1-BF02-E0D351638050}"/>
    <cellStyle name="Style 98 3 6 6 2" xfId="31900" xr:uid="{2ECE6C55-73CB-4E15-9056-57BEBB3528EA}"/>
    <cellStyle name="Style 98 3 6 7 2" xfId="31901" xr:uid="{D6F0FAA3-5B35-483D-8DD2-615F2D067DCA}"/>
    <cellStyle name="Style 98 3 7" xfId="5454" xr:uid="{FDBD4860-E093-4B3A-B3E0-7822BF313B03}"/>
    <cellStyle name="Style 98 3 7 2" xfId="16177" xr:uid="{9FEE1F3D-DD4D-41D6-8D55-C0620E4CC847}"/>
    <cellStyle name="Style 98 3 7 2 2" xfId="31902" xr:uid="{5E0269E6-5540-4BA1-B952-7391B2C41A58}"/>
    <cellStyle name="Style 98 3 7 3" xfId="16178" xr:uid="{62379CCA-5268-47C8-9375-D4A30395B174}"/>
    <cellStyle name="Style 98 3 8" xfId="16179" xr:uid="{5A67B952-2E03-4D83-8636-E6153F402901}"/>
    <cellStyle name="Style 98 3 8 2" xfId="16180" xr:uid="{A394B0B0-7B2B-464C-AD63-E6C9E10F574E}"/>
    <cellStyle name="Style 98 3 8 2 2" xfId="31903" xr:uid="{7CCAFA98-C863-4395-A760-3C24BEDAB265}"/>
    <cellStyle name="Style 98 3 8 3" xfId="16181" xr:uid="{C1E957EE-0B62-4FE6-944B-00A246F037A1}"/>
    <cellStyle name="Style 98 3 8 3 2" xfId="31904" xr:uid="{917838C3-F52E-479B-829D-52A3496C747B}"/>
    <cellStyle name="Style 98 3 9" xfId="16182" xr:uid="{6929EB6A-5472-40B9-8B3C-8C85B944F18C}"/>
    <cellStyle name="Style 98 3 9 2" xfId="16183" xr:uid="{F586271C-81CD-42BD-9A5C-A85A81A77CA3}"/>
    <cellStyle name="Style 98 3 9 2 2" xfId="31906" xr:uid="{A066BE7B-9A10-4BA0-BA0A-8DD9E4224C56}"/>
    <cellStyle name="Style 98 3 9 3" xfId="31905" xr:uid="{A0C508B2-0DE1-493E-B70C-A0135C0556D4}"/>
    <cellStyle name="Style 98 4" xfId="2526" xr:uid="{EE93F414-A066-44B5-83ED-6D5DFA14DDDB}"/>
    <cellStyle name="Style 98 4 10" xfId="16184" xr:uid="{B93D619E-5682-4D5E-863E-4F43C4F67938}"/>
    <cellStyle name="Style 98 4 10 2" xfId="16185" xr:uid="{8522A8E6-7356-4B25-8CE3-A5B116D74D90}"/>
    <cellStyle name="Style 98 4 10 2 2" xfId="31908" xr:uid="{0F75267E-2B3E-43BD-B439-5A181387FD5B}"/>
    <cellStyle name="Style 98 4 10 3" xfId="31907" xr:uid="{F6864722-A9AC-4031-803F-F7EC115A3A1E}"/>
    <cellStyle name="Style 98 4 11" xfId="16186" xr:uid="{2F4C36C9-A56E-4F77-B070-2BB8690B78E1}"/>
    <cellStyle name="Style 98 4 11 2" xfId="31909" xr:uid="{BC9DD8C4-0A0F-4089-BB2E-F883592FF53A}"/>
    <cellStyle name="Style 98 4 12" xfId="16187" xr:uid="{547F1C2F-2F6C-4CFF-AF0D-D3123F1B3F71}"/>
    <cellStyle name="Style 98 4 2" xfId="2527" xr:uid="{F91C6ED1-813B-46E2-9CE6-06F3041E906C}"/>
    <cellStyle name="Style 98 4 2 10" xfId="16188" xr:uid="{1B1C4815-861F-4467-B7DA-E823DA85775E}"/>
    <cellStyle name="Style 98 4 2 10 2" xfId="16189" xr:uid="{FC3976B1-3ECA-477C-8E13-987FB7633B22}"/>
    <cellStyle name="Style 98 4 2 10 3" xfId="31910" xr:uid="{71596E84-2CC7-4A96-9C0B-F900FB48CA8E}"/>
    <cellStyle name="Style 98 4 2 11 2" xfId="31911" xr:uid="{020E72D1-9F22-4BB0-B94F-B1CD7B4563E8}"/>
    <cellStyle name="Style 98 4 2 12 2" xfId="31912" xr:uid="{0B2AF97D-B301-488A-93B1-EDBAE6B0848B}"/>
    <cellStyle name="Style 98 4 2 2" xfId="2528" xr:uid="{17644F7C-DCEE-4983-9EAF-90FA435625EE}"/>
    <cellStyle name="Style 98 4 2 2 10" xfId="16190" xr:uid="{27339817-8492-4625-95F1-6D9BF2D142EF}"/>
    <cellStyle name="Style 98 4 2 2 10 2" xfId="31913" xr:uid="{2B1ACB0F-4338-4B6C-8FAF-EA52E23C120B}"/>
    <cellStyle name="Style 98 4 2 2 11" xfId="16191" xr:uid="{E9635DCB-E2CB-4F33-9AFA-5D7708DE26D1}"/>
    <cellStyle name="Style 98 4 2 2 11 2" xfId="31914" xr:uid="{F2F4991D-96D4-49F9-B72B-197B28EFE6F9}"/>
    <cellStyle name="Style 98 4 2 2 2" xfId="2529" xr:uid="{8CF73038-8B01-4839-9CBA-0C93545DDD2C}"/>
    <cellStyle name="Style 98 4 2 2 2 2" xfId="5474" xr:uid="{0809F997-AFB7-4490-BEE8-3F19533C4CBB}"/>
    <cellStyle name="Style 98 4 2 2 2 2 2" xfId="16192" xr:uid="{3757A952-B0CA-44FA-B376-0BD2A276A0BA}"/>
    <cellStyle name="Style 98 4 2 2 2 2 2 2 2" xfId="31916" xr:uid="{FAAC10E7-0B5C-412C-A75B-44D67B27469B}"/>
    <cellStyle name="Style 98 4 2 2 2 2 2 3" xfId="31915" xr:uid="{7F469D9F-FDB5-4BEE-8C95-99E4409D86F8}"/>
    <cellStyle name="Style 98 4 2 2 2 2 3" xfId="16193" xr:uid="{B7DDCA2C-258D-464B-8E02-98411BA98FF9}"/>
    <cellStyle name="Style 98 4 2 2 2 2 3 2 2" xfId="31918" xr:uid="{DCDDF811-ABF4-4F77-AA67-38E191136D07}"/>
    <cellStyle name="Style 98 4 2 2 2 2 3 3" xfId="31917" xr:uid="{FDF6CF26-6BA1-46F1-B806-7BEFADE28FBA}"/>
    <cellStyle name="Style 98 4 2 2 2 2 4 2" xfId="16194" xr:uid="{0BB7CD67-4152-4138-B318-8518A887CCC8}"/>
    <cellStyle name="Style 98 4 2 2 2 2 4 2 2" xfId="31919" xr:uid="{F59E82D8-0DB4-4551-8E71-B125A8F4CB04}"/>
    <cellStyle name="Style 98 4 2 2 2 2 5" xfId="16195" xr:uid="{9AA863E5-D5F4-4CD8-8443-28FCBB442AA3}"/>
    <cellStyle name="Style 98 4 2 2 2 2 5 2" xfId="16196" xr:uid="{CC2A0F9E-8DD5-43F3-91DB-62149A47F688}"/>
    <cellStyle name="Style 98 4 2 2 2 2 5 2 2" xfId="31921" xr:uid="{3967FA61-C00F-4D79-8D27-17D81424F1B3}"/>
    <cellStyle name="Style 98 4 2 2 2 2 5 3" xfId="31920" xr:uid="{263E6FC7-2283-4078-A990-5B69D661B8E0}"/>
    <cellStyle name="Style 98 4 2 2 2 2 6" xfId="16197" xr:uid="{26EA0F3A-5129-4EBF-A82F-868FA4EC4FAF}"/>
    <cellStyle name="Style 98 4 2 2 2 2 6 2" xfId="31922" xr:uid="{6C103703-AE5C-4FBC-A774-2A64FA00D1BD}"/>
    <cellStyle name="Style 98 4 2 2 2 2 7" xfId="16198" xr:uid="{03F07621-0C1B-46BD-9935-2CDCB1982BD7}"/>
    <cellStyle name="Style 98 4 2 2 2 2 7 2" xfId="31923" xr:uid="{00D41AF0-BC1D-4DB7-B862-4B30E67671B3}"/>
    <cellStyle name="Style 98 4 2 2 2 3" xfId="16199" xr:uid="{4512A6C3-486A-49D7-9452-89C3D3F4CDBB}"/>
    <cellStyle name="Style 98 4 2 2 2 3 2" xfId="16200" xr:uid="{9D5D6A5C-AF35-4ED4-B086-9838F94B0AA0}"/>
    <cellStyle name="Style 98 4 2 2 2 3 2 2" xfId="31924" xr:uid="{9D7E5782-3E81-4C14-B764-0F66B5BA124E}"/>
    <cellStyle name="Style 98 4 2 2 2 3 3" xfId="16201" xr:uid="{53C2A021-7ABE-4683-900D-B760303C4C63}"/>
    <cellStyle name="Style 98 4 2 2 2 3 3 2" xfId="31925" xr:uid="{8E2254AC-61A7-478C-996E-A0E623806324}"/>
    <cellStyle name="Style 98 4 2 2 2 4" xfId="16202" xr:uid="{0E4B3397-2B8A-496D-858C-33EA4D009D80}"/>
    <cellStyle name="Style 98 4 2 2 2 4 2" xfId="16203" xr:uid="{F2EE0FAB-C41C-414A-AF89-BADE57299812}"/>
    <cellStyle name="Style 98 4 2 2 2 4 2 2" xfId="31927" xr:uid="{598B8D08-051D-4799-BE73-F89BD279F357}"/>
    <cellStyle name="Style 98 4 2 2 2 4 3" xfId="31926" xr:uid="{DA582265-FDA2-4210-8DE8-1291EB097C66}"/>
    <cellStyle name="Style 98 4 2 2 2 5" xfId="16204" xr:uid="{BD9214DA-C8DA-4FA3-B5ED-D0A5253033B7}"/>
    <cellStyle name="Style 98 4 2 2 2 5 2" xfId="16205" xr:uid="{1ED7343E-22F8-49DD-8577-D9F62FD1DBFC}"/>
    <cellStyle name="Style 98 4 2 2 2 5 2 2" xfId="31929" xr:uid="{9612130D-4136-4984-A5C0-1D87C45983E8}"/>
    <cellStyle name="Style 98 4 2 2 2 5 3" xfId="31928" xr:uid="{20FF155B-D6EA-4055-BB1F-9D9ABE6635CE}"/>
    <cellStyle name="Style 98 4 2 2 2 6" xfId="16206" xr:uid="{664EE996-811F-4607-AC95-6A4A727F9D25}"/>
    <cellStyle name="Style 98 4 2 2 2 6 2" xfId="16207" xr:uid="{0386A793-4458-4086-B473-8797E9EF349B}"/>
    <cellStyle name="Style 98 4 2 2 2 6 2 2" xfId="31931" xr:uid="{DB9D178E-F865-4DA5-B7D8-5B798490384D}"/>
    <cellStyle name="Style 98 4 2 2 2 6 3" xfId="31930" xr:uid="{A1D67B93-15C9-4EB0-A62F-5D3F5B532A5D}"/>
    <cellStyle name="Style 98 4 2 2 2 7" xfId="16208" xr:uid="{62994058-0152-4738-8E95-BF98CF7F7264}"/>
    <cellStyle name="Style 98 4 2 2 2 7 2" xfId="16209" xr:uid="{29C62BBA-1149-443A-BA63-736567F01731}"/>
    <cellStyle name="Style 98 4 2 2 2 7 2 2" xfId="31933" xr:uid="{38440AA3-344E-462C-B8CC-A37DCC640FDC}"/>
    <cellStyle name="Style 98 4 2 2 2 7 3" xfId="31932" xr:uid="{90201EF2-70D6-4CFD-8A61-E86CB5B811CB}"/>
    <cellStyle name="Style 98 4 2 2 2 8" xfId="16210" xr:uid="{412E5178-F696-4A0D-B68A-6BBD22F1AA33}"/>
    <cellStyle name="Style 98 4 2 2 2 8 2" xfId="31934" xr:uid="{8EA8AEFF-C491-47A2-A5F7-67D06F99DF50}"/>
    <cellStyle name="Style 98 4 2 2 2 9 2" xfId="31935" xr:uid="{82532BD5-B8C9-4EC4-B4A0-D736379FDB64}"/>
    <cellStyle name="Style 98 4 2 2 3 2" xfId="16211" xr:uid="{FCAB301D-C9CD-439A-BB50-8E0EC7479F49}"/>
    <cellStyle name="Style 98 4 2 2 3 2 2" xfId="16212" xr:uid="{06B6A2AE-9D46-43C8-A4F7-99ABA0238BE1}"/>
    <cellStyle name="Style 98 4 2 2 3 2 2 2" xfId="31937" xr:uid="{3A64AF52-FBCE-418F-ADD7-F07A41B8B790}"/>
    <cellStyle name="Style 98 4 2 2 3 2 3" xfId="31936" xr:uid="{146FDC61-59E2-4CD2-90EF-2F24CAB61DCA}"/>
    <cellStyle name="Style 98 4 2 2 3 3" xfId="16213" xr:uid="{EBE74A99-EEB4-4A66-A26B-3EC3A736150C}"/>
    <cellStyle name="Style 98 4 2 2 3 3 2 2" xfId="31939" xr:uid="{20548EE7-4F2E-4360-94AD-371CEFC489E1}"/>
    <cellStyle name="Style 98 4 2 2 3 3 3" xfId="31938" xr:uid="{99BF49A4-1311-4295-8E81-DB532B18E855}"/>
    <cellStyle name="Style 98 4 2 2 3 4" xfId="16214" xr:uid="{9A7C3B80-81C6-45D5-9C5D-FDB05D4B5966}"/>
    <cellStyle name="Style 98 4 2 2 3 4 2" xfId="16215" xr:uid="{DF808DD7-9034-4033-B3D0-018D97051216}"/>
    <cellStyle name="Style 98 4 2 2 3 4 2 2" xfId="31940" xr:uid="{CE4FCDAE-C9F2-442C-B760-3FCFD508357C}"/>
    <cellStyle name="Style 98 4 2 2 3 5" xfId="16216" xr:uid="{51708837-6BCD-4C5A-A148-71C39F19680A}"/>
    <cellStyle name="Style 98 4 2 2 3 5 2" xfId="16217" xr:uid="{4FEF9300-AA55-4E30-81C7-585E9C300EE7}"/>
    <cellStyle name="Style 98 4 2 2 3 5 2 2" xfId="31941" xr:uid="{26563794-829D-48CE-BD0E-0E9971635D5A}"/>
    <cellStyle name="Style 98 4 2 2 3 6 2" xfId="31942" xr:uid="{41281553-7175-432F-B9E6-D8DF650B4E9D}"/>
    <cellStyle name="Style 98 4 2 2 3 7" xfId="16218" xr:uid="{025F3866-3F19-4A6B-87A2-80E3E16EE710}"/>
    <cellStyle name="Style 98 4 2 2 3 7 2" xfId="31943" xr:uid="{99F02FE0-D270-494D-8D15-1E8896D71702}"/>
    <cellStyle name="Style 98 4 2 2 4" xfId="16219" xr:uid="{141A209F-CBDE-4E54-AF66-78C05E8E6785}"/>
    <cellStyle name="Style 98 4 2 2 4 2" xfId="16220" xr:uid="{1C7F1F1D-7537-49B1-80D3-78444E9928BC}"/>
    <cellStyle name="Style 98 4 2 2 4 3" xfId="16221" xr:uid="{94ABF1D0-6ACD-4009-8B0F-70D692021235}"/>
    <cellStyle name="Style 98 4 2 2 4 3 2" xfId="31944" xr:uid="{502F6544-08C0-40E1-9F82-ADCBFB043697}"/>
    <cellStyle name="Style 98 4 2 2 5" xfId="16222" xr:uid="{DEF2D8C2-9476-49A9-912B-953B61BB3ACD}"/>
    <cellStyle name="Style 98 4 2 2 5 2" xfId="16223" xr:uid="{667B94E8-6226-4EB2-8035-8EE38652471F}"/>
    <cellStyle name="Style 98 4 2 2 5 2 2" xfId="31946" xr:uid="{5F3F4A95-1495-49D9-9CAB-6EE4C4C2F9B1}"/>
    <cellStyle name="Style 98 4 2 2 5 3" xfId="31945" xr:uid="{F24BBCED-29ED-410C-804F-3885A840A810}"/>
    <cellStyle name="Style 98 4 2 2 6" xfId="16224" xr:uid="{41A0ECA4-6F36-46CE-B7EA-B45D8BDC196B}"/>
    <cellStyle name="Style 98 4 2 2 6 2 2" xfId="31948" xr:uid="{F0A764A4-321F-48D9-88E8-28380EB0E261}"/>
    <cellStyle name="Style 98 4 2 2 6 3" xfId="31947" xr:uid="{8248144F-818C-4C11-8DEA-A43B026402EE}"/>
    <cellStyle name="Style 98 4 2 2 7" xfId="16225" xr:uid="{E76D6B8C-031A-4821-8D14-3C173BAD8FF6}"/>
    <cellStyle name="Style 98 4 2 2 7 2 2" xfId="31949" xr:uid="{23D9E612-A3CE-4701-AF77-1B5190633AB2}"/>
    <cellStyle name="Style 98 4 2 2 8" xfId="16226" xr:uid="{F4E3A797-D24B-4179-A5BF-25A730B3C247}"/>
    <cellStyle name="Style 98 4 2 2 8 2 2" xfId="31951" xr:uid="{364F05A7-F8FC-49A4-9ADB-4AB3032037FB}"/>
    <cellStyle name="Style 98 4 2 2 8 3" xfId="31950" xr:uid="{CE916A8B-5108-445C-A768-3F747A8C2C11}"/>
    <cellStyle name="Style 98 4 2 2 9" xfId="16227" xr:uid="{20EC21F1-C4F9-4FCB-8C26-8A76921085DF}"/>
    <cellStyle name="Style 98 4 2 2 9 2" xfId="16228" xr:uid="{A9961A6B-29FA-464C-942B-301755B481A3}"/>
    <cellStyle name="Style 98 4 2 2 9 2 2" xfId="31953" xr:uid="{57F31D9C-A4DF-4250-946A-0F3C44D5D9AF}"/>
    <cellStyle name="Style 98 4 2 2 9 3" xfId="31952" xr:uid="{62416DF4-6A93-4A5F-AA62-5E440E417FD1}"/>
    <cellStyle name="Style 98 4 2 3" xfId="2530" xr:uid="{B422AEF6-728D-4376-8CDB-0089B33D8CDA}"/>
    <cellStyle name="Style 98 4 2 3 2" xfId="5475" xr:uid="{2A81490D-7E45-4273-BFC3-B5B127A3873A}"/>
    <cellStyle name="Style 98 4 2 3 2 2" xfId="16229" xr:uid="{26E0D022-D86F-4230-992E-D846EFEDCFED}"/>
    <cellStyle name="Style 98 4 2 3 2 2 2" xfId="16230" xr:uid="{8BEABFDF-E187-40ED-A29A-D5CE39DBAE9C}"/>
    <cellStyle name="Style 98 4 2 3 2 2 3" xfId="31954" xr:uid="{05C1D749-6FF6-43F8-A29C-BD040FB44EF4}"/>
    <cellStyle name="Style 98 4 2 3 2 3" xfId="16231" xr:uid="{0ECB0E41-6C6B-4449-9391-40FF311B6F19}"/>
    <cellStyle name="Style 98 4 2 3 2 3 2 2" xfId="31956" xr:uid="{928964BB-3979-4578-8EE5-A187C1F62859}"/>
    <cellStyle name="Style 98 4 2 3 2 3 3" xfId="31955" xr:uid="{35E2CECA-1E69-4518-B43A-0EAC051A7FDF}"/>
    <cellStyle name="Style 98 4 2 3 2 4" xfId="16232" xr:uid="{8B61A2ED-FCF6-45D2-9F16-3BFD372803A7}"/>
    <cellStyle name="Style 98 4 2 3 2 4 2 2" xfId="31957" xr:uid="{5C2A6F7D-EEA4-4CFA-ACCB-739508896858}"/>
    <cellStyle name="Style 98 4 2 3 2 5" xfId="16233" xr:uid="{DDD16D87-E17E-45DB-B218-267A06719FF2}"/>
    <cellStyle name="Style 98 4 2 3 2 5 2" xfId="16234" xr:uid="{5CA6EC01-4314-4A98-9AE8-C93B17C4EBF6}"/>
    <cellStyle name="Style 98 4 2 3 2 5 2 2" xfId="31959" xr:uid="{BA340F33-AD2A-4C12-9E3C-087D7E1C81F6}"/>
    <cellStyle name="Style 98 4 2 3 2 5 3" xfId="31958" xr:uid="{1096AAAD-AD24-475A-8119-650F15F59273}"/>
    <cellStyle name="Style 98 4 2 3 2 6" xfId="16235" xr:uid="{C67D551E-EF05-4C84-BF4D-A546D3645A3B}"/>
    <cellStyle name="Style 98 4 2 3 2 6 2" xfId="31960" xr:uid="{B44E0EE8-B9F2-422E-95E1-33F86F502F60}"/>
    <cellStyle name="Style 98 4 2 3 2 7" xfId="16236" xr:uid="{252DC48C-5CB2-4DCD-8C68-1CC1D710E16C}"/>
    <cellStyle name="Style 98 4 2 3 2 7 2" xfId="31961" xr:uid="{42241504-ECA7-400D-A698-151728E62656}"/>
    <cellStyle name="Style 98 4 2 3 3" xfId="16237" xr:uid="{6399D1BA-218C-4825-9D13-14F5DF554CEA}"/>
    <cellStyle name="Style 98 4 2 3 3 2" xfId="16238" xr:uid="{0C9B9F39-C16D-48CF-B202-0A6F4A9A19C3}"/>
    <cellStyle name="Style 98 4 2 3 3 2 2" xfId="31962" xr:uid="{A062416D-BFF0-474E-947F-F82A2C8A0E05}"/>
    <cellStyle name="Style 98 4 2 3 3 3" xfId="16239" xr:uid="{566AD056-8B4C-4377-9421-55F1C5BCD39B}"/>
    <cellStyle name="Style 98 4 2 3 3 3 2" xfId="31963" xr:uid="{C968A413-D01C-4101-BD82-014F77677269}"/>
    <cellStyle name="Style 98 4 2 3 4" xfId="16240" xr:uid="{9332AD13-8ABB-461E-8E03-AC497C8AAD5D}"/>
    <cellStyle name="Style 98 4 2 3 4 2" xfId="16241" xr:uid="{9F0C9248-DAE6-4974-9334-847EBBF4A1CE}"/>
    <cellStyle name="Style 98 4 2 3 4 2 2" xfId="31965" xr:uid="{FF4BCD56-BF11-433E-AFD9-7E0942F46DB7}"/>
    <cellStyle name="Style 98 4 2 3 4 3" xfId="31964" xr:uid="{0187F636-8EFE-4640-8C6A-E844F22FA99A}"/>
    <cellStyle name="Style 98 4 2 3 5" xfId="16242" xr:uid="{ED7C9734-6AD4-49E6-B5DB-59FBFF0A409A}"/>
    <cellStyle name="Style 98 4 2 3 5 2" xfId="16243" xr:uid="{E9D6EF10-9F63-4E3D-BFD3-4B6B0DCC1AF7}"/>
    <cellStyle name="Style 98 4 2 3 5 2 2" xfId="31967" xr:uid="{3D5B6AA8-739C-4031-A889-5F7613CA9391}"/>
    <cellStyle name="Style 98 4 2 3 5 3" xfId="31966" xr:uid="{DEAB4762-891B-40A9-9B86-7E677BF1D49C}"/>
    <cellStyle name="Style 98 4 2 3 6" xfId="16244" xr:uid="{E329D134-6B69-40EF-B6C0-69EAB635AF50}"/>
    <cellStyle name="Style 98 4 2 3 6 2" xfId="16245" xr:uid="{0A0C688F-5842-413F-B6D4-6AD5383C9D70}"/>
    <cellStyle name="Style 98 4 2 3 6 2 2" xfId="31969" xr:uid="{114EE235-C336-4048-9595-7031F52A0D9D}"/>
    <cellStyle name="Style 98 4 2 3 6 3" xfId="31968" xr:uid="{E8560CA1-6064-462B-95CB-FABABCB5B330}"/>
    <cellStyle name="Style 98 4 2 3 7" xfId="16246" xr:uid="{390DBFFF-023F-440E-AAF5-BCAC5BF8F0B1}"/>
    <cellStyle name="Style 98 4 2 3 7 2" xfId="16247" xr:uid="{C48F94D2-80D3-44EA-AAD9-961875965488}"/>
    <cellStyle name="Style 98 4 2 3 7 2 2" xfId="31971" xr:uid="{858BE60C-1987-4E34-A08D-857497DC0969}"/>
    <cellStyle name="Style 98 4 2 3 7 3" xfId="31970" xr:uid="{AF276750-5960-4D67-9B33-E1A028E2B11C}"/>
    <cellStyle name="Style 98 4 2 3 8 2" xfId="31972" xr:uid="{F43EED70-BE48-4A25-AD28-6FB7032BE48D}"/>
    <cellStyle name="Style 98 4 2 3 9" xfId="16248" xr:uid="{C65FD93B-55F1-4995-8A19-36760E955303}"/>
    <cellStyle name="Style 98 4 2 3 9 2" xfId="31973" xr:uid="{AC075C73-3F22-4E43-885C-22104C2613E7}"/>
    <cellStyle name="Style 98 4 2 4" xfId="5473" xr:uid="{E732BA18-6A48-4774-B93F-1CB08BC71BA7}"/>
    <cellStyle name="Style 98 4 2 4 2 2 2" xfId="31975" xr:uid="{32FCDA76-2D73-4033-816F-EFCAFFA62FE2}"/>
    <cellStyle name="Style 98 4 2 4 2 3" xfId="31974" xr:uid="{7E94F7CD-7A7B-4793-BDB2-B87C7E7C3821}"/>
    <cellStyle name="Style 98 4 2 4 3" xfId="16249" xr:uid="{09B0934E-5692-4338-AE99-EF756B0FBB36}"/>
    <cellStyle name="Style 98 4 2 4 3 2" xfId="16250" xr:uid="{3CBB25CD-7C42-471A-81DE-8892F4D53CD2}"/>
    <cellStyle name="Style 98 4 2 4 3 2 2" xfId="31977" xr:uid="{6B66A4E7-A028-452E-B15D-C9D8C19ABA59}"/>
    <cellStyle name="Style 98 4 2 4 3 3" xfId="31976" xr:uid="{61FD202D-1E73-479C-BD96-FEDC9E8B4A5F}"/>
    <cellStyle name="Style 98 4 2 4 4" xfId="16251" xr:uid="{E4ABE15F-666A-4F39-BAF4-C3A271633B7E}"/>
    <cellStyle name="Style 98 4 2 4 4 2" xfId="16252" xr:uid="{DD1B1392-3473-480C-9CA8-7D61997384F8}"/>
    <cellStyle name="Style 98 4 2 4 4 2 2" xfId="31979" xr:uid="{91FE3482-30A8-43ED-BF7B-9D2DA1576C9E}"/>
    <cellStyle name="Style 98 4 2 4 4 3" xfId="31978" xr:uid="{400CC6B3-2581-4E4D-9ABB-52FC83A324B6}"/>
    <cellStyle name="Style 98 4 2 4 5" xfId="16253" xr:uid="{C0E6F282-3408-473C-A6B4-B25C19822885}"/>
    <cellStyle name="Style 98 4 2 4 5 2" xfId="16254" xr:uid="{192A4F51-BA23-4785-8AA5-63E08CF60277}"/>
    <cellStyle name="Style 98 4 2 4 5 2 2" xfId="31980" xr:uid="{55B95084-FD66-4B30-871F-15CD5C0579FF}"/>
    <cellStyle name="Style 98 4 2 4 6" xfId="16255" xr:uid="{384B202A-FB87-48E1-952E-E5CDF9336826}"/>
    <cellStyle name="Style 98 4 2 4 6 2" xfId="31981" xr:uid="{15F71342-1A23-4A35-9B28-7F2EFDD0D1F6}"/>
    <cellStyle name="Style 98 4 2 4 7" xfId="16256" xr:uid="{05C8A0CD-7796-47D5-81C4-90EB94F03B40}"/>
    <cellStyle name="Style 98 4 2 4 7 2" xfId="31982" xr:uid="{ED7F34F3-191B-455C-90E0-99A80E7D0767}"/>
    <cellStyle name="Style 98 4 2 5" xfId="16257" xr:uid="{D44C8369-7D31-4FC7-B2FC-FE24B98756FB}"/>
    <cellStyle name="Style 98 4 2 5 2 2" xfId="31983" xr:uid="{5F01D5E0-D771-4197-AD72-161C58EA270F}"/>
    <cellStyle name="Style 98 4 2 5 3 2" xfId="31984" xr:uid="{FDCA1234-EDB6-49F5-9E94-5778CC3746CE}"/>
    <cellStyle name="Style 98 4 2 6" xfId="16258" xr:uid="{7A992315-315B-4D30-9ABB-D8D38C372FB6}"/>
    <cellStyle name="Style 98 4 2 6 2" xfId="16259" xr:uid="{CC2803F9-F444-42C4-A0DE-ABC374DE8768}"/>
    <cellStyle name="Style 98 4 2 6 2 2" xfId="31986" xr:uid="{52C7B0DC-ADAA-44FE-8AAC-59515965776A}"/>
    <cellStyle name="Style 98 4 2 6 3" xfId="31985" xr:uid="{BDE0CCE5-DC36-46B6-A3FB-7DED65743C84}"/>
    <cellStyle name="Style 98 4 2 7 2" xfId="16260" xr:uid="{6ABC2828-E233-428B-B8BA-B08A8FECFBD3}"/>
    <cellStyle name="Style 98 4 2 7 2 2" xfId="31988" xr:uid="{489D0282-72F0-405F-A6E8-567817A44C5A}"/>
    <cellStyle name="Style 98 4 2 7 3" xfId="31987" xr:uid="{94DC18F1-74A6-4284-A8EC-F75C1D600B2B}"/>
    <cellStyle name="Style 98 4 2 8" xfId="16261" xr:uid="{C19A56A9-6555-4D23-92BD-122B203F452C}"/>
    <cellStyle name="Style 98 4 2 8 2" xfId="16262" xr:uid="{31243205-B83A-4C78-9291-3A54B1BFE444}"/>
    <cellStyle name="Style 98 4 2 8 3" xfId="31989" xr:uid="{AE774282-7E76-41C0-8C98-FD8CAC8145A8}"/>
    <cellStyle name="Style 98 4 2 9" xfId="16263" xr:uid="{2870464E-8968-452B-ABD3-FE17DADA7965}"/>
    <cellStyle name="Style 98 4 2 9 2" xfId="16264" xr:uid="{D30B4F57-D537-42E0-BA84-A5452C3D6B4C}"/>
    <cellStyle name="Style 98 4 2 9 2 2" xfId="31991" xr:uid="{51B796F5-E57D-4BBC-9EC6-47A28B02E047}"/>
    <cellStyle name="Style 98 4 2 9 3" xfId="31990" xr:uid="{BC241A39-8AF4-4B12-94A1-CCEAFA366AAF}"/>
    <cellStyle name="Style 98 4 3" xfId="2531" xr:uid="{85B60005-88E7-47CF-9DA4-E0418A7A8E15}"/>
    <cellStyle name="Style 98 4 3 2 2" xfId="16265" xr:uid="{29B1564F-B2DE-4725-B7C4-B5C79E8D1C81}"/>
    <cellStyle name="Style 98 4 3 2 2 2" xfId="16266" xr:uid="{2A598B8E-5FBB-44EE-A040-365206FB80B6}"/>
    <cellStyle name="Style 98 4 3 2 2 2 2" xfId="31993" xr:uid="{0BFC9D0B-3E3F-4FC0-83BE-E04E4EB51135}"/>
    <cellStyle name="Style 98 4 3 2 2 3" xfId="31992" xr:uid="{F542E905-43E9-4A9D-893B-0933D83AE371}"/>
    <cellStyle name="Style 98 4 3 2 3" xfId="16267" xr:uid="{43ED0876-BA40-4F6A-BE80-89108B08BE98}"/>
    <cellStyle name="Style 98 4 3 2 3 2 2" xfId="31995" xr:uid="{17C3F960-A4E7-485E-B718-55500BCF5271}"/>
    <cellStyle name="Style 98 4 3 2 3 3" xfId="31994" xr:uid="{E25B132E-8041-4F3C-8085-5524D77CF9F8}"/>
    <cellStyle name="Style 98 4 3 2 4 2" xfId="16268" xr:uid="{CEF46033-F035-4397-B033-6380B67A48B0}"/>
    <cellStyle name="Style 98 4 3 2 5" xfId="16269" xr:uid="{770A834A-415A-43C2-92D5-78A7599BDF7B}"/>
    <cellStyle name="Style 98 4 3 2 5 2 2" xfId="31997" xr:uid="{ABB12FEC-050D-4F8D-BE42-06C7FB6C2EA1}"/>
    <cellStyle name="Style 98 4 3 2 5 3" xfId="31996" xr:uid="{D3E856A3-4CBE-412F-BE41-E8BCA225CF2C}"/>
    <cellStyle name="Style 98 4 3 2 6 2" xfId="31998" xr:uid="{8695BD29-CF9B-4FAE-9B3C-E0144903DA35}"/>
    <cellStyle name="Style 98 4 3 2 7" xfId="16270" xr:uid="{ACA45E5D-7EDA-4264-8A5B-465D21C00F76}"/>
    <cellStyle name="Style 98 4 3 2 7 2" xfId="31999" xr:uid="{75BCE223-891D-4A94-95BF-6AC1DEDF0517}"/>
    <cellStyle name="Style 98 4 3 3" xfId="5476" xr:uid="{E183D9F0-F74E-4B99-9CF9-1BF0B781F3A0}"/>
    <cellStyle name="Style 98 4 3 3 2" xfId="16271" xr:uid="{712746C3-A0E8-43A6-9A01-6CB553A9F38D}"/>
    <cellStyle name="Style 98 4 3 3 2 2" xfId="32000" xr:uid="{A37777AD-34DA-4D7C-953F-1AC552949B20}"/>
    <cellStyle name="Style 98 4 3 3 3" xfId="16272" xr:uid="{8DF1D9C0-6ABE-4EAA-B99A-8E20838BE424}"/>
    <cellStyle name="Style 98 4 3 3 3 2" xfId="32001" xr:uid="{8E146305-D918-4860-9D10-F55765CAFCE9}"/>
    <cellStyle name="Style 98 4 3 4" xfId="16273" xr:uid="{09CAEFA4-28F9-45EB-A6AC-080C14D52E1A}"/>
    <cellStyle name="Style 98 4 3 4 2" xfId="16274" xr:uid="{D6D48BB8-C330-4D1B-880D-E75519D07E70}"/>
    <cellStyle name="Style 98 4 3 4 3" xfId="16275" xr:uid="{134FE00F-3AB7-45CE-ACC7-8F41C48F8414}"/>
    <cellStyle name="Style 98 4 3 4 3 2" xfId="32002" xr:uid="{045FDE19-E566-4AD8-A4EE-4FC09430366A}"/>
    <cellStyle name="Style 98 4 3 5" xfId="16276" xr:uid="{DA51319E-1C84-4CF4-8A3D-B4B0EE056358}"/>
    <cellStyle name="Style 98 4 3 5 2" xfId="16277" xr:uid="{102B68E2-1F27-4F91-9ABA-B9594622F59C}"/>
    <cellStyle name="Style 98 4 3 5 2 2" xfId="32003" xr:uid="{7F7C8F41-A7C6-4D5E-B742-A52AED3D64D1}"/>
    <cellStyle name="Style 98 4 3 6" xfId="16278" xr:uid="{3F01F6B4-FB25-44D8-9024-BD0C0DBA95E6}"/>
    <cellStyle name="Style 98 4 3 6 2" xfId="16279" xr:uid="{7604DB43-102C-4DFE-B081-B50BF8A5552C}"/>
    <cellStyle name="Style 98 4 3 6 2 2" xfId="32005" xr:uid="{D2F514B2-811A-407A-9FF5-2D78761E5460}"/>
    <cellStyle name="Style 98 4 3 6 3" xfId="32004" xr:uid="{F22B3904-2AA5-44DB-9784-8EC6DC040FF5}"/>
    <cellStyle name="Style 98 4 3 7" xfId="16280" xr:uid="{8151C3F5-2B7C-4D92-AC14-6C2DB1A7A162}"/>
    <cellStyle name="Style 98 4 3 7 2" xfId="16281" xr:uid="{254465FD-7462-4C98-ACD5-CB9BB428861B}"/>
    <cellStyle name="Style 98 4 3 7 2 2" xfId="32007" xr:uid="{BB541D41-7ED2-4DEB-B68A-F1792F66AAD9}"/>
    <cellStyle name="Style 98 4 3 7 3" xfId="32006" xr:uid="{CB39F2F1-E806-4F17-97C7-2124E6053EBA}"/>
    <cellStyle name="Style 98 4 3 8" xfId="16282" xr:uid="{06AC5086-AC10-4130-BEA5-3826EB0BD2AE}"/>
    <cellStyle name="Style 98 4 3 8 2" xfId="32008" xr:uid="{0B29A2A6-6CF8-4EF4-853A-E123B26A6947}"/>
    <cellStyle name="Style 98 4 3 9" xfId="16283" xr:uid="{693B513D-343D-4AB6-B20C-20726CE5BAEA}"/>
    <cellStyle name="Style 98 4 3 9 2" xfId="32009" xr:uid="{7188ABFA-496E-45B6-A853-E8E3466CD902}"/>
    <cellStyle name="Style 98 4 4 2" xfId="16284" xr:uid="{7C95BB50-5CD5-4C46-B736-8EA94E811A7E}"/>
    <cellStyle name="Style 98 4 4 2 2" xfId="16285" xr:uid="{1CB6165A-8E34-423C-9443-80812AD5A55B}"/>
    <cellStyle name="Style 98 4 4 2 2 2" xfId="32011" xr:uid="{1608D977-AD30-49F9-A5C5-AE4A73891C31}"/>
    <cellStyle name="Style 98 4 4 2 3" xfId="32010" xr:uid="{0B86E154-6D2B-4D71-B296-56C16EAD8978}"/>
    <cellStyle name="Style 98 4 4 3" xfId="16286" xr:uid="{D6885E5E-688A-41BB-9C09-51291BA8681F}"/>
    <cellStyle name="Style 98 4 4 3 2 2" xfId="32013" xr:uid="{575A00F5-4E84-4CDB-8C40-DA88BCACCFDE}"/>
    <cellStyle name="Style 98 4 4 3 3" xfId="32012" xr:uid="{AD09229A-E604-48F4-8408-121BFD98AC4F}"/>
    <cellStyle name="Style 98 4 4 4" xfId="16287" xr:uid="{B89C8AFE-B2EB-47F4-B2A6-FC5E7DE08AFC}"/>
    <cellStyle name="Style 98 4 4 4 2" xfId="16288" xr:uid="{484459D3-0726-448E-9E26-9EACCBFE11B6}"/>
    <cellStyle name="Style 98 4 4 4 2 2" xfId="32015" xr:uid="{D3B42811-8C09-4684-AF16-49B2DDDA087A}"/>
    <cellStyle name="Style 98 4 4 4 3" xfId="32014" xr:uid="{D207D924-D9A4-4F21-BDDA-AC72302C2B3E}"/>
    <cellStyle name="Style 98 4 4 5" xfId="16289" xr:uid="{1887D6AE-BF22-4BBA-BCF6-DAD787E2E49A}"/>
    <cellStyle name="Style 98 4 4 5 2" xfId="16290" xr:uid="{0DD04145-7064-401F-8431-9B632E837859}"/>
    <cellStyle name="Style 98 4 4 5 2 2" xfId="32017" xr:uid="{03057545-2F69-4C99-8BF9-8151CA574811}"/>
    <cellStyle name="Style 98 4 4 5 3" xfId="32016" xr:uid="{B58D6946-4E17-4734-BE5D-AD14A19DCAE9}"/>
    <cellStyle name="Style 98 4 4 6" xfId="16291" xr:uid="{67016F2E-FCA0-4FAF-A808-E9CFC98F9538}"/>
    <cellStyle name="Style 98 4 4 6 2" xfId="32018" xr:uid="{3209F08F-DFD6-458F-A449-B4095AB51EB6}"/>
    <cellStyle name="Style 98 4 4 7" xfId="16292" xr:uid="{9B386356-379F-4F15-A71B-BE3403C94467}"/>
    <cellStyle name="Style 98 4 5" xfId="5477" xr:uid="{8F945E7B-F0CD-4511-B943-D695FB595111}"/>
    <cellStyle name="Style 98 4 5 2" xfId="16293" xr:uid="{B9087DB5-E52F-4ADB-9D17-CD21D8DA1F92}"/>
    <cellStyle name="Style 98 4 5 2 2" xfId="32019" xr:uid="{A6856357-ADD4-496F-B7D7-7D2355825265}"/>
    <cellStyle name="Style 98 4 5 3" xfId="16294" xr:uid="{2CBE8610-8203-44A4-B91E-E1819648F2ED}"/>
    <cellStyle name="Style 98 4 5 3 2" xfId="32020" xr:uid="{1186DBBC-F757-48B8-83A0-869507824EA9}"/>
    <cellStyle name="Style 98 4 6" xfId="5472" xr:uid="{39684C82-FD10-41E2-A846-FB4C780A89F8}"/>
    <cellStyle name="Style 98 4 6 2 2" xfId="32021" xr:uid="{D9CF6FD3-94FB-4A3A-92F3-1F1BB6F77F20}"/>
    <cellStyle name="Style 98 4 6 3" xfId="16295" xr:uid="{4292402C-290C-421B-8150-3ED524A74706}"/>
    <cellStyle name="Style 98 4 6 3 2" xfId="32022" xr:uid="{F1C10A0C-B868-4070-BDF7-1498511F2202}"/>
    <cellStyle name="Style 98 4 7" xfId="16296" xr:uid="{6D5596EC-0A02-4252-9CEA-E252DBA47190}"/>
    <cellStyle name="Style 98 4 7 2" xfId="16297" xr:uid="{C4954810-B3DB-4DF6-A3AC-8F0726215104}"/>
    <cellStyle name="Style 98 4 7 3 2" xfId="32023" xr:uid="{9CC09F28-3080-4EAD-86CF-42A30FCF75D8}"/>
    <cellStyle name="Style 98 4 8 2" xfId="16298" xr:uid="{B0EC4E20-1F8B-4F36-87C2-F6F665B9D61B}"/>
    <cellStyle name="Style 98 4 8 2 2" xfId="32025" xr:uid="{CEB65F64-23EE-40FF-9225-61FBD0541F4E}"/>
    <cellStyle name="Style 98 4 8 3" xfId="32024" xr:uid="{B6B4079A-36A2-4690-BC7B-4993991BD034}"/>
    <cellStyle name="Style 98 4 9 3" xfId="32026" xr:uid="{E0CA6C22-699C-473B-A978-407EDE513A25}"/>
    <cellStyle name="Style 98 5" xfId="2532" xr:uid="{EF3ED55C-DB26-4AD0-9D67-7A0C67D78FC6}"/>
    <cellStyle name="Style 98 5 10" xfId="16299" xr:uid="{9889886D-C309-4D95-9292-7C9363AB2E74}"/>
    <cellStyle name="Style 98 5 10 2" xfId="32027" xr:uid="{EA26FF8E-D361-4631-BC9D-131FBA579B01}"/>
    <cellStyle name="Style 98 5 11" xfId="16300" xr:uid="{C24C965F-DE1D-40C2-A789-39843EA1506F}"/>
    <cellStyle name="Style 98 5 2" xfId="2533" xr:uid="{29CD1C60-73A6-4973-B50E-5234EC7E7187}"/>
    <cellStyle name="Style 98 5 2 2" xfId="5478" xr:uid="{9C4C7E58-C7AE-4020-B960-8D8CD37E0A83}"/>
    <cellStyle name="Style 98 5 2 2 2" xfId="16301" xr:uid="{33892D42-41E4-4E3D-BD53-2A3D592F1037}"/>
    <cellStyle name="Style 98 5 2 2 2 2" xfId="16302" xr:uid="{4155A9CB-CAE8-4F92-A57E-98E94E1AA3AB}"/>
    <cellStyle name="Style 98 5 2 2 2 2 2" xfId="32028" xr:uid="{E7944D25-AC1E-4045-AFC3-D866767EA07A}"/>
    <cellStyle name="Style 98 5 2 2 3" xfId="16303" xr:uid="{2C9C7521-5FE8-4C36-A786-F4A2D3A3904A}"/>
    <cellStyle name="Style 98 5 2 2 3 2" xfId="16304" xr:uid="{8D4AE824-1779-473D-B59A-4CF91F8E459F}"/>
    <cellStyle name="Style 98 5 2 2 3 2 2" xfId="32030" xr:uid="{30863441-8CDA-4EE0-9F40-6007671BBCFF}"/>
    <cellStyle name="Style 98 5 2 2 3 3" xfId="32029" xr:uid="{D71662A1-6618-4556-A126-6C6330E9C12B}"/>
    <cellStyle name="Style 98 5 2 2 4" xfId="16305" xr:uid="{0D766851-D7CD-4619-8518-E5B87E27C1D1}"/>
    <cellStyle name="Style 98 5 2 2 4 2 2" xfId="32031" xr:uid="{D46F7D67-D499-4DF1-8CF6-78D0CBD57DBE}"/>
    <cellStyle name="Style 98 5 2 2 5" xfId="16306" xr:uid="{1089A4B8-FF02-4C8F-B281-7F45D8D32E3E}"/>
    <cellStyle name="Style 98 5 2 2 5 2" xfId="16307" xr:uid="{00FDFD49-F7F6-47E1-9579-B5B62C710B10}"/>
    <cellStyle name="Style 98 5 2 2 5 2 2" xfId="32033" xr:uid="{EE6F6273-A115-490F-9B6C-C054BAC6B945}"/>
    <cellStyle name="Style 98 5 2 2 5 3" xfId="32032" xr:uid="{F6B5C999-D88A-4FA7-B983-E73382156AF6}"/>
    <cellStyle name="Style 98 5 2 2 6" xfId="16308" xr:uid="{DF5D168B-F59C-4366-99F2-9A5A31EAB345}"/>
    <cellStyle name="Style 98 5 2 2 6 2" xfId="32034" xr:uid="{F064FF13-F074-4E32-9EA5-8937A3CBA963}"/>
    <cellStyle name="Style 98 5 2 2 7" xfId="16309" xr:uid="{AC2F661E-57B2-4AEB-A1D3-42315E49F3C4}"/>
    <cellStyle name="Style 98 5 2 2 7 2" xfId="32035" xr:uid="{26D7F400-9EDD-4FE3-BBED-177A26370DB3}"/>
    <cellStyle name="Style 98 5 2 3" xfId="16310" xr:uid="{EAABBEBE-7887-42B2-A5A8-33AB58EDC7DA}"/>
    <cellStyle name="Style 98 5 2 3 2 2" xfId="32036" xr:uid="{8DF69F2D-295D-46FA-A08D-27C4A1DACFD1}"/>
    <cellStyle name="Style 98 5 2 3 3 2" xfId="32037" xr:uid="{DD236565-6915-4B08-A80D-9D12E334586D}"/>
    <cellStyle name="Style 98 5 2 4 2 2" xfId="32039" xr:uid="{F86A10CD-8D14-4A37-96FC-295C3E279555}"/>
    <cellStyle name="Style 98 5 2 4 3" xfId="32038" xr:uid="{1AF4A25C-543B-4E3B-ACEC-9B7C68DD2455}"/>
    <cellStyle name="Style 98 5 2 5" xfId="16311" xr:uid="{E26F0AB4-31F3-4D60-BD0E-30923546092B}"/>
    <cellStyle name="Style 98 5 2 5 2" xfId="16312" xr:uid="{AF05DE7F-C8FB-4E3A-B226-01E69AD98D26}"/>
    <cellStyle name="Style 98 5 2 5 2 2" xfId="32040" xr:uid="{E6EF931A-6888-4E96-83BE-8D19E7C4F96E}"/>
    <cellStyle name="Style 98 5 2 6" xfId="16313" xr:uid="{E4DCBB76-0768-4B52-9F6A-4A2D14B7309C}"/>
    <cellStyle name="Style 98 5 2 6 2" xfId="16314" xr:uid="{BC732DE8-0D6E-4C11-A27F-32F88A3391C1}"/>
    <cellStyle name="Style 98 5 2 6 2 2" xfId="32042" xr:uid="{78751887-D497-4E2A-A647-87D826983F2D}"/>
    <cellStyle name="Style 98 5 2 6 3" xfId="32041" xr:uid="{8FCE1D9C-4491-4BB7-A6C3-63B30B98A51A}"/>
    <cellStyle name="Style 98 5 2 7" xfId="16315" xr:uid="{08EF3DE1-2F81-4FD9-9876-282059F4B093}"/>
    <cellStyle name="Style 98 5 2 7 2" xfId="16316" xr:uid="{C63AD359-4D67-43B5-963B-CB0E54A0C924}"/>
    <cellStyle name="Style 98 5 2 7 3" xfId="32043" xr:uid="{3579260A-0D58-45C2-AD1B-9A2DF3EDE9C9}"/>
    <cellStyle name="Style 98 5 2 8" xfId="16317" xr:uid="{03B1ECA4-5408-456A-B3EC-4326178FF198}"/>
    <cellStyle name="Style 98 5 2 8 2" xfId="32044" xr:uid="{342DBEDF-611B-4B7B-98F8-4BAEDF0F6F9D}"/>
    <cellStyle name="Style 98 5 2 9" xfId="16318" xr:uid="{CCC969D9-4A4F-4EE9-9ECE-DAC6D338319F}"/>
    <cellStyle name="Style 98 5 2 9 2" xfId="32045" xr:uid="{0CC946EB-9D78-434F-A56B-172DE570818C}"/>
    <cellStyle name="Style 98 5 3 2" xfId="16319" xr:uid="{D48F3834-5F8C-422E-8B9C-01333DA2C656}"/>
    <cellStyle name="Style 98 5 3 2 2" xfId="16320" xr:uid="{99794822-7DA7-442F-B23C-98EDDBC812BA}"/>
    <cellStyle name="Style 98 5 3 2 2 2" xfId="32047" xr:uid="{8FCC971D-7878-44AD-A4BD-C4DA87612044}"/>
    <cellStyle name="Style 98 5 3 2 3" xfId="32046" xr:uid="{F5EE1991-375F-4BA3-8A0E-D331BC07142A}"/>
    <cellStyle name="Style 98 5 3 3" xfId="16321" xr:uid="{ECC99219-03A8-409E-9A01-0F314661852F}"/>
    <cellStyle name="Style 98 5 3 3 2" xfId="16322" xr:uid="{9DE7F6DE-6998-4BE4-96AE-B833422A0A25}"/>
    <cellStyle name="Style 98 5 3 3 2 2" xfId="32049" xr:uid="{8A468FAD-2A22-4D51-8F2E-1625CBE04E09}"/>
    <cellStyle name="Style 98 5 3 3 3" xfId="32048" xr:uid="{04CBC310-7278-426F-84B7-8D667644651C}"/>
    <cellStyle name="Style 98 5 3 4" xfId="16323" xr:uid="{F51D54AD-6D88-4EFB-9333-51A3404171DC}"/>
    <cellStyle name="Style 98 5 3 4 2" xfId="16324" xr:uid="{E9C81367-1A5E-4CEB-9991-F9AF7300B66A}"/>
    <cellStyle name="Style 98 5 3 4 2 2" xfId="32051" xr:uid="{2D1A8A93-FE22-41E6-9380-A2D7D2C435EC}"/>
    <cellStyle name="Style 98 5 3 4 3" xfId="32050" xr:uid="{8D7CA1BA-A3F3-43C1-8BE1-0620FAC1BFA1}"/>
    <cellStyle name="Style 98 5 3 5" xfId="16325" xr:uid="{E567B739-FAD2-4C10-A0E4-293F6969A91F}"/>
    <cellStyle name="Style 98 5 3 5 2" xfId="16326" xr:uid="{EE87A69B-1B03-4BFC-ADC8-6FE17B20B472}"/>
    <cellStyle name="Style 98 5 3 5 2 2" xfId="32053" xr:uid="{4D5C156E-EF93-4AC9-8470-FB31C6788EDD}"/>
    <cellStyle name="Style 98 5 3 5 3" xfId="32052" xr:uid="{CF06FC60-233B-4049-A765-A6F800B83FAF}"/>
    <cellStyle name="Style 98 5 3 6" xfId="16327" xr:uid="{622EE476-7642-4B95-977C-4DD3F268AB44}"/>
    <cellStyle name="Style 98 5 3 7" xfId="16328" xr:uid="{873386AE-4B38-4F43-B297-BA842404E433}"/>
    <cellStyle name="Style 98 5 3 7 2" xfId="32054" xr:uid="{9BE17320-8590-40C9-8CE3-72F401E6BA47}"/>
    <cellStyle name="Style 98 5 4" xfId="16329" xr:uid="{126AB490-D5AE-4B59-A357-C315A627F7C4}"/>
    <cellStyle name="Style 98 5 4 2 2" xfId="32055" xr:uid="{53676CAC-36F5-487B-9205-87AFD557EA49}"/>
    <cellStyle name="Style 98 5 4 3 2" xfId="32056" xr:uid="{3615BD05-2758-4EDC-961E-2FBDC7925622}"/>
    <cellStyle name="Style 98 5 5" xfId="16330" xr:uid="{FD6B34CD-9ABA-4279-BA45-E9D494C45E2A}"/>
    <cellStyle name="Style 98 5 5 2" xfId="16331" xr:uid="{44903D56-0858-4299-8EFD-84B61A3FE62C}"/>
    <cellStyle name="Style 98 5 5 3" xfId="32057" xr:uid="{99E41D46-AAFC-4E75-AA36-12AEE5F12309}"/>
    <cellStyle name="Style 98 5 6" xfId="16332" xr:uid="{2F96361C-4AFB-4D1D-BF8F-A3E6E2EB6AE5}"/>
    <cellStyle name="Style 98 5 6 2" xfId="16333" xr:uid="{8E12B3AD-A4FF-4EA9-99C6-3CBC7D5CA668}"/>
    <cellStyle name="Style 98 5 6 2 2" xfId="32059" xr:uid="{C7485693-7BB6-4006-B274-148A10A5BBBF}"/>
    <cellStyle name="Style 98 5 6 3" xfId="32058" xr:uid="{22D066C2-BD1F-440F-8AB4-43CC7BCAEEE4}"/>
    <cellStyle name="Style 98 5 7" xfId="16334" xr:uid="{E4C5E460-16A4-4BD1-ADD2-E2643799FDA2}"/>
    <cellStyle name="Style 98 5 7 2" xfId="16335" xr:uid="{CF62802A-1AB7-4C72-A946-C72D48AFFC57}"/>
    <cellStyle name="Style 98 5 7 2 2" xfId="32060" xr:uid="{7727DF7C-E2AB-4F0C-B974-B87C0B8DFE5E}"/>
    <cellStyle name="Style 98 5 8" xfId="16336" xr:uid="{BF831D6A-6295-45AD-B8D8-C8722AEEE602}"/>
    <cellStyle name="Style 98 5 8 2" xfId="16337" xr:uid="{9EEDED62-18C8-4B0A-BA78-724A108C189F}"/>
    <cellStyle name="Style 98 5 8 2 2" xfId="32062" xr:uid="{18CF0A55-56FE-413E-BD4F-C51C248F4434}"/>
    <cellStyle name="Style 98 5 8 3" xfId="32061" xr:uid="{C8BD308A-0652-4D9D-9C50-3C13E0A204DB}"/>
    <cellStyle name="Style 98 5 9" xfId="16338" xr:uid="{2571E51D-1A72-48E2-B549-7CEAF688F079}"/>
    <cellStyle name="Style 98 5 9 2" xfId="16339" xr:uid="{B7615E9F-B952-4CB9-9356-6D9508F46816}"/>
    <cellStyle name="Style 98 5 9 2 2" xfId="32064" xr:uid="{498FACC5-E847-4DD3-8735-5FD605F4E013}"/>
    <cellStyle name="Style 98 5 9 3" xfId="32063" xr:uid="{9755853F-7AA2-4A58-B401-14E8F4125134}"/>
    <cellStyle name="Style 98 6" xfId="2534" xr:uid="{E9805CE5-839F-4090-BEA3-9409F914A1A5}"/>
    <cellStyle name="Style 98 6 10" xfId="16340" xr:uid="{23145390-1AD3-45E9-B7C5-276618CB5459}"/>
    <cellStyle name="Style 98 6 10 2" xfId="32065" xr:uid="{C65BB83D-5B82-4F16-AC4A-DFDDC72F6F79}"/>
    <cellStyle name="Style 98 6 2" xfId="2806" xr:uid="{2779DCFB-99E0-4FB1-B437-BF773ED27259}"/>
    <cellStyle name="Style 98 6 2 2" xfId="5480" xr:uid="{43FD212D-5BE7-4F5B-BE85-32AD27341509}"/>
    <cellStyle name="Style 98 6 2 2 2" xfId="16341" xr:uid="{BD5403D7-3C56-4AAA-B867-4E989516E8DF}"/>
    <cellStyle name="Style 98 6 2 2 2 2" xfId="32066" xr:uid="{F051588A-B11E-4B9E-BB41-3BE39B882FB2}"/>
    <cellStyle name="Style 98 6 2 2 3" xfId="16342" xr:uid="{0B9F8617-490C-4CBC-86D2-D17A58DDCD67}"/>
    <cellStyle name="Style 98 6 2 2 3 2" xfId="32067" xr:uid="{BFD8EA39-7EF3-42F1-89B3-0F2CE8346819}"/>
    <cellStyle name="Style 98 6 2 2 4" xfId="22552" xr:uid="{748983EC-56B4-4048-A904-A6B30EFD3BBC}"/>
    <cellStyle name="Style 98 6 2 3 2 2" xfId="32069" xr:uid="{E8C979D0-925A-4A79-9891-340BE3F4BF69}"/>
    <cellStyle name="Style 98 6 2 3 3" xfId="32068" xr:uid="{5583A9B5-C7F0-4946-9767-A37AFA65C4A4}"/>
    <cellStyle name="Style 98 6 2 4" xfId="16343" xr:uid="{1B73856C-2F79-401B-ADBB-30B8B211C4D8}"/>
    <cellStyle name="Style 98 6 2 4 2" xfId="16344" xr:uid="{9168F777-DF68-495E-A435-58D2BA0052E6}"/>
    <cellStyle name="Style 98 6 2 4 3" xfId="32070" xr:uid="{7E450F39-5FED-4C70-9B95-8025D2A7F394}"/>
    <cellStyle name="Style 98 6 2 5 2" xfId="16345" xr:uid="{47138195-7B63-41F0-9111-4CC74721BE57}"/>
    <cellStyle name="Style 98 6 2 5 2 2" xfId="32072" xr:uid="{03E29A10-865B-46B8-A4FD-2416AFCA47BF}"/>
    <cellStyle name="Style 98 6 2 5 3" xfId="32071" xr:uid="{41CEEEF0-CAF5-412E-A1B1-12CA5B509421}"/>
    <cellStyle name="Style 98 6 2 6" xfId="16346" xr:uid="{5718EA4A-08E9-4CB1-A509-EAF17BBD6FF2}"/>
    <cellStyle name="Style 98 6 2 6 2" xfId="32073" xr:uid="{78758DCE-7444-4AA4-9AC8-BC6A7FD521F7}"/>
    <cellStyle name="Style 98 6 2 7" xfId="16347" xr:uid="{C36B76D9-5221-4730-BFA9-8F71E792B1A4}"/>
    <cellStyle name="Style 98 6 2 7 2" xfId="32074" xr:uid="{DF4DA0F2-E4B5-470F-B387-BFDE15E2ECFC}"/>
    <cellStyle name="Style 98 6 3" xfId="5481" xr:uid="{C549D16A-B13E-4593-A047-25209EDA4A14}"/>
    <cellStyle name="Style 98 6 3 2" xfId="16348" xr:uid="{75937FEB-8A0F-4EA5-8B09-26A41B5264C4}"/>
    <cellStyle name="Style 98 6 3 3" xfId="16349" xr:uid="{296ADAD3-0798-491B-92A3-2F3243116985}"/>
    <cellStyle name="Style 98 6 3 3 2" xfId="32075" xr:uid="{728E27E1-66A5-4EBD-8AB4-D6FC3115DF03}"/>
    <cellStyle name="Style 98 6 4" xfId="5479" xr:uid="{28942045-5565-4FB8-B7DD-43B82BB89AB6}"/>
    <cellStyle name="Style 98 6 4 2" xfId="16350" xr:uid="{72C1D291-10DA-470A-BEAC-5D6638FAA4E9}"/>
    <cellStyle name="Style 98 6 4 2 2" xfId="32076" xr:uid="{7B34978B-B665-4FF6-A1EE-6CD078A26393}"/>
    <cellStyle name="Style 98 6 4 3 2" xfId="32077" xr:uid="{02A330AE-B54E-4D0C-B9F4-F00DF3DB2FBF}"/>
    <cellStyle name="Style 98 6 5 2" xfId="16351" xr:uid="{5507958D-947D-46A7-A696-54C15D2B865B}"/>
    <cellStyle name="Style 98 6 5 2 2" xfId="32078" xr:uid="{838564E2-A5BC-43D8-B8AC-1A3331C99E8F}"/>
    <cellStyle name="Style 98 6 5 3" xfId="16352" xr:uid="{E062ED3B-7EE9-4AFD-B666-76BBC1D106DE}"/>
    <cellStyle name="Style 98 6 6" xfId="16353" xr:uid="{255F2120-80B8-4C1E-B644-8A2F0CAF76BE}"/>
    <cellStyle name="Style 98 6 6 2" xfId="16354" xr:uid="{9F18874C-9016-4719-8841-318E0D97252F}"/>
    <cellStyle name="Style 98 6 6 2 2" xfId="32080" xr:uid="{93D4DE32-526C-4303-A484-1FD105A02A96}"/>
    <cellStyle name="Style 98 6 6 3" xfId="32079" xr:uid="{D4EDD3D2-2823-4D7C-B6E5-413E0791F651}"/>
    <cellStyle name="Style 98 6 7" xfId="16355" xr:uid="{62110020-9BC8-42FF-ACB7-211A1F05B485}"/>
    <cellStyle name="Style 98 6 7 2" xfId="16356" xr:uid="{283CF3D9-0802-4170-A434-5C67097EF5AF}"/>
    <cellStyle name="Style 98 6 7 2 2" xfId="32082" xr:uid="{F78B8CA9-0F55-459A-BF3D-A046B8D33C74}"/>
    <cellStyle name="Style 98 6 7 3" xfId="32081" xr:uid="{8D995A13-77F0-437B-BFDB-C53C91C49029}"/>
    <cellStyle name="Style 98 6 8" xfId="16357" xr:uid="{F209F3BD-39AD-44C3-B54B-8CE76F9DC16C}"/>
    <cellStyle name="Style 98 6 8 2 2" xfId="32084" xr:uid="{D998A896-FFBB-4E3D-8487-5A5A133422F1}"/>
    <cellStyle name="Style 98 6 8 3" xfId="32083" xr:uid="{EB0084A1-94E2-40E3-BD3C-AA279AD1C510}"/>
    <cellStyle name="Style 98 6 9" xfId="16358" xr:uid="{EE233E5E-2704-40CF-A470-10759D49ED26}"/>
    <cellStyle name="Style 98 6 9 2" xfId="32085" xr:uid="{0FBF751B-B24A-4996-A5D9-CA422DDC793E}"/>
    <cellStyle name="Style 98 7" xfId="2805" xr:uid="{7E209592-28FE-4E92-B57C-B5C59163D47B}"/>
    <cellStyle name="Style 98 7 2" xfId="5483" xr:uid="{5817252D-E19C-4A32-BB78-EFFD8AE2C8B9}"/>
    <cellStyle name="Style 98 7 2 2" xfId="16359" xr:uid="{07F1BBED-43D8-4E51-9ED1-B9310D87DCE0}"/>
    <cellStyle name="Style 98 7 2 2 2" xfId="32086" xr:uid="{487EC775-9E6E-43D9-9682-08D0A3886816}"/>
    <cellStyle name="Style 98 7 2 3" xfId="16360" xr:uid="{D08C2B8D-7F09-4B88-8CAA-68475E4086C3}"/>
    <cellStyle name="Style 98 7 2 3 2" xfId="32087" xr:uid="{798E7EF9-CCEB-4FA9-A68B-F1417956FA86}"/>
    <cellStyle name="Style 98 7 3" xfId="5484" xr:uid="{9AC03E35-438A-46EC-B4C4-AC1C8A547A20}"/>
    <cellStyle name="Style 98 7 3 2" xfId="16361" xr:uid="{F55431D4-6932-43E9-9BA6-7080FE21BE3C}"/>
    <cellStyle name="Style 98 7 3 2 2" xfId="32088" xr:uid="{1F5CAAB2-F505-4396-BAC1-50023F61DA4B}"/>
    <cellStyle name="Style 98 7 3 3" xfId="16362" xr:uid="{61B08816-A551-4DFA-B988-757954A50741}"/>
    <cellStyle name="Style 98 7 3 3 2" xfId="32089" xr:uid="{420446AD-385B-49C6-B46A-428524A1A4EA}"/>
    <cellStyle name="Style 98 7 4" xfId="5482" xr:uid="{91531106-B61A-4745-9F16-5F4899F742CB}"/>
    <cellStyle name="Style 98 7 4 2" xfId="16363" xr:uid="{FC02DD25-7DC3-4371-BE1D-85E69F189D62}"/>
    <cellStyle name="Style 98 7 4 2 2" xfId="32090" xr:uid="{06103FD7-8CFC-4BD3-BBB1-F0500D5F11D3}"/>
    <cellStyle name="Style 98 7 4 4" xfId="22551" xr:uid="{143A1FD4-DA96-4777-9078-DEF9ADC1B75B}"/>
    <cellStyle name="Style 98 7 5" xfId="16364" xr:uid="{2128DDA9-6EC3-402E-AFE8-D27C7E35328E}"/>
    <cellStyle name="Style 98 7 5 2" xfId="16365" xr:uid="{052DFE68-6BEE-45E3-A2BD-5EA5DE22C1EF}"/>
    <cellStyle name="Style 98 7 5 2 2" xfId="32091" xr:uid="{1948F63C-8159-4334-A96A-91EFDD3046EA}"/>
    <cellStyle name="Style 98 7 6" xfId="16366" xr:uid="{339E4305-DE80-4126-9B2D-A13DA0646E89}"/>
    <cellStyle name="Style 98 7 7" xfId="16367" xr:uid="{61A59B5C-2549-4D60-812A-E8DFF28B26D3}"/>
    <cellStyle name="Style 98 7 7 2" xfId="32092" xr:uid="{11AE8721-2675-4CDB-A6C8-07FB3CF7CA83}"/>
    <cellStyle name="Style 98 7 8" xfId="19320" xr:uid="{D2CBAD43-19C0-49CC-A994-8D4B2B02B295}"/>
    <cellStyle name="Style 98 8" xfId="5485" xr:uid="{79506893-7184-411F-AC65-ED1ED8435097}"/>
    <cellStyle name="Style 98 8 2" xfId="16368" xr:uid="{B055971E-426A-4122-84C4-B33778B58BF9}"/>
    <cellStyle name="Style 98 8 3" xfId="16369" xr:uid="{AFB8413E-41E9-49A8-BE15-E0FAD013BB66}"/>
    <cellStyle name="Style 98 8 3 2" xfId="32093" xr:uid="{C424813C-E4B8-43C6-9A63-B5434CCAE1AD}"/>
    <cellStyle name="Style 98 9" xfId="5486" xr:uid="{CBE83EF8-0A4B-492F-91D2-A644753E4E4C}"/>
    <cellStyle name="Style 98 9 2" xfId="16370" xr:uid="{CEF3F972-2B6B-4455-9A5B-41138593A5E6}"/>
    <cellStyle name="Style 98 9 2 2" xfId="32094" xr:uid="{E1FF836E-5ED6-4F42-82D7-113FB964B9F4}"/>
    <cellStyle name="Style 98 9 3 2" xfId="32095" xr:uid="{DE18473E-2D3B-4956-87F2-326AA6ADF157}"/>
    <cellStyle name="Style 99" xfId="2535" xr:uid="{18B67C7C-59C2-4B9E-AEF4-F3E326D5A582}"/>
    <cellStyle name="Style 99 10" xfId="5487" xr:uid="{A169D5DA-6166-4EFB-9620-778BBB6EFF57}"/>
    <cellStyle name="Style 99 10 2" xfId="16371" xr:uid="{BCD321F8-8E7B-450E-9C8E-78FFD276434A}"/>
    <cellStyle name="Style 99 10 3" xfId="16372" xr:uid="{83716576-C487-4BBF-B4A2-48069B5053D6}"/>
    <cellStyle name="Style 99 10 3 2" xfId="32096" xr:uid="{FEC9BA2C-1BB7-4E5C-A371-1F3208A12BA4}"/>
    <cellStyle name="Style 99 11" xfId="16373" xr:uid="{8DDEF495-A48F-423A-A301-48AD216BA85D}"/>
    <cellStyle name="Style 99 11 2" xfId="16374" xr:uid="{E590203F-D956-46CF-905F-70B90D4AF4FB}"/>
    <cellStyle name="Style 99 11 2 2" xfId="32097" xr:uid="{9B384EB6-B495-4D0A-AA22-6A4DE031D39F}"/>
    <cellStyle name="Style 99 11 3" xfId="16375" xr:uid="{279AE3EA-4AA2-4631-BAD3-B69815FCD7CA}"/>
    <cellStyle name="Style 99 11 3 2" xfId="32098" xr:uid="{D97C0C73-337D-4288-A7EF-D19F8A6DAF00}"/>
    <cellStyle name="Style 99 11 4" xfId="21339" xr:uid="{2DD57F87-0CE6-4B31-8DEC-CB70921D2908}"/>
    <cellStyle name="Style 99 12" xfId="16376" xr:uid="{1046E42F-44E6-4B67-B35C-119F921B1B16}"/>
    <cellStyle name="Style 99 12 2" xfId="16377" xr:uid="{337C941E-720D-4E18-B011-C4D703142320}"/>
    <cellStyle name="Style 99 12 2 2" xfId="32100" xr:uid="{4BFDA125-4C23-4703-995F-2347CD172867}"/>
    <cellStyle name="Style 99 12 3" xfId="32099" xr:uid="{230053BC-C39E-4166-81E9-E59ED32616C2}"/>
    <cellStyle name="Style 99 13" xfId="16378" xr:uid="{8641DAA7-E19E-4894-AF2A-0595E3C9EC9B}"/>
    <cellStyle name="Style 99 13 2" xfId="32101" xr:uid="{4E7F3F96-EF71-4457-A9D4-EFC430ADEEEE}"/>
    <cellStyle name="Style 99 14" xfId="16379" xr:uid="{081F02AD-2D00-4D0A-AB01-8B3D5CAD8387}"/>
    <cellStyle name="Style 99 14 2" xfId="32102" xr:uid="{27341E43-579D-47E0-A381-3526A666FC8C}"/>
    <cellStyle name="Style 99 15" xfId="16380" xr:uid="{533B6BD5-C55E-4081-A8AA-29EF80D0424B}"/>
    <cellStyle name="Style 99 15 2" xfId="32103" xr:uid="{61277B3D-48B8-4626-AD0A-99A4001430BB}"/>
    <cellStyle name="Style 99 2" xfId="2536" xr:uid="{02AF1A9F-5028-4EDE-B077-43801A6EB34C}"/>
    <cellStyle name="Style 99 2 10" xfId="16381" xr:uid="{05401782-293C-479C-AB01-42BC01328681}"/>
    <cellStyle name="Style 99 2 10 2" xfId="16382" xr:uid="{78E16D69-B3C1-4B71-A019-9921AD044ED1}"/>
    <cellStyle name="Style 99 2 10 2 2" xfId="32105" xr:uid="{361C6273-8058-4F3B-B7EC-6939D778F030}"/>
    <cellStyle name="Style 99 2 10 3" xfId="32104" xr:uid="{FB066A8A-8D53-460C-A20E-24C4F011C24C}"/>
    <cellStyle name="Style 99 2 11" xfId="16383" xr:uid="{CAC8E70A-8F7D-4FC8-9874-91E32A45E33E}"/>
    <cellStyle name="Style 99 2 11 2" xfId="16384" xr:uid="{B8E6F723-0D66-47D8-B961-FD3C5C208EE7}"/>
    <cellStyle name="Style 99 2 11 2 2" xfId="32107" xr:uid="{D16B0514-BDBF-495B-AA21-60DCAE028DEF}"/>
    <cellStyle name="Style 99 2 11 3" xfId="32106" xr:uid="{5C1AFB02-236F-461E-94A8-0B329F947B30}"/>
    <cellStyle name="Style 99 2 12 2" xfId="32108" xr:uid="{5791A697-7B77-4DA3-9D40-6CD475BCCA33}"/>
    <cellStyle name="Style 99 2 13" xfId="16385" xr:uid="{F531DB81-64E0-44F8-98C9-AB4F9E231435}"/>
    <cellStyle name="Style 99 2 13 2" xfId="32109" xr:uid="{787B2862-9327-479B-9D0D-87EF7732166A}"/>
    <cellStyle name="Style 99 2 14" xfId="16386" xr:uid="{EE5411F3-F8B4-4152-A02C-18FFBC2EACE8}"/>
    <cellStyle name="Style 99 2 2 10" xfId="16387" xr:uid="{85AB21D0-C917-4D8F-9DDB-65DDC104FBD8}"/>
    <cellStyle name="Style 99 2 2 10 2" xfId="16388" xr:uid="{DF74181E-79A6-40F8-A658-BF571BB492FC}"/>
    <cellStyle name="Style 99 2 2 10 2 2" xfId="32111" xr:uid="{560EF57B-5A18-4F69-80FF-95A1FAFB279F}"/>
    <cellStyle name="Style 99 2 2 10 3" xfId="32110" xr:uid="{7E677623-F64D-4D00-902F-082B24E6FDB9}"/>
    <cellStyle name="Style 99 2 2 11" xfId="16389" xr:uid="{D946D19B-5837-4836-B1CE-E8DB5481BBCD}"/>
    <cellStyle name="Style 99 2 2 12" xfId="16390" xr:uid="{20BBCA9A-CA5E-4130-8884-2BE9FEE97F48}"/>
    <cellStyle name="Style 99 2 2 12 2" xfId="32112" xr:uid="{3F05751C-922D-4250-BA54-9DE82C2041A8}"/>
    <cellStyle name="Style 99 2 2 2" xfId="2537" xr:uid="{096D542D-E9BA-4FF1-90C2-24C7D77BE941}"/>
    <cellStyle name="Style 99 2 2 2 10" xfId="16391" xr:uid="{00AB0FCE-FE27-4286-B9BD-50F0D63BD4AE}"/>
    <cellStyle name="Style 99 2 2 2 10 2" xfId="16392" xr:uid="{1B72161C-A34A-4A51-81AB-4582333B8B4B}"/>
    <cellStyle name="Style 99 2 2 2 10 2 2" xfId="32114" xr:uid="{20629651-7FAE-4ED4-910A-DEED35FC84E9}"/>
    <cellStyle name="Style 99 2 2 2 10 3" xfId="32113" xr:uid="{5DD0C07D-22B7-46EA-A968-18E878264797}"/>
    <cellStyle name="Style 99 2 2 2 11" xfId="16393" xr:uid="{19702F58-9AC4-4CCB-B70D-D571DA2C7F56}"/>
    <cellStyle name="Style 99 2 2 2 11 2" xfId="32115" xr:uid="{C63708A7-1A1F-4786-A642-0C02B33B9F49}"/>
    <cellStyle name="Style 99 2 2 2 12" xfId="16394" xr:uid="{02943063-70CF-4FC9-8564-025D04421AB7}"/>
    <cellStyle name="Style 99 2 2 2 12 2" xfId="32116" xr:uid="{0B9A1444-9050-4AC5-A513-86C0CAC516FB}"/>
    <cellStyle name="Style 99 2 2 2 2" xfId="2538" xr:uid="{FE5AF032-8FAA-440F-8957-A63E878AC30D}"/>
    <cellStyle name="Style 99 2 2 2 2 10" xfId="16395" xr:uid="{4CB7227A-6932-46A9-86CC-AB6BB1B7D745}"/>
    <cellStyle name="Style 99 2 2 2 2 10 2" xfId="32117" xr:uid="{4D676981-BEF2-4EDD-A12C-AD914FDEA0C7}"/>
    <cellStyle name="Style 99 2 2 2 2 11" xfId="16396" xr:uid="{1D67C175-8F51-47B9-8289-6661836D054B}"/>
    <cellStyle name="Style 99 2 2 2 2 11 2" xfId="32118" xr:uid="{C36AC925-6D95-4193-80E9-F3D82C997D1E}"/>
    <cellStyle name="Style 99 2 2 2 2 2" xfId="2539" xr:uid="{05F0D917-B3FE-4ED7-9C36-55C78E579DAB}"/>
    <cellStyle name="Style 99 2 2 2 2 2 2" xfId="5492" xr:uid="{90F8DD35-DE5C-4884-A5CE-38B19F9C86E7}"/>
    <cellStyle name="Style 99 2 2 2 2 2 2 2" xfId="16397" xr:uid="{66CC0FEE-EC58-42E5-BF93-E4970EA8CE96}"/>
    <cellStyle name="Style 99 2 2 2 2 2 2 2 2" xfId="16398" xr:uid="{A2526EE3-D40B-47D2-8254-193CCDF2D6DF}"/>
    <cellStyle name="Style 99 2 2 2 2 2 2 2 2 2" xfId="32120" xr:uid="{C6442F39-85A9-4C04-AA72-1D7E2E221597}"/>
    <cellStyle name="Style 99 2 2 2 2 2 2 2 3" xfId="32119" xr:uid="{4B038ACF-4C0C-425C-A1B5-9566B1A1F75E}"/>
    <cellStyle name="Style 99 2 2 2 2 2 2 3" xfId="16399" xr:uid="{31D5A6F7-0F92-4602-A551-5D9BD3CCC7AB}"/>
    <cellStyle name="Style 99 2 2 2 2 2 2 3 2" xfId="16400" xr:uid="{DC224591-AF02-450B-A1A3-E3BCDD483D8E}"/>
    <cellStyle name="Style 99 2 2 2 2 2 2 3 2 2" xfId="32122" xr:uid="{8B34A5B5-FBD2-4367-ACC8-D2C42164042F}"/>
    <cellStyle name="Style 99 2 2 2 2 2 2 3 3" xfId="32121" xr:uid="{0C771BA4-1683-4076-95A6-9B9CE4332DBF}"/>
    <cellStyle name="Style 99 2 2 2 2 2 2 4" xfId="16401" xr:uid="{2601A549-A597-4EE1-981B-AC578D145DD5}"/>
    <cellStyle name="Style 99 2 2 2 2 2 2 4 2" xfId="16402" xr:uid="{B1560492-A444-47DB-8620-8A1898F0BD5F}"/>
    <cellStyle name="Style 99 2 2 2 2 2 2 4 2 2" xfId="32124" xr:uid="{B1D64135-A3E4-470D-A732-736EACCD6532}"/>
    <cellStyle name="Style 99 2 2 2 2 2 2 4 3" xfId="32123" xr:uid="{F6A9D958-BC76-4737-9158-4D1A60276C2C}"/>
    <cellStyle name="Style 99 2 2 2 2 2 2 5" xfId="16403" xr:uid="{6FF46641-4A75-4D0C-822D-CCC01670B411}"/>
    <cellStyle name="Style 99 2 2 2 2 2 2 5 2" xfId="16404" xr:uid="{119ED15F-0548-4613-812D-2AAEED833AA2}"/>
    <cellStyle name="Style 99 2 2 2 2 2 2 5 2 2" xfId="32126" xr:uid="{92FFFABE-63F6-47E8-BBA1-2B9634B0B632}"/>
    <cellStyle name="Style 99 2 2 2 2 2 2 5 3" xfId="32125" xr:uid="{1F0D469C-509E-4B96-9EBF-2B3D435D617F}"/>
    <cellStyle name="Style 99 2 2 2 2 2 2 6" xfId="16405" xr:uid="{4811442A-F01E-4C14-9313-EB1AE7D3AD8E}"/>
    <cellStyle name="Style 99 2 2 2 2 2 2 6 2" xfId="32127" xr:uid="{4CE9E1FB-60E8-4646-9117-08DFD17492BD}"/>
    <cellStyle name="Style 99 2 2 2 2 2 2 7" xfId="16406" xr:uid="{5D30B9D2-B9CF-4DF1-99AA-BE2E80F9D1EC}"/>
    <cellStyle name="Style 99 2 2 2 2 2 2 7 2" xfId="32128" xr:uid="{080B464A-A926-455A-9A6E-287A2F3D9C13}"/>
    <cellStyle name="Style 99 2 2 2 2 2 3" xfId="16407" xr:uid="{779D8A54-3E65-4BAD-904A-F40E9AC89A09}"/>
    <cellStyle name="Style 99 2 2 2 2 2 3 2 2" xfId="32129" xr:uid="{BC71C952-B523-459D-9936-6E214288571B}"/>
    <cellStyle name="Style 99 2 2 2 2 2 3 3" xfId="16408" xr:uid="{0289D8D8-6082-4EEA-A820-20015B77E419}"/>
    <cellStyle name="Style 99 2 2 2 2 2 3 3 2" xfId="32130" xr:uid="{FF32EDD1-9F14-48DD-B394-D332C2AC3C12}"/>
    <cellStyle name="Style 99 2 2 2 2 2 4" xfId="16409" xr:uid="{7106D4DD-A547-4173-9A80-83AAB874977D}"/>
    <cellStyle name="Style 99 2 2 2 2 2 4 2" xfId="16410" xr:uid="{587AA0C0-4A98-4214-977F-99D2EF4AC84A}"/>
    <cellStyle name="Style 99 2 2 2 2 2 4 3" xfId="32131" xr:uid="{E913E27F-FB69-4BF5-A877-3BDF41BA001F}"/>
    <cellStyle name="Style 99 2 2 2 2 2 5" xfId="16411" xr:uid="{7252B3EB-6FA5-4E3D-8E96-64694ECEED1E}"/>
    <cellStyle name="Style 99 2 2 2 2 2 5 2" xfId="16412" xr:uid="{1BE35E83-83EC-4EE5-93EB-E09BD7B86921}"/>
    <cellStyle name="Style 99 2 2 2 2 2 5 2 2" xfId="32133" xr:uid="{C28141C4-A896-439F-9F7E-D46C71BDE210}"/>
    <cellStyle name="Style 99 2 2 2 2 2 5 3" xfId="32132" xr:uid="{566005D9-C11D-456D-999F-21E26B4F0404}"/>
    <cellStyle name="Style 99 2 2 2 2 2 6" xfId="16413" xr:uid="{BFFFAC28-8E2D-49B6-AC28-07CFD855DB24}"/>
    <cellStyle name="Style 99 2 2 2 2 2 6 2" xfId="16414" xr:uid="{7412E9F3-96A4-4A81-91FA-4E3FBF707A27}"/>
    <cellStyle name="Style 99 2 2 2 2 2 6 2 2" xfId="32134" xr:uid="{A982E150-5171-410D-9758-72BAC86C2828}"/>
    <cellStyle name="Style 99 2 2 2 2 2 7" xfId="16415" xr:uid="{6B79FD12-28F4-46B5-A199-6CB4CC419073}"/>
    <cellStyle name="Style 99 2 2 2 2 2 7 2" xfId="16416" xr:uid="{0CB417D2-B9B2-4611-A11A-4B7EE0BAF793}"/>
    <cellStyle name="Style 99 2 2 2 2 2 7 2 2" xfId="32136" xr:uid="{CAE5CA77-475A-4B77-8AC8-421AAA3AA6C4}"/>
    <cellStyle name="Style 99 2 2 2 2 2 7 3" xfId="32135" xr:uid="{9E50C5AF-2267-4133-BB57-2ADCF237FA2F}"/>
    <cellStyle name="Style 99 2 2 2 2 2 8" xfId="16417" xr:uid="{8FC74DA7-3253-4522-88F4-712936EB4B4C}"/>
    <cellStyle name="Style 99 2 2 2 2 2 9" xfId="16418" xr:uid="{440FE4EA-1E22-4346-9C05-3C933622CF76}"/>
    <cellStyle name="Style 99 2 2 2 2 2 9 2" xfId="32137" xr:uid="{6DEBDC8E-B426-407A-A353-352E21DCFAE7}"/>
    <cellStyle name="Style 99 2 2 2 2 3" xfId="5491" xr:uid="{8419A498-C618-498C-98CD-CE3F4FCD9746}"/>
    <cellStyle name="Style 99 2 2 2 2 3 2" xfId="16419" xr:uid="{956E18C3-C938-4549-B0DA-C6A90E104684}"/>
    <cellStyle name="Style 99 2 2 2 2 3 2 2" xfId="16420" xr:uid="{309E16ED-0C84-4409-8D8B-9527DFCFA121}"/>
    <cellStyle name="Style 99 2 2 2 2 3 2 3" xfId="32138" xr:uid="{4E3585CC-9F7D-453D-9D0D-BC632F36C299}"/>
    <cellStyle name="Style 99 2 2 2 2 3 3" xfId="16421" xr:uid="{D589F51F-EAFC-4154-9A49-9669BE75EC79}"/>
    <cellStyle name="Style 99 2 2 2 2 3 3 2" xfId="16422" xr:uid="{7AA5FDB8-7EBA-4E69-9F94-CC10FD86B3CD}"/>
    <cellStyle name="Style 99 2 2 2 2 3 3 2 2" xfId="32140" xr:uid="{FBA22E3B-A2FD-4AD8-BDBE-F7ABDB29EA5C}"/>
    <cellStyle name="Style 99 2 2 2 2 3 3 3" xfId="32139" xr:uid="{6F99ADE7-0D74-4C71-8691-6409DD064B95}"/>
    <cellStyle name="Style 99 2 2 2 2 3 4 2" xfId="16423" xr:uid="{605C5898-5ACB-4C43-AA4A-EE594ED5AD04}"/>
    <cellStyle name="Style 99 2 2 2 2 3 4 3" xfId="32141" xr:uid="{0E459555-A699-43CC-B8FA-AF1FC6AE00BC}"/>
    <cellStyle name="Style 99 2 2 2 2 3 5" xfId="16424" xr:uid="{FA29BC3C-557C-4C67-ABAD-94D703ECC199}"/>
    <cellStyle name="Style 99 2 2 2 2 3 5 2" xfId="16425" xr:uid="{A22155E3-C6E0-473F-A524-04F508E1AFCA}"/>
    <cellStyle name="Style 99 2 2 2 2 3 5 3" xfId="32142" xr:uid="{5130F474-5D48-4E74-AA3E-03E6E7FF663B}"/>
    <cellStyle name="Style 99 2 2 2 2 3 6 2" xfId="32143" xr:uid="{4958AE10-FC0E-4255-B351-E5810CD76E88}"/>
    <cellStyle name="Style 99 2 2 2 2 3 7" xfId="16426" xr:uid="{E55C3EAB-24A6-417B-AD40-95B2AD1AF606}"/>
    <cellStyle name="Style 99 2 2 2 2 3 7 2" xfId="32144" xr:uid="{13F58672-8455-4CE4-837F-2AACDC7D10CA}"/>
    <cellStyle name="Style 99 2 2 2 2 4" xfId="16427" xr:uid="{1FCE239C-F777-41FD-AE69-69BDE5A69338}"/>
    <cellStyle name="Style 99 2 2 2 2 4 2" xfId="16428" xr:uid="{91EB0CAE-533F-4065-9695-542B09EC3E73}"/>
    <cellStyle name="Style 99 2 2 2 2 4 3" xfId="16429" xr:uid="{0F5F0980-0A9F-4622-8AF1-4ABC0C0276E9}"/>
    <cellStyle name="Style 99 2 2 2 2 4 3 2" xfId="32145" xr:uid="{42A95769-DA86-4848-93B3-6742E32DE1CA}"/>
    <cellStyle name="Style 99 2 2 2 2 5" xfId="16430" xr:uid="{23BD9BC4-4131-4611-AF14-B575ED1C88AC}"/>
    <cellStyle name="Style 99 2 2 2 2 5 2" xfId="16431" xr:uid="{43E0F1E2-532D-4EB1-A883-24BF268F51E0}"/>
    <cellStyle name="Style 99 2 2 2 2 5 2 2" xfId="32146" xr:uid="{119AF2D3-C3B9-4B2D-832D-8028811C3DD8}"/>
    <cellStyle name="Style 99 2 2 2 2 6" xfId="16432" xr:uid="{883C2C94-33A1-4FA5-A211-8AEC9B8C312F}"/>
    <cellStyle name="Style 99 2 2 2 2 6 2" xfId="16433" xr:uid="{6E86956B-1E07-4714-898D-5ABB2A6B48B3}"/>
    <cellStyle name="Style 99 2 2 2 2 6 2 2" xfId="32147" xr:uid="{FC4924AE-8635-47F3-AC00-F5C746D8211B}"/>
    <cellStyle name="Style 99 2 2 2 2 7" xfId="16434" xr:uid="{DBEC4800-0822-413C-81AB-E93D45DDD4C5}"/>
    <cellStyle name="Style 99 2 2 2 2 7 2" xfId="16435" xr:uid="{E79010C8-3570-4C8A-9356-A1A7686E2939}"/>
    <cellStyle name="Style 99 2 2 2 2 7 2 2" xfId="32149" xr:uid="{369C5C22-8B97-4E32-B81A-C6ECC5566BAB}"/>
    <cellStyle name="Style 99 2 2 2 2 7 3" xfId="32148" xr:uid="{55BBF117-7F52-4C92-86A0-AB4B2D908F02}"/>
    <cellStyle name="Style 99 2 2 2 2 8" xfId="16436" xr:uid="{AC861770-8F53-4274-A6EA-58EA4F848ED7}"/>
    <cellStyle name="Style 99 2 2 2 2 8 2" xfId="16437" xr:uid="{4816738B-8167-4AA3-8A6B-059AFE53F26B}"/>
    <cellStyle name="Style 99 2 2 2 2 8 2 2" xfId="32151" xr:uid="{1E6667AC-E74C-41C8-B4BA-50E0A0E88ADA}"/>
    <cellStyle name="Style 99 2 2 2 2 8 3" xfId="32150" xr:uid="{6E159F9C-DE9F-4A86-AB2E-E33269E3ACCF}"/>
    <cellStyle name="Style 99 2 2 2 2 9" xfId="16438" xr:uid="{00DA153B-EF1F-44EE-8C9F-D12555D276F1}"/>
    <cellStyle name="Style 99 2 2 2 2 9 2" xfId="16439" xr:uid="{365A2623-964A-4AA8-B86D-414F48B4C986}"/>
    <cellStyle name="Style 99 2 2 2 2 9 2 2" xfId="32153" xr:uid="{DD6E8720-7AE0-43C4-B0F3-5D58193DDF4B}"/>
    <cellStyle name="Style 99 2 2 2 2 9 3" xfId="32152" xr:uid="{32417A4A-D57E-4047-A4DA-A950D3431FE2}"/>
    <cellStyle name="Style 99 2 2 2 3" xfId="2540" xr:uid="{4E1E3C35-C5CA-4307-AFBC-AE9409E9FB16}"/>
    <cellStyle name="Style 99 2 2 2 3 2 2" xfId="16440" xr:uid="{8E755F60-F34B-40F4-BA56-BF098D95B6E6}"/>
    <cellStyle name="Style 99 2 2 2 3 2 2 2" xfId="16441" xr:uid="{A6E34DDD-F60C-4F84-8E0D-D3697A121908}"/>
    <cellStyle name="Style 99 2 2 2 3 2 2 2 2" xfId="32155" xr:uid="{13A0FCC8-93A8-42BF-A151-72687A35793E}"/>
    <cellStyle name="Style 99 2 2 2 3 2 2 3" xfId="32154" xr:uid="{B52FF528-8C5C-4BE6-916A-40A0E448C41E}"/>
    <cellStyle name="Style 99 2 2 2 3 2 3" xfId="16442" xr:uid="{9D7F8A12-4B47-423F-993D-E02B7EC266BD}"/>
    <cellStyle name="Style 99 2 2 2 3 2 3 2 2" xfId="32157" xr:uid="{DA9E6875-8646-4084-9760-1EAB473C087C}"/>
    <cellStyle name="Style 99 2 2 2 3 2 3 3" xfId="32156" xr:uid="{D95E4346-A33F-4E95-A7B8-7C6035EDABA2}"/>
    <cellStyle name="Style 99 2 2 2 3 2 4" xfId="16443" xr:uid="{EB69DB39-CF28-4F7A-A738-C67962705DAE}"/>
    <cellStyle name="Style 99 2 2 2 3 2 4 2" xfId="16444" xr:uid="{C912D9FB-6DC1-4698-A89F-B7BB47E82761}"/>
    <cellStyle name="Style 99 2 2 2 3 2 4 2 2" xfId="32159" xr:uid="{FB138C6A-AD3E-407F-8DE6-AD14C14CA2D9}"/>
    <cellStyle name="Style 99 2 2 2 3 2 4 3" xfId="32158" xr:uid="{BD7D5DA6-38CC-4FFF-ACC7-1BECA366363E}"/>
    <cellStyle name="Style 99 2 2 2 3 2 5" xfId="16445" xr:uid="{5A594D47-5527-438B-8EE3-FFC291CAD36C}"/>
    <cellStyle name="Style 99 2 2 2 3 2 5 2 2" xfId="32161" xr:uid="{942DFE8E-0706-462E-AA91-8A4B027BBE28}"/>
    <cellStyle name="Style 99 2 2 2 3 2 5 3" xfId="32160" xr:uid="{EA4EA207-695F-47EF-B01A-9B557CFE2B5B}"/>
    <cellStyle name="Style 99 2 2 2 3 2 6" xfId="16446" xr:uid="{084EC7E0-5A49-4EE5-8E31-9140763DC902}"/>
    <cellStyle name="Style 99 2 2 2 3 2 6 2" xfId="32162" xr:uid="{7D7115F5-1E36-4E58-A656-232CEA7DFD6A}"/>
    <cellStyle name="Style 99 2 2 2 3 2 7" xfId="16447" xr:uid="{AF7013EC-DA3D-40A2-89A7-F92961A3FF1C}"/>
    <cellStyle name="Style 99 2 2 2 3 3" xfId="16448" xr:uid="{C00558D1-F7DF-4DC1-A785-ED508E6C39D4}"/>
    <cellStyle name="Style 99 2 2 2 3 3 2" xfId="16449" xr:uid="{9553055D-AA52-4EFA-B4F6-E517568A841D}"/>
    <cellStyle name="Style 99 2 2 2 3 3 2 2" xfId="32163" xr:uid="{E7030016-50EB-41C1-A681-697E8DF3859C}"/>
    <cellStyle name="Style 99 2 2 2 3 3 3" xfId="16450" xr:uid="{D92099C9-3AD6-4DA0-A571-FF45A9FF60BA}"/>
    <cellStyle name="Style 99 2 2 2 3 3 3 2" xfId="32164" xr:uid="{06DBAA8A-9044-4C48-B0DF-881DF56D481B}"/>
    <cellStyle name="Style 99 2 2 2 3 4" xfId="16451" xr:uid="{63A296C9-EB74-4703-AFAA-05CF2A6D20C9}"/>
    <cellStyle name="Style 99 2 2 2 3 4 2" xfId="16452" xr:uid="{B31EEBDD-4E27-4855-9FDC-B8909C470787}"/>
    <cellStyle name="Style 99 2 2 2 3 4 2 2" xfId="32166" xr:uid="{053D0E78-9BEF-4D57-8A0A-1C76114A9B33}"/>
    <cellStyle name="Style 99 2 2 2 3 4 3" xfId="32165" xr:uid="{454EC32E-274F-4604-AD6F-9D0ED9BA1A5B}"/>
    <cellStyle name="Style 99 2 2 2 3 5" xfId="16453" xr:uid="{D4087A99-8270-4881-8B3D-8CE204ECF194}"/>
    <cellStyle name="Style 99 2 2 2 3 5 2" xfId="16454" xr:uid="{C7317567-9D9E-4D07-A158-CABAB5DD3A5D}"/>
    <cellStyle name="Style 99 2 2 2 3 5 2 2" xfId="32168" xr:uid="{9C641CCE-9D91-418B-A186-8CB4E3D0D30F}"/>
    <cellStyle name="Style 99 2 2 2 3 5 3" xfId="32167" xr:uid="{B70AE73C-5D88-4FF7-A469-4224DDAF214A}"/>
    <cellStyle name="Style 99 2 2 2 3 6" xfId="16455" xr:uid="{23E5BCD1-C80E-4B5F-BEEF-39F156579C2A}"/>
    <cellStyle name="Style 99 2 2 2 3 6 2" xfId="16456" xr:uid="{523831B5-B4FF-4A66-9E3C-6E07E49AF70E}"/>
    <cellStyle name="Style 99 2 2 2 3 6 2 2" xfId="32170" xr:uid="{E7D0F5E3-A7C5-4FCC-A454-C12CDE1292D4}"/>
    <cellStyle name="Style 99 2 2 2 3 6 3" xfId="32169" xr:uid="{6A2C8E3F-44F1-444C-80CF-757F26B42ED2}"/>
    <cellStyle name="Style 99 2 2 2 3 7" xfId="16457" xr:uid="{AB3C505B-FEDC-4ED6-BC84-82180563DC0D}"/>
    <cellStyle name="Style 99 2 2 2 3 7 2" xfId="16458" xr:uid="{887AAFA5-9067-4CDE-A2A4-BA8E80B8DEC5}"/>
    <cellStyle name="Style 99 2 2 2 3 7 2 2" xfId="32172" xr:uid="{2F4EC5C3-A128-4286-A58F-FB875ECD173E}"/>
    <cellStyle name="Style 99 2 2 2 3 7 3" xfId="32171" xr:uid="{6BCFDC6C-68A6-4E7D-AB0E-85CFC4633709}"/>
    <cellStyle name="Style 99 2 2 2 3 8" xfId="16459" xr:uid="{665F0A7F-1E95-409A-9700-93A0671C3F48}"/>
    <cellStyle name="Style 99 2 2 2 3 8 2" xfId="32173" xr:uid="{4EDE85F2-53BE-4803-A479-07DAC0FF2D73}"/>
    <cellStyle name="Style 99 2 2 2 3 9" xfId="16460" xr:uid="{FB2C0A86-7143-432C-935B-FE442B1CD6FF}"/>
    <cellStyle name="Style 99 2 2 2 3 9 2" xfId="32174" xr:uid="{E00E9675-46FE-42F3-9620-EAC3C2A02306}"/>
    <cellStyle name="Style 99 2 2 2 4" xfId="5490" xr:uid="{6D6E21D2-1857-428B-8114-7C17CBB55AD2}"/>
    <cellStyle name="Style 99 2 2 2 4 2" xfId="16461" xr:uid="{4B47E01F-0B77-451C-9A69-3C3A936237D5}"/>
    <cellStyle name="Style 99 2 2 2 4 2 2" xfId="16462" xr:uid="{6EF7E222-E8AD-49AF-914F-34869ACC68A5}"/>
    <cellStyle name="Style 99 2 2 2 4 2 2 2" xfId="32176" xr:uid="{698C9FBB-44F3-414E-AA0D-6DE4C8EFEECE}"/>
    <cellStyle name="Style 99 2 2 2 4 2 3" xfId="32175" xr:uid="{FC7380E4-D50E-49AA-A242-35622CE02D09}"/>
    <cellStyle name="Style 99 2 2 2 4 3" xfId="16463" xr:uid="{7AFB332F-A8E6-484E-B357-4D4037BDA3BE}"/>
    <cellStyle name="Style 99 2 2 2 4 3 2 2" xfId="32178" xr:uid="{B80A6C0B-6528-49DA-BAE8-E7852204CDCD}"/>
    <cellStyle name="Style 99 2 2 2 4 3 3" xfId="32177" xr:uid="{64F13BE2-6B43-41D6-AB30-227CB142C0C6}"/>
    <cellStyle name="Style 99 2 2 2 4 4 2" xfId="16464" xr:uid="{631929C2-B75C-40A7-926B-995F36C545BF}"/>
    <cellStyle name="Style 99 2 2 2 4 4 2 2" xfId="32180" xr:uid="{EAED2CCE-58A6-4E26-B852-80813BE5B635}"/>
    <cellStyle name="Style 99 2 2 2 4 4 3" xfId="32179" xr:uid="{0BE61566-BDA6-4236-9D5F-A543335DB9DF}"/>
    <cellStyle name="Style 99 2 2 2 4 5" xfId="16465" xr:uid="{9CC486C1-E34F-48AD-B0D3-B3A203D8E822}"/>
    <cellStyle name="Style 99 2 2 2 4 5 2" xfId="16466" xr:uid="{78E414B1-6197-4217-9AB7-250453FA4E99}"/>
    <cellStyle name="Style 99 2 2 2 4 5 2 2" xfId="32182" xr:uid="{7678D76B-0D91-43FB-9051-C78BFFD2FBAE}"/>
    <cellStyle name="Style 99 2 2 2 4 5 3" xfId="32181" xr:uid="{86CB88B8-8B32-4C99-9D61-E26795CCD3F7}"/>
    <cellStyle name="Style 99 2 2 2 4 6" xfId="16467" xr:uid="{4A44AACF-78E0-46D5-8ABF-8AA56A189FC1}"/>
    <cellStyle name="Style 99 2 2 2 4 6 2" xfId="32183" xr:uid="{41E81456-5F78-4B3C-9553-834D7F10B9B5}"/>
    <cellStyle name="Style 99 2 2 2 4 7" xfId="16468" xr:uid="{5D18E884-DE23-4538-853B-31E8909522F0}"/>
    <cellStyle name="Style 99 2 2 2 4 7 2" xfId="32184" xr:uid="{6BFF726F-D2B3-4FA2-8183-D0D6CEBBFC83}"/>
    <cellStyle name="Style 99 2 2 2 5" xfId="16469" xr:uid="{96BD9BBE-DA15-4DCC-96C6-306C31A12752}"/>
    <cellStyle name="Style 99 2 2 2 5 2" xfId="16470" xr:uid="{00E76E29-7C51-4EB5-88E8-3F18245ED391}"/>
    <cellStyle name="Style 99 2 2 2 5 3" xfId="16471" xr:uid="{C8588A87-83C0-463A-858E-9993D4C3F020}"/>
    <cellStyle name="Style 99 2 2 2 5 3 2" xfId="32185" xr:uid="{FA313512-0E40-462A-86C3-040F149B8C3C}"/>
    <cellStyle name="Style 99 2 2 2 6" xfId="16472" xr:uid="{1F505CBA-6CC1-4FB3-9BF2-A058E207FD82}"/>
    <cellStyle name="Style 99 2 2 2 6 2 2" xfId="32186" xr:uid="{16689098-25DA-4F5B-BB9C-389DA95B9E51}"/>
    <cellStyle name="Style 99 2 2 2 7" xfId="16473" xr:uid="{D094C603-F455-4550-83AD-B1222CC3CF41}"/>
    <cellStyle name="Style 99 2 2 2 7 2 2" xfId="32188" xr:uid="{421B510B-E15B-4FA9-8805-73D22FF00A41}"/>
    <cellStyle name="Style 99 2 2 2 7 3" xfId="32187" xr:uid="{9B795315-5C2D-4DB8-8F87-231BFC8C42F3}"/>
    <cellStyle name="Style 99 2 2 2 8" xfId="16474" xr:uid="{19E82289-F03D-4E82-98C6-0351D51C5CDB}"/>
    <cellStyle name="Style 99 2 2 2 8 2 2" xfId="32189" xr:uid="{395021D7-0451-4DDF-809B-41999845F56C}"/>
    <cellStyle name="Style 99 2 2 2 9" xfId="16475" xr:uid="{91FBB62D-18C5-4759-B2FD-1BBEB2891AA5}"/>
    <cellStyle name="Style 99 2 2 2 9 2" xfId="16476" xr:uid="{669E3285-3830-4830-AA17-D6E22553B5B4}"/>
    <cellStyle name="Style 99 2 2 2 9 2 2" xfId="32191" xr:uid="{6162A32D-6426-411C-A84C-969530B2FA50}"/>
    <cellStyle name="Style 99 2 2 2 9 3" xfId="32190" xr:uid="{B3654506-FC10-47F1-A412-4917E944C7AE}"/>
    <cellStyle name="Style 99 2 2 3" xfId="2541" xr:uid="{535317B0-C106-4D80-A025-CD10C5F59E22}"/>
    <cellStyle name="Style 99 2 2 3 10 2" xfId="32192" xr:uid="{75E3744C-F2DA-4052-808B-81DA46509FD3}"/>
    <cellStyle name="Style 99 2 2 3 11" xfId="16477" xr:uid="{0BF08432-0812-4FEA-86B8-180F23EE43D9}"/>
    <cellStyle name="Style 99 2 2 3 11 2" xfId="32193" xr:uid="{EAC20B51-387A-4DD8-BB76-7BEFD1BD6E0E}"/>
    <cellStyle name="Style 99 2 2 3 2 2" xfId="5494" xr:uid="{B08BAC27-C3AD-4F22-87A6-FCE34600C454}"/>
    <cellStyle name="Style 99 2 2 3 2 2 2" xfId="16478" xr:uid="{CC25C357-E581-4689-A4E0-8B5D70FE5F93}"/>
    <cellStyle name="Style 99 2 2 3 2 2 2 2" xfId="16479" xr:uid="{5913CB7E-9806-424E-A401-E54352655B9D}"/>
    <cellStyle name="Style 99 2 2 3 2 2 2 2 2" xfId="32195" xr:uid="{2888841B-4CB7-4F08-87F6-F26D829DD5FB}"/>
    <cellStyle name="Style 99 2 2 3 2 2 2 3" xfId="32194" xr:uid="{8D2DB3AF-3F4C-4F36-A8D6-04ACAA16996E}"/>
    <cellStyle name="Style 99 2 2 3 2 2 3 2" xfId="16480" xr:uid="{33ABC6EB-1D4C-49C6-98F1-7A20CC9F49D8}"/>
    <cellStyle name="Style 99 2 2 3 2 2 3 3" xfId="32196" xr:uid="{B3C6D737-7D80-4629-9D1F-68288A6D10CC}"/>
    <cellStyle name="Style 99 2 2 3 2 2 4 2" xfId="16481" xr:uid="{D1E97D4C-91AF-43E6-A1AB-986A1C47C454}"/>
    <cellStyle name="Style 99 2 2 3 2 2 4 3" xfId="32197" xr:uid="{1406CAEB-D48F-4953-BEFE-51FAD4AABBB3}"/>
    <cellStyle name="Style 99 2 2 3 2 2 5 2" xfId="16482" xr:uid="{E6850851-39AD-493A-B5BF-FD2D3524AF72}"/>
    <cellStyle name="Style 99 2 2 3 2 2 5 3" xfId="32198" xr:uid="{39A5AEE9-9CC4-4942-BCE1-B9D39AC0EC6D}"/>
    <cellStyle name="Style 99 2 2 3 2 2 6" xfId="16483" xr:uid="{BE666DB9-889F-49A4-A3CB-3412A19DC353}"/>
    <cellStyle name="Style 99 2 2 3 2 2 6 2" xfId="32199" xr:uid="{27540B10-4F38-4CEA-AC33-2FDD05F8D008}"/>
    <cellStyle name="Style 99 2 2 3 2 2 7" xfId="16484" xr:uid="{BB1D34A8-C997-4DCF-8939-4E13D9A1EA84}"/>
    <cellStyle name="Style 99 2 2 3 2 2 7 2" xfId="32200" xr:uid="{9333D084-24B0-4EAC-8B34-6CD98CFA9D59}"/>
    <cellStyle name="Style 99 2 2 3 2 3" xfId="16485" xr:uid="{4D6BAFAB-26F1-46FD-BC32-C1EE912EF332}"/>
    <cellStyle name="Style 99 2 2 3 2 3 2" xfId="16486" xr:uid="{55981BD4-8B1B-478D-A571-809060CD7D2E}"/>
    <cellStyle name="Style 99 2 2 3 2 3 2 2" xfId="32201" xr:uid="{36C50289-EB08-48BD-A2A3-B7E38648B498}"/>
    <cellStyle name="Style 99 2 2 3 2 3 3" xfId="16487" xr:uid="{F092A624-7D58-4EE4-9BE1-D3D55C75B15F}"/>
    <cellStyle name="Style 99 2 2 3 2 3 3 2" xfId="32202" xr:uid="{1A905207-0EB6-41F9-9F55-AFC6FFA98CB3}"/>
    <cellStyle name="Style 99 2 2 3 2 4" xfId="16488" xr:uid="{C9FB6473-8A9B-4F64-A7B9-ED900F53B54C}"/>
    <cellStyle name="Style 99 2 2 3 2 4 2" xfId="16489" xr:uid="{9E9BCE07-40D4-40C9-A4C7-7A60F55D4547}"/>
    <cellStyle name="Style 99 2 2 3 2 4 2 2" xfId="32204" xr:uid="{64AB1A7E-3A5F-46BC-87ED-77C087F5D294}"/>
    <cellStyle name="Style 99 2 2 3 2 4 3" xfId="32203" xr:uid="{B51C5C02-F5D1-4A02-9F8B-32AD392CC459}"/>
    <cellStyle name="Style 99 2 2 3 2 5" xfId="16490" xr:uid="{9F9B3331-9FD2-4520-A0ED-7F034E99CF89}"/>
    <cellStyle name="Style 99 2 2 3 2 5 2" xfId="16491" xr:uid="{EB8E3FC7-0E88-4045-BFFE-780F559319B2}"/>
    <cellStyle name="Style 99 2 2 3 2 5 2 2" xfId="32206" xr:uid="{18247F20-276B-4B03-8F47-DD5EDED1A761}"/>
    <cellStyle name="Style 99 2 2 3 2 5 3" xfId="32205" xr:uid="{D6B58987-23F2-4D05-9C1D-6EDA348CF650}"/>
    <cellStyle name="Style 99 2 2 3 2 6" xfId="16492" xr:uid="{199A530D-DDF5-4496-A349-FC52855C2802}"/>
    <cellStyle name="Style 99 2 2 3 2 6 2" xfId="16493" xr:uid="{72E5CF6C-EC05-4BC5-9A09-892EADA95EDC}"/>
    <cellStyle name="Style 99 2 2 3 2 6 2 2" xfId="32208" xr:uid="{8103CD64-F698-4655-BD7C-30C5041C7EEF}"/>
    <cellStyle name="Style 99 2 2 3 2 6 3" xfId="32207" xr:uid="{E30BFB7A-F18F-4DCD-B7E4-4DD39542B43E}"/>
    <cellStyle name="Style 99 2 2 3 2 7" xfId="16494" xr:uid="{9E88345B-9E8A-49EE-B15D-D8670CB0280D}"/>
    <cellStyle name="Style 99 2 2 3 2 7 2" xfId="16495" xr:uid="{C3C72455-A641-4DFD-9501-4FB8004AAAC9}"/>
    <cellStyle name="Style 99 2 2 3 2 7 2 2" xfId="32210" xr:uid="{27DAE20C-E213-419F-9B9E-0520A081A60E}"/>
    <cellStyle name="Style 99 2 2 3 2 7 3" xfId="32209" xr:uid="{3EFC0329-40C8-41AE-9A88-A7A37B6EB793}"/>
    <cellStyle name="Style 99 2 2 3 2 9" xfId="16496" xr:uid="{989F7FF1-FE73-4DCF-8726-368B1D4D288F}"/>
    <cellStyle name="Style 99 2 2 3 2 9 2" xfId="32211" xr:uid="{405F1EE3-F1E0-4388-B19D-533A83F0C709}"/>
    <cellStyle name="Style 99 2 2 3 3" xfId="5493" xr:uid="{8DB98081-98C8-4A45-A36B-5A0F7F125A22}"/>
    <cellStyle name="Style 99 2 2 3 3 2" xfId="16497" xr:uid="{2796DC85-343B-4D09-84A0-4C056A3FDA22}"/>
    <cellStyle name="Style 99 2 2 3 3 2 2" xfId="16498" xr:uid="{296947B9-D393-40AA-AFC7-30653EE4E122}"/>
    <cellStyle name="Style 99 2 2 3 3 3" xfId="16499" xr:uid="{D44B2153-9EB0-4899-8699-60B4228A9821}"/>
    <cellStyle name="Style 99 2 2 3 3 3 2" xfId="16500" xr:uid="{B2062DE9-88C1-4A39-93F9-5E0A3E3BD1AA}"/>
    <cellStyle name="Style 99 2 2 3 3 3 2 2" xfId="32213" xr:uid="{CA64E9A0-E20D-481D-913D-8ECE1A7302CA}"/>
    <cellStyle name="Style 99 2 2 3 3 3 3" xfId="32212" xr:uid="{1BC79AC0-A0BD-49A8-893A-85A48536FD19}"/>
    <cellStyle name="Style 99 2 2 3 3 4" xfId="16501" xr:uid="{756684E0-8DD7-458E-A9A1-A09C46BE1A7D}"/>
    <cellStyle name="Style 99 2 2 3 3 4 2" xfId="16502" xr:uid="{A4E7615B-1108-4F34-AD3E-308AA166F42D}"/>
    <cellStyle name="Style 99 2 2 3 3 4 2 2" xfId="32215" xr:uid="{E70EFBE4-9222-4C84-9612-5E0000E5CDBE}"/>
    <cellStyle name="Style 99 2 2 3 3 4 3" xfId="32214" xr:uid="{EE125064-F6BB-47DA-97B2-0FE7BF2C08B4}"/>
    <cellStyle name="Style 99 2 2 3 3 5" xfId="16503" xr:uid="{57214284-C564-48D2-B6E5-0A9055702B26}"/>
    <cellStyle name="Style 99 2 2 3 3 5 2" xfId="16504" xr:uid="{3F0F4F23-D184-4407-B193-6A83FEE68E17}"/>
    <cellStyle name="Style 99 2 2 3 3 5 2 2" xfId="32217" xr:uid="{57F551F3-362B-47D5-A7DF-5F463C9EF0AF}"/>
    <cellStyle name="Style 99 2 2 3 3 5 3" xfId="32216" xr:uid="{A27ACCCF-83B1-4878-9C0A-312B78B3B59A}"/>
    <cellStyle name="Style 99 2 2 3 3 6" xfId="16505" xr:uid="{ADF5D491-9455-432A-AD5E-E76BE5254BD1}"/>
    <cellStyle name="Style 99 2 2 3 3 6 2" xfId="32218" xr:uid="{B56DC64D-BA76-4350-9683-29BF79C38F9E}"/>
    <cellStyle name="Style 99 2 2 3 3 7" xfId="16506" xr:uid="{62C46E13-9B42-4788-89A8-2756897C1537}"/>
    <cellStyle name="Style 99 2 2 3 3 7 2" xfId="32219" xr:uid="{22E70CDB-4EBF-4C31-96A7-476E10FBE1B3}"/>
    <cellStyle name="Style 99 2 2 3 4" xfId="16507" xr:uid="{D5E812E2-205B-4813-B121-C4F9D8C1C669}"/>
    <cellStyle name="Style 99 2 2 3 4 2" xfId="16508" xr:uid="{A21B0C1D-EAC4-4547-922D-66762B0D1C2B}"/>
    <cellStyle name="Style 99 2 2 3 4 3" xfId="16509" xr:uid="{18017FB0-3A6E-46F5-8E11-F55367901AA1}"/>
    <cellStyle name="Style 99 2 2 3 4 3 2" xfId="32220" xr:uid="{D934C2BA-7E3D-4F58-8EEF-45B53071078B}"/>
    <cellStyle name="Style 99 2 2 3 5" xfId="16510" xr:uid="{43E524B3-7F82-4616-8119-1FBAEB83D69E}"/>
    <cellStyle name="Style 99 2 2 3 5 2" xfId="16511" xr:uid="{2CABC235-4A3A-405A-A7C3-BA3094E89973}"/>
    <cellStyle name="Style 99 2 2 3 5 2 2" xfId="32221" xr:uid="{711950C6-9AB4-452F-8E7D-B778AD813B51}"/>
    <cellStyle name="Style 99 2 2 3 6" xfId="16512" xr:uid="{D647DEE1-3C54-488F-B25D-280CC7E0B9C0}"/>
    <cellStyle name="Style 99 2 2 3 6 2 2" xfId="32223" xr:uid="{0F6F053B-EA70-4576-9D26-1F6D5B39E1BB}"/>
    <cellStyle name="Style 99 2 2 3 6 3" xfId="32222" xr:uid="{FF63A847-69C2-43DE-8C75-5DCD210F0D39}"/>
    <cellStyle name="Style 99 2 2 3 7" xfId="16513" xr:uid="{4A9E33D0-8E6B-46A6-B7A3-14859A5B2BEE}"/>
    <cellStyle name="Style 99 2 2 3 7 2 2" xfId="32225" xr:uid="{6EFE37C0-1346-476E-904A-6E4513CBA2A2}"/>
    <cellStyle name="Style 99 2 2 3 7 3" xfId="32224" xr:uid="{41D49319-CA35-49D6-A07E-3B7CE2119E15}"/>
    <cellStyle name="Style 99 2 2 3 8" xfId="16514" xr:uid="{34B278C9-0747-4B05-8F70-34D07C16CB09}"/>
    <cellStyle name="Style 99 2 2 3 8 2" xfId="16515" xr:uid="{9439EBFD-38F1-498D-B55A-382F8A59DEFF}"/>
    <cellStyle name="Style 99 2 2 3 8 2 2" xfId="32227" xr:uid="{2EE3710D-8284-4110-B0D2-079F288156F5}"/>
    <cellStyle name="Style 99 2 2 3 8 3" xfId="32226" xr:uid="{7C2A0CE4-E240-4D8E-BD38-81542246BA31}"/>
    <cellStyle name="Style 99 2 2 3 9" xfId="16516" xr:uid="{E16F43F2-D77B-4B91-8E87-9442DB149474}"/>
    <cellStyle name="Style 99 2 2 3 9 2" xfId="16517" xr:uid="{F429B469-F2FB-442D-9B4F-BA202E704116}"/>
    <cellStyle name="Style 99 2 2 3 9 2 2" xfId="32229" xr:uid="{666D0001-2E49-450D-9880-55DC958E77EB}"/>
    <cellStyle name="Style 99 2 2 3 9 3" xfId="32228" xr:uid="{01F20FF8-685C-4AF8-9B2F-A69407805024}"/>
    <cellStyle name="Style 99 2 2 4" xfId="2542" xr:uid="{134BAE6C-44E4-4FBE-9D14-7D6B33515F1F}"/>
    <cellStyle name="Style 99 2 2 4 2" xfId="5495" xr:uid="{92F03F24-126F-430E-8307-051F9183B3AF}"/>
    <cellStyle name="Style 99 2 2 4 2 2" xfId="16518" xr:uid="{15AAC258-8845-4B26-A0E9-69F8FA52B6CE}"/>
    <cellStyle name="Style 99 2 2 4 2 2 2" xfId="16519" xr:uid="{445F9B1F-170C-499A-ACA7-DEB90FBC52EB}"/>
    <cellStyle name="Style 99 2 2 4 2 2 3" xfId="32230" xr:uid="{B72B411A-AAC9-4EEA-8B53-8DB01E04CB1F}"/>
    <cellStyle name="Style 99 2 2 4 2 3" xfId="16520" xr:uid="{4496EBFC-C46F-4350-B1C7-E01653A5870C}"/>
    <cellStyle name="Style 99 2 2 4 2 3 2" xfId="16521" xr:uid="{F60CFA17-8F3F-42FE-B7C8-2F2584A89DD8}"/>
    <cellStyle name="Style 99 2 2 4 2 3 2 2" xfId="32232" xr:uid="{538E7F0F-4B49-46D0-B5F5-3D8E6C41843F}"/>
    <cellStyle name="Style 99 2 2 4 2 3 3" xfId="32231" xr:uid="{D17668F0-7843-44E9-B1AE-500573646124}"/>
    <cellStyle name="Style 99 2 2 4 2 4" xfId="16522" xr:uid="{98D1897D-DA84-4887-81FA-2FD7D5866720}"/>
    <cellStyle name="Style 99 2 2 4 2 4 2" xfId="16523" xr:uid="{FECE30B0-0F3C-4A8E-9C0E-2D5B144F6368}"/>
    <cellStyle name="Style 99 2 2 4 2 4 2 2" xfId="32234" xr:uid="{53B03770-4969-4477-A178-4E9315766860}"/>
    <cellStyle name="Style 99 2 2 4 2 4 3" xfId="32233" xr:uid="{3409D4C6-F378-48A7-80E9-5859445C7952}"/>
    <cellStyle name="Style 99 2 2 4 2 5" xfId="16524" xr:uid="{3F2E8B2C-3B44-4CF8-A672-3453B3CA0DCB}"/>
    <cellStyle name="Style 99 2 2 4 2 5 2" xfId="16525" xr:uid="{214ACAFB-387D-488C-A843-B5887951A530}"/>
    <cellStyle name="Style 99 2 2 4 2 5 2 2" xfId="32235" xr:uid="{FAB810A5-157D-4AF8-A85F-31C8F5498D92}"/>
    <cellStyle name="Style 99 2 2 4 2 6" xfId="16526" xr:uid="{1BDAD0A7-B336-424D-ADD6-36A7FE4BFAC8}"/>
    <cellStyle name="Style 99 2 2 4 2 6 2" xfId="32236" xr:uid="{345BCA8E-8922-40AD-83A1-0CA14F7B6EA5}"/>
    <cellStyle name="Style 99 2 2 4 2 7" xfId="16527" xr:uid="{0FFE603F-1867-42D6-A90F-02A21681E6F1}"/>
    <cellStyle name="Style 99 2 2 4 2 7 2" xfId="32237" xr:uid="{6AA24DA0-CAC0-476B-88D9-04E66C4364D0}"/>
    <cellStyle name="Style 99 2 2 4 3 2" xfId="16528" xr:uid="{B6188010-BE0A-410D-A4DA-45F3A7FF52E6}"/>
    <cellStyle name="Style 99 2 2 4 3 2 2" xfId="32238" xr:uid="{9034A8CD-3167-4847-9E20-C0022CD73A45}"/>
    <cellStyle name="Style 99 2 2 4 3 3" xfId="16529" xr:uid="{4F91B6A3-AF70-42F9-9978-BBB24C14C63D}"/>
    <cellStyle name="Style 99 2 2 4 3 3 2" xfId="32239" xr:uid="{A1E3241C-16C1-4192-B614-5FE598797B98}"/>
    <cellStyle name="Style 99 2 2 4 4" xfId="16530" xr:uid="{C552CBA8-29DB-482A-9D36-62F37FA52124}"/>
    <cellStyle name="Style 99 2 2 4 4 2 2" xfId="32241" xr:uid="{4B121BF0-42DD-4FBD-91FF-A00B2FC9440D}"/>
    <cellStyle name="Style 99 2 2 4 4 3" xfId="32240" xr:uid="{C3F4C1B2-9A79-4D25-B94D-A26953E1A88F}"/>
    <cellStyle name="Style 99 2 2 4 5" xfId="16531" xr:uid="{D5605262-A3CF-46BF-ADE8-023D15980A56}"/>
    <cellStyle name="Style 99 2 2 4 5 2" xfId="16532" xr:uid="{5606C641-E5F3-4529-BA48-DD71A6D1554D}"/>
    <cellStyle name="Style 99 2 2 4 5 2 2" xfId="32243" xr:uid="{CA31F718-72C1-4F4E-8689-2F279BBE705E}"/>
    <cellStyle name="Style 99 2 2 4 5 3" xfId="32242" xr:uid="{E3CF29B6-B152-4DBF-B9F5-A80D6DB06D86}"/>
    <cellStyle name="Style 99 2 2 4 6" xfId="16533" xr:uid="{111A43E0-D371-45AB-9092-1AD01A42A658}"/>
    <cellStyle name="Style 99 2 2 4 6 2" xfId="16534" xr:uid="{3EB0A342-FA93-4A4C-98BE-62FA26F7C053}"/>
    <cellStyle name="Style 99 2 2 4 6 2 2" xfId="32244" xr:uid="{DA2EE067-1F96-4D14-8FB5-00201C2C89AB}"/>
    <cellStyle name="Style 99 2 2 4 7" xfId="16535" xr:uid="{447C5FEE-30AF-4230-8216-B44458B96378}"/>
    <cellStyle name="Style 99 2 2 4 7 2" xfId="16536" xr:uid="{AF496E3B-35FF-4B87-961E-1F521C354337}"/>
    <cellStyle name="Style 99 2 2 4 7 2 2" xfId="32246" xr:uid="{CDB23F62-B33A-4535-89AA-5AF7F5A0FF48}"/>
    <cellStyle name="Style 99 2 2 4 7 3" xfId="32245" xr:uid="{67CEB02F-B704-4A81-8CBA-2D371E9808E3}"/>
    <cellStyle name="Style 99 2 2 4 8" xfId="16537" xr:uid="{94EA5A95-219A-4640-96D4-20DEBCBAA5E1}"/>
    <cellStyle name="Style 99 2 2 4 9" xfId="16538" xr:uid="{DF101EFE-1348-4202-BB72-5C1EA2BA68D9}"/>
    <cellStyle name="Style 99 2 2 5" xfId="5489" xr:uid="{8849835E-B3E1-45AE-ABD9-087D681B64A9}"/>
    <cellStyle name="Style 99 2 2 5 2" xfId="16539" xr:uid="{7F76015C-5CA7-48F7-B04A-14D9A42636FF}"/>
    <cellStyle name="Style 99 2 2 5 2 2" xfId="32247" xr:uid="{80A0E251-0A24-45AE-B52E-95E3A751A3BC}"/>
    <cellStyle name="Style 99 2 2 5 3" xfId="16540" xr:uid="{7E6E9B87-8512-4DAF-A7DD-628C3EA7E36C}"/>
    <cellStyle name="Style 99 2 2 5 3 2" xfId="32248" xr:uid="{F1250272-C780-4BA7-8167-EA41D54A1478}"/>
    <cellStyle name="Style 99 2 2 5 4" xfId="16541" xr:uid="{9017234B-7D13-48F7-AB29-C9224720D923}"/>
    <cellStyle name="Style 99 2 2 5 4 2" xfId="32249" xr:uid="{C729334E-5EAA-4C82-BC4D-1636EA67741E}"/>
    <cellStyle name="Style 99 2 2 6" xfId="16542" xr:uid="{23876F76-7BCC-47E9-BB81-BE2793C902BB}"/>
    <cellStyle name="Style 99 2 2 6 2" xfId="16543" xr:uid="{66F58C53-1192-4254-BD72-92779C46D244}"/>
    <cellStyle name="Style 99 2 2 6 2 2" xfId="32250" xr:uid="{0DB19A24-2804-4ABA-AFAE-99448BF46794}"/>
    <cellStyle name="Style 99 2 2 6 3" xfId="16544" xr:uid="{48A3D7E4-F2AD-4079-9805-1BFEFBBD8ADD}"/>
    <cellStyle name="Style 99 2 2 6 3 2" xfId="32251" xr:uid="{D9972414-8C5D-452E-8E67-79482B94FE87}"/>
    <cellStyle name="Style 99 2 2 7" xfId="16545" xr:uid="{B02822F2-993C-43EF-86CF-123892BD7C08}"/>
    <cellStyle name="Style 99 2 2 7 2" xfId="16546" xr:uid="{F1AF09B3-E7F0-4511-91F8-CDC6554232C0}"/>
    <cellStyle name="Style 99 2 2 7 2 2" xfId="32253" xr:uid="{D65085DB-25C0-4EF1-A9E4-C808BCFD6C51}"/>
    <cellStyle name="Style 99 2 2 7 3" xfId="32252" xr:uid="{7A564EE9-A3F0-4DB4-9F14-242E1B330F33}"/>
    <cellStyle name="Style 99 2 2 8" xfId="16547" xr:uid="{41473E3A-85BB-4D2D-AFF9-723D0CE4254E}"/>
    <cellStyle name="Style 99 2 2 8 2" xfId="16548" xr:uid="{5E0FD270-E92A-461E-AE47-4EC9A4FF2C0A}"/>
    <cellStyle name="Style 99 2 2 8 2 2" xfId="32254" xr:uid="{FA354B0A-728F-4F05-9EF4-6F1D1DE60C4A}"/>
    <cellStyle name="Style 99 2 2 9" xfId="16549" xr:uid="{588C3843-4CF8-49AB-94A5-2600ACF13C14}"/>
    <cellStyle name="Style 99 2 2 9 2" xfId="16550" xr:uid="{34344F3D-8E82-4E51-B288-A6376A036EB7}"/>
    <cellStyle name="Style 99 2 2 9 2 2" xfId="32255" xr:uid="{401595BB-F9BA-47FB-9ACD-5350D26C0AAD}"/>
    <cellStyle name="Style 99 2 3" xfId="2543" xr:uid="{47266C2D-C8E5-4D31-89AD-99CA16C1C418}"/>
    <cellStyle name="Style 99 2 3 10" xfId="16551" xr:uid="{5CCA194A-7554-410A-951D-F69C3B473747}"/>
    <cellStyle name="Style 99 2 3 10 2" xfId="16552" xr:uid="{900FB9F8-91C8-4532-9E85-970CA64FE32D}"/>
    <cellStyle name="Style 99 2 3 10 2 2" xfId="32257" xr:uid="{67FF978A-1D9F-41A7-BEEC-7DE029ACD176}"/>
    <cellStyle name="Style 99 2 3 10 3" xfId="32256" xr:uid="{53E4C89C-FB42-4B79-8829-7850425CCE04}"/>
    <cellStyle name="Style 99 2 3 11 2" xfId="32258" xr:uid="{A733E847-27A2-4252-AAC5-A9DBA6ED241B}"/>
    <cellStyle name="Style 99 2 3 12" xfId="16553" xr:uid="{249D77F4-971F-423A-8ACC-FC0F0EA45799}"/>
    <cellStyle name="Style 99 2 3 12 2" xfId="32259" xr:uid="{5923DAC5-B187-4229-8130-BC591FFAC98C}"/>
    <cellStyle name="Style 99 2 3 2" xfId="2544" xr:uid="{8EE7E48D-6AA5-442A-B924-4F24C469257A}"/>
    <cellStyle name="Style 99 2 3 2 10" xfId="16554" xr:uid="{8D347D05-85CC-45A4-829B-F4DB05C97420}"/>
    <cellStyle name="Style 99 2 3 2 10 2" xfId="32260" xr:uid="{CA0FD638-82F5-4656-95A1-E22BECDA2206}"/>
    <cellStyle name="Style 99 2 3 2 11" xfId="16555" xr:uid="{F2E389C1-DA90-421A-95CD-9AFE9B433FC3}"/>
    <cellStyle name="Style 99 2 3 2 11 2" xfId="32261" xr:uid="{DAE9D1BA-0545-44A5-8108-1023CA2095A7}"/>
    <cellStyle name="Style 99 2 3 2 2" xfId="2545" xr:uid="{95540376-BB20-4236-BEE6-4465C3E2EAE6}"/>
    <cellStyle name="Style 99 2 3 2 2 2" xfId="5496" xr:uid="{73D3A1E6-5CB6-40F6-AFAB-1D55A425689E}"/>
    <cellStyle name="Style 99 2 3 2 2 2 2" xfId="16556" xr:uid="{CEC966D5-50F8-4536-9C30-8781667509B1}"/>
    <cellStyle name="Style 99 2 3 2 2 2 2 2" xfId="16557" xr:uid="{0524BBEC-D074-4D09-A510-A7A8209537A6}"/>
    <cellStyle name="Style 99 2 3 2 2 2 2 2 2" xfId="32262" xr:uid="{976E119F-5B68-4C4C-B368-45756E6C7A76}"/>
    <cellStyle name="Style 99 2 3 2 2 2 3" xfId="16558" xr:uid="{01FE0266-7D17-4403-AC66-A608CBA9750B}"/>
    <cellStyle name="Style 99 2 3 2 2 2 3 2" xfId="16559" xr:uid="{92F88F90-5CB2-49E0-87BB-A8EBC7733ECA}"/>
    <cellStyle name="Style 99 2 3 2 2 2 3 2 2" xfId="32264" xr:uid="{186D7304-2357-43B9-BA6D-94AF23A5008A}"/>
    <cellStyle name="Style 99 2 3 2 2 2 3 3" xfId="32263" xr:uid="{49F24C3B-60EA-4CB8-852A-E48FA8166520}"/>
    <cellStyle name="Style 99 2 3 2 2 2 4" xfId="16560" xr:uid="{BC12115D-C41A-4AFB-BFB7-28BB9EA14011}"/>
    <cellStyle name="Style 99 2 3 2 2 2 4 2" xfId="16561" xr:uid="{82FF4681-9949-4706-BEEA-7CABEA94930C}"/>
    <cellStyle name="Style 99 2 3 2 2 2 4 2 2" xfId="32266" xr:uid="{0BC8537E-5E6E-4DDA-A9E0-904EA121A41F}"/>
    <cellStyle name="Style 99 2 3 2 2 2 4 3" xfId="32265" xr:uid="{AC1A6CB0-E9D8-478F-8136-B35B313F37C6}"/>
    <cellStyle name="Style 99 2 3 2 2 2 5 2 2" xfId="32268" xr:uid="{45793636-62D5-418C-855A-2197F8F86934}"/>
    <cellStyle name="Style 99 2 3 2 2 2 5 3" xfId="32267" xr:uid="{16670056-CBE0-46BE-949A-6CE67C417007}"/>
    <cellStyle name="Style 99 2 3 2 2 2 6" xfId="16562" xr:uid="{00E86F54-2465-46C7-A379-57EEAE269319}"/>
    <cellStyle name="Style 99 2 3 2 2 2 6 2" xfId="32269" xr:uid="{7D2BCA5D-DA7A-4CF4-B62E-E5BFBEA9F939}"/>
    <cellStyle name="Style 99 2 3 2 2 2 7" xfId="16563" xr:uid="{E7411B9A-E16A-4873-931D-24D92E244B43}"/>
    <cellStyle name="Style 99 2 3 2 2 2 8" xfId="20897" xr:uid="{B8B65223-1BAD-4674-91B8-620A29076A8B}"/>
    <cellStyle name="Style 99 2 3 2 2 3 2 2" xfId="32270" xr:uid="{7EBA0DC1-B105-4DCB-AA88-FB7A2EC0885C}"/>
    <cellStyle name="Style 99 2 3 2 2 3 3" xfId="16564" xr:uid="{D2664F8B-57F9-434B-B3BD-C8EB59EB967C}"/>
    <cellStyle name="Style 99 2 3 2 2 4" xfId="16565" xr:uid="{6DBF22E4-41A9-4C23-9414-BCF02648AD61}"/>
    <cellStyle name="Style 99 2 3 2 2 4 2" xfId="16566" xr:uid="{76FC533F-9B66-434B-82FE-0A330BC5536A}"/>
    <cellStyle name="Style 99 2 3 2 2 4 2 2" xfId="32272" xr:uid="{5D6EC0BC-2E1F-47FE-BA37-455333C5857D}"/>
    <cellStyle name="Style 99 2 3 2 2 4 3" xfId="32271" xr:uid="{85A738FC-B3A7-4D83-92A4-161BF26549F3}"/>
    <cellStyle name="Style 99 2 3 2 2 5" xfId="16567" xr:uid="{7FFDC31E-9EF7-4295-9D70-24CED295C76B}"/>
    <cellStyle name="Style 99 2 3 2 2 5 2" xfId="16568" xr:uid="{2E9E7676-D56B-4F95-A76A-6B323798C5DF}"/>
    <cellStyle name="Style 99 2 3 2 2 5 2 2" xfId="32274" xr:uid="{6BC14187-4DA9-40ED-B774-A13B00AEEB49}"/>
    <cellStyle name="Style 99 2 3 2 2 5 3" xfId="32273" xr:uid="{48BF1181-726A-4ECB-9F52-E45AB7681E21}"/>
    <cellStyle name="Style 99 2 3 2 2 6" xfId="16569" xr:uid="{640295B6-8C0F-411A-B9AF-85521EBEFFE8}"/>
    <cellStyle name="Style 99 2 3 2 2 6 2" xfId="16570" xr:uid="{13D28DDE-567D-4F31-8E71-968D02FE05C4}"/>
    <cellStyle name="Style 99 2 3 2 2 6 2 2" xfId="32276" xr:uid="{D54B458A-912A-43F0-994A-2CC4BDF2E53F}"/>
    <cellStyle name="Style 99 2 3 2 2 6 3" xfId="32275" xr:uid="{D22B4306-63B4-4E3C-9980-A24692EA1C30}"/>
    <cellStyle name="Style 99 2 3 2 2 7" xfId="16571" xr:uid="{F3389471-028D-4F0D-85E0-481E08BDBEDB}"/>
    <cellStyle name="Style 99 2 3 2 2 7 2" xfId="16572" xr:uid="{D09D7DF7-9B56-4A65-9A12-5B2E4F3C3700}"/>
    <cellStyle name="Style 99 2 3 2 2 7 2 2" xfId="32278" xr:uid="{D1988B2D-A9E8-4CA6-92A0-937618225BBF}"/>
    <cellStyle name="Style 99 2 3 2 2 7 3" xfId="32277" xr:uid="{14F378AF-880D-43C1-94E5-D2AB5A283525}"/>
    <cellStyle name="Style 99 2 3 2 2 8" xfId="16573" xr:uid="{8F4BE4EF-CB6C-4257-94FF-D033296214EE}"/>
    <cellStyle name="Style 99 2 3 2 2 8 2" xfId="32279" xr:uid="{155EB415-5F48-4C78-8ADA-ED1644EFABFA}"/>
    <cellStyle name="Style 99 2 3 2 2 9" xfId="16574" xr:uid="{C5B94877-AA4F-4FAC-9B7C-9B1BD680E4F5}"/>
    <cellStyle name="Style 99 2 3 2 2 9 2" xfId="32280" xr:uid="{206AF10D-5AEC-4527-BA0C-1FA50CD3CC04}"/>
    <cellStyle name="Style 99 2 3 2 3 2" xfId="16575" xr:uid="{7F5E7A5F-83C1-42B1-A852-7A4DC867E4E0}"/>
    <cellStyle name="Style 99 2 3 2 3 2 2" xfId="16576" xr:uid="{84B892F0-9711-449A-A3FE-571C97899C80}"/>
    <cellStyle name="Style 99 2 3 2 3 2 2 2" xfId="32282" xr:uid="{478A7D96-946B-4D63-91C5-7FFDB5A46C51}"/>
    <cellStyle name="Style 99 2 3 2 3 2 3" xfId="32281" xr:uid="{4EA2A7E0-02E3-40F3-9AA8-7604E16ADF7C}"/>
    <cellStyle name="Style 99 2 3 2 3 3" xfId="16577" xr:uid="{BAFC12EF-15BA-40C0-BB89-98C45E369F99}"/>
    <cellStyle name="Style 99 2 3 2 3 3 3" xfId="32283" xr:uid="{00785891-8118-4D6F-AFBE-74A3FC70099E}"/>
    <cellStyle name="Style 99 2 3 2 3 4" xfId="16578" xr:uid="{3765956A-3FD5-4E1F-9770-BE7C68A51A6E}"/>
    <cellStyle name="Style 99 2 3 2 3 4 2" xfId="16579" xr:uid="{0DA46D36-C558-4B4A-94A3-B1720CF6F003}"/>
    <cellStyle name="Style 99 2 3 2 3 4 2 2" xfId="32285" xr:uid="{2222FC9C-0332-495F-8082-B2784B093D8A}"/>
    <cellStyle name="Style 99 2 3 2 3 4 3" xfId="32284" xr:uid="{141EFA5B-8DD2-40A9-A5D1-ECF99511C425}"/>
    <cellStyle name="Style 99 2 3 2 3 5 2" xfId="16580" xr:uid="{56DFFBB3-793D-4AA0-B0DC-150AEA44F331}"/>
    <cellStyle name="Style 99 2 3 2 3 5 2 2" xfId="32287" xr:uid="{2EB4A975-64F2-4C89-A3D0-34075DBD8B58}"/>
    <cellStyle name="Style 99 2 3 2 3 5 3" xfId="32286" xr:uid="{92D54397-45CA-414C-B360-D755B3944032}"/>
    <cellStyle name="Style 99 2 3 2 3 6" xfId="16581" xr:uid="{0E756778-CA9D-464D-A288-C0952F8719FB}"/>
    <cellStyle name="Style 99 2 3 2 3 6 2" xfId="32288" xr:uid="{14544B4A-FC64-4A90-8E9B-F3B00EC4A1DA}"/>
    <cellStyle name="Style 99 2 3 2 3 7" xfId="16582" xr:uid="{11E3E2B7-8A28-446D-A66F-D3103784F445}"/>
    <cellStyle name="Style 99 2 3 2 3 7 2" xfId="32289" xr:uid="{1049C5FE-CCF7-4700-8CF4-9176C05B0840}"/>
    <cellStyle name="Style 99 2 3 2 3 8" xfId="20896" xr:uid="{EC6AD8F8-9C49-492E-A5B7-262BACAAB392}"/>
    <cellStyle name="Style 99 2 3 2 4" xfId="16583" xr:uid="{B7845532-4FAB-4A55-B945-F5E81948A345}"/>
    <cellStyle name="Style 99 2 3 2 4 2" xfId="16584" xr:uid="{22AF8E11-2E13-4160-9D29-A08E8FEAA434}"/>
    <cellStyle name="Style 99 2 3 2 4 2 2" xfId="32290" xr:uid="{202A4AEB-D117-415F-948D-7836A9EC12C2}"/>
    <cellStyle name="Style 99 2 3 2 4 3" xfId="16585" xr:uid="{D13F7B3D-9A68-4820-9CC8-D44E2A3F9E90}"/>
    <cellStyle name="Style 99 2 3 2 4 3 2" xfId="32291" xr:uid="{AF688CF8-3E9E-4ECC-AF0B-B7A9055CB762}"/>
    <cellStyle name="Style 99 2 3 2 5" xfId="16586" xr:uid="{72E6FCA1-538B-4EED-8D68-B9C38F0CC719}"/>
    <cellStyle name="Style 99 2 3 2 5 2" xfId="16587" xr:uid="{38481452-D441-4789-9331-ECB621F1C514}"/>
    <cellStyle name="Style 99 2 3 2 5 2 2" xfId="32293" xr:uid="{A53E62ED-E301-487C-AE3B-03AC661AF69A}"/>
    <cellStyle name="Style 99 2 3 2 5 3" xfId="32292" xr:uid="{2BD16033-7608-4626-B76A-66EBF8203129}"/>
    <cellStyle name="Style 99 2 3 2 6" xfId="16588" xr:uid="{15BF30A8-E209-492C-A0B3-52A1B2F5CD9A}"/>
    <cellStyle name="Style 99 2 3 2 6 2" xfId="16589" xr:uid="{D2F08203-7B62-435D-B1C2-9F903A07C83E}"/>
    <cellStyle name="Style 99 2 3 2 6 2 2" xfId="32295" xr:uid="{D9D69370-FEBA-441C-A7A7-2797950B9209}"/>
    <cellStyle name="Style 99 2 3 2 6 3" xfId="32294" xr:uid="{2371670C-175A-49A8-A979-0938B26770F4}"/>
    <cellStyle name="Style 99 2 3 2 7" xfId="16590" xr:uid="{7644C914-66B9-4874-BD17-094EF47EF1FE}"/>
    <cellStyle name="Style 99 2 3 2 7 2" xfId="16591" xr:uid="{69B44BFC-7558-4978-AE52-6005410987C5}"/>
    <cellStyle name="Style 99 2 3 2 7 2 2" xfId="32297" xr:uid="{1BC07BB3-30DC-4375-8443-60C6CA8F3117}"/>
    <cellStyle name="Style 99 2 3 2 7 3" xfId="32296" xr:uid="{4BF1C211-F165-4ED3-AC4D-162326BB9C2D}"/>
    <cellStyle name="Style 99 2 3 2 8" xfId="16592" xr:uid="{D6F52316-E09C-452F-A08D-A7FD125332E4}"/>
    <cellStyle name="Style 99 2 3 2 8 2" xfId="16593" xr:uid="{A6F3F930-3029-4E0B-A822-27637D99DC75}"/>
    <cellStyle name="Style 99 2 3 2 8 2 2" xfId="32299" xr:uid="{15169848-9A7A-4B02-A9C1-F675D3C16CA0}"/>
    <cellStyle name="Style 99 2 3 2 8 3" xfId="32298" xr:uid="{2719A45A-3CD8-48B9-966D-DE803C33BBEA}"/>
    <cellStyle name="Style 99 2 3 2 9" xfId="16594" xr:uid="{95609D1A-1946-4C00-9136-CD8D854EB623}"/>
    <cellStyle name="Style 99 2 3 2 9 2" xfId="16595" xr:uid="{21D16700-47CA-4A53-868C-51AF47ABCCB2}"/>
    <cellStyle name="Style 99 2 3 2 9 2 2" xfId="32301" xr:uid="{6442BF45-BC47-43B7-9C20-47E172349C74}"/>
    <cellStyle name="Style 99 2 3 2 9 3" xfId="32300" xr:uid="{6A20B39D-1C20-44E0-A238-28E94C991247}"/>
    <cellStyle name="Style 99 2 3 3" xfId="2546" xr:uid="{D19C556F-C7FB-4DA6-9D44-D4DBA765D572}"/>
    <cellStyle name="Style 99 2 3 3 2" xfId="5497" xr:uid="{1598420A-EB17-4CB1-A8B8-111B04118B93}"/>
    <cellStyle name="Style 99 2 3 3 2 2" xfId="16596" xr:uid="{4D78CDC0-EEE1-4E82-8790-1442A8CDA376}"/>
    <cellStyle name="Style 99 2 3 3 2 2 2" xfId="16597" xr:uid="{316EEA0B-5EFB-42EA-ACB3-C944F9573C5C}"/>
    <cellStyle name="Style 99 2 3 3 2 2 2 2" xfId="32303" xr:uid="{15FA9775-5214-41DC-A22A-59C7E3BC3D06}"/>
    <cellStyle name="Style 99 2 3 3 2 2 3" xfId="32302" xr:uid="{1D1E1069-D032-4C1B-B8B5-CE8B2A2D1E91}"/>
    <cellStyle name="Style 99 2 3 3 2 3" xfId="16598" xr:uid="{3754EBEF-6020-4D0B-945D-D6446F6214FD}"/>
    <cellStyle name="Style 99 2 3 3 2 3 2" xfId="16599" xr:uid="{7FE93CE9-320E-4A6E-914B-6BDD5CE02239}"/>
    <cellStyle name="Style 99 2 3 3 2 3 2 2" xfId="32305" xr:uid="{CB121B66-5757-428E-AC32-C7F7CAD24911}"/>
    <cellStyle name="Style 99 2 3 3 2 3 3" xfId="32304" xr:uid="{A8CE152D-5C1D-4BC7-9D46-1A8FA41604D5}"/>
    <cellStyle name="Style 99 2 3 3 2 4" xfId="16600" xr:uid="{F34CE413-83EC-4917-9DE9-D8DB4D3D058A}"/>
    <cellStyle name="Style 99 2 3 3 2 4 2" xfId="16601" xr:uid="{29B318A0-2A82-4E85-999D-652DDB36E43B}"/>
    <cellStyle name="Style 99 2 3 3 2 4 3" xfId="32306" xr:uid="{C6D604EE-7CDA-403E-B7EC-272C1D2D2B0C}"/>
    <cellStyle name="Style 99 2 3 3 2 5" xfId="16602" xr:uid="{4DFB1B11-BF7A-4F06-984A-4E8438015D36}"/>
    <cellStyle name="Style 99 2 3 3 2 5 2" xfId="16603" xr:uid="{13C4ACFB-2F28-4532-8F1C-2E4873A91E01}"/>
    <cellStyle name="Style 99 2 3 3 2 5 2 2" xfId="32308" xr:uid="{4025A48C-72E1-42D8-8163-F4E3DA6E50F4}"/>
    <cellStyle name="Style 99 2 3 3 2 5 3" xfId="32307" xr:uid="{DC20D781-33A7-41B8-B9EF-263BD4628053}"/>
    <cellStyle name="Style 99 2 3 3 2 6 2" xfId="32309" xr:uid="{4AE6B9B4-5144-456F-A2D0-67F9970562D1}"/>
    <cellStyle name="Style 99 2 3 3 2 7" xfId="16604" xr:uid="{BCA46B6E-7E02-48C2-982D-6620DEB4C4B5}"/>
    <cellStyle name="Style 99 2 3 3 2 7 2" xfId="32310" xr:uid="{5743F64F-9A2D-4B17-894A-96CEE34537BE}"/>
    <cellStyle name="Style 99 2 3 3 2 8" xfId="20898" xr:uid="{C37FB17E-2D81-4149-9B54-81C48ECEAAAB}"/>
    <cellStyle name="Style 99 2 3 3 3" xfId="16605" xr:uid="{20BADB92-71A6-415C-A6EF-E7602142853E}"/>
    <cellStyle name="Style 99 2 3 3 3 2" xfId="16606" xr:uid="{906FD47B-BFAD-4BB0-A99F-67FA3EC3598E}"/>
    <cellStyle name="Style 99 2 3 3 3 2 2" xfId="32311" xr:uid="{C399AE33-5BFB-47D3-BC72-049C68660D5B}"/>
    <cellStyle name="Style 99 2 3 3 3 3" xfId="16607" xr:uid="{652888D9-36BB-4EB4-9DBF-2727B8B58351}"/>
    <cellStyle name="Style 99 2 3 3 3 3 2" xfId="32312" xr:uid="{FA90C41A-93FF-4AA6-A250-0F01D5DB21A0}"/>
    <cellStyle name="Style 99 2 3 3 4" xfId="16608" xr:uid="{12B6FD44-0D55-47B0-B9C0-6944441257E8}"/>
    <cellStyle name="Style 99 2 3 3 4 2" xfId="16609" xr:uid="{9C6D9B8A-4BC8-4F7A-AADA-504614DD0BEE}"/>
    <cellStyle name="Style 99 2 3 3 4 2 2" xfId="32314" xr:uid="{DD18B8D7-0699-4C39-AEDC-BEC44D815525}"/>
    <cellStyle name="Style 99 2 3 3 4 3" xfId="32313" xr:uid="{0FB3DA73-9B9D-46CE-A42B-EDF2F321E2D2}"/>
    <cellStyle name="Style 99 2 3 3 5" xfId="16610" xr:uid="{4F10A440-AD9A-4DA2-B329-C9CE787B8476}"/>
    <cellStyle name="Style 99 2 3 3 5 2" xfId="16611" xr:uid="{D1CC5EF6-5369-430A-8BCC-0F5E3E19C87E}"/>
    <cellStyle name="Style 99 2 3 3 5 2 2" xfId="32316" xr:uid="{305AC04C-ACBA-44EF-A047-F74CA8F3EDDD}"/>
    <cellStyle name="Style 99 2 3 3 5 3" xfId="32315" xr:uid="{32DE8112-6A9F-4A5C-8F6B-224A04815646}"/>
    <cellStyle name="Style 99 2 3 3 6" xfId="16612" xr:uid="{404CFD75-0839-40D6-BFFE-CF7B572470A2}"/>
    <cellStyle name="Style 99 2 3 3 6 2" xfId="16613" xr:uid="{1AE89044-7B75-4F87-8DB4-12DE715DE97B}"/>
    <cellStyle name="Style 99 2 3 3 6 2 2" xfId="32318" xr:uid="{0D180C7B-1202-4966-9D93-4E4D58EECF18}"/>
    <cellStyle name="Style 99 2 3 3 6 3" xfId="32317" xr:uid="{5BB2BE14-7B0E-44C7-AB4A-CAD33AACE5F9}"/>
    <cellStyle name="Style 99 2 3 3 7" xfId="16614" xr:uid="{08380BF1-0D4F-4E96-AD3D-6A472B12C7EE}"/>
    <cellStyle name="Style 99 2 3 3 7 2" xfId="16615" xr:uid="{17059EE6-E531-4C07-9F45-AFE4D33BFD14}"/>
    <cellStyle name="Style 99 2 3 3 7 2 2" xfId="32320" xr:uid="{D00A9DE4-15CC-4998-90BD-977D1CB4504A}"/>
    <cellStyle name="Style 99 2 3 3 7 3" xfId="32319" xr:uid="{3188FB1C-13E6-4105-A11F-1DB78F158223}"/>
    <cellStyle name="Style 99 2 3 3 8" xfId="16616" xr:uid="{55C16486-5C9C-4234-A336-932E1A47D8EE}"/>
    <cellStyle name="Style 99 2 3 3 8 2" xfId="32321" xr:uid="{AE194838-BEAD-4428-8BB9-62EEE7DBBCCB}"/>
    <cellStyle name="Style 99 2 3 3 9" xfId="16617" xr:uid="{2082F68E-E3A9-40CF-AE23-B2A38A59CB8C}"/>
    <cellStyle name="Style 99 2 3 3 9 2" xfId="32322" xr:uid="{FB912D7D-268D-4514-9876-D2E06BFC6A64}"/>
    <cellStyle name="Style 99 2 3 4" xfId="2808" xr:uid="{493F8382-2497-4742-82A0-7B2B660DF058}"/>
    <cellStyle name="Style 99 2 3 4 2" xfId="16618" xr:uid="{C2F6B835-18E2-47E3-A8A9-22EAEA695A6B}"/>
    <cellStyle name="Style 99 2 3 4 2 2" xfId="16619" xr:uid="{CB959CDF-E9DE-47B0-9E08-B533A3BAE06D}"/>
    <cellStyle name="Style 99 2 3 4 2 2 2" xfId="32323" xr:uid="{FF812005-46B9-4074-80FB-986EFCC68BA5}"/>
    <cellStyle name="Style 99 2 3 4 2 3" xfId="16620" xr:uid="{6676901F-DF56-4C45-8841-56DD38DFB01B}"/>
    <cellStyle name="Style 99 2 3 4 2 3 2" xfId="32324" xr:uid="{FFA1EBC0-FF45-4BB1-B341-966866A2E71E}"/>
    <cellStyle name="Style 99 2 3 4 3" xfId="16621" xr:uid="{D493AE62-A5B3-4C2C-888C-7DB087E6638C}"/>
    <cellStyle name="Style 99 2 3 4 3 2" xfId="16622" xr:uid="{62DA1F2B-FEB5-463B-8A09-5438583602E4}"/>
    <cellStyle name="Style 99 2 3 4 3 2 2" xfId="32326" xr:uid="{35534EBA-7398-4671-9072-F3CCB57F9329}"/>
    <cellStyle name="Style 99 2 3 4 3 3" xfId="32325" xr:uid="{AC2FA5B6-0AD6-4289-9840-08D0503C301B}"/>
    <cellStyle name="Style 99 2 3 4 4" xfId="16623" xr:uid="{16987E9F-937E-4C4B-BB73-48BCBD0397F6}"/>
    <cellStyle name="Style 99 2 3 4 4 2" xfId="16624" xr:uid="{7742D81B-95BF-4C8D-8B6B-8240ED5A0D49}"/>
    <cellStyle name="Style 99 2 3 4 4 2 2" xfId="32328" xr:uid="{E4ED6F70-B073-4EF0-B356-4E2DCBE20921}"/>
    <cellStyle name="Style 99 2 3 4 4 3" xfId="32327" xr:uid="{EF1DD530-6DDA-423E-BACB-640E632139B4}"/>
    <cellStyle name="Style 99 2 3 4 5" xfId="16625" xr:uid="{F0D3F4D1-43C6-4F48-98CA-BDE17E410D74}"/>
    <cellStyle name="Style 99 2 3 4 5 2" xfId="16626" xr:uid="{88528316-B9B1-4ECC-A0C3-594710865F03}"/>
    <cellStyle name="Style 99 2 3 4 5 2 2" xfId="32330" xr:uid="{06424301-7ED6-42B7-B232-1E1C995B95D4}"/>
    <cellStyle name="Style 99 2 3 4 5 3" xfId="32329" xr:uid="{5F2CD9C4-4022-4A73-89DA-80E7F5EE3A3A}"/>
    <cellStyle name="Style 99 2 3 4 6" xfId="16627" xr:uid="{6826AE13-B973-4AF0-B567-5DE7DA31C322}"/>
    <cellStyle name="Style 99 2 3 4 6 2" xfId="32331" xr:uid="{CD61555A-8747-45E1-8AAA-D11EBEE61F79}"/>
    <cellStyle name="Style 99 2 3 4 7" xfId="16628" xr:uid="{28C10A32-DE3C-48B8-B3DB-B0F0653615A2}"/>
    <cellStyle name="Style 99 2 3 4 7 2" xfId="32332" xr:uid="{06C3E7A6-A6E2-45AD-AF71-C97E13C64434}"/>
    <cellStyle name="Style 99 2 3 4 8" xfId="20895" xr:uid="{CE8B1BDC-ACA1-4E06-9B80-F8D2CE4AC114}"/>
    <cellStyle name="Style 99 2 3 5 2" xfId="16629" xr:uid="{4D4B540F-F859-4097-AF7C-3FB2F9245B22}"/>
    <cellStyle name="Style 99 2 3 5 2 2" xfId="32333" xr:uid="{34093F65-796E-49B2-BE2E-5C7AEEE15B8D}"/>
    <cellStyle name="Style 99 2 3 5 3" xfId="16630" xr:uid="{69FE7CFF-5823-4F22-8F23-F9E32C305FA9}"/>
    <cellStyle name="Style 99 2 3 5 3 2" xfId="32334" xr:uid="{92E00F7E-C91C-4AB8-8EB4-6ECF068F3A74}"/>
    <cellStyle name="Style 99 2 3 6" xfId="16631" xr:uid="{803D4891-3EE2-4A96-9C02-F691E9D96283}"/>
    <cellStyle name="Style 99 2 3 6 2 2" xfId="32336" xr:uid="{C37EDD80-16CD-42EE-B7AD-B0CC64B230E5}"/>
    <cellStyle name="Style 99 2 3 6 3" xfId="32335" xr:uid="{35AA3274-6EFF-490C-AADA-C619CBE9E508}"/>
    <cellStyle name="Style 99 2 3 7" xfId="16632" xr:uid="{4F771D62-8B39-40D9-ABA5-CF2AEE338455}"/>
    <cellStyle name="Style 99 2 3 7 2" xfId="16633" xr:uid="{A95C9452-29B9-4A1C-82DE-2F7C834895E9}"/>
    <cellStyle name="Style 99 2 3 7 2 2" xfId="32337" xr:uid="{0FCBD30B-AFBD-41EF-A50A-2516EE697391}"/>
    <cellStyle name="Style 99 2 3 8" xfId="16634" xr:uid="{6CB8E3BB-F24E-4090-B813-0B0C4C120B7B}"/>
    <cellStyle name="Style 99 2 3 8 2" xfId="16635" xr:uid="{170499D6-3842-4A53-A916-132978C8FCF1}"/>
    <cellStyle name="Style 99 2 3 8 2 2" xfId="32339" xr:uid="{2EC4AA3A-3C22-4A89-B28B-7915DDA699AD}"/>
    <cellStyle name="Style 99 2 3 8 3" xfId="32338" xr:uid="{C3028F73-FB07-4F13-8421-FC0E8148A5AC}"/>
    <cellStyle name="Style 99 2 3 9" xfId="16636" xr:uid="{2B01DD88-B8D5-4094-9BA4-137C57D86AF8}"/>
    <cellStyle name="Style 99 2 3 9 2 2" xfId="32340" xr:uid="{3AFD20A8-0559-441E-8F18-73F7729B78C6}"/>
    <cellStyle name="Style 99 2 4" xfId="2547" xr:uid="{2F85D531-CAF4-42CC-92FE-B4B37F6E1CBB}"/>
    <cellStyle name="Style 99 2 4 10" xfId="16637" xr:uid="{A8893824-FA11-4C93-BF58-B30225967BD3}"/>
    <cellStyle name="Style 99 2 4 10 2" xfId="32341" xr:uid="{8CFB8455-D127-4B78-9615-D36050D5B34B}"/>
    <cellStyle name="Style 99 2 4 11 2" xfId="32342" xr:uid="{4BBFC697-B264-41F5-BB03-8BCAFA4E1B9F}"/>
    <cellStyle name="Style 99 2 4 2" xfId="2548" xr:uid="{07B7155F-9060-4351-A2DE-1400D500BD21}"/>
    <cellStyle name="Style 99 2 4 2 2" xfId="5499" xr:uid="{6C7ABA61-86FE-46DA-A04E-40087CB38A47}"/>
    <cellStyle name="Style 99 2 4 2 2 2" xfId="16638" xr:uid="{44B34F17-6869-4EA4-B7FD-B5A7369BD873}"/>
    <cellStyle name="Style 99 2 4 2 2 2 2" xfId="16639" xr:uid="{529460AE-B05B-4960-AA61-6E6C68E95861}"/>
    <cellStyle name="Style 99 2 4 2 2 2 2 2" xfId="32344" xr:uid="{81E7F4FB-F9AA-48EA-8752-A5A16643431C}"/>
    <cellStyle name="Style 99 2 4 2 2 2 3" xfId="32343" xr:uid="{224035B5-5D8A-4F47-93E9-38C7A5C55C16}"/>
    <cellStyle name="Style 99 2 4 2 2 3" xfId="16640" xr:uid="{AB92FE38-2945-413F-83B5-31D226052483}"/>
    <cellStyle name="Style 99 2 4 2 2 3 2" xfId="16641" xr:uid="{25FBAFC1-298A-4F52-B5D1-911911BFD0AB}"/>
    <cellStyle name="Style 99 2 4 2 2 3 2 2" xfId="32346" xr:uid="{94283CCF-A45D-4B55-9CC1-603C7D7D6616}"/>
    <cellStyle name="Style 99 2 4 2 2 3 3" xfId="32345" xr:uid="{1DF53CE2-56E2-419D-9C73-AD2F8216AC3C}"/>
    <cellStyle name="Style 99 2 4 2 2 4" xfId="16642" xr:uid="{D17A2C73-EBED-439E-904B-737B9C8E0DE2}"/>
    <cellStyle name="Style 99 2 4 2 2 4 2" xfId="16643" xr:uid="{B801611B-D0A3-4474-A760-51D7E7A9736F}"/>
    <cellStyle name="Style 99 2 4 2 2 4 2 2" xfId="32348" xr:uid="{99AB583D-2E56-4603-BF74-D11AEB29794F}"/>
    <cellStyle name="Style 99 2 4 2 2 4 3" xfId="32347" xr:uid="{3F82F6A7-F6C2-4DA2-B593-7754C1FDF62D}"/>
    <cellStyle name="Style 99 2 4 2 2 5" xfId="16644" xr:uid="{A4BCB592-6E3B-467D-98E4-FF09116A43FC}"/>
    <cellStyle name="Style 99 2 4 2 2 5 2" xfId="16645" xr:uid="{E23C4A9F-66D9-4E9E-926A-C82B3F0AE1B7}"/>
    <cellStyle name="Style 99 2 4 2 2 5 2 2" xfId="32350" xr:uid="{D075E174-7694-4C76-A2DE-3BA613915E63}"/>
    <cellStyle name="Style 99 2 4 2 2 5 3" xfId="32349" xr:uid="{CE34CE2E-1952-438B-AE06-A44BED1F9E01}"/>
    <cellStyle name="Style 99 2 4 2 2 6" xfId="16646" xr:uid="{95CE81ED-4615-4A06-8C31-DA96B0DF3451}"/>
    <cellStyle name="Style 99 2 4 2 2 6 2" xfId="32351" xr:uid="{83A469DB-2321-436B-AA22-E2BCEB35D1D9}"/>
    <cellStyle name="Style 99 2 4 2 2 7" xfId="16647" xr:uid="{1D8D51FA-5058-4CA3-85C0-FAEE04D86400}"/>
    <cellStyle name="Style 99 2 4 2 2 7 2" xfId="32352" xr:uid="{3B06C78B-A55E-4F08-A43E-197913CF56F4}"/>
    <cellStyle name="Style 99 2 4 2 2 8" xfId="20900" xr:uid="{07B1209E-2C5E-4A4F-AB95-1AE415FC669E}"/>
    <cellStyle name="Style 99 2 4 2 3" xfId="16648" xr:uid="{7E803EFD-1D55-471D-A36A-CC30EC4DC67E}"/>
    <cellStyle name="Style 99 2 4 2 3 2" xfId="16649" xr:uid="{B97E672A-8C0F-4355-85E9-206E661433F3}"/>
    <cellStyle name="Style 99 2 4 2 3 2 2" xfId="32353" xr:uid="{21917173-2DD3-4AFD-B33F-93FD2A18015E}"/>
    <cellStyle name="Style 99 2 4 2 3 3 2" xfId="32354" xr:uid="{D24ABD44-F1CB-4E60-8111-3AFCE12F17B7}"/>
    <cellStyle name="Style 99 2 4 2 4" xfId="16650" xr:uid="{A66A98ED-F4FA-4180-8901-3853AC939AB2}"/>
    <cellStyle name="Style 99 2 4 2 4 2" xfId="16651" xr:uid="{07D325B3-2A14-455B-A7A3-54FC5FDFF281}"/>
    <cellStyle name="Style 99 2 4 2 4 2 2" xfId="32356" xr:uid="{4FE6138B-5B7A-4156-8C28-6D6995715D32}"/>
    <cellStyle name="Style 99 2 4 2 4 3" xfId="32355" xr:uid="{B5A6F2E4-C602-4DAD-87FF-ECCCD88EAD87}"/>
    <cellStyle name="Style 99 2 4 2 5 2" xfId="16652" xr:uid="{4593A312-8B07-4BED-9E5A-ABBDBABE9759}"/>
    <cellStyle name="Style 99 2 4 2 5 2 2" xfId="32358" xr:uid="{738B558F-AAEB-462F-A9F2-FA01DB7EE983}"/>
    <cellStyle name="Style 99 2 4 2 5 3" xfId="32357" xr:uid="{95A94A7C-00C9-46C8-B079-B3701900888E}"/>
    <cellStyle name="Style 99 2 4 2 6" xfId="16653" xr:uid="{65E0513F-87F8-4D65-8B34-0CD52F38FE7E}"/>
    <cellStyle name="Style 99 2 4 2 6 2" xfId="16654" xr:uid="{8EA297C5-B83C-4AA5-A96C-8FC24CC36310}"/>
    <cellStyle name="Style 99 2 4 2 6 2 2" xfId="32360" xr:uid="{4F297E08-5AA0-479E-ABFC-4F7F51936EFC}"/>
    <cellStyle name="Style 99 2 4 2 6 3" xfId="32359" xr:uid="{2FF6A696-00B1-4DB1-B6E0-4981030610C2}"/>
    <cellStyle name="Style 99 2 4 2 7" xfId="16655" xr:uid="{3F735A72-D8C3-468D-961B-B0859863F60C}"/>
    <cellStyle name="Style 99 2 4 2 7 2" xfId="16656" xr:uid="{FC8F7048-D34A-43B7-B550-9D3BB1467C01}"/>
    <cellStyle name="Style 99 2 4 2 7 2 2" xfId="32362" xr:uid="{FF83EFDC-4831-4453-AAFB-9E5BB86E892E}"/>
    <cellStyle name="Style 99 2 4 2 7 3" xfId="32361" xr:uid="{23DF1331-91A0-47A0-A8BE-C9F9177608A5}"/>
    <cellStyle name="Style 99 2 4 2 8" xfId="16657" xr:uid="{149E29C7-B936-40C5-BF18-2B9B658CCEE0}"/>
    <cellStyle name="Style 99 2 4 2 8 2" xfId="32363" xr:uid="{62F56DFD-F359-419B-B89F-14D28E5BA33D}"/>
    <cellStyle name="Style 99 2 4 2 9" xfId="16658" xr:uid="{8E3D709D-EAB3-45C7-A846-FE0C9680F114}"/>
    <cellStyle name="Style 99 2 4 2 9 2" xfId="32364" xr:uid="{545AC3D2-F287-4A7F-91CD-423B8CD77729}"/>
    <cellStyle name="Style 99 2 4 3" xfId="2809" xr:uid="{ABF7EE9D-7CF9-406E-8F04-370AE7453C47}"/>
    <cellStyle name="Style 99 2 4 3 2" xfId="16659" xr:uid="{D0B954CA-B827-4450-99A3-FBFBF5800C1A}"/>
    <cellStyle name="Style 99 2 4 3 2 2" xfId="16660" xr:uid="{4B06B01E-7B5C-42BB-A665-50A39A2D9D66}"/>
    <cellStyle name="Style 99 2 4 3 2 2 2" xfId="32365" xr:uid="{D57736AD-792C-438F-B248-5B4A376D1A6B}"/>
    <cellStyle name="Style 99 2 4 3 2 3" xfId="16661" xr:uid="{46A7F3F3-EA67-4D01-8C1A-34E665A9B8A1}"/>
    <cellStyle name="Style 99 2 4 3 2 3 2" xfId="32366" xr:uid="{F1A60FB1-3A2C-47C7-BDB3-A5B15CB8DC48}"/>
    <cellStyle name="Style 99 2 4 3 3" xfId="16662" xr:uid="{868F407F-7951-4572-8467-D188A2599F17}"/>
    <cellStyle name="Style 99 2 4 3 3 2" xfId="16663" xr:uid="{C0E09F36-1C8A-4CA1-83E3-4102136FA4E7}"/>
    <cellStyle name="Style 99 2 4 3 3 2 2" xfId="32368" xr:uid="{A2CD75E8-D954-4A16-86A1-D2ABFDE233E3}"/>
    <cellStyle name="Style 99 2 4 3 3 3" xfId="32367" xr:uid="{A880E66A-EC5E-4BE7-84A9-1148C06FBF91}"/>
    <cellStyle name="Style 99 2 4 3 4" xfId="16664" xr:uid="{B3994681-4F89-43E3-9955-CBC9AC9FA359}"/>
    <cellStyle name="Style 99 2 4 3 4 2" xfId="16665" xr:uid="{7913C0B8-A203-46D4-8834-85B1B2F22C67}"/>
    <cellStyle name="Style 99 2 4 3 4 2 2" xfId="32370" xr:uid="{42E63952-255F-457B-A594-9390A66BC987}"/>
    <cellStyle name="Style 99 2 4 3 4 3" xfId="32369" xr:uid="{651D1EE0-B186-4673-8567-74397E3A1B50}"/>
    <cellStyle name="Style 99 2 4 3 5" xfId="16666" xr:uid="{3178E7F9-14DB-4305-80F5-F3E7CD049EA4}"/>
    <cellStyle name="Style 99 2 4 3 5 2" xfId="16667" xr:uid="{99789398-71C9-4E3E-B831-3EC1447546EC}"/>
    <cellStyle name="Style 99 2 4 3 5 2 2" xfId="32372" xr:uid="{8449208D-6192-44B9-A0CC-742CB9F2B00E}"/>
    <cellStyle name="Style 99 2 4 3 5 3" xfId="32371" xr:uid="{2778669A-AE23-4B32-AE8C-DDDB5C92797C}"/>
    <cellStyle name="Style 99 2 4 3 6" xfId="16668" xr:uid="{EE10BFD7-669E-4481-8357-4DD756E15D41}"/>
    <cellStyle name="Style 99 2 4 3 6 2" xfId="32373" xr:uid="{7C75A048-D2FE-426B-A189-743839903398}"/>
    <cellStyle name="Style 99 2 4 3 7" xfId="16669" xr:uid="{0D72DD50-2E5B-4D03-BD6C-EB98DA78654B}"/>
    <cellStyle name="Style 99 2 4 3 7 2" xfId="32374" xr:uid="{6B4D0DAD-5671-49D7-9AF3-2F2E13A59913}"/>
    <cellStyle name="Style 99 2 4 3 8" xfId="20899" xr:uid="{ED83BD8F-CA7B-4F00-B6F2-B7B6E3B97306}"/>
    <cellStyle name="Style 99 2 4 4" xfId="5498" xr:uid="{B56FA84E-160F-4E7E-807A-2A93A12E0921}"/>
    <cellStyle name="Style 99 2 4 4 2" xfId="16670" xr:uid="{D20F0EE5-5293-48DD-8363-267CEED52F77}"/>
    <cellStyle name="Style 99 2 4 4 2 2" xfId="32375" xr:uid="{68E4E21E-126A-4B7D-A3D1-578D7553AF7F}"/>
    <cellStyle name="Style 99 2 4 4 3" xfId="16671" xr:uid="{FD787233-2B7E-4313-8264-0BBA1DFB2AA4}"/>
    <cellStyle name="Style 99 2 4 4 3 2" xfId="32376" xr:uid="{1834BB8D-7119-48E1-8387-5379DEEEE1CD}"/>
    <cellStyle name="Style 99 2 4 5 2" xfId="16672" xr:uid="{CCF96212-86A3-412F-AAB5-4FAAB4484896}"/>
    <cellStyle name="Style 99 2 4 5 2 2" xfId="32378" xr:uid="{18E4AEAF-AE6F-4F3A-A77C-887980BC9E39}"/>
    <cellStyle name="Style 99 2 4 5 3" xfId="32377" xr:uid="{8A8D7598-BA9A-41D8-B2AD-574EE6764146}"/>
    <cellStyle name="Style 99 2 4 6" xfId="16673" xr:uid="{DD4140E6-D3A9-4562-8076-1A9B4A3D182B}"/>
    <cellStyle name="Style 99 2 4 6 2" xfId="16674" xr:uid="{8310A9FD-334A-4498-861D-9EB8AF6DC06A}"/>
    <cellStyle name="Style 99 2 4 6 2 2" xfId="32380" xr:uid="{1ACDBCE4-13DE-4E42-8035-129C39EEA58D}"/>
    <cellStyle name="Style 99 2 4 6 3" xfId="32379" xr:uid="{7F675205-430F-427E-9AE4-46A7C564C595}"/>
    <cellStyle name="Style 99 2 4 7" xfId="16675" xr:uid="{81EBF7D6-8879-4E7A-B150-82E85F935AE1}"/>
    <cellStyle name="Style 99 2 4 7 2" xfId="16676" xr:uid="{3D2A8852-EE8C-45BC-B4EE-E8267F6BC9BB}"/>
    <cellStyle name="Style 99 2 4 7 2 2" xfId="32382" xr:uid="{938DA2A9-7E2B-4CDC-A8DF-CB047DF3963B}"/>
    <cellStyle name="Style 99 2 4 7 3" xfId="32381" xr:uid="{F1BD421A-D758-48B3-87C6-8C6685B26035}"/>
    <cellStyle name="Style 99 2 4 8" xfId="16677" xr:uid="{787F3AD7-0816-42D0-B0AA-82F4076CA75A}"/>
    <cellStyle name="Style 99 2 4 8 2" xfId="16678" xr:uid="{8714A06B-197C-492F-9B32-DC129806CA24}"/>
    <cellStyle name="Style 99 2 4 8 2 2" xfId="32384" xr:uid="{F9C78C72-658A-45F1-B860-9CE8FECE453F}"/>
    <cellStyle name="Style 99 2 4 8 3" xfId="32383" xr:uid="{485696E4-E06A-48CD-9A0E-AF6882400CF7}"/>
    <cellStyle name="Style 99 2 4 9" xfId="16679" xr:uid="{924A71F7-DA0C-4F78-8299-4150A8118387}"/>
    <cellStyle name="Style 99 2 4 9 2" xfId="16680" xr:uid="{4F671181-93C1-427D-A54C-F9A33A1C601B}"/>
    <cellStyle name="Style 99 2 4 9 2 2" xfId="32385" xr:uid="{60DA0D88-903E-4FD3-A19D-4B32FC19DB91}"/>
    <cellStyle name="Style 99 2 5" xfId="2549" xr:uid="{72E050D8-8E96-4DE6-BF76-B8CADA2177DC}"/>
    <cellStyle name="Style 99 2 5 2" xfId="5500" xr:uid="{C327CF03-8DF4-4657-BBB0-698D55181546}"/>
    <cellStyle name="Style 99 2 5 2 2" xfId="16681" xr:uid="{4AD51F78-880C-45F6-AB3D-6748D5323E81}"/>
    <cellStyle name="Style 99 2 5 2 2 2" xfId="16682" xr:uid="{05C7AA24-AA10-467A-9AF9-F67505AD5F81}"/>
    <cellStyle name="Style 99 2 5 2 2 2 2" xfId="32386" xr:uid="{25FFC975-821E-447C-A6C5-6FA643D48320}"/>
    <cellStyle name="Style 99 2 5 2 3" xfId="16683" xr:uid="{0A10153C-21B9-4610-B1C8-2B9F7A35E4EE}"/>
    <cellStyle name="Style 99 2 5 2 3 2" xfId="16684" xr:uid="{1731EB1A-2390-457A-BB5E-1C2DB1812173}"/>
    <cellStyle name="Style 99 2 5 2 3 2 2" xfId="32388" xr:uid="{414B1A2C-5092-471E-9009-EDC2EF458FAB}"/>
    <cellStyle name="Style 99 2 5 2 3 3" xfId="32387" xr:uid="{163176DB-43E6-4A78-A3D0-280E4491E545}"/>
    <cellStyle name="Style 99 2 5 2 4" xfId="16685" xr:uid="{F26544BC-787B-473A-80C2-39746FC6F53C}"/>
    <cellStyle name="Style 99 2 5 2 4 2" xfId="16686" xr:uid="{96D10D80-A191-4340-B79D-676886B9A451}"/>
    <cellStyle name="Style 99 2 5 2 4 2 2" xfId="32390" xr:uid="{9B938816-4BD7-45D9-A954-B604427CF042}"/>
    <cellStyle name="Style 99 2 5 2 4 3" xfId="32389" xr:uid="{426C5B56-FFF0-433F-A51A-69DE2CBDDC91}"/>
    <cellStyle name="Style 99 2 5 2 5" xfId="16687" xr:uid="{B26C0638-3681-498A-ABA9-2B493A4970DF}"/>
    <cellStyle name="Style 99 2 5 2 5 2 2" xfId="32392" xr:uid="{B33920D7-2989-45ED-9991-A9D685F5A54B}"/>
    <cellStyle name="Style 99 2 5 2 5 3" xfId="32391" xr:uid="{42C17FBE-D859-4C3D-9E11-6A4E2CE4D2D1}"/>
    <cellStyle name="Style 99 2 5 2 6" xfId="16688" xr:uid="{F9930930-812A-4709-9AFC-52A582184043}"/>
    <cellStyle name="Style 99 2 5 2 6 2" xfId="32393" xr:uid="{4A406FD5-1E63-486A-A2FB-80669E1CD92B}"/>
    <cellStyle name="Style 99 2 5 2 7" xfId="16689" xr:uid="{3740FA8C-0FDE-48B3-AEB1-BB1CCAF9ADC5}"/>
    <cellStyle name="Style 99 2 5 2 8" xfId="20901" xr:uid="{482428C7-1DFA-4E42-9D74-4D0A36C69D3C}"/>
    <cellStyle name="Style 99 2 5 3 2" xfId="16690" xr:uid="{C92684C9-5F76-46BD-942B-4164FFC7F73E}"/>
    <cellStyle name="Style 99 2 5 3 2 2" xfId="32394" xr:uid="{B22BA5AB-9C69-4567-9D74-D475CE1876FF}"/>
    <cellStyle name="Style 99 2 5 3 3" xfId="16691" xr:uid="{283CD88B-23C2-4D6D-8D86-9124DFF0E242}"/>
    <cellStyle name="Style 99 2 5 4" xfId="16692" xr:uid="{08DB7BAA-8B49-4DD4-A57F-26B46C4AD590}"/>
    <cellStyle name="Style 99 2 5 4 2" xfId="16693" xr:uid="{5CB9FA34-9E91-4F4F-A057-3428D9D6F92D}"/>
    <cellStyle name="Style 99 2 5 4 2 2" xfId="32396" xr:uid="{E5FF5A8B-A512-4B15-B629-DCE12A680E7C}"/>
    <cellStyle name="Style 99 2 5 4 3" xfId="32395" xr:uid="{E6EBA649-CC5F-4E04-A9F7-F47F85DFDAFC}"/>
    <cellStyle name="Style 99 2 5 5" xfId="16694" xr:uid="{0A6563FE-CE86-481D-A8DE-B2410B8A6918}"/>
    <cellStyle name="Style 99 2 5 5 2" xfId="16695" xr:uid="{3032061E-D64E-429F-96B8-4C324CAD622E}"/>
    <cellStyle name="Style 99 2 5 5 2 2" xfId="32398" xr:uid="{ED5E364F-DDCC-4414-9333-0D671E8B294D}"/>
    <cellStyle name="Style 99 2 5 5 3" xfId="32397" xr:uid="{D02B3710-8775-49C3-86C4-F0D290B99F7E}"/>
    <cellStyle name="Style 99 2 5 6" xfId="16696" xr:uid="{187F7F4C-462D-4BAA-A3A7-1EB09A31AB7F}"/>
    <cellStyle name="Style 99 2 5 6 2" xfId="16697" xr:uid="{8C6EE741-C4A0-45E7-AD45-AAF9F1182A98}"/>
    <cellStyle name="Style 99 2 5 6 2 2" xfId="32400" xr:uid="{8FF674EB-ED1E-4D5C-92DF-18468066C5E5}"/>
    <cellStyle name="Style 99 2 5 6 3" xfId="32399" xr:uid="{3D7F506E-F185-45AE-9AE1-A57B97E883F5}"/>
    <cellStyle name="Style 99 2 5 7" xfId="16698" xr:uid="{710F0A27-F48E-4D71-8D91-6E1D53312161}"/>
    <cellStyle name="Style 99 2 5 7 2" xfId="16699" xr:uid="{BAD18908-4F7F-4CCC-819C-0A74BFDFDBD5}"/>
    <cellStyle name="Style 99 2 5 7 2 2" xfId="32402" xr:uid="{ED29679D-82B7-4A9A-B911-5E014FA06E03}"/>
    <cellStyle name="Style 99 2 5 7 3" xfId="32401" xr:uid="{6C94AE21-04B9-4AC8-873D-E738CE8FE237}"/>
    <cellStyle name="Style 99 2 5 8" xfId="16700" xr:uid="{ECA22794-BB99-4A47-AE42-3F5B64BC819F}"/>
    <cellStyle name="Style 99 2 5 8 2" xfId="32403" xr:uid="{6401D471-08E8-4D09-BC51-7DDD225B197B}"/>
    <cellStyle name="Style 99 2 5 9" xfId="16701" xr:uid="{8039753C-A413-4548-9BD4-D95E9B19E5A8}"/>
    <cellStyle name="Style 99 2 5 9 2" xfId="32404" xr:uid="{F255AF39-5F9B-4BBB-8383-70863F1FDF32}"/>
    <cellStyle name="Style 99 2 6" xfId="5488" xr:uid="{850D4243-4549-4CDF-B2C1-8C8E80E184C9}"/>
    <cellStyle name="Style 99 2 6 2" xfId="16702" xr:uid="{8B3A7FF3-9B25-43E5-BFDD-A8405C606155}"/>
    <cellStyle name="Style 99 2 6 2 2" xfId="32405" xr:uid="{A7BA7376-508E-4A5E-89AF-4122A370DECC}"/>
    <cellStyle name="Style 99 2 6 3" xfId="16703" xr:uid="{1B3E5053-5738-4121-A138-83888FE21DAA}"/>
    <cellStyle name="Style 99 2 6 3 2" xfId="32406" xr:uid="{84FC3246-BBE3-416C-9282-C613468ED6E6}"/>
    <cellStyle name="Style 99 2 6 4" xfId="16704" xr:uid="{EABB37C2-8E2E-455A-838C-7487AD77E733}"/>
    <cellStyle name="Style 99 2 6 4 2" xfId="32407" xr:uid="{AABA691D-D4CB-4CFE-B445-CECBDB92471F}"/>
    <cellStyle name="Style 99 2 7 2" xfId="16705" xr:uid="{2E605E3B-FA18-4933-803E-83EE922CD5EA}"/>
    <cellStyle name="Style 99 2 7 2 2" xfId="32408" xr:uid="{843CD057-AEDF-4B0C-A325-EE41F111602D}"/>
    <cellStyle name="Style 99 2 7 3" xfId="16706" xr:uid="{FF8CD346-DA21-42A3-96D4-727B30F0D5E3}"/>
    <cellStyle name="Style 99 2 7 3 2" xfId="32409" xr:uid="{2A1DB786-D46F-47EB-9931-EE48E58494A5}"/>
    <cellStyle name="Style 99 2 8" xfId="16707" xr:uid="{9B21131D-9A43-411E-8A7B-0F401528D281}"/>
    <cellStyle name="Style 99 2 8 2 2" xfId="32411" xr:uid="{2AE7B7D0-C95A-4CBE-B650-F592B673419E}"/>
    <cellStyle name="Style 99 2 8 3" xfId="32410" xr:uid="{5CA905C4-E562-4D2B-BD6B-51463867E611}"/>
    <cellStyle name="Style 99 2 9" xfId="16708" xr:uid="{E324A459-722B-4D89-A454-4CF19C6ECFEE}"/>
    <cellStyle name="Style 99 2 9 2" xfId="16709" xr:uid="{26E1628F-F149-46DF-AC52-05CA16EFC99E}"/>
    <cellStyle name="Style 99 2 9 2 2" xfId="32413" xr:uid="{9AEDEFB5-F787-430A-B010-188727667E55}"/>
    <cellStyle name="Style 99 2 9 3" xfId="32412" xr:uid="{2720A120-9A17-4391-9B02-3319B0D07B41}"/>
    <cellStyle name="Style 99 3" xfId="2550" xr:uid="{7DB6F567-3110-4C02-8DB8-123B746E66C8}"/>
    <cellStyle name="Style 99 3 10" xfId="16710" xr:uid="{F6A32B84-3FC9-4B96-9511-78AFE50FA5AD}"/>
    <cellStyle name="Style 99 3 10 2" xfId="16711" xr:uid="{DB213A91-0A48-4C01-AF4F-0EC384A694E0}"/>
    <cellStyle name="Style 99 3 10 2 2" xfId="32415" xr:uid="{D5B95B08-9F85-491B-8DC9-3DCF7473C9E1}"/>
    <cellStyle name="Style 99 3 10 3" xfId="32414" xr:uid="{AD7D0EDD-F7D4-4051-8D13-152D8C451140}"/>
    <cellStyle name="Style 99 3 11" xfId="16712" xr:uid="{9BC6632E-802E-4CF9-B842-E595A2A3836C}"/>
    <cellStyle name="Style 99 3 11 2" xfId="16713" xr:uid="{A553F5B7-A00E-4CD5-8886-5B12E32E5673}"/>
    <cellStyle name="Style 99 3 11 2 2" xfId="32417" xr:uid="{B53FEA52-87FE-497C-B91F-7A75A4A13E4D}"/>
    <cellStyle name="Style 99 3 11 3" xfId="32416" xr:uid="{CA6BD7E2-1A3A-4880-857D-DA3277946957}"/>
    <cellStyle name="Style 99 3 12" xfId="16714" xr:uid="{22EF1276-7F52-4503-9299-EEFCF2DA73AF}"/>
    <cellStyle name="Style 99 3 12 2" xfId="16715" xr:uid="{17AEB386-9E05-43D4-8700-45918A16F4BF}"/>
    <cellStyle name="Style 99 3 12 2 2" xfId="32419" xr:uid="{2D11A70A-D4EE-40D7-A7F7-2C0D444614D3}"/>
    <cellStyle name="Style 99 3 12 3" xfId="32418" xr:uid="{2361DCAB-90E7-444B-86EE-033C7D660AD1}"/>
    <cellStyle name="Style 99 3 13" xfId="16716" xr:uid="{153F4DAD-6117-4478-8049-35BCFAC6D49A}"/>
    <cellStyle name="Style 99 3 13 2" xfId="32420" xr:uid="{078DC4DB-E9E4-44EE-85CD-45CA87F90ACF}"/>
    <cellStyle name="Style 99 3 14" xfId="16717" xr:uid="{82501D67-4CCA-4870-A58B-7254E0066A60}"/>
    <cellStyle name="Style 99 3 14 2" xfId="32421" xr:uid="{BCC2B2EF-0E08-426B-BDC4-86BCF8D061CD}"/>
    <cellStyle name="Style 99 3 2" xfId="2551" xr:uid="{E9AFB007-C398-4F4B-B4F1-8E8E7C890F4A}"/>
    <cellStyle name="Style 99 3 2 10" xfId="16718" xr:uid="{2C5216D8-546E-4D8D-A3C7-B00930C5FBDC}"/>
    <cellStyle name="Style 99 3 2 10 2" xfId="16719" xr:uid="{41757E25-A0EA-4C1E-9E49-001C51D42D90}"/>
    <cellStyle name="Style 99 3 2 10 2 2" xfId="32423" xr:uid="{6E77CEDF-4F0C-448D-960D-3FAC4DE24A4E}"/>
    <cellStyle name="Style 99 3 2 10 3" xfId="32422" xr:uid="{684F8560-A2A4-4169-8CBE-26A9A0129D59}"/>
    <cellStyle name="Style 99 3 2 11" xfId="16720" xr:uid="{4B761C37-78F6-48BC-BD48-3CD17B0237BD}"/>
    <cellStyle name="Style 99 3 2 11 2" xfId="16721" xr:uid="{974DB4E4-6E52-41C0-8FFF-C37E80449A3D}"/>
    <cellStyle name="Style 99 3 2 11 2 2" xfId="32425" xr:uid="{802D1911-AEF1-4684-A01F-E87DDCFA69B7}"/>
    <cellStyle name="Style 99 3 2 11 3" xfId="32424" xr:uid="{3CA650D0-CB39-4B40-9588-33F2118B3FCD}"/>
    <cellStyle name="Style 99 3 2 12" xfId="16722" xr:uid="{0181079F-580D-4EDD-995A-FA41CAE63994}"/>
    <cellStyle name="Style 99 3 2 12 2" xfId="32426" xr:uid="{65AF16BB-2F13-401D-94C0-122D48564FA6}"/>
    <cellStyle name="Style 99 3 2 13" xfId="16723" xr:uid="{D7B62EF4-410E-4718-85D8-8EE7B4CC6792}"/>
    <cellStyle name="Style 99 3 2 13 2" xfId="32427" xr:uid="{4996E501-5571-4099-BDCB-F0116EA0887B}"/>
    <cellStyle name="Style 99 3 2 2" xfId="2552" xr:uid="{B9AAB56F-B0D9-4D08-A3D2-B0D0C603166A}"/>
    <cellStyle name="Style 99 3 2 2 10" xfId="16724" xr:uid="{42E914F1-7B5C-4843-8705-E11054B04D19}"/>
    <cellStyle name="Style 99 3 2 2 10 2" xfId="16725" xr:uid="{945A6A27-59E3-4D10-B954-2688B29CA802}"/>
    <cellStyle name="Style 99 3 2 2 10 2 2" xfId="32429" xr:uid="{76944F60-1E0B-49A9-AF36-E8FF7AC5F4C6}"/>
    <cellStyle name="Style 99 3 2 2 10 3" xfId="32428" xr:uid="{0547092F-1F51-4412-980B-DE0DFBBEDE9D}"/>
    <cellStyle name="Style 99 3 2 2 11 2" xfId="32430" xr:uid="{7E977D7B-BEDD-4294-8A8A-902937484ADE}"/>
    <cellStyle name="Style 99 3 2 2 12" xfId="16726" xr:uid="{04EC80B3-3B27-4C7F-8C70-4313AEE7799C}"/>
    <cellStyle name="Style 99 3 2 2 12 2" xfId="32431" xr:uid="{CD2899E9-9DE6-4693-AA5D-60A4CF77D231}"/>
    <cellStyle name="Style 99 3 2 2 2" xfId="2553" xr:uid="{3886CE02-0699-4892-991C-A8E7A2A008A2}"/>
    <cellStyle name="Style 99 3 2 2 2 10" xfId="16727" xr:uid="{C978F54B-D3AC-4E70-89EC-08849C659ED4}"/>
    <cellStyle name="Style 99 3 2 2 2 10 2" xfId="32432" xr:uid="{79AD3A25-719A-47B1-83BD-A61BE0AA0B01}"/>
    <cellStyle name="Style 99 3 2 2 2 11" xfId="16728" xr:uid="{85353595-9C16-4573-BCA4-F5224A49BD38}"/>
    <cellStyle name="Style 99 3 2 2 2 11 2" xfId="32433" xr:uid="{044ED8C1-FC80-4734-A942-FE0F120F37FC}"/>
    <cellStyle name="Style 99 3 2 2 2 12" xfId="19321" xr:uid="{162C6039-D665-41F8-BCD3-A225EB2478AE}"/>
    <cellStyle name="Style 99 3 2 2 2 2" xfId="2554" xr:uid="{A4674D99-24F1-406B-A33F-F0045C24F754}"/>
    <cellStyle name="Style 99 3 2 2 2 2 2" xfId="5505" xr:uid="{50BBB0E6-1B6C-4B2A-B4A2-391404031B92}"/>
    <cellStyle name="Style 99 3 2 2 2 2 2 2" xfId="16729" xr:uid="{C2EA62AE-DCB0-4C19-8B7F-0C7CE561BF46}"/>
    <cellStyle name="Style 99 3 2 2 2 2 2 2 2" xfId="16730" xr:uid="{9BB6BC5C-2756-4298-89FB-77942E2B8EC3}"/>
    <cellStyle name="Style 99 3 2 2 2 2 2 2 2 2" xfId="32435" xr:uid="{E6FD04F5-5C88-41E6-9804-9A9A925AE7FF}"/>
    <cellStyle name="Style 99 3 2 2 2 2 2 2 3" xfId="32434" xr:uid="{B0F5A699-6083-49E3-B906-D4BDE1A7D7D3}"/>
    <cellStyle name="Style 99 3 2 2 2 2 2 3" xfId="16731" xr:uid="{1A0C6D90-2944-4EC1-A635-584AB67200F9}"/>
    <cellStyle name="Style 99 3 2 2 2 2 2 3 2 2" xfId="32437" xr:uid="{9243F098-9C30-41AE-9436-A129D0C23FC7}"/>
    <cellStyle name="Style 99 3 2 2 2 2 2 3 3" xfId="32436" xr:uid="{8FDEFADB-6B58-4EEF-BAB2-E329C6C8C0B2}"/>
    <cellStyle name="Style 99 3 2 2 2 2 2 4" xfId="16732" xr:uid="{E87408EA-8337-41A7-BE10-594B8035DA1D}"/>
    <cellStyle name="Style 99 3 2 2 2 2 2 4 2" xfId="16733" xr:uid="{7AC46ECC-3631-4003-8AD2-67F4EFD22F3E}"/>
    <cellStyle name="Style 99 3 2 2 2 2 2 4 2 2" xfId="32438" xr:uid="{E62B1070-1FF2-43A0-92C1-0382B4D59AD0}"/>
    <cellStyle name="Style 99 3 2 2 2 2 2 5" xfId="16734" xr:uid="{05658A76-4B66-44BD-94FB-50B6E1258228}"/>
    <cellStyle name="Style 99 3 2 2 2 2 2 5 2" xfId="16735" xr:uid="{78B20BA3-E4DC-4629-91B8-ED69B3B33758}"/>
    <cellStyle name="Style 99 3 2 2 2 2 2 5 2 2" xfId="32440" xr:uid="{CA0C272F-5BEF-4DAD-A698-8F8B46D359A3}"/>
    <cellStyle name="Style 99 3 2 2 2 2 2 5 3" xfId="32439" xr:uid="{74BADB36-7926-4F81-9031-3553AE00BBEA}"/>
    <cellStyle name="Style 99 3 2 2 2 2 2 6" xfId="16736" xr:uid="{EDE8BF77-C2DF-45CC-8B65-A35BDD0529AA}"/>
    <cellStyle name="Style 99 3 2 2 2 2 2 6 2" xfId="32441" xr:uid="{BF9EF68A-5251-4E9F-9443-441D1EE4DB26}"/>
    <cellStyle name="Style 99 3 2 2 2 2 2 7" xfId="16737" xr:uid="{04226AE0-760A-4195-AD71-F5F218A99DD7}"/>
    <cellStyle name="Style 99 3 2 2 2 2 2 7 2" xfId="32442" xr:uid="{68D65A80-E794-46E2-96E2-FA5154AA65CB}"/>
    <cellStyle name="Style 99 3 2 2 2 2 2 8" xfId="20905" xr:uid="{AF55FDAB-EBF7-4196-B741-4C51102B5D58}"/>
    <cellStyle name="Style 99 3 2 2 2 2 3 2" xfId="16738" xr:uid="{DF4B2826-9509-4131-A36E-A3AAF8BCC5E7}"/>
    <cellStyle name="Style 99 3 2 2 2 2 3 2 2" xfId="32443" xr:uid="{07D60CC6-38EE-4D33-841E-E11584D5E510}"/>
    <cellStyle name="Style 99 3 2 2 2 2 3 3" xfId="16739" xr:uid="{669B5634-B277-4232-973B-5AA994CAED6C}"/>
    <cellStyle name="Style 99 3 2 2 2 2 3 3 2" xfId="32444" xr:uid="{17AD2597-8410-48F4-93F3-AE1B4B2117EC}"/>
    <cellStyle name="Style 99 3 2 2 2 2 4" xfId="16740" xr:uid="{FB10D31C-1F0D-47CC-9E37-EC4F7C33002B}"/>
    <cellStyle name="Style 99 3 2 2 2 2 4 2 2" xfId="32445" xr:uid="{80573523-7A6E-4EA3-B9BA-C154E53D2D6C}"/>
    <cellStyle name="Style 99 3 2 2 2 2 5" xfId="16741" xr:uid="{D7D7F868-121A-44B0-8B02-99AD2A326DF2}"/>
    <cellStyle name="Style 99 3 2 2 2 2 5 2" xfId="16742" xr:uid="{AF0A3634-3E1F-46DB-8F98-0062812D28DB}"/>
    <cellStyle name="Style 99 3 2 2 2 2 5 2 2" xfId="32447" xr:uid="{3C1FDD6B-5636-45A0-A467-F6D3326B8AFA}"/>
    <cellStyle name="Style 99 3 2 2 2 2 5 3" xfId="32446" xr:uid="{8DAC722E-E8D8-4A7E-9064-BE581FD1B855}"/>
    <cellStyle name="Style 99 3 2 2 2 2 6" xfId="16743" xr:uid="{8DC4681B-588B-4E81-84AD-3D86AD0EB66C}"/>
    <cellStyle name="Style 99 3 2 2 2 2 6 2" xfId="16744" xr:uid="{1ABFB101-5B5C-44B1-88D2-628E8A1B3CFE}"/>
    <cellStyle name="Style 99 3 2 2 2 2 6 2 2" xfId="32449" xr:uid="{38CA70A4-1E27-4D91-A0A7-CD1BC1AA0585}"/>
    <cellStyle name="Style 99 3 2 2 2 2 6 3" xfId="32448" xr:uid="{D08E9A0E-31D2-494C-A4DF-FA69BB94ACCE}"/>
    <cellStyle name="Style 99 3 2 2 2 2 7" xfId="16745" xr:uid="{F1E0156E-F040-4688-9ECC-CBE360E54B4D}"/>
    <cellStyle name="Style 99 3 2 2 2 2 7 2" xfId="16746" xr:uid="{276D351D-31F9-4E65-A849-CA00995B58F2}"/>
    <cellStyle name="Style 99 3 2 2 2 2 7 2 2" xfId="32451" xr:uid="{795F5713-6BFC-4240-BABC-D05B894C8CCA}"/>
    <cellStyle name="Style 99 3 2 2 2 2 7 3" xfId="32450" xr:uid="{8BBF00ED-5E7D-4DC8-B273-96E1E1A6F2E2}"/>
    <cellStyle name="Style 99 3 2 2 2 2 8" xfId="16747" xr:uid="{5062293C-A500-4EB0-BD13-5CF7157D23FF}"/>
    <cellStyle name="Style 99 3 2 2 2 2 8 2" xfId="32452" xr:uid="{1E37B04D-7C8E-405A-91D8-4125E670A367}"/>
    <cellStyle name="Style 99 3 2 2 2 2 9" xfId="16748" xr:uid="{C3DF5581-9169-46AF-A429-8C5C8F16FC2B}"/>
    <cellStyle name="Style 99 3 2 2 2 2 9 2" xfId="32453" xr:uid="{06FF9CC0-7F2B-4C03-84A5-206E8FBF2448}"/>
    <cellStyle name="Style 99 3 2 2 2 3" xfId="5504" xr:uid="{8B412049-6FEE-4971-9C26-54C0FB72EA6B}"/>
    <cellStyle name="Style 99 3 2 2 2 3 2" xfId="16749" xr:uid="{D150F046-B978-4C1D-92DA-6327BF530CB6}"/>
    <cellStyle name="Style 99 3 2 2 2 3 2 2" xfId="16750" xr:uid="{CE5ED6FA-1333-4ED3-8D72-30FFF0BA692B}"/>
    <cellStyle name="Style 99 3 2 2 2 3 2 2 2" xfId="32455" xr:uid="{F7047AD4-20FB-4EA9-BAB4-6C5529823F31}"/>
    <cellStyle name="Style 99 3 2 2 2 3 2 3" xfId="32454" xr:uid="{7F674DC5-F39D-44BC-BE7B-D39710B6AF0B}"/>
    <cellStyle name="Style 99 3 2 2 2 3 3" xfId="16751" xr:uid="{F5FBA21F-8538-4EB3-867B-621BF1201F3E}"/>
    <cellStyle name="Style 99 3 2 2 2 3 3 2 2" xfId="32457" xr:uid="{66543135-4767-4B98-BB09-057340D51FE2}"/>
    <cellStyle name="Style 99 3 2 2 2 3 3 3" xfId="32456" xr:uid="{6934F838-2CA6-4E83-A008-578EBA7AE0AD}"/>
    <cellStyle name="Style 99 3 2 2 2 3 4" xfId="16752" xr:uid="{6E861018-5BC4-4E7C-A8B4-638E6BDA9E29}"/>
    <cellStyle name="Style 99 3 2 2 2 3 4 2" xfId="16753" xr:uid="{F9C758E4-B770-4B05-A029-87020F65D272}"/>
    <cellStyle name="Style 99 3 2 2 2 3 4 2 2" xfId="32458" xr:uid="{2F2B66EE-8351-48BF-9386-AFFAB8E0DF9C}"/>
    <cellStyle name="Style 99 3 2 2 2 3 5" xfId="16754" xr:uid="{24D9D812-5BE9-4ECA-A9AA-0A349BCB71BC}"/>
    <cellStyle name="Style 99 3 2 2 2 3 5 2" xfId="16755" xr:uid="{0329DAD0-128E-4899-ABA6-DBCC8818FD10}"/>
    <cellStyle name="Style 99 3 2 2 2 3 5 2 2" xfId="32460" xr:uid="{92C28BF8-8DF8-449C-8663-6A9BB0B5BA36}"/>
    <cellStyle name="Style 99 3 2 2 2 3 5 3" xfId="32459" xr:uid="{36428BC6-8741-4CC1-92FA-545A2272AE98}"/>
    <cellStyle name="Style 99 3 2 2 2 3 6" xfId="16756" xr:uid="{A53EBCAB-B99D-46B2-BB88-B9D06944E57F}"/>
    <cellStyle name="Style 99 3 2 2 2 3 6 2" xfId="32461" xr:uid="{BAE965E6-BE69-48DF-AA39-3BEAEDFD6245}"/>
    <cellStyle name="Style 99 3 2 2 2 3 7" xfId="16757" xr:uid="{96BBFD4D-8D17-42C3-9A5D-235C9B7771AE}"/>
    <cellStyle name="Style 99 3 2 2 2 3 7 2" xfId="32462" xr:uid="{130BA62E-3B2A-457F-A31A-F5F3F3968ACF}"/>
    <cellStyle name="Style 99 3 2 2 2 3 8" xfId="20904" xr:uid="{7E384E0C-0053-4DB7-BFE7-6EA6A4E8979B}"/>
    <cellStyle name="Style 99 3 2 2 2 4" xfId="16758" xr:uid="{6E159499-BE84-4FCF-B2F1-D517D9CC07F8}"/>
    <cellStyle name="Style 99 3 2 2 2 4 2" xfId="16759" xr:uid="{64C0071E-B9B0-48A7-9CC4-AE1A307BEA7C}"/>
    <cellStyle name="Style 99 3 2 2 2 4 2 2" xfId="32463" xr:uid="{3A4145D8-EFBB-4312-BB2C-0500628073FF}"/>
    <cellStyle name="Style 99 3 2 2 2 4 3" xfId="16760" xr:uid="{43EA7E8C-0440-4926-BCA9-1668E8BCB59A}"/>
    <cellStyle name="Style 99 3 2 2 2 4 3 2" xfId="32464" xr:uid="{6797B994-D260-4048-88EB-690497D1112F}"/>
    <cellStyle name="Style 99 3 2 2 2 5" xfId="16761" xr:uid="{84361B7E-7FB4-49AE-A0CC-7C4297A553E3}"/>
    <cellStyle name="Style 99 3 2 2 2 5 2" xfId="16762" xr:uid="{2CBA0317-033B-45C3-8DCE-628B9CBEEAA5}"/>
    <cellStyle name="Style 99 3 2 2 2 5 2 2" xfId="32466" xr:uid="{49905D74-A9E2-4B65-9D6C-44A85D47049D}"/>
    <cellStyle name="Style 99 3 2 2 2 5 3" xfId="32465" xr:uid="{99AA386E-8242-4ACA-A27E-968DEE2B1E3C}"/>
    <cellStyle name="Style 99 3 2 2 2 6" xfId="16763" xr:uid="{5C5552D5-7DD7-4790-82EC-6752A654DC9C}"/>
    <cellStyle name="Style 99 3 2 2 2 6 2" xfId="16764" xr:uid="{7BA0F79F-1BCD-4885-B02D-0004D6177CE8}"/>
    <cellStyle name="Style 99 3 2 2 2 6 2 2" xfId="32467" xr:uid="{7B1313C3-6F44-4DBB-9458-701B22D9D832}"/>
    <cellStyle name="Style 99 3 2 2 2 7" xfId="16765" xr:uid="{FB4B8AD4-E0A3-464B-A07A-E4F946D54EA4}"/>
    <cellStyle name="Style 99 3 2 2 2 7 2" xfId="16766" xr:uid="{0F8A647E-0C2A-4AFA-8119-49CFD267CE43}"/>
    <cellStyle name="Style 99 3 2 2 2 7 2 2" xfId="32469" xr:uid="{A6B365C8-BEBC-4026-BA9C-437663D42E93}"/>
    <cellStyle name="Style 99 3 2 2 2 7 3" xfId="32468" xr:uid="{ABC04332-791D-4230-A3C4-36A7F690BF0B}"/>
    <cellStyle name="Style 99 3 2 2 2 8" xfId="16767" xr:uid="{4ED36D47-D27F-4AE4-AC2D-B4802163E10E}"/>
    <cellStyle name="Style 99 3 2 2 2 8 2" xfId="16768" xr:uid="{4B6A58EF-3FAF-4FD2-9951-E31238012E0C}"/>
    <cellStyle name="Style 99 3 2 2 2 8 3" xfId="32470" xr:uid="{A93B376D-8DC2-4C1D-9976-D3E7DC78282E}"/>
    <cellStyle name="Style 99 3 2 2 2 9" xfId="16769" xr:uid="{1CB1B2A0-568B-4722-B0A0-F09F75A21251}"/>
    <cellStyle name="Style 99 3 2 2 2 9 2" xfId="16770" xr:uid="{72EE0328-3F97-4BF8-B30D-E6112CB110B2}"/>
    <cellStyle name="Style 99 3 2 2 2 9 2 2" xfId="32472" xr:uid="{28E8D9AA-BA85-47E5-A4FB-21D0291169CA}"/>
    <cellStyle name="Style 99 3 2 2 2 9 3" xfId="32471" xr:uid="{72792907-74FD-4AA1-B932-A6C6E07022CE}"/>
    <cellStyle name="Style 99 3 2 2 3" xfId="2555" xr:uid="{A444258F-B1BA-4A18-8C66-072F858FCBBC}"/>
    <cellStyle name="Style 99 3 2 2 3 2" xfId="5506" xr:uid="{0E7EBD07-FB41-477D-82DD-EC245C509D84}"/>
    <cellStyle name="Style 99 3 2 2 3 2 2" xfId="16771" xr:uid="{40E46E0B-3E60-4657-A77D-C2464A002A2A}"/>
    <cellStyle name="Style 99 3 2 2 3 2 2 2" xfId="16772" xr:uid="{B4A4D60A-5F4F-4424-99AA-B78450932853}"/>
    <cellStyle name="Style 99 3 2 2 3 2 2 2 2" xfId="32474" xr:uid="{F5E9AFD5-370B-49AA-B2A9-1DAD04EA9791}"/>
    <cellStyle name="Style 99 3 2 2 3 2 2 3" xfId="32473" xr:uid="{3D2F516E-1D96-4FB0-A88A-C5179025AC15}"/>
    <cellStyle name="Style 99 3 2 2 3 2 3" xfId="16773" xr:uid="{D4437603-790E-454D-A14A-BB96BB8AD79E}"/>
    <cellStyle name="Style 99 3 2 2 3 2 3 2" xfId="16774" xr:uid="{C52A4A93-6131-4C97-B3F9-5A79F365CBD3}"/>
    <cellStyle name="Style 99 3 2 2 3 2 3 2 2" xfId="32476" xr:uid="{6EAF6B2A-0C84-4FEC-BC63-59CCC48FB72C}"/>
    <cellStyle name="Style 99 3 2 2 3 2 3 3" xfId="32475" xr:uid="{14F0A218-8421-4A5E-BEA7-A620AC42BDF8}"/>
    <cellStyle name="Style 99 3 2 2 3 2 4" xfId="16775" xr:uid="{82E27CC2-AB18-4AE3-A3A2-AD906EB8A943}"/>
    <cellStyle name="Style 99 3 2 2 3 2 4 2" xfId="16776" xr:uid="{426A8B3A-2A5C-4BF9-8114-0424122C57C6}"/>
    <cellStyle name="Style 99 3 2 2 3 2 4 2 2" xfId="32478" xr:uid="{5AA85745-D6F9-42B4-9F1B-1DD228DEF579}"/>
    <cellStyle name="Style 99 3 2 2 3 2 4 3" xfId="32477" xr:uid="{CF9968A8-6AB8-4DE0-9326-5585E7A4703D}"/>
    <cellStyle name="Style 99 3 2 2 3 2 5" xfId="16777" xr:uid="{02440E95-C78B-4747-9288-3F2F20234D55}"/>
    <cellStyle name="Style 99 3 2 2 3 2 5 2" xfId="16778" xr:uid="{636EA866-9408-44EF-A397-50A5A88998FF}"/>
    <cellStyle name="Style 99 3 2 2 3 2 5 2 2" xfId="32479" xr:uid="{26F36773-E68D-4632-BAF2-031F935ED466}"/>
    <cellStyle name="Style 99 3 2 2 3 2 6" xfId="16779" xr:uid="{5D146F1C-33E5-41A3-873E-6F7495702427}"/>
    <cellStyle name="Style 99 3 2 2 3 2 6 2" xfId="32480" xr:uid="{A0187510-E83F-403B-AC2E-1CB39819B729}"/>
    <cellStyle name="Style 99 3 2 2 3 2 7" xfId="16780" xr:uid="{D91198E1-8751-4989-ADF2-90A8B33442D4}"/>
    <cellStyle name="Style 99 3 2 2 3 2 7 2" xfId="32481" xr:uid="{4D42582A-D654-4975-8AC4-5822258899EF}"/>
    <cellStyle name="Style 99 3 2 2 3 2 8" xfId="20906" xr:uid="{EA2CF806-E018-4C9E-A662-C776AC9112A0}"/>
    <cellStyle name="Style 99 3 2 2 3 3 2" xfId="16781" xr:uid="{DF6ACA7E-9F06-46CA-B60E-C6E2E80E68F2}"/>
    <cellStyle name="Style 99 3 2 2 3 3 2 2" xfId="32482" xr:uid="{ABE2F076-25A2-405D-9FB8-A1D198BA0F8B}"/>
    <cellStyle name="Style 99 3 2 2 3 3 3" xfId="16782" xr:uid="{2834E4F8-EAA7-4001-B8AB-615B29C70586}"/>
    <cellStyle name="Style 99 3 2 2 3 3 3 2" xfId="32483" xr:uid="{3DA7744B-F468-4C57-BE0A-B13ED488847C}"/>
    <cellStyle name="Style 99 3 2 2 3 4" xfId="16783" xr:uid="{2CD16A21-EE20-4F58-BE0D-882A3F764607}"/>
    <cellStyle name="Style 99 3 2 2 3 4 2" xfId="16784" xr:uid="{1BF36834-4ADD-42A1-AB2C-84235D2C0766}"/>
    <cellStyle name="Style 99 3 2 2 3 4 2 2" xfId="32485" xr:uid="{E1B43298-A0AB-4A50-AB84-02EAA7DCECDD}"/>
    <cellStyle name="Style 99 3 2 2 3 4 3" xfId="32484" xr:uid="{FD502D76-9CC6-4307-A30D-154265576D30}"/>
    <cellStyle name="Style 99 3 2 2 3 5" xfId="16785" xr:uid="{E6C12892-9DBD-4A85-A380-EA8440C73F7C}"/>
    <cellStyle name="Style 99 3 2 2 3 5 2" xfId="16786" xr:uid="{9BABEC00-104E-457A-84B6-94C4E624032F}"/>
    <cellStyle name="Style 99 3 2 2 3 5 2 2" xfId="32487" xr:uid="{796B9438-C42F-4B61-BC23-3DB229D6B668}"/>
    <cellStyle name="Style 99 3 2 2 3 5 3" xfId="32486" xr:uid="{48D63E22-C078-4BA2-9140-1B342DBC5FB9}"/>
    <cellStyle name="Style 99 3 2 2 3 6" xfId="16787" xr:uid="{BB6B1CCD-7797-4514-B5F5-453BBE198DC8}"/>
    <cellStyle name="Style 99 3 2 2 3 6 2" xfId="16788" xr:uid="{B5D473F9-65AC-4BE3-A163-F26212112803}"/>
    <cellStyle name="Style 99 3 2 2 3 6 2 2" xfId="32489" xr:uid="{F73740CE-3A1F-4271-B0F3-A56B9534C67A}"/>
    <cellStyle name="Style 99 3 2 2 3 6 3" xfId="32488" xr:uid="{63BE624A-C413-4554-A343-1894155F8109}"/>
    <cellStyle name="Style 99 3 2 2 3 7" xfId="16789" xr:uid="{B6ED4F2B-A1E8-4059-BDA3-AB02D1A9CFC6}"/>
    <cellStyle name="Style 99 3 2 2 3 7 2" xfId="16790" xr:uid="{BEBD9905-0953-4BF8-9881-35C441590F27}"/>
    <cellStyle name="Style 99 3 2 2 3 7 2 2" xfId="32491" xr:uid="{48F904A4-5338-4A9C-A9FB-B58FEADA8DBB}"/>
    <cellStyle name="Style 99 3 2 2 3 7 3" xfId="32490" xr:uid="{6E70C0AA-E932-49AC-A60D-F04A5A983A57}"/>
    <cellStyle name="Style 99 3 2 2 3 8" xfId="16791" xr:uid="{AF4BD5DE-DC13-4A20-A1DE-BC3983621097}"/>
    <cellStyle name="Style 99 3 2 2 3 8 2" xfId="32492" xr:uid="{D3AE7977-ECA8-429D-8CAE-8F201C9A171F}"/>
    <cellStyle name="Style 99 3 2 2 3 9" xfId="16792" xr:uid="{E0AA04E1-91B7-4468-85C5-184DB7F32E2B}"/>
    <cellStyle name="Style 99 3 2 2 3 9 2" xfId="32493" xr:uid="{E880EA90-FA18-48C6-B444-F1A41C7D596D}"/>
    <cellStyle name="Style 99 3 2 2 4" xfId="2812" xr:uid="{5773308E-07F3-4B50-8394-A041BEA49B7A}"/>
    <cellStyle name="Style 99 3 2 2 4 2" xfId="16793" xr:uid="{9F4F2FAB-D745-45CB-BB20-92708BC6BC38}"/>
    <cellStyle name="Style 99 3 2 2 4 2 2" xfId="16794" xr:uid="{9DAB7F4C-FC34-4FD8-9987-DA2E02421232}"/>
    <cellStyle name="Style 99 3 2 2 4 2 2 2" xfId="32494" xr:uid="{DE87B2A5-2406-436A-A951-531004C36807}"/>
    <cellStyle name="Style 99 3 2 2 4 2 3" xfId="16795" xr:uid="{E2677A86-FD4F-4E8B-8C25-85838BF64F42}"/>
    <cellStyle name="Style 99 3 2 2 4 2 3 2" xfId="32495" xr:uid="{C8D6D197-9ED0-4D94-A3CD-514686A3F7D0}"/>
    <cellStyle name="Style 99 3 2 2 4 3" xfId="16796" xr:uid="{122CDD1C-8D98-481D-9091-C7526DCD0B78}"/>
    <cellStyle name="Style 99 3 2 2 4 3 2" xfId="16797" xr:uid="{6A7753F3-01CF-4EB0-B8A1-4D09E8412B51}"/>
    <cellStyle name="Style 99 3 2 2 4 3 2 2" xfId="32497" xr:uid="{0B2F5BAA-E2F5-4997-AF20-0738EDE260FB}"/>
    <cellStyle name="Style 99 3 2 2 4 3 3" xfId="32496" xr:uid="{7EE85512-AD3A-4C00-B9DA-64A66BA8EFB3}"/>
    <cellStyle name="Style 99 3 2 2 4 4" xfId="16798" xr:uid="{462D91A7-D133-449F-AB04-2A6F8CD2E10E}"/>
    <cellStyle name="Style 99 3 2 2 4 4 2" xfId="16799" xr:uid="{FF77BC3E-C70B-45EA-8D8E-69BD95F5845A}"/>
    <cellStyle name="Style 99 3 2 2 4 4 2 2" xfId="32499" xr:uid="{F8317C62-5478-4599-AEA3-68F3D170F851}"/>
    <cellStyle name="Style 99 3 2 2 4 4 3" xfId="32498" xr:uid="{B0DA1A0F-47EC-41E9-BDF9-838657FA3164}"/>
    <cellStyle name="Style 99 3 2 2 4 5" xfId="16800" xr:uid="{67B5363D-179A-44D1-A165-8571A6456DAE}"/>
    <cellStyle name="Style 99 3 2 2 4 5 2" xfId="16801" xr:uid="{503E0C14-9344-4145-919C-DF78FD30DC1C}"/>
    <cellStyle name="Style 99 3 2 2 4 5 2 2" xfId="32501" xr:uid="{80BFC6F2-CD5A-4A01-8892-499040ACD159}"/>
    <cellStyle name="Style 99 3 2 2 4 5 3" xfId="32500" xr:uid="{007A5F88-5C07-47FB-9F68-68B32F673621}"/>
    <cellStyle name="Style 99 3 2 2 4 6" xfId="16802" xr:uid="{68CA767E-BEA9-4412-8B4E-C10A259EAFAE}"/>
    <cellStyle name="Style 99 3 2 2 4 6 2" xfId="32502" xr:uid="{2FA5206D-5997-4FB2-A232-C4CD18A2D05C}"/>
    <cellStyle name="Style 99 3 2 2 4 7" xfId="16803" xr:uid="{69743EDC-01D0-412B-A914-44D6570EA605}"/>
    <cellStyle name="Style 99 3 2 2 4 7 2" xfId="32503" xr:uid="{EDCC02EB-D6E4-40BB-B1CF-735D09CC420A}"/>
    <cellStyle name="Style 99 3 2 2 4 8" xfId="20903" xr:uid="{0099A56E-FBC1-4252-9C2F-B76E03BEC920}"/>
    <cellStyle name="Style 99 3 2 2 5" xfId="5503" xr:uid="{451782A7-AD44-439B-B556-ACDF08EEF817}"/>
    <cellStyle name="Style 99 3 2 2 5 2" xfId="16804" xr:uid="{549E51D9-0A4F-478D-A283-A5D1E705207A}"/>
    <cellStyle name="Style 99 3 2 2 5 2 2" xfId="32504" xr:uid="{C89D3ECD-6CF3-4A69-8297-216B82ED82B2}"/>
    <cellStyle name="Style 99 3 2 2 5 3" xfId="16805" xr:uid="{79E576F8-B94A-47D7-96C0-926F68E01980}"/>
    <cellStyle name="Style 99 3 2 2 5 3 2" xfId="32505" xr:uid="{E769FA61-C4A1-4061-8FC9-AFC20AD6BB9A}"/>
    <cellStyle name="Style 99 3 2 2 6" xfId="16806" xr:uid="{4E1A156C-C338-454A-AB3D-88EF49286AE4}"/>
    <cellStyle name="Style 99 3 2 2 6 2" xfId="16807" xr:uid="{5FCA0C46-B7E9-4DAA-B80B-15321BF75C61}"/>
    <cellStyle name="Style 99 3 2 2 6 2 2" xfId="32507" xr:uid="{4120A543-CC0C-49EA-A68F-6F2D6873B77D}"/>
    <cellStyle name="Style 99 3 2 2 6 3" xfId="32506" xr:uid="{7B48163B-8A1D-4919-B1C9-E4F974DA516A}"/>
    <cellStyle name="Style 99 3 2 2 7" xfId="16808" xr:uid="{26EB8003-A85B-490A-AB81-ECC969A295FA}"/>
    <cellStyle name="Style 99 3 2 2 7 2" xfId="16809" xr:uid="{B2756528-F21B-496F-AFCC-E125BE725CF0}"/>
    <cellStyle name="Style 99 3 2 2 7 2 2" xfId="32509" xr:uid="{B1D1CEB3-2CAC-4917-A7C2-35D53CDF5282}"/>
    <cellStyle name="Style 99 3 2 2 7 3" xfId="32508" xr:uid="{9F9D49CB-871D-43AB-B5CB-BC590C1ED03F}"/>
    <cellStyle name="Style 99 3 2 2 8" xfId="16810" xr:uid="{B1000C9B-245A-4E4E-BDD1-9C456FC950F6}"/>
    <cellStyle name="Style 99 3 2 2 8 2" xfId="16811" xr:uid="{CB74A8B3-CF8F-44C8-9266-B3C7286EF867}"/>
    <cellStyle name="Style 99 3 2 2 8 2 2" xfId="32511" xr:uid="{45B025AC-18DD-4C2A-95CD-448646D298F6}"/>
    <cellStyle name="Style 99 3 2 2 8 3" xfId="32510" xr:uid="{15526623-8F06-4372-90CC-17533F28727E}"/>
    <cellStyle name="Style 99 3 2 2 9" xfId="16812" xr:uid="{1CA41029-23FA-41A5-A3B5-12C928D05278}"/>
    <cellStyle name="Style 99 3 2 2 9 2" xfId="16813" xr:uid="{D15C64E5-433E-46B6-A5FC-FC674E230D93}"/>
    <cellStyle name="Style 99 3 2 2 9 2 2" xfId="32513" xr:uid="{5EF58994-011D-44F5-9433-F6BA775A44D5}"/>
    <cellStyle name="Style 99 3 2 2 9 3" xfId="32512" xr:uid="{3E949864-252F-4ABC-9569-344168169765}"/>
    <cellStyle name="Style 99 3 2 3" xfId="2556" xr:uid="{E25D2DCE-688C-4FA6-8E01-2D6598A295C3}"/>
    <cellStyle name="Style 99 3 2 3 10" xfId="16814" xr:uid="{F215CA94-77B6-48BE-AE26-49493F7E650F}"/>
    <cellStyle name="Style 99 3 2 3 10 2" xfId="32514" xr:uid="{E512C26A-A1B4-4CEB-A0B9-66CC13BD2C41}"/>
    <cellStyle name="Style 99 3 2 3 11" xfId="16815" xr:uid="{E5969FDA-6D8D-41B6-BDFD-35D704272B86}"/>
    <cellStyle name="Style 99 3 2 3 11 2" xfId="32515" xr:uid="{540A53AA-0776-4479-B12D-213EFB77CB95}"/>
    <cellStyle name="Style 99 3 2 3 12" xfId="19322" xr:uid="{7A844084-CB5C-4357-AA4F-E92D08ED745E}"/>
    <cellStyle name="Style 99 3 2 3 2" xfId="2557" xr:uid="{A3D5DB43-9D61-4A42-9EC7-00563424551C}"/>
    <cellStyle name="Style 99 3 2 3 2 2" xfId="5508" xr:uid="{EDB41282-36FF-49A1-91EB-21771A8861F9}"/>
    <cellStyle name="Style 99 3 2 3 2 2 2" xfId="16816" xr:uid="{5970FB9F-4C9D-42CB-B9A2-A5150921373A}"/>
    <cellStyle name="Style 99 3 2 3 2 2 2 2" xfId="16817" xr:uid="{08214CFA-DE32-48DC-A12C-7F2FB3C43FC7}"/>
    <cellStyle name="Style 99 3 2 3 2 2 2 2 2" xfId="32517" xr:uid="{5B9F5939-EF44-4856-9803-B922A47CBAD4}"/>
    <cellStyle name="Style 99 3 2 3 2 2 2 3" xfId="32516" xr:uid="{0639CFA4-E3DF-4DC6-AF6F-2C15BDCFE9E7}"/>
    <cellStyle name="Style 99 3 2 3 2 2 3" xfId="16818" xr:uid="{8CB61D6C-555A-4EA1-B558-4D5144D2D4FA}"/>
    <cellStyle name="Style 99 3 2 3 2 2 3 2" xfId="16819" xr:uid="{56C96C9A-8985-4E98-AB4C-52EFA49C3481}"/>
    <cellStyle name="Style 99 3 2 3 2 2 3 2 2" xfId="32519" xr:uid="{0F331094-CB38-4502-9ABD-A41B3C2B4BF9}"/>
    <cellStyle name="Style 99 3 2 3 2 2 3 3" xfId="32518" xr:uid="{4AC858A6-7D63-4120-B5EC-DECD65B47FAD}"/>
    <cellStyle name="Style 99 3 2 3 2 2 4" xfId="16820" xr:uid="{8A6143E6-27B4-4AFF-840C-FD90C50F41AA}"/>
    <cellStyle name="Style 99 3 2 3 2 2 4 2" xfId="16821" xr:uid="{23524B67-78FD-42F0-9625-EDC17E976A5D}"/>
    <cellStyle name="Style 99 3 2 3 2 2 4 2 2" xfId="32521" xr:uid="{882C4434-A65F-4E6D-9F1F-4F43F74B2021}"/>
    <cellStyle name="Style 99 3 2 3 2 2 4 3" xfId="32520" xr:uid="{3A59AA1F-1600-485F-B6DE-6185A5DBCA15}"/>
    <cellStyle name="Style 99 3 2 3 2 2 5" xfId="16822" xr:uid="{7D523909-7FEA-43B7-BD1D-AD08FBBF3AD3}"/>
    <cellStyle name="Style 99 3 2 3 2 2 5 2" xfId="16823" xr:uid="{99D40412-CBBD-47BB-8213-D07DD34F17D7}"/>
    <cellStyle name="Style 99 3 2 3 2 2 5 2 2" xfId="32523" xr:uid="{A10B9871-7B17-428A-918C-700362E845A8}"/>
    <cellStyle name="Style 99 3 2 3 2 2 5 3" xfId="32522" xr:uid="{8435F7B6-22AE-4FCD-9AD9-46E07AD62025}"/>
    <cellStyle name="Style 99 3 2 3 2 2 6" xfId="16824" xr:uid="{A7F8982D-1D2B-4FD0-B167-C01D4A3DB2C2}"/>
    <cellStyle name="Style 99 3 2 3 2 2 6 2" xfId="32524" xr:uid="{A40A7714-1BB5-45C5-8A1D-6E11C8DBB134}"/>
    <cellStyle name="Style 99 3 2 3 2 2 7" xfId="16825" xr:uid="{92DA9F0C-C04C-4202-8946-2B0A156C3E61}"/>
    <cellStyle name="Style 99 3 2 3 2 2 7 2" xfId="32525" xr:uid="{A0C6DF07-A61A-4549-88B7-9BD0769BC65C}"/>
    <cellStyle name="Style 99 3 2 3 2 2 8" xfId="20908" xr:uid="{3D876700-58FF-4304-A99B-8B883A02AF5A}"/>
    <cellStyle name="Style 99 3 2 3 2 3" xfId="16826" xr:uid="{9A156188-36E5-41CB-B674-618557B88A5A}"/>
    <cellStyle name="Style 99 3 2 3 2 3 2" xfId="16827" xr:uid="{986264E4-ED90-4CD5-A662-3600A77422AE}"/>
    <cellStyle name="Style 99 3 2 3 2 3 2 2" xfId="32526" xr:uid="{FBF1CC91-C796-4522-A2FA-2BC35D4DCF99}"/>
    <cellStyle name="Style 99 3 2 3 2 3 3" xfId="16828" xr:uid="{4D90316D-4503-44DD-98BC-FA7B8C6A6436}"/>
    <cellStyle name="Style 99 3 2 3 2 3 3 2" xfId="32527" xr:uid="{8C8BD25D-3BC8-4CBB-A62D-1C966963C935}"/>
    <cellStyle name="Style 99 3 2 3 2 4" xfId="16829" xr:uid="{1F7F3A93-BA65-46ED-8D73-6DE6A8BC7263}"/>
    <cellStyle name="Style 99 3 2 3 2 4 2" xfId="16830" xr:uid="{80C824BD-1157-40D9-860C-F7FC4B01072A}"/>
    <cellStyle name="Style 99 3 2 3 2 4 2 2" xfId="32529" xr:uid="{C8C88F39-6BD2-4822-BB4A-3E49AC749A98}"/>
    <cellStyle name="Style 99 3 2 3 2 4 3" xfId="32528" xr:uid="{BA599219-23F0-4245-85B0-C31790D0BC72}"/>
    <cellStyle name="Style 99 3 2 3 2 5" xfId="16831" xr:uid="{276296B2-D69F-4B67-B07F-49BA022E8337}"/>
    <cellStyle name="Style 99 3 2 3 2 5 2" xfId="16832" xr:uid="{97478D41-7FD6-4136-B995-EB360FD3CA2B}"/>
    <cellStyle name="Style 99 3 2 3 2 5 2 2" xfId="32531" xr:uid="{403AF27D-6EAC-4515-9982-094BF14D9255}"/>
    <cellStyle name="Style 99 3 2 3 2 5 3" xfId="32530" xr:uid="{D0059267-B5C2-43DB-991C-C2319F1FE506}"/>
    <cellStyle name="Style 99 3 2 3 2 6" xfId="16833" xr:uid="{31587A6D-80E9-479D-BDB1-E22348FA6C53}"/>
    <cellStyle name="Style 99 3 2 3 2 6 2" xfId="16834" xr:uid="{EA97210D-3B22-4EE8-906A-72CAA3683795}"/>
    <cellStyle name="Style 99 3 2 3 2 6 2 2" xfId="32533" xr:uid="{A95A4E87-B5A4-41DA-8ADF-AA2D738001A2}"/>
    <cellStyle name="Style 99 3 2 3 2 6 3" xfId="32532" xr:uid="{0C61E048-DAB6-4AD9-B7A5-442BA9A525B6}"/>
    <cellStyle name="Style 99 3 2 3 2 7" xfId="16835" xr:uid="{0FC8D03C-E1C9-4642-AC42-FDE71D9FCED2}"/>
    <cellStyle name="Style 99 3 2 3 2 7 2" xfId="16836" xr:uid="{735ED24B-3E4B-4931-9D5F-5983D12CD68F}"/>
    <cellStyle name="Style 99 3 2 3 2 7 2 2" xfId="32535" xr:uid="{865329F8-1133-44F9-ACDF-232545EB260A}"/>
    <cellStyle name="Style 99 3 2 3 2 7 3" xfId="32534" xr:uid="{8A3A1A4E-9AC8-4E38-A45A-40D4EEF90317}"/>
    <cellStyle name="Style 99 3 2 3 2 8" xfId="16837" xr:uid="{4E6767A5-CA76-47B8-9784-DFC931114199}"/>
    <cellStyle name="Style 99 3 2 3 2 8 2" xfId="32536" xr:uid="{ACA3E454-9347-42ED-8FFC-87EE289B1079}"/>
    <cellStyle name="Style 99 3 2 3 2 9" xfId="16838" xr:uid="{F7526875-FF5B-47CC-9AB9-5551AA21AFC7}"/>
    <cellStyle name="Style 99 3 2 3 2 9 2" xfId="32537" xr:uid="{F9B92106-ADEE-4798-A1F6-D7FFC68FB43E}"/>
    <cellStyle name="Style 99 3 2 3 3" xfId="5507" xr:uid="{9AE4D775-DD78-4E6F-A43D-A4826039DD07}"/>
    <cellStyle name="Style 99 3 2 3 3 2" xfId="16839" xr:uid="{61B9BC79-4378-4E76-8AC0-875F2419D8F5}"/>
    <cellStyle name="Style 99 3 2 3 3 2 2" xfId="16840" xr:uid="{41D95F36-1056-4F48-8D13-B883CDD8EA00}"/>
    <cellStyle name="Style 99 3 2 3 3 2 2 2" xfId="32539" xr:uid="{73B85507-974C-4AB2-A84C-32D938074FD7}"/>
    <cellStyle name="Style 99 3 2 3 3 2 3" xfId="16841" xr:uid="{67C6A4E8-327B-4FF2-91DF-7BFBE60C01E6}"/>
    <cellStyle name="Style 99 3 2 3 3 2 3 2" xfId="32540" xr:uid="{F0B696CD-8E51-41FC-8D55-E2EA940EB036}"/>
    <cellStyle name="Style 99 3 2 3 3 2 4" xfId="32538" xr:uid="{D57B7971-4BC7-4B03-ABF4-3AD3718BB5D4}"/>
    <cellStyle name="Style 99 3 2 3 3 3" xfId="16842" xr:uid="{3F7CE9D0-3224-448B-9311-34F8A80AAB11}"/>
    <cellStyle name="Style 99 3 2 3 3 3 2" xfId="16843" xr:uid="{A7531FCA-690C-4C42-B393-DD433C44CD1A}"/>
    <cellStyle name="Style 99 3 2 3 3 3 2 2" xfId="32542" xr:uid="{E8991206-8841-4F77-852D-66712C9E9FFB}"/>
    <cellStyle name="Style 99 3 2 3 3 3 3" xfId="32541" xr:uid="{B78D34C7-2CA4-4BEE-834D-3CC1FB548587}"/>
    <cellStyle name="Style 99 3 2 3 3 4" xfId="16844" xr:uid="{E42CCF04-4F8B-4B4F-8622-59D376AC2995}"/>
    <cellStyle name="Style 99 3 2 3 3 4 2" xfId="16845" xr:uid="{66E7C00D-430B-4AC9-9ED0-1DACCC287325}"/>
    <cellStyle name="Style 99 3 2 3 3 4 2 2" xfId="32544" xr:uid="{E54D3BB9-B189-4CEA-A453-6D34DA9B7D45}"/>
    <cellStyle name="Style 99 3 2 3 3 4 3" xfId="32543" xr:uid="{270A94D7-37A1-4480-B8D0-12F9BAD240BB}"/>
    <cellStyle name="Style 99 3 2 3 3 5" xfId="16846" xr:uid="{DF9A040D-DCB7-49EF-B616-841E1FFF5B76}"/>
    <cellStyle name="Style 99 3 2 3 3 5 2" xfId="16847" xr:uid="{97312092-A62F-4FF5-A174-99079E07449F}"/>
    <cellStyle name="Style 99 3 2 3 3 5 2 2" xfId="32546" xr:uid="{41D3F5C6-AACC-48EB-8B53-FA73061989A8}"/>
    <cellStyle name="Style 99 3 2 3 3 5 3" xfId="32545" xr:uid="{927DCA89-0270-43B6-AD53-2F812DE8FF21}"/>
    <cellStyle name="Style 99 3 2 3 3 6" xfId="16848" xr:uid="{B9D49017-9F46-4021-81CD-31607305831C}"/>
    <cellStyle name="Style 99 3 2 3 3 6 2" xfId="32547" xr:uid="{65FC2761-25D6-45AA-BA19-B2DA15C72B2B}"/>
    <cellStyle name="Style 99 3 2 3 3 7" xfId="16849" xr:uid="{C7D01941-C0BF-41A3-B505-C7E121D4ACBA}"/>
    <cellStyle name="Style 99 3 2 3 3 7 2" xfId="32548" xr:uid="{D82C6CBA-71DD-4B37-A17E-6819D1385E13}"/>
    <cellStyle name="Style 99 3 2 3 3 8" xfId="20907" xr:uid="{7017C54F-A073-48CB-998D-8B9D83A57DA3}"/>
    <cellStyle name="Style 99 3 2 3 4" xfId="16850" xr:uid="{E50FF774-1352-49F5-BB12-5BC236AB780C}"/>
    <cellStyle name="Style 99 3 2 3 4 2" xfId="16851" xr:uid="{E49A2F20-18E1-4334-9C1A-BD1C9F479744}"/>
    <cellStyle name="Style 99 3 2 3 4 2 2" xfId="32549" xr:uid="{67B8385E-82AD-4A86-BCA3-11C09D0679A2}"/>
    <cellStyle name="Style 99 3 2 3 4 3" xfId="16852" xr:uid="{F5A138D0-F90A-4C69-B200-1F78048ABE02}"/>
    <cellStyle name="Style 99 3 2 3 4 3 2" xfId="32550" xr:uid="{4927D8B8-46A5-4983-B0EA-B35B016A3AC8}"/>
    <cellStyle name="Style 99 3 2 3 4 4" xfId="16853" xr:uid="{D73C4BB4-4189-47B5-A17A-1108EB8F5FA2}"/>
    <cellStyle name="Style 99 3 2 3 4 4 2" xfId="32551" xr:uid="{33CE42E2-F089-4AF9-9F95-A794F559B142}"/>
    <cellStyle name="Style 99 3 2 3 5" xfId="16854" xr:uid="{49C8372A-407D-4774-837C-B310B1731A22}"/>
    <cellStyle name="Style 99 3 2 3 5 2" xfId="16855" xr:uid="{7C4A36F8-B5C9-4B22-B6B9-9DADC4A72386}"/>
    <cellStyle name="Style 99 3 2 3 5 2 2" xfId="32553" xr:uid="{23F93296-0B93-47D9-84E4-356FF49C4B3D}"/>
    <cellStyle name="Style 99 3 2 3 5 3" xfId="32552" xr:uid="{28088216-EE3D-46FF-AB74-014735DC70F7}"/>
    <cellStyle name="Style 99 3 2 3 6" xfId="16856" xr:uid="{5B8D8A93-2E84-4BC1-B71F-11A0FD161FA4}"/>
    <cellStyle name="Style 99 3 2 3 6 2" xfId="16857" xr:uid="{9E4A355F-9349-4682-83EB-1D954D1E3D95}"/>
    <cellStyle name="Style 99 3 2 3 6 2 2" xfId="32555" xr:uid="{DA3E07F2-14F5-462E-8D07-03CEE0479EFD}"/>
    <cellStyle name="Style 99 3 2 3 6 3" xfId="32554" xr:uid="{C7DE5BAD-85CD-4531-BB88-5A59FF2C1DFE}"/>
    <cellStyle name="Style 99 3 2 3 7" xfId="16858" xr:uid="{AE759A37-B875-4172-9235-891FB273C719}"/>
    <cellStyle name="Style 99 3 2 3 7 2" xfId="16859" xr:uid="{81ADE502-18B5-4D9F-B129-D85D9E163273}"/>
    <cellStyle name="Style 99 3 2 3 7 2 2" xfId="32557" xr:uid="{EEC7F47F-47D7-490C-A819-A6AD11E091DC}"/>
    <cellStyle name="Style 99 3 2 3 7 3" xfId="32556" xr:uid="{787AAACD-89EF-4065-B029-782561E93E3D}"/>
    <cellStyle name="Style 99 3 2 3 8" xfId="16860" xr:uid="{D2ADDF57-D7C9-4DC6-8EAB-DF5396B3690D}"/>
    <cellStyle name="Style 99 3 2 3 8 2" xfId="16861" xr:uid="{B0E1C2FD-B371-48EF-8231-D10D4FDC7CF4}"/>
    <cellStyle name="Style 99 3 2 3 8 2 2" xfId="32559" xr:uid="{F5164F89-9605-44EE-B703-6BCADCD0616B}"/>
    <cellStyle name="Style 99 3 2 3 8 3" xfId="32558" xr:uid="{5CCDA26B-EBC2-4AF9-87FB-86EA4691E975}"/>
    <cellStyle name="Style 99 3 2 3 9" xfId="16862" xr:uid="{50A52EF1-82FA-4A8C-89FC-E8DD6E63367B}"/>
    <cellStyle name="Style 99 3 2 3 9 2" xfId="16863" xr:uid="{16D93C94-229D-404A-A2E3-73EDDC696422}"/>
    <cellStyle name="Style 99 3 2 3 9 2 2" xfId="32561" xr:uid="{0FF5F602-2EBA-4701-B5CE-1137B017F46C}"/>
    <cellStyle name="Style 99 3 2 3 9 3" xfId="32560" xr:uid="{D30A2E1F-843D-4C9D-8902-51622C04D84A}"/>
    <cellStyle name="Style 99 3 2 4" xfId="2558" xr:uid="{F11577B7-01D8-4DEE-B981-F1CE1041F354}"/>
    <cellStyle name="Style 99 3 2 4 2" xfId="5509" xr:uid="{DCA68A2D-8A83-44CC-A34D-BC3323BB4C5A}"/>
    <cellStyle name="Style 99 3 2 4 2 2" xfId="16864" xr:uid="{5EAB97AF-3EDB-4703-A761-3949C0EAB32F}"/>
    <cellStyle name="Style 99 3 2 4 2 2 2" xfId="16865" xr:uid="{768EB31D-D0CB-4091-92AC-5866D9BF7A16}"/>
    <cellStyle name="Style 99 3 2 4 2 2 2 2" xfId="32563" xr:uid="{50717958-3016-4269-B139-D0F789285436}"/>
    <cellStyle name="Style 99 3 2 4 2 2 3" xfId="32562" xr:uid="{EAFA41C3-D0E4-4EB2-876F-8D2F87CFD5F4}"/>
    <cellStyle name="Style 99 3 2 4 2 3" xfId="16866" xr:uid="{1EA2FE22-6692-4D79-9584-78F554B10710}"/>
    <cellStyle name="Style 99 3 2 4 2 3 2" xfId="16867" xr:uid="{3DCB1B12-A268-40C2-B4D2-07A97E1E15BA}"/>
    <cellStyle name="Style 99 3 2 4 2 3 2 2" xfId="32565" xr:uid="{2A05C7AB-D43D-4C1D-8200-5A7DFB7B1B83}"/>
    <cellStyle name="Style 99 3 2 4 2 3 3" xfId="32564" xr:uid="{071B4DB8-83EB-4F18-8A66-31F7A7C3FAF7}"/>
    <cellStyle name="Style 99 3 2 4 2 4" xfId="16868" xr:uid="{907525E1-F8A7-47ED-96AD-CBA761206F75}"/>
    <cellStyle name="Style 99 3 2 4 2 4 2" xfId="16869" xr:uid="{DE477DD6-75B6-4104-AA38-6A87CF81250E}"/>
    <cellStyle name="Style 99 3 2 4 2 4 2 2" xfId="32567" xr:uid="{4C2FBAB5-30E9-4805-A634-3839A32AD971}"/>
    <cellStyle name="Style 99 3 2 4 2 4 3" xfId="32566" xr:uid="{75E5D09C-135A-4D22-8290-7FEB207B9589}"/>
    <cellStyle name="Style 99 3 2 4 2 5" xfId="16870" xr:uid="{F4D9F727-F251-42A2-AE13-33B125D57317}"/>
    <cellStyle name="Style 99 3 2 4 2 5 2" xfId="16871" xr:uid="{4727FDB5-19EA-42FD-9395-3A4926068CA2}"/>
    <cellStyle name="Style 99 3 2 4 2 5 2 2" xfId="32569" xr:uid="{799A57CF-AB54-4417-A6E2-50428615C1D8}"/>
    <cellStyle name="Style 99 3 2 4 2 5 3" xfId="32568" xr:uid="{1BD67944-DFBC-455E-B6D1-792F05DBDD89}"/>
    <cellStyle name="Style 99 3 2 4 2 6" xfId="16872" xr:uid="{7102F93B-9FDF-4DC5-801A-65C300523F42}"/>
    <cellStyle name="Style 99 3 2 4 2 6 2" xfId="32570" xr:uid="{E2262806-FD06-478D-AEDC-31B2CD52F67C}"/>
    <cellStyle name="Style 99 3 2 4 2 7" xfId="16873" xr:uid="{103679EC-D8F4-4F43-AA4E-3E21E71A8D0A}"/>
    <cellStyle name="Style 99 3 2 4 2 7 2" xfId="32571" xr:uid="{2A2CB42C-35F9-4B7F-B33E-FC5E08BEC5CD}"/>
    <cellStyle name="Style 99 3 2 4 2 8" xfId="20909" xr:uid="{B6A6F837-61AD-4210-900A-FF3D4FE8DA98}"/>
    <cellStyle name="Style 99 3 2 4 3" xfId="16874" xr:uid="{9E9B22BA-339E-4615-AC63-E44A3F16F199}"/>
    <cellStyle name="Style 99 3 2 4 3 2" xfId="16875" xr:uid="{D9C8D531-B373-4C4C-81BC-5940DC205356}"/>
    <cellStyle name="Style 99 3 2 4 3 2 2" xfId="32572" xr:uid="{A6E4829E-F6BA-4631-8892-F9DE70AC4115}"/>
    <cellStyle name="Style 99 3 2 4 3 3" xfId="16876" xr:uid="{1ECF0744-A197-4597-9295-805626FAA842}"/>
    <cellStyle name="Style 99 3 2 4 3 3 2" xfId="32573" xr:uid="{DBDC9E59-5CCC-4679-AAED-07195D5F49C4}"/>
    <cellStyle name="Style 99 3 2 4 4" xfId="16877" xr:uid="{CDA37DAF-FA03-44C6-99EB-FAFD94F4C2EF}"/>
    <cellStyle name="Style 99 3 2 4 4 2" xfId="16878" xr:uid="{407CEFE5-8758-42BC-925A-C92B14A1B0CC}"/>
    <cellStyle name="Style 99 3 2 4 4 2 2" xfId="32575" xr:uid="{C6879CCC-CD4A-487E-8648-345CBF25374B}"/>
    <cellStyle name="Style 99 3 2 4 4 3" xfId="32574" xr:uid="{0019F2B1-E6FA-4FA7-93FC-9837F559A041}"/>
    <cellStyle name="Style 99 3 2 4 5" xfId="16879" xr:uid="{6F7718B4-EFC8-4E5A-83C2-FFE971D8EAB5}"/>
    <cellStyle name="Style 99 3 2 4 5 2" xfId="16880" xr:uid="{A23FC4DA-B5BF-4166-B85F-5266CA0E2248}"/>
    <cellStyle name="Style 99 3 2 4 5 2 2" xfId="32577" xr:uid="{7BB111F3-FE2A-412F-AB53-55248A665BE6}"/>
    <cellStyle name="Style 99 3 2 4 5 3" xfId="32576" xr:uid="{47DB3A3D-B596-4B93-A182-5F426F7D06B7}"/>
    <cellStyle name="Style 99 3 2 4 6" xfId="16881" xr:uid="{1C7686D1-D43A-4535-B622-243818737C26}"/>
    <cellStyle name="Style 99 3 2 4 6 2" xfId="16882" xr:uid="{666C7183-89C1-4618-8E23-52833ADFCCC9}"/>
    <cellStyle name="Style 99 3 2 4 6 2 2" xfId="32579" xr:uid="{EC3D1F24-9C11-485C-AC84-26196C1F52DB}"/>
    <cellStyle name="Style 99 3 2 4 6 3" xfId="32578" xr:uid="{3C488946-0EE3-486F-81B4-849F671A3504}"/>
    <cellStyle name="Style 99 3 2 4 7" xfId="16883" xr:uid="{92E120A3-29AE-4B9F-B566-312CFD59FCDE}"/>
    <cellStyle name="Style 99 3 2 4 7 2" xfId="16884" xr:uid="{E11CD5DA-2AD9-4249-B67C-001CA37FCBBA}"/>
    <cellStyle name="Style 99 3 2 4 7 2 2" xfId="32581" xr:uid="{D1ABC523-A7F7-41CE-ABBF-94BE25C0921F}"/>
    <cellStyle name="Style 99 3 2 4 7 3" xfId="32580" xr:uid="{7AFCE423-EE87-4BB3-A2FC-40C180001803}"/>
    <cellStyle name="Style 99 3 2 4 8" xfId="16885" xr:uid="{CA274A5A-348C-4749-8E5C-585F55490C54}"/>
    <cellStyle name="Style 99 3 2 4 8 2" xfId="32582" xr:uid="{CEBA78BB-A2A5-4CE9-82CA-0CCADC1980AA}"/>
    <cellStyle name="Style 99 3 2 4 9" xfId="16886" xr:uid="{9BC640AE-88D8-44D5-8DBD-6FC3F43941B3}"/>
    <cellStyle name="Style 99 3 2 4 9 2" xfId="32583" xr:uid="{252BF759-2F43-4C01-9918-EB7DB06EF454}"/>
    <cellStyle name="Style 99 3 2 5" xfId="2811" xr:uid="{0EC217FB-8B00-43AA-BFF1-FE2AA2F34D37}"/>
    <cellStyle name="Style 99 3 2 5 2" xfId="16887" xr:uid="{31B20432-DAD6-4418-A469-229C1BB25184}"/>
    <cellStyle name="Style 99 3 2 5 2 2" xfId="16888" xr:uid="{0CD61380-A9C6-42FA-B7CB-87FB7AF17020}"/>
    <cellStyle name="Style 99 3 2 5 2 2 2" xfId="32584" xr:uid="{2633DE03-86E4-48CF-85A7-4EF85BCE94A0}"/>
    <cellStyle name="Style 99 3 2 5 2 3" xfId="16889" xr:uid="{A32EF32A-A187-4A20-ADC5-3EA66FBF2284}"/>
    <cellStyle name="Style 99 3 2 5 2 3 2" xfId="32585" xr:uid="{E40A5B77-1D19-4989-B1F7-4FCCACBA1C35}"/>
    <cellStyle name="Style 99 3 2 5 3" xfId="16890" xr:uid="{7F492E3B-1574-437F-BDF9-D673CAE2D879}"/>
    <cellStyle name="Style 99 3 2 5 3 2" xfId="16891" xr:uid="{12F2ED87-E6C1-4144-862D-14803B879DDD}"/>
    <cellStyle name="Style 99 3 2 5 3 2 2" xfId="32587" xr:uid="{59EEB7FF-086F-4CB3-981F-D2DFA67729ED}"/>
    <cellStyle name="Style 99 3 2 5 3 3" xfId="32586" xr:uid="{8EC8B120-8A4A-4ACC-B2A7-1312D4FA4FEA}"/>
    <cellStyle name="Style 99 3 2 5 4" xfId="16892" xr:uid="{5AAAB5F7-B21B-4DC5-AEB3-8C5EDD695DA2}"/>
    <cellStyle name="Style 99 3 2 5 4 2" xfId="16893" xr:uid="{7E0EC9E3-CF01-4E99-BB73-F0A4E9FA5CC3}"/>
    <cellStyle name="Style 99 3 2 5 4 2 2" xfId="32589" xr:uid="{B545049B-FB0C-43F2-9FE7-80C30F31D6E8}"/>
    <cellStyle name="Style 99 3 2 5 4 3" xfId="32588" xr:uid="{FF2A467B-D1E3-4EFF-9946-4DF06411636B}"/>
    <cellStyle name="Style 99 3 2 5 5" xfId="16894" xr:uid="{896C11B0-E94C-4EA4-B211-9B7EBE794D61}"/>
    <cellStyle name="Style 99 3 2 5 5 2" xfId="16895" xr:uid="{5E8C29C9-E197-457F-8975-0F52FA7D8421}"/>
    <cellStyle name="Style 99 3 2 5 5 2 2" xfId="32591" xr:uid="{1E0862C0-117F-47E4-A696-CE97C7E9100C}"/>
    <cellStyle name="Style 99 3 2 5 5 3" xfId="32590" xr:uid="{435302D4-34FF-4C3F-8F74-FF3D7A86B034}"/>
    <cellStyle name="Style 99 3 2 5 6" xfId="16896" xr:uid="{EA422247-8789-4A07-BA00-0A320B883119}"/>
    <cellStyle name="Style 99 3 2 5 6 2" xfId="32592" xr:uid="{B4B4DF61-F9D6-4129-9243-0C2A5DEEAA5A}"/>
    <cellStyle name="Style 99 3 2 5 7" xfId="16897" xr:uid="{1DE0739F-291B-4EB9-8644-98B1FCAA889A}"/>
    <cellStyle name="Style 99 3 2 5 7 2" xfId="32593" xr:uid="{ECEDB9C1-AC25-45CC-AFD2-77E7B8F184D7}"/>
    <cellStyle name="Style 99 3 2 5 8" xfId="20902" xr:uid="{03AED434-4847-4CE4-A647-3C435E5D4C58}"/>
    <cellStyle name="Style 99 3 2 6" xfId="5502" xr:uid="{42BF05DE-4D99-4659-AF4C-EAB316C332B8}"/>
    <cellStyle name="Style 99 3 2 6 2" xfId="16898" xr:uid="{59E7055D-721B-422C-B9B7-06A4E84E34DB}"/>
    <cellStyle name="Style 99 3 2 6 2 2" xfId="32594" xr:uid="{EAD62981-7626-4350-9BF7-93890A485841}"/>
    <cellStyle name="Style 99 3 2 6 3" xfId="16899" xr:uid="{1922DBB3-4617-4917-B052-E0F7646475B1}"/>
    <cellStyle name="Style 99 3 2 6 3 2" xfId="32595" xr:uid="{8A74DC44-C8F5-479E-8E71-F5D4937A834D}"/>
    <cellStyle name="Style 99 3 2 7" xfId="16900" xr:uid="{530DD9A5-F2C4-4372-8067-7EE5085C0AF4}"/>
    <cellStyle name="Style 99 3 2 7 2" xfId="16901" xr:uid="{E4C08A2E-8C7D-424F-9EF9-624FF8CF3315}"/>
    <cellStyle name="Style 99 3 2 7 2 2" xfId="32597" xr:uid="{BE92CE4F-03ED-49ED-BFEE-3448975840C4}"/>
    <cellStyle name="Style 99 3 2 7 3" xfId="32596" xr:uid="{1B96D068-7E36-4D94-BD97-BFDDD11041BF}"/>
    <cellStyle name="Style 99 3 2 8" xfId="16902" xr:uid="{25597AAB-5584-4823-A30D-13B773ADB3A6}"/>
    <cellStyle name="Style 99 3 2 8 2" xfId="16903" xr:uid="{D79BBCD8-942E-4469-9C6E-BEC5E3324441}"/>
    <cellStyle name="Style 99 3 2 8 2 2" xfId="32599" xr:uid="{C35ACBF2-B281-45DC-8D0B-9FAB940399FB}"/>
    <cellStyle name="Style 99 3 2 8 3" xfId="32598" xr:uid="{56C9ACF1-BB5A-4487-B41C-D177CF9AD839}"/>
    <cellStyle name="Style 99 3 2 9" xfId="16904" xr:uid="{D2D88E32-2B68-4E18-815B-49DA003B934E}"/>
    <cellStyle name="Style 99 3 2 9 2" xfId="16905" xr:uid="{05F20196-8F3C-4CE8-A685-050E62C7AEC7}"/>
    <cellStyle name="Style 99 3 2 9 2 2" xfId="32601" xr:uid="{B92EBA90-C3B3-44FF-9FBE-071D522189D1}"/>
    <cellStyle name="Style 99 3 2 9 3" xfId="32600" xr:uid="{8432C6C3-4FE5-467E-A4FF-1F95ADA24B3A}"/>
    <cellStyle name="Style 99 3 3" xfId="2559" xr:uid="{9DF94EFD-E074-4BF6-B6BB-22CEDD7E8AAB}"/>
    <cellStyle name="Style 99 3 3 10" xfId="16906" xr:uid="{6EE4C291-50C7-4CE0-AB3E-6890E18B2091}"/>
    <cellStyle name="Style 99 3 3 10 2" xfId="16907" xr:uid="{6143A9F5-D469-4DBF-86BD-A0B9D180197A}"/>
    <cellStyle name="Style 99 3 3 10 2 2" xfId="32603" xr:uid="{756E1E11-84A7-46EC-9B31-A814AAA004CD}"/>
    <cellStyle name="Style 99 3 3 10 3" xfId="32602" xr:uid="{415D99F3-47B8-4D2A-B7DA-A55781841B82}"/>
    <cellStyle name="Style 99 3 3 11" xfId="16908" xr:uid="{DB9C20B0-DD95-4201-9B7E-C7AE3CF7C81E}"/>
    <cellStyle name="Style 99 3 3 11 2" xfId="32604" xr:uid="{85EB895D-5430-4BF2-AA38-B9B629A25409}"/>
    <cellStyle name="Style 99 3 3 12" xfId="16909" xr:uid="{B532C470-B813-4877-A2C0-19DEB249800C}"/>
    <cellStyle name="Style 99 3 3 12 2" xfId="32605" xr:uid="{FED36E83-20E7-40B3-9FE4-325C2CFC3689}"/>
    <cellStyle name="Style 99 3 3 2" xfId="2560" xr:uid="{D6F7A8A3-6E0C-4895-A067-6BD2168AEDA1}"/>
    <cellStyle name="Style 99 3 3 2 10" xfId="16910" xr:uid="{24FCC251-ACD6-4354-9A91-EB7B2CED3FB8}"/>
    <cellStyle name="Style 99 3 3 2 10 2" xfId="16911" xr:uid="{3A33173A-0D71-4B05-A4CB-ACFF0713E390}"/>
    <cellStyle name="Style 99 3 3 2 10 2 2" xfId="32607" xr:uid="{FBAD7937-7804-4401-A772-FE8D1D75429F}"/>
    <cellStyle name="Style 99 3 3 2 10 3" xfId="32606" xr:uid="{E8F21695-A426-42C9-ABA9-3915A9110152}"/>
    <cellStyle name="Style 99 3 3 2 11" xfId="16912" xr:uid="{3A203444-36D9-4A5B-8834-BAF14869A319}"/>
    <cellStyle name="Style 99 3 3 2 11 2" xfId="32608" xr:uid="{8859DCA5-9960-44DE-83A9-42B34D73D39B}"/>
    <cellStyle name="Style 99 3 3 2 12" xfId="16913" xr:uid="{DC5B2184-CAB9-47D4-B1E6-FAD8AC138BA0}"/>
    <cellStyle name="Style 99 3 3 2 12 2" xfId="32609" xr:uid="{3EA45AE9-4965-4DA5-B976-AFA0070018DF}"/>
    <cellStyle name="Style 99 3 3 2 2" xfId="2561" xr:uid="{7F87BEBF-663F-4CFD-8B22-A2B6FD34E9F2}"/>
    <cellStyle name="Style 99 3 3 2 2 10" xfId="16914" xr:uid="{7AAC2BEE-389C-4FF6-83C1-2F1A2EE25F01}"/>
    <cellStyle name="Style 99 3 3 2 2 10 2" xfId="32610" xr:uid="{35572328-5D60-4D03-B534-E5E293E799A9}"/>
    <cellStyle name="Style 99 3 3 2 2 11" xfId="16915" xr:uid="{D3DCA818-5303-4266-9D3D-0892EE81C3B8}"/>
    <cellStyle name="Style 99 3 3 2 2 11 2" xfId="32611" xr:uid="{702A9E5C-59BC-451B-A422-4909A3A71F93}"/>
    <cellStyle name="Style 99 3 3 2 2 12" xfId="19323" xr:uid="{F41B7A64-B65E-40C7-8110-7FE8FE900537}"/>
    <cellStyle name="Style 99 3 3 2 2 2" xfId="2562" xr:uid="{4E7D0744-841E-484B-BBFC-AF7C3E60F30C}"/>
    <cellStyle name="Style 99 3 3 2 2 2 2" xfId="5513" xr:uid="{C4192E71-929B-4A96-BFA2-209D88398F89}"/>
    <cellStyle name="Style 99 3 3 2 2 2 2 2" xfId="16916" xr:uid="{601D8E3B-DB2F-40B4-8F16-2DF4AC3BF47D}"/>
    <cellStyle name="Style 99 3 3 2 2 2 2 2 2" xfId="16917" xr:uid="{69D45AA1-09D1-420C-AEFC-D20E1B9D31A0}"/>
    <cellStyle name="Style 99 3 3 2 2 2 2 2 2 2" xfId="32613" xr:uid="{E45B8A5C-B338-4115-9A88-E9335E1F391C}"/>
    <cellStyle name="Style 99 3 3 2 2 2 2 2 3" xfId="32612" xr:uid="{560EE973-3BA0-40B6-BA7B-5718BF6B398F}"/>
    <cellStyle name="Style 99 3 3 2 2 2 2 3" xfId="16918" xr:uid="{03383231-F700-43AB-913D-D81FA1E3EAF9}"/>
    <cellStyle name="Style 99 3 3 2 2 2 2 3 2" xfId="16919" xr:uid="{55B7B8B5-B0FF-4A11-AF99-AB1587784CDD}"/>
    <cellStyle name="Style 99 3 3 2 2 2 2 3 2 2" xfId="32615" xr:uid="{AC2A4FEE-3C1F-46DA-A465-E8AB5D5F8068}"/>
    <cellStyle name="Style 99 3 3 2 2 2 2 3 3" xfId="32614" xr:uid="{A44DA0FA-E9C4-4856-A555-9142F5408D3E}"/>
    <cellStyle name="Style 99 3 3 2 2 2 2 4" xfId="16920" xr:uid="{3D25519C-8F33-4261-837D-F14ABB2199AE}"/>
    <cellStyle name="Style 99 3 3 2 2 2 2 4 2" xfId="16921" xr:uid="{2F923B53-6780-442D-8833-0B03BE924164}"/>
    <cellStyle name="Style 99 3 3 2 2 2 2 4 2 2" xfId="32617" xr:uid="{3EB2E7BB-77B8-4032-B5FD-69BEC01E01BC}"/>
    <cellStyle name="Style 99 3 3 2 2 2 2 4 3" xfId="32616" xr:uid="{6B83ADED-6BD2-4B05-A24D-911002FCBDAA}"/>
    <cellStyle name="Style 99 3 3 2 2 2 2 5" xfId="16922" xr:uid="{86F76385-6DC2-41A2-AD54-BBC855DB0DFA}"/>
    <cellStyle name="Style 99 3 3 2 2 2 2 5 2" xfId="16923" xr:uid="{569B4236-015F-4AEF-8AA0-1F53ED777442}"/>
    <cellStyle name="Style 99 3 3 2 2 2 2 5 2 2" xfId="32619" xr:uid="{D38F0A4E-CE76-4351-816D-4819C735093A}"/>
    <cellStyle name="Style 99 3 3 2 2 2 2 5 3" xfId="32618" xr:uid="{6966D301-21F1-4E08-A6FD-BDDF967A8FAE}"/>
    <cellStyle name="Style 99 3 3 2 2 2 2 6" xfId="16924" xr:uid="{31B4579D-489D-49B4-BFF6-B81E1F30C0B3}"/>
    <cellStyle name="Style 99 3 3 2 2 2 2 6 2" xfId="32620" xr:uid="{C4D816DF-CE78-4253-9216-4FA6978C51F7}"/>
    <cellStyle name="Style 99 3 3 2 2 2 2 7" xfId="16925" xr:uid="{3D03620C-FD45-4FE3-9D85-80F0B22CF2C5}"/>
    <cellStyle name="Style 99 3 3 2 2 2 2 7 2" xfId="32621" xr:uid="{B03FFA9E-9AC7-4191-B511-C93568C59C32}"/>
    <cellStyle name="Style 99 3 3 2 2 2 2 8" xfId="20912" xr:uid="{EB8B7E48-666B-4677-9F50-27B63843F44C}"/>
    <cellStyle name="Style 99 3 3 2 2 2 3" xfId="16926" xr:uid="{0DB4E6CB-9C1E-4AE2-A93F-63D6EC36B8D2}"/>
    <cellStyle name="Style 99 3 3 2 2 2 3 2" xfId="16927" xr:uid="{FB7467FF-86ED-4DF0-AF72-16E7D9C1B1CA}"/>
    <cellStyle name="Style 99 3 3 2 2 2 3 2 2" xfId="32622" xr:uid="{2C542E66-9F44-474D-AA98-F64C6AAF36BE}"/>
    <cellStyle name="Style 99 3 3 2 2 2 3 3" xfId="16928" xr:uid="{A4878526-BBB2-4C38-A5A9-2A9DB656144A}"/>
    <cellStyle name="Style 99 3 3 2 2 2 3 3 2" xfId="32623" xr:uid="{7A646B2C-C84D-40C8-A94B-A1CCA121D1B6}"/>
    <cellStyle name="Style 99 3 3 2 2 2 4" xfId="16929" xr:uid="{5CF7E569-AA6D-4B4D-81E6-C1000A98B051}"/>
    <cellStyle name="Style 99 3 3 2 2 2 4 2" xfId="16930" xr:uid="{45ED1FDB-ADDB-4BBA-A2E0-8BB46A431F91}"/>
    <cellStyle name="Style 99 3 3 2 2 2 4 2 2" xfId="32625" xr:uid="{A43553BC-33DB-4AE0-8627-092CD4F205D9}"/>
    <cellStyle name="Style 99 3 3 2 2 2 4 3" xfId="32624" xr:uid="{4C2C41AD-5973-402E-8B29-FF8ABE746ECD}"/>
    <cellStyle name="Style 99 3 3 2 2 2 5" xfId="16931" xr:uid="{94307912-E52B-41A7-A319-30EC7C047D56}"/>
    <cellStyle name="Style 99 3 3 2 2 2 5 2" xfId="16932" xr:uid="{93478BF0-5077-4844-9D93-144C89A5A91C}"/>
    <cellStyle name="Style 99 3 3 2 2 2 5 2 2" xfId="32627" xr:uid="{D612ACDE-ACFF-46CC-96A8-2FB0CEB36DB2}"/>
    <cellStyle name="Style 99 3 3 2 2 2 5 3" xfId="32626" xr:uid="{3B993F3A-9BD5-4110-B67E-A9F77526E0F4}"/>
    <cellStyle name="Style 99 3 3 2 2 2 6" xfId="16933" xr:uid="{C9861B86-C599-4291-88A4-1E16CA0F871B}"/>
    <cellStyle name="Style 99 3 3 2 2 2 6 2" xfId="16934" xr:uid="{748A0492-9756-45C6-B3AF-9F0F158B6F8F}"/>
    <cellStyle name="Style 99 3 3 2 2 2 6 2 2" xfId="32629" xr:uid="{DCB6051A-6E54-4741-8235-09F69210DC19}"/>
    <cellStyle name="Style 99 3 3 2 2 2 6 3" xfId="32628" xr:uid="{707BE538-27F2-4F32-8762-2F9CDDF7957D}"/>
    <cellStyle name="Style 99 3 3 2 2 2 7" xfId="16935" xr:uid="{6C599EBC-0959-4B72-8F7B-E6559200B48B}"/>
    <cellStyle name="Style 99 3 3 2 2 2 7 2" xfId="16936" xr:uid="{36097A4C-ACDF-4FE9-ADD6-60F604FE2212}"/>
    <cellStyle name="Style 99 3 3 2 2 2 7 2 2" xfId="32631" xr:uid="{9923D52B-E2BA-4E70-81FC-B9AD80F46989}"/>
    <cellStyle name="Style 99 3 3 2 2 2 7 3" xfId="32630" xr:uid="{F63589F3-A6E8-4876-B56D-BA757C6A65A7}"/>
    <cellStyle name="Style 99 3 3 2 2 2 8" xfId="16937" xr:uid="{FC9AC7F2-76A3-4EA4-AEDF-326DBF2CA0E4}"/>
    <cellStyle name="Style 99 3 3 2 2 2 8 2" xfId="32632" xr:uid="{0F58DD60-8C90-4C22-81DF-A2C9376239A1}"/>
    <cellStyle name="Style 99 3 3 2 2 2 9" xfId="16938" xr:uid="{5BD2431F-807E-4D99-A88D-70517CD24D7C}"/>
    <cellStyle name="Style 99 3 3 2 2 2 9 2" xfId="32633" xr:uid="{772F96AD-E8AE-4194-8560-CE6E1D809AB1}"/>
    <cellStyle name="Style 99 3 3 2 2 3" xfId="5512" xr:uid="{52A3894C-E9AA-401C-A905-538BF01C8961}"/>
    <cellStyle name="Style 99 3 3 2 2 3 2" xfId="16939" xr:uid="{358FE229-1966-4E97-8573-F64BC40153A0}"/>
    <cellStyle name="Style 99 3 3 2 2 3 2 2" xfId="16940" xr:uid="{21E27107-024B-4278-A50B-DBEA89952B6A}"/>
    <cellStyle name="Style 99 3 3 2 2 3 2 2 2" xfId="32635" xr:uid="{868AF032-5A44-4E5D-AB6C-F744199CA92F}"/>
    <cellStyle name="Style 99 3 3 2 2 3 2 3" xfId="16941" xr:uid="{4E37AA6D-C762-4203-B7CA-564EFCBC3E73}"/>
    <cellStyle name="Style 99 3 3 2 2 3 2 3 2" xfId="32636" xr:uid="{4BE156A7-0A6F-4EAA-AAFA-0ADED3C14AD2}"/>
    <cellStyle name="Style 99 3 3 2 2 3 2 4" xfId="32634" xr:uid="{BC496C3B-37A4-47B9-8DE6-3D460B162873}"/>
    <cellStyle name="Style 99 3 3 2 2 3 3" xfId="16942" xr:uid="{76C8889B-59B4-4A22-9DB7-26CACE1DF45F}"/>
    <cellStyle name="Style 99 3 3 2 2 3 3 2" xfId="16943" xr:uid="{B9293992-13C1-4397-9C9A-E99B4B567E09}"/>
    <cellStyle name="Style 99 3 3 2 2 3 3 2 2" xfId="32638" xr:uid="{F068E521-61A2-4AC8-BCCB-23946954AC5B}"/>
    <cellStyle name="Style 99 3 3 2 2 3 3 3" xfId="32637" xr:uid="{3F60F8CD-A27A-4635-A525-10AB5E3C1C0D}"/>
    <cellStyle name="Style 99 3 3 2 2 3 4" xfId="16944" xr:uid="{AA823178-D8DE-47D9-8CA9-AC7ECEC305A1}"/>
    <cellStyle name="Style 99 3 3 2 2 3 4 2" xfId="16945" xr:uid="{2178DD1A-7DDE-427C-9CE0-84A714502CF4}"/>
    <cellStyle name="Style 99 3 3 2 2 3 4 2 2" xfId="32640" xr:uid="{27D9E79B-F68E-44CA-B081-7448D03CE9DF}"/>
    <cellStyle name="Style 99 3 3 2 2 3 4 3" xfId="32639" xr:uid="{2070B4C6-748B-423F-BC40-F699BE5580F6}"/>
    <cellStyle name="Style 99 3 3 2 2 3 5" xfId="16946" xr:uid="{2DA3539F-56C8-42CA-8617-772188C7950D}"/>
    <cellStyle name="Style 99 3 3 2 2 3 5 2" xfId="16947" xr:uid="{5D663088-EB1B-4D38-BDFC-6002AB9F3BA6}"/>
    <cellStyle name="Style 99 3 3 2 2 3 5 2 2" xfId="32642" xr:uid="{3B82AE14-A9C9-492F-A5AF-BD3EB9174874}"/>
    <cellStyle name="Style 99 3 3 2 2 3 5 3" xfId="32641" xr:uid="{247F3B10-3EFB-498E-8471-E26F41335A11}"/>
    <cellStyle name="Style 99 3 3 2 2 3 6" xfId="16948" xr:uid="{31E13FBB-2D25-47FC-B9CC-0E29551730D0}"/>
    <cellStyle name="Style 99 3 3 2 2 3 6 2" xfId="32643" xr:uid="{64E93331-D3C6-4873-9C19-F674C6CFC3E8}"/>
    <cellStyle name="Style 99 3 3 2 2 3 7" xfId="16949" xr:uid="{C03A10AD-A07F-459B-8804-2C2B82080240}"/>
    <cellStyle name="Style 99 3 3 2 2 3 7 2" xfId="32644" xr:uid="{CC04E8D0-980F-4B97-9C9D-5C620D3128D7}"/>
    <cellStyle name="Style 99 3 3 2 2 3 8" xfId="20911" xr:uid="{264E2E23-39E6-44F7-B470-ECD59B84D9CC}"/>
    <cellStyle name="Style 99 3 3 2 2 4" xfId="16950" xr:uid="{62E1D7E0-3B0D-484E-80D3-BED49BBF813B}"/>
    <cellStyle name="Style 99 3 3 2 2 4 2" xfId="16951" xr:uid="{9AF58C62-8BE4-47E4-8FC0-894B01789DA1}"/>
    <cellStyle name="Style 99 3 3 2 2 4 2 2" xfId="32645" xr:uid="{60EC6F4D-613B-48FB-8B03-CFAED8ACEBCA}"/>
    <cellStyle name="Style 99 3 3 2 2 4 3" xfId="16952" xr:uid="{D4183A43-8F96-44FB-B3F5-96AAF6C7E05E}"/>
    <cellStyle name="Style 99 3 3 2 2 4 3 2" xfId="32646" xr:uid="{AD81558E-5EC0-44D0-BC07-5F890272BCE3}"/>
    <cellStyle name="Style 99 3 3 2 2 4 4" xfId="16953" xr:uid="{9AC12525-0223-407E-8C68-BD27A7D0D4A1}"/>
    <cellStyle name="Style 99 3 3 2 2 4 4 2" xfId="32647" xr:uid="{3005F686-5727-4CF1-B93B-FEE91977C0DC}"/>
    <cellStyle name="Style 99 3 3 2 2 5" xfId="16954" xr:uid="{0928940D-B76D-4608-B1EC-B7EB99E75645}"/>
    <cellStyle name="Style 99 3 3 2 2 5 2" xfId="16955" xr:uid="{426D2576-CB81-4558-8F83-76E64D3AE206}"/>
    <cellStyle name="Style 99 3 3 2 2 5 2 2" xfId="32649" xr:uid="{0CA84EBF-6A0F-4831-8161-F4E6B03BF568}"/>
    <cellStyle name="Style 99 3 3 2 2 5 3" xfId="32648" xr:uid="{767DF2EA-66B2-4820-968A-8312DE6DE813}"/>
    <cellStyle name="Style 99 3 3 2 2 6" xfId="16956" xr:uid="{6F4B32EA-E71B-4169-8EFF-682F495D5295}"/>
    <cellStyle name="Style 99 3 3 2 2 6 2" xfId="16957" xr:uid="{12351179-F0CD-4A41-9590-027F9D83113C}"/>
    <cellStyle name="Style 99 3 3 2 2 6 2 2" xfId="32651" xr:uid="{01E83290-249A-423B-8833-5BBB0BD32B27}"/>
    <cellStyle name="Style 99 3 3 2 2 6 3" xfId="32650" xr:uid="{3CC5725D-6611-4E4E-A33A-9B2671B3A051}"/>
    <cellStyle name="Style 99 3 3 2 2 7" xfId="16958" xr:uid="{B0C849EF-5FBC-4F70-86F9-99E789AB33C8}"/>
    <cellStyle name="Style 99 3 3 2 2 7 2" xfId="16959" xr:uid="{22C0C6BF-C1D1-4B1F-BC23-6583F2D4239E}"/>
    <cellStyle name="Style 99 3 3 2 2 7 2 2" xfId="32653" xr:uid="{6443E4C4-313E-4714-B12B-0883791450F1}"/>
    <cellStyle name="Style 99 3 3 2 2 7 3" xfId="32652" xr:uid="{B002F529-A0F9-4864-A4B0-803C4D27D3A2}"/>
    <cellStyle name="Style 99 3 3 2 2 8" xfId="16960" xr:uid="{46B2723B-0289-4F10-8DC4-36D71987D91B}"/>
    <cellStyle name="Style 99 3 3 2 2 8 2" xfId="16961" xr:uid="{D4B46005-5464-4E68-8D67-36D403531D6F}"/>
    <cellStyle name="Style 99 3 3 2 2 8 2 2" xfId="32655" xr:uid="{10825B58-B436-40EB-AF15-EBFE18FFA03C}"/>
    <cellStyle name="Style 99 3 3 2 2 8 3" xfId="32654" xr:uid="{F269A99E-690F-407D-9583-B21ECBE6D6AB}"/>
    <cellStyle name="Style 99 3 3 2 2 9" xfId="16962" xr:uid="{BDDB812F-0960-4FED-8AFF-200AA9C0994D}"/>
    <cellStyle name="Style 99 3 3 2 2 9 2" xfId="16963" xr:uid="{13AF6976-D5EC-4090-BF28-58B14986BD1D}"/>
    <cellStyle name="Style 99 3 3 2 2 9 2 2" xfId="32657" xr:uid="{51BF73A4-8DDF-48F5-8FA9-34C98E20BC7E}"/>
    <cellStyle name="Style 99 3 3 2 2 9 3" xfId="32656" xr:uid="{6F292929-E414-45DB-BCE4-18057AAA5E47}"/>
    <cellStyle name="Style 99 3 3 2 3" xfId="2563" xr:uid="{7DC7829B-46BD-41D5-9223-471B3300E89C}"/>
    <cellStyle name="Style 99 3 3 2 3 2" xfId="5514" xr:uid="{FC8D8473-094E-41CB-99FC-64FFEE657479}"/>
    <cellStyle name="Style 99 3 3 2 3 2 2" xfId="16964" xr:uid="{25048A4C-1AA0-4D50-83A5-97ED55AD09C8}"/>
    <cellStyle name="Style 99 3 3 2 3 2 2 2" xfId="16965" xr:uid="{EEB33D59-4FB5-460C-AEE0-C6D9F0A9DCF9}"/>
    <cellStyle name="Style 99 3 3 2 3 2 2 2 2" xfId="32659" xr:uid="{4B19F18D-4A66-47EC-9044-161F1B4EDBF5}"/>
    <cellStyle name="Style 99 3 3 2 3 2 2 3" xfId="32658" xr:uid="{EC35E9D3-7C3B-44B9-8870-BFCD06BF3069}"/>
    <cellStyle name="Style 99 3 3 2 3 2 3" xfId="16966" xr:uid="{2F667565-049F-412C-BDEB-2BC9D7592D7E}"/>
    <cellStyle name="Style 99 3 3 2 3 2 3 2" xfId="16967" xr:uid="{CF6A65CB-A1E8-4C4D-9F51-40A75507C4E9}"/>
    <cellStyle name="Style 99 3 3 2 3 2 3 2 2" xfId="32661" xr:uid="{97EBA275-3D60-458F-865A-58804FD08AE6}"/>
    <cellStyle name="Style 99 3 3 2 3 2 3 3" xfId="32660" xr:uid="{17C3DA05-6C15-43C3-9DDD-A822E9EDA5F6}"/>
    <cellStyle name="Style 99 3 3 2 3 2 4" xfId="16968" xr:uid="{CCB955C5-F81B-48D0-BFBA-8DDD1079C96D}"/>
    <cellStyle name="Style 99 3 3 2 3 2 4 2" xfId="16969" xr:uid="{9DA2A37A-554C-4B39-9E78-7DAB5CF98AD3}"/>
    <cellStyle name="Style 99 3 3 2 3 2 4 2 2" xfId="32663" xr:uid="{55E0EA74-424F-4672-9C87-0C9F9B2BE11E}"/>
    <cellStyle name="Style 99 3 3 2 3 2 4 3" xfId="32662" xr:uid="{AB441D5A-BA14-4E47-8231-47D9C9AD1D94}"/>
    <cellStyle name="Style 99 3 3 2 3 2 5" xfId="16970" xr:uid="{12E4E30F-830B-4533-9302-0FBB82EED686}"/>
    <cellStyle name="Style 99 3 3 2 3 2 5 2" xfId="16971" xr:uid="{66E5C8B8-3926-4F13-B1B5-B804F8B9789E}"/>
    <cellStyle name="Style 99 3 3 2 3 2 5 2 2" xfId="32665" xr:uid="{B4ADA28A-0814-47C8-9BED-F4F18001A51E}"/>
    <cellStyle name="Style 99 3 3 2 3 2 5 3" xfId="32664" xr:uid="{09B8F9B2-1135-4291-B09B-47E6D6D9E1E7}"/>
    <cellStyle name="Style 99 3 3 2 3 2 6" xfId="16972" xr:uid="{91DD5EB4-7CD6-4E03-BE6E-79849A542039}"/>
    <cellStyle name="Style 99 3 3 2 3 2 6 2" xfId="32666" xr:uid="{0712BE21-3C77-4144-B9F0-699F7E61DCEB}"/>
    <cellStyle name="Style 99 3 3 2 3 2 7" xfId="16973" xr:uid="{FA213C3F-8DAB-409B-B26A-39ACAE163882}"/>
    <cellStyle name="Style 99 3 3 2 3 2 7 2" xfId="32667" xr:uid="{8C11757E-4F6C-47F6-A8CE-0BD7636CA57D}"/>
    <cellStyle name="Style 99 3 3 2 3 2 8" xfId="20913" xr:uid="{5029112C-3A4D-4DF3-9956-9CF09F83AE0F}"/>
    <cellStyle name="Style 99 3 3 2 3 3" xfId="16974" xr:uid="{918BBBBB-571E-48EB-984D-07013DADF99C}"/>
    <cellStyle name="Style 99 3 3 2 3 3 2" xfId="16975" xr:uid="{12A0F5CB-9F29-4EEC-A1E0-ECC0424D0949}"/>
    <cellStyle name="Style 99 3 3 2 3 3 2 2" xfId="32668" xr:uid="{5C916B02-9457-4C08-82D8-25690391C217}"/>
    <cellStyle name="Style 99 3 3 2 3 3 3" xfId="16976" xr:uid="{6E280F0A-EC13-467B-A706-3598236AB4F5}"/>
    <cellStyle name="Style 99 3 3 2 3 3 3 2" xfId="32669" xr:uid="{8A1023E6-78F2-4229-8248-6E88A440BBC9}"/>
    <cellStyle name="Style 99 3 3 2 3 4" xfId="16977" xr:uid="{018E5C73-A58A-4C87-8101-7A47AE356817}"/>
    <cellStyle name="Style 99 3 3 2 3 4 2" xfId="16978" xr:uid="{45A6D412-A612-4093-B6A9-58EFBD7C9150}"/>
    <cellStyle name="Style 99 3 3 2 3 4 2 2" xfId="32671" xr:uid="{C3AF6FD6-679D-4907-B0A0-CC80564AB09D}"/>
    <cellStyle name="Style 99 3 3 2 3 4 3" xfId="32670" xr:uid="{78BEA499-BB28-43D1-8D79-0833E6B249ED}"/>
    <cellStyle name="Style 99 3 3 2 3 5" xfId="16979" xr:uid="{471706B8-6D0A-4993-953A-6FD604658056}"/>
    <cellStyle name="Style 99 3 3 2 3 5 2" xfId="16980" xr:uid="{6415D8AC-00D4-432C-AF69-9A1A3B5FE049}"/>
    <cellStyle name="Style 99 3 3 2 3 5 2 2" xfId="32673" xr:uid="{BD12B5A9-A3F7-4053-90EF-5D6AFBD3BBC7}"/>
    <cellStyle name="Style 99 3 3 2 3 5 3" xfId="32672" xr:uid="{3827A44C-9804-44C5-A1BB-51BE085D3A90}"/>
    <cellStyle name="Style 99 3 3 2 3 6" xfId="16981" xr:uid="{8F0A33E2-C5EE-49FE-AF79-ECB52C73CD2B}"/>
    <cellStyle name="Style 99 3 3 2 3 6 2" xfId="16982" xr:uid="{1C1B1719-6614-4040-B37C-C239E57F4AAE}"/>
    <cellStyle name="Style 99 3 3 2 3 6 2 2" xfId="32675" xr:uid="{96DB5242-359D-41E9-8EEE-DBF6C65BC7AC}"/>
    <cellStyle name="Style 99 3 3 2 3 6 3" xfId="32674" xr:uid="{2B7E4CBA-898E-4BEB-864B-BDB7468F08EB}"/>
    <cellStyle name="Style 99 3 3 2 3 7" xfId="16983" xr:uid="{629453B0-C36F-42FB-9FF6-09BEE6BF95EC}"/>
    <cellStyle name="Style 99 3 3 2 3 7 2" xfId="16984" xr:uid="{8689891E-558D-47F0-B61B-70E9E94AF182}"/>
    <cellStyle name="Style 99 3 3 2 3 7 2 2" xfId="32677" xr:uid="{5321D534-F81D-43A5-9786-681E99AE8DD6}"/>
    <cellStyle name="Style 99 3 3 2 3 7 3" xfId="32676" xr:uid="{676E94E9-859C-487F-9346-A094D08BEBBE}"/>
    <cellStyle name="Style 99 3 3 2 3 8" xfId="16985" xr:uid="{1F624816-B5BF-4D77-9A44-D9E094941A7C}"/>
    <cellStyle name="Style 99 3 3 2 3 8 2" xfId="32678" xr:uid="{C3080E4E-B13E-49E0-B726-182149295247}"/>
    <cellStyle name="Style 99 3 3 2 3 9" xfId="16986" xr:uid="{F5AF6D7A-62A4-489A-AAE4-9102FBDC609A}"/>
    <cellStyle name="Style 99 3 3 2 3 9 2" xfId="32679" xr:uid="{B9CFED0E-EAFB-48DC-A9DC-C6005004531F}"/>
    <cellStyle name="Style 99 3 3 2 4" xfId="2814" xr:uid="{66B4BA68-85E3-426A-8210-1A3AEA14FC53}"/>
    <cellStyle name="Style 99 3 3 2 4 2" xfId="16987" xr:uid="{1F5C2271-CE09-4CC4-BFE5-B5B194AC3124}"/>
    <cellStyle name="Style 99 3 3 2 4 2 2" xfId="16988" xr:uid="{25D42991-6A16-449F-BD62-7A61175CBE5F}"/>
    <cellStyle name="Style 99 3 3 2 4 2 2 2" xfId="32680" xr:uid="{5A36DC4B-E51C-4922-AC0D-6E7BDBCC0A3A}"/>
    <cellStyle name="Style 99 3 3 2 4 2 3" xfId="16989" xr:uid="{B78D0A53-90DB-45C6-B70B-DC59B201EE06}"/>
    <cellStyle name="Style 99 3 3 2 4 2 3 2" xfId="32681" xr:uid="{CF0BB894-006B-46B3-9FDF-2D7FFDB092CE}"/>
    <cellStyle name="Style 99 3 3 2 4 2 4" xfId="16990" xr:uid="{6BBB8A77-3400-4FCF-9714-7C4BB8F738ED}"/>
    <cellStyle name="Style 99 3 3 2 4 2 4 2" xfId="32682" xr:uid="{BF3AAEFD-12F9-40CA-806D-9F4C61150396}"/>
    <cellStyle name="Style 99 3 3 2 4 3" xfId="16991" xr:uid="{8517513C-1107-4A6B-A531-29A7B4A427BF}"/>
    <cellStyle name="Style 99 3 3 2 4 3 2" xfId="16992" xr:uid="{08A14482-70CD-47D6-9CA0-98774DCCFD33}"/>
    <cellStyle name="Style 99 3 3 2 4 3 2 2" xfId="32684" xr:uid="{3BCF51A4-A56C-4B1B-B7D1-F6CAE28A1D67}"/>
    <cellStyle name="Style 99 3 3 2 4 3 3" xfId="32683" xr:uid="{0BF8E369-522B-45F1-9482-8BB78D226B59}"/>
    <cellStyle name="Style 99 3 3 2 4 4" xfId="16993" xr:uid="{F2184D62-9DB5-4F90-88B9-5E9766EB4A99}"/>
    <cellStyle name="Style 99 3 3 2 4 4 2" xfId="16994" xr:uid="{BB2E062C-2ED5-46F5-9C9A-19216D50B890}"/>
    <cellStyle name="Style 99 3 3 2 4 4 2 2" xfId="32686" xr:uid="{FC7D7EBF-D964-47CE-B340-049058BD6B5F}"/>
    <cellStyle name="Style 99 3 3 2 4 4 3" xfId="32685" xr:uid="{00452356-9916-4B2C-94FA-A4BEFD48D2C0}"/>
    <cellStyle name="Style 99 3 3 2 4 5" xfId="16995" xr:uid="{71B9088A-B9E7-465A-A4D2-FD09B330A74F}"/>
    <cellStyle name="Style 99 3 3 2 4 5 2" xfId="16996" xr:uid="{5597B04B-9A29-4731-8958-B27F881E476E}"/>
    <cellStyle name="Style 99 3 3 2 4 5 2 2" xfId="32688" xr:uid="{65F02345-A446-41B6-B877-DDE9FD4D8B00}"/>
    <cellStyle name="Style 99 3 3 2 4 5 3" xfId="32687" xr:uid="{68713131-BB0E-4A96-B6BB-131F9012DD05}"/>
    <cellStyle name="Style 99 3 3 2 4 6" xfId="16997" xr:uid="{4267F647-D7F5-45FC-A27C-139B5D9C0144}"/>
    <cellStyle name="Style 99 3 3 2 4 6 2" xfId="32689" xr:uid="{BEC23037-BFAA-4C74-A989-5DEB389EDF7A}"/>
    <cellStyle name="Style 99 3 3 2 4 7" xfId="16998" xr:uid="{46A7CFE1-77FD-42BE-971E-4228608AE1B7}"/>
    <cellStyle name="Style 99 3 3 2 4 7 2" xfId="32690" xr:uid="{2B7787A4-6000-453E-87D3-F4F2880DC47C}"/>
    <cellStyle name="Style 99 3 3 2 4 8" xfId="20910" xr:uid="{BB60CF59-D986-42A3-977D-C6216A9C20F0}"/>
    <cellStyle name="Style 99 3 3 2 5" xfId="5511" xr:uid="{B57D7650-6420-4141-A0E1-B8BEE2E5F6A9}"/>
    <cellStyle name="Style 99 3 3 2 5 2" xfId="16999" xr:uid="{51E1133F-975E-46A3-A8F6-B6E3D4E1B584}"/>
    <cellStyle name="Style 99 3 3 2 5 2 2" xfId="32691" xr:uid="{E11791C8-B518-4879-B93F-649AC0911D32}"/>
    <cellStyle name="Style 99 3 3 2 5 3" xfId="17000" xr:uid="{48D33BEB-9A5F-4FC7-9EF6-1ED4029E32CE}"/>
    <cellStyle name="Style 99 3 3 2 5 3 2" xfId="32692" xr:uid="{8423E322-1063-4FC8-B19D-3EBCC16F3C21}"/>
    <cellStyle name="Style 99 3 3 2 5 4" xfId="17001" xr:uid="{BEC4CD07-01DD-4572-99C7-366CC946D2DB}"/>
    <cellStyle name="Style 99 3 3 2 5 4 2" xfId="32693" xr:uid="{4E77EC5A-CDCC-4B58-9F84-80FB0FDD3D74}"/>
    <cellStyle name="Style 99 3 3 2 6" xfId="17002" xr:uid="{F28408D8-930D-4A47-8126-21A51A24B24C}"/>
    <cellStyle name="Style 99 3 3 2 6 2" xfId="17003" xr:uid="{2591E774-A37A-47CB-BDBC-06EA850296E3}"/>
    <cellStyle name="Style 99 3 3 2 6 2 2" xfId="32695" xr:uid="{AFD41F2B-51BD-43A0-992E-8CE5BF71AF03}"/>
    <cellStyle name="Style 99 3 3 2 6 3" xfId="32694" xr:uid="{BD8C100A-5391-4954-AE27-1A474AF4FD59}"/>
    <cellStyle name="Style 99 3 3 2 7" xfId="17004" xr:uid="{E9324680-BBB9-4213-861F-6F6321194D4E}"/>
    <cellStyle name="Style 99 3 3 2 7 2" xfId="17005" xr:uid="{D758D5AC-355E-4958-AE3F-02564EEA9EB4}"/>
    <cellStyle name="Style 99 3 3 2 7 2 2" xfId="32697" xr:uid="{05F03DE0-2B8C-48B1-866F-C6ADBF8B1D2D}"/>
    <cellStyle name="Style 99 3 3 2 7 3" xfId="32696" xr:uid="{368B734E-66E6-4DE5-833C-58F843A6CE0B}"/>
    <cellStyle name="Style 99 3 3 2 8" xfId="17006" xr:uid="{FCFBC3B0-3464-47AB-BD0D-1DEC3A322EC0}"/>
    <cellStyle name="Style 99 3 3 2 8 2" xfId="17007" xr:uid="{B9361F46-395B-40F6-8F71-E8BA7CE935F3}"/>
    <cellStyle name="Style 99 3 3 2 8 2 2" xfId="32699" xr:uid="{4898D8B3-CFAE-45C8-8B23-A7EE6AA069FC}"/>
    <cellStyle name="Style 99 3 3 2 8 3" xfId="32698" xr:uid="{C09B7E32-3519-4D7F-B1A2-7176D6204E83}"/>
    <cellStyle name="Style 99 3 3 2 9" xfId="17008" xr:uid="{83ADC305-B579-4FE9-B6BD-996C2ABADB96}"/>
    <cellStyle name="Style 99 3 3 2 9 2" xfId="17009" xr:uid="{E45F0E69-B718-4F3B-B23B-C8EF0BE3D88B}"/>
    <cellStyle name="Style 99 3 3 2 9 2 2" xfId="32701" xr:uid="{9B36C519-63CC-433C-A52C-4A2FBBCC8D24}"/>
    <cellStyle name="Style 99 3 3 2 9 3" xfId="32700" xr:uid="{24341EB3-5BF2-4960-A757-7EF955175398}"/>
    <cellStyle name="Style 99 3 3 3" xfId="2564" xr:uid="{80AD637F-2B89-4248-BCDC-7AEA162E06A6}"/>
    <cellStyle name="Style 99 3 3 3 10" xfId="19324" xr:uid="{32D1E007-3A84-4091-887F-58D152CD128B}"/>
    <cellStyle name="Style 99 3 3 3 2" xfId="5516" xr:uid="{B6DD1E03-7E6B-4B28-8FAD-C2AFF5D6C559}"/>
    <cellStyle name="Style 99 3 3 3 2 2" xfId="17010" xr:uid="{25F4E716-0278-4B1A-8B74-6930EDE66F4B}"/>
    <cellStyle name="Style 99 3 3 3 2 2 2" xfId="17011" xr:uid="{904D2DCF-F527-4CCD-952E-46C27A0502B1}"/>
    <cellStyle name="Style 99 3 3 3 2 2 2 2" xfId="32702" xr:uid="{24F61722-4075-40DC-AE4D-7A3CC4D87112}"/>
    <cellStyle name="Style 99 3 3 3 2 2 3" xfId="17012" xr:uid="{C82B3531-BD30-40CC-94D4-4B359D80F4EC}"/>
    <cellStyle name="Style 99 3 3 3 2 2 3 2" xfId="32703" xr:uid="{087D5E50-5F85-4098-8291-24A9C9EB3CFE}"/>
    <cellStyle name="Style 99 3 3 3 2 2 4" xfId="17013" xr:uid="{715B1305-4D19-4047-A4C7-B332A7582DB4}"/>
    <cellStyle name="Style 99 3 3 3 2 2 4 2" xfId="32704" xr:uid="{BF971542-5A7E-4904-9673-A9FF80853930}"/>
    <cellStyle name="Style 99 3 3 3 2 3" xfId="17014" xr:uid="{A452D059-80F9-4CED-BC0C-51523180DCD3}"/>
    <cellStyle name="Style 99 3 3 3 2 3 2" xfId="17015" xr:uid="{D124F55B-E4A3-4AA0-BA24-2B90F0E5DFE4}"/>
    <cellStyle name="Style 99 3 3 3 2 3 2 2" xfId="32706" xr:uid="{CABE5ABB-A3AE-4A77-8304-5B9FAD406025}"/>
    <cellStyle name="Style 99 3 3 3 2 3 3" xfId="32705" xr:uid="{C9103D7F-328A-4D08-B4AE-5039F289CEB6}"/>
    <cellStyle name="Style 99 3 3 3 2 4" xfId="17016" xr:uid="{28D9F597-3A59-40CF-A23D-150DB0784FE7}"/>
    <cellStyle name="Style 99 3 3 3 2 4 2" xfId="17017" xr:uid="{9528972E-8E1B-4798-A306-094E165F8065}"/>
    <cellStyle name="Style 99 3 3 3 2 4 2 2" xfId="32708" xr:uid="{36872F4B-5E57-45F2-900D-15C006148F31}"/>
    <cellStyle name="Style 99 3 3 3 2 4 3" xfId="32707" xr:uid="{4867DDAC-1272-4889-990E-E9B85535AEB7}"/>
    <cellStyle name="Style 99 3 3 3 2 5" xfId="17018" xr:uid="{8EE218E0-4B00-4C3A-83EE-5DA7BF2301A9}"/>
    <cellStyle name="Style 99 3 3 3 2 5 2" xfId="17019" xr:uid="{091E562A-3DF7-41D5-86FE-AA7677E30F06}"/>
    <cellStyle name="Style 99 3 3 3 2 5 2 2" xfId="32710" xr:uid="{89CC814E-AC63-4028-9FD8-32C56BD4D628}"/>
    <cellStyle name="Style 99 3 3 3 2 5 3" xfId="32709" xr:uid="{CD825CD5-7360-46B6-9986-C4CAA6FEAEC6}"/>
    <cellStyle name="Style 99 3 3 3 2 6" xfId="17020" xr:uid="{E08805FB-0911-442D-BBC5-23EDB8EFE70E}"/>
    <cellStyle name="Style 99 3 3 3 2 6 2" xfId="32711" xr:uid="{D9913A9E-F90D-473C-99D8-D0413E18BA5D}"/>
    <cellStyle name="Style 99 3 3 3 2 7" xfId="17021" xr:uid="{5CE74C1E-1E6A-4062-B235-662DC81CAD02}"/>
    <cellStyle name="Style 99 3 3 3 2 7 2" xfId="32712" xr:uid="{9FC76816-E16A-4109-AFA0-5F096CFEC13A}"/>
    <cellStyle name="Style 99 3 3 3 3" xfId="5515" xr:uid="{41246717-8CCA-4FF9-A193-8C4F4D7BB07E}"/>
    <cellStyle name="Style 99 3 3 3 3 2" xfId="17022" xr:uid="{164B820F-2653-4ECE-8E58-5655A83589E4}"/>
    <cellStyle name="Style 99 3 3 3 3 2 2" xfId="32713" xr:uid="{85B168CA-201C-451C-A3C5-CC7DFDDA2520}"/>
    <cellStyle name="Style 99 3 3 3 3 3" xfId="17023" xr:uid="{659F75EF-10F2-4F4F-962E-BA2461FF50A8}"/>
    <cellStyle name="Style 99 3 3 3 3 3 2" xfId="32714" xr:uid="{09602585-73AB-4B6C-862C-ECDA325AB9C1}"/>
    <cellStyle name="Style 99 3 3 3 3 4" xfId="17024" xr:uid="{3C5171AE-5B64-4903-BFEE-219DFA8BDF3B}"/>
    <cellStyle name="Style 99 3 3 3 3 4 2" xfId="32715" xr:uid="{7136C6C6-26CE-43CC-8560-181A7AE02346}"/>
    <cellStyle name="Style 99 3 3 3 4" xfId="17025" xr:uid="{E76114CF-6A4C-454E-8B0D-7F21664D086D}"/>
    <cellStyle name="Style 99 3 3 3 4 2" xfId="17026" xr:uid="{AA515952-1061-4F23-BEFD-6B05093724B1}"/>
    <cellStyle name="Style 99 3 3 3 4 2 2" xfId="32717" xr:uid="{F2B7CDD5-8389-4670-BAB7-607EF0BF2543}"/>
    <cellStyle name="Style 99 3 3 3 4 3" xfId="32716" xr:uid="{4E26D1CC-42E0-430B-B826-4B72BEA73B98}"/>
    <cellStyle name="Style 99 3 3 3 5" xfId="17027" xr:uid="{9523843F-8D1A-4324-8FC3-369A55A96534}"/>
    <cellStyle name="Style 99 3 3 3 5 2" xfId="17028" xr:uid="{B4C9842B-F5C9-4BFF-B299-0FF076717301}"/>
    <cellStyle name="Style 99 3 3 3 5 2 2" xfId="32719" xr:uid="{7AD5C152-48C8-45F8-A9FE-32F8417ED9E9}"/>
    <cellStyle name="Style 99 3 3 3 5 3" xfId="32718" xr:uid="{C84B08A4-AF75-4E57-9D30-C89C663D885F}"/>
    <cellStyle name="Style 99 3 3 3 6" xfId="17029" xr:uid="{FB9E37C1-1025-4074-8C9D-026F9D24142E}"/>
    <cellStyle name="Style 99 3 3 3 6 2" xfId="17030" xr:uid="{1106036B-D01F-4BF6-8EF4-17E47F4A602E}"/>
    <cellStyle name="Style 99 3 3 3 6 2 2" xfId="32721" xr:uid="{A55286FB-B282-4D9E-8A45-BFD9B490C3CC}"/>
    <cellStyle name="Style 99 3 3 3 6 3" xfId="32720" xr:uid="{B70C38C2-B32A-49F3-9638-F6C93B39B945}"/>
    <cellStyle name="Style 99 3 3 3 7" xfId="17031" xr:uid="{8EA785D2-D62E-446C-A812-9793DBAA2632}"/>
    <cellStyle name="Style 99 3 3 3 7 2" xfId="17032" xr:uid="{6A026A23-7C12-4A19-B144-58885C248290}"/>
    <cellStyle name="Style 99 3 3 3 7 2 2" xfId="32723" xr:uid="{C05DECDD-21DC-4F01-82AC-17CB5C2CD9AC}"/>
    <cellStyle name="Style 99 3 3 3 7 3" xfId="32722" xr:uid="{202398C1-67B6-4023-8D4A-75F1C955CA17}"/>
    <cellStyle name="Style 99 3 3 3 8" xfId="17033" xr:uid="{44CA4876-5734-402C-880D-DBBE7523B59D}"/>
    <cellStyle name="Style 99 3 3 3 8 2" xfId="32724" xr:uid="{BA7B1702-4C0E-4D5E-8D69-DF7816D2B43E}"/>
    <cellStyle name="Style 99 3 3 3 9" xfId="17034" xr:uid="{5B884F44-68F8-4CA1-A1E9-8D232D55D6D1}"/>
    <cellStyle name="Style 99 3 3 3 9 2" xfId="32725" xr:uid="{A03FE5C0-8286-47C9-A2AC-1FF9419F8036}"/>
    <cellStyle name="Style 99 3 3 4" xfId="2813" xr:uid="{E8882794-3330-4CD9-BF04-F259FB68E088}"/>
    <cellStyle name="Style 99 3 3 4 2" xfId="5517" xr:uid="{F0F52175-03BC-4CD5-B963-129660B4B622}"/>
    <cellStyle name="Style 99 3 3 4 2 2" xfId="17035" xr:uid="{4A697E96-2451-4BB9-9EC3-E6A4C6F3214A}"/>
    <cellStyle name="Style 99 3 3 4 2 2 2" xfId="32726" xr:uid="{EF87ABC1-2ABD-4D43-980D-92CC71858ABB}"/>
    <cellStyle name="Style 99 3 3 4 2 3" xfId="17036" xr:uid="{4E3D3F5B-6943-487D-875C-4C846DFFB415}"/>
    <cellStyle name="Style 99 3 3 4 2 3 2" xfId="32727" xr:uid="{9745B190-8B8C-4CA2-95E6-970AE4629E16}"/>
    <cellStyle name="Style 99 3 3 4 2 4" xfId="17037" xr:uid="{98F14E7F-4ED0-4CD3-B333-A15D45A59D4D}"/>
    <cellStyle name="Style 99 3 3 4 2 4 2" xfId="32728" xr:uid="{F80D1FD7-455B-45BC-8200-AD75E523749C}"/>
    <cellStyle name="Style 99 3 3 4 3" xfId="17038" xr:uid="{B45D3C1C-FC2E-4796-825B-38F8DDB42664}"/>
    <cellStyle name="Style 99 3 3 4 3 2" xfId="17039" xr:uid="{6C9F16B8-32E9-480C-9D0D-F7AAA097C241}"/>
    <cellStyle name="Style 99 3 3 4 3 2 2" xfId="32729" xr:uid="{E0B8E215-A1CD-420B-818E-37574D7457A2}"/>
    <cellStyle name="Style 99 3 3 4 3 3" xfId="17040" xr:uid="{431221F9-1ABB-4E25-BA3F-BD20C8FC4A6B}"/>
    <cellStyle name="Style 99 3 3 4 3 3 2" xfId="32730" xr:uid="{3DFE3B1A-3C44-4650-AA4A-EBF809CF221A}"/>
    <cellStyle name="Style 99 3 3 4 4" xfId="17041" xr:uid="{096949EF-3BBB-4E17-89F2-7AAD6C7EDDA5}"/>
    <cellStyle name="Style 99 3 3 4 4 2" xfId="17042" xr:uid="{FCA060DD-23A2-4E0F-B454-162FD9B06302}"/>
    <cellStyle name="Style 99 3 3 4 4 2 2" xfId="32732" xr:uid="{D6C1F6E0-9EAD-426A-AB95-3B8DC35BA0F9}"/>
    <cellStyle name="Style 99 3 3 4 4 3" xfId="32731" xr:uid="{46B3EB52-CE33-4EAC-A06D-85D8A1B18DB7}"/>
    <cellStyle name="Style 99 3 3 4 5" xfId="17043" xr:uid="{2569FF20-54C2-4676-98F0-8EF4CE1D01D9}"/>
    <cellStyle name="Style 99 3 3 4 5 2" xfId="17044" xr:uid="{5D7FBD6A-DA53-4D76-8D76-DF3038B12070}"/>
    <cellStyle name="Style 99 3 3 4 5 2 2" xfId="32734" xr:uid="{7ADA0554-29D5-439C-879B-A7B99C264838}"/>
    <cellStyle name="Style 99 3 3 4 5 3" xfId="32733" xr:uid="{480ECDCD-5602-481F-B2E8-45D747DB504D}"/>
    <cellStyle name="Style 99 3 3 4 6" xfId="17045" xr:uid="{744B6D46-4476-434E-9FA8-6EBCFF76CECD}"/>
    <cellStyle name="Style 99 3 3 4 6 2" xfId="32735" xr:uid="{ED937090-9AC0-4286-94A6-EAB5B1C29631}"/>
    <cellStyle name="Style 99 3 3 4 7" xfId="17046" xr:uid="{AB4CF3E9-7447-4502-8FE0-6854E32D6313}"/>
    <cellStyle name="Style 99 3 3 4 7 2" xfId="32736" xr:uid="{AC116A12-AA3E-4D34-A246-BE471E11B478}"/>
    <cellStyle name="Style 99 3 3 5" xfId="5518" xr:uid="{C33DA703-3DFF-46C3-BCB4-0F6B177401D3}"/>
    <cellStyle name="Style 99 3 3 5 2" xfId="17047" xr:uid="{1BF37A5C-59E9-40A3-BCC6-23AFBA837C3A}"/>
    <cellStyle name="Style 99 3 3 5 2 2" xfId="32737" xr:uid="{D09C37DE-B51F-487A-BD98-F3E15CBA56D2}"/>
    <cellStyle name="Style 99 3 3 5 3" xfId="17048" xr:uid="{7E0B3F27-E1C3-4710-A335-CD7D82F982A3}"/>
    <cellStyle name="Style 99 3 3 5 3 2" xfId="32738" xr:uid="{AD48076F-6512-4554-941D-6D0DC777E3E5}"/>
    <cellStyle name="Style 99 3 3 5 4" xfId="17049" xr:uid="{C46DEDCD-66F6-45D4-9604-CD7A2FB2AC69}"/>
    <cellStyle name="Style 99 3 3 5 4 2" xfId="32739" xr:uid="{7C4E118A-A966-49A5-89F5-C531E11B41AB}"/>
    <cellStyle name="Style 99 3 3 6" xfId="5510" xr:uid="{E513885F-494B-4F7B-941F-4386AC74D3DC}"/>
    <cellStyle name="Style 99 3 3 6 2" xfId="17050" xr:uid="{ABD96CA5-94FE-4C20-8D82-56F2F0A2D16D}"/>
    <cellStyle name="Style 99 3 3 6 2 2" xfId="32740" xr:uid="{8E157F78-2A9C-4271-9635-FD8B9FD8A86B}"/>
    <cellStyle name="Style 99 3 3 6 3" xfId="17051" xr:uid="{6895B3BB-E983-4E91-B16C-7E5121B68CB9}"/>
    <cellStyle name="Style 99 3 3 6 3 2" xfId="32741" xr:uid="{07084C7E-9F31-4170-80C5-C3BA1B5ABCBF}"/>
    <cellStyle name="Style 99 3 3 7" xfId="17052" xr:uid="{E45BD987-3C06-4231-9092-66FAD89BB9E3}"/>
    <cellStyle name="Style 99 3 3 7 2" xfId="17053" xr:uid="{0F1E4E41-0153-43B7-B1E2-583E3A71CD09}"/>
    <cellStyle name="Style 99 3 3 7 2 2" xfId="32743" xr:uid="{E19351EE-36EA-49DD-85A5-142B410D5AE2}"/>
    <cellStyle name="Style 99 3 3 7 3" xfId="32742" xr:uid="{D3D296E8-1A4D-4F32-8AA8-778F0E066205}"/>
    <cellStyle name="Style 99 3 3 8" xfId="17054" xr:uid="{064FFB1D-A240-4AFB-AD4C-A67241F3843B}"/>
    <cellStyle name="Style 99 3 3 8 2" xfId="17055" xr:uid="{F4422571-3723-4F7F-8C30-13D97EB0F93D}"/>
    <cellStyle name="Style 99 3 3 8 2 2" xfId="32745" xr:uid="{84E0A49D-C43B-4805-8AE1-DDC088BD3305}"/>
    <cellStyle name="Style 99 3 3 8 3" xfId="32744" xr:uid="{01FB234E-AED5-4875-B7F0-39BC02485E14}"/>
    <cellStyle name="Style 99 3 3 9" xfId="17056" xr:uid="{FEEF1CB5-CF3E-462D-8586-36FF51CE5E43}"/>
    <cellStyle name="Style 99 3 3 9 2" xfId="17057" xr:uid="{430932F5-06DC-42F1-A5A0-0E72BB68AE14}"/>
    <cellStyle name="Style 99 3 3 9 2 2" xfId="32747" xr:uid="{739BFA3D-88DB-48DF-B22F-EB883BF14635}"/>
    <cellStyle name="Style 99 3 3 9 3" xfId="32746" xr:uid="{45ED0B9D-798A-44D3-8E60-559C32A861E2}"/>
    <cellStyle name="Style 99 3 4" xfId="2565" xr:uid="{947E1737-98E5-4245-8092-67A047C3677A}"/>
    <cellStyle name="Style 99 3 4 10" xfId="17058" xr:uid="{147DFB35-9359-4FF8-B8C8-3DDD342466FE}"/>
    <cellStyle name="Style 99 3 4 10 2" xfId="32748" xr:uid="{34E96A6D-F555-48EC-B1D2-D44267E8A783}"/>
    <cellStyle name="Style 99 3 4 11" xfId="17059" xr:uid="{1EF66DD0-C1F6-4DCA-AF34-D7D463E6A99F}"/>
    <cellStyle name="Style 99 3 4 11 2" xfId="32749" xr:uid="{C69CE5A7-1796-4556-9199-BCF7DE83BA33}"/>
    <cellStyle name="Style 99 3 4 2" xfId="2566" xr:uid="{74A742F7-98C0-43DC-BFE7-2DA58DBC72CE}"/>
    <cellStyle name="Style 99 3 4 2 2" xfId="5520" xr:uid="{5F0906A3-5718-488C-ACBA-8B0C6777E028}"/>
    <cellStyle name="Style 99 3 4 2 2 2" xfId="17060" xr:uid="{E702381D-735E-43F4-A048-82A17C45DDF5}"/>
    <cellStyle name="Style 99 3 4 2 2 2 2" xfId="17061" xr:uid="{A251915A-5E33-4454-80A8-51B5A131CEFC}"/>
    <cellStyle name="Style 99 3 4 2 2 2 2 2" xfId="32751" xr:uid="{6EAA5DC6-FDD9-4EBD-BA73-B1CD2A268951}"/>
    <cellStyle name="Style 99 3 4 2 2 2 3" xfId="32750" xr:uid="{887BC704-BDEC-45A2-A2A1-804F2AFC8415}"/>
    <cellStyle name="Style 99 3 4 2 2 3" xfId="17062" xr:uid="{65589747-9BD4-4A95-B0E1-74B62F9E6BCD}"/>
    <cellStyle name="Style 99 3 4 2 2 3 2" xfId="17063" xr:uid="{159DB965-9BC1-4D54-A450-A26AE496CAEB}"/>
    <cellStyle name="Style 99 3 4 2 2 3 2 2" xfId="32753" xr:uid="{42B1CDDF-465D-48A5-82CC-11FBD2C6F917}"/>
    <cellStyle name="Style 99 3 4 2 2 3 3" xfId="32752" xr:uid="{6D291EC8-0E66-4439-A826-BBE3C83256A3}"/>
    <cellStyle name="Style 99 3 4 2 2 4" xfId="17064" xr:uid="{B9502D03-08FF-445E-8343-5779FB0D4D30}"/>
    <cellStyle name="Style 99 3 4 2 2 4 2" xfId="17065" xr:uid="{8E0DA81A-1C1B-4EEC-A7E7-B0A82591049D}"/>
    <cellStyle name="Style 99 3 4 2 2 4 2 2" xfId="32755" xr:uid="{8F2E65CC-3744-40F6-81AB-9A590EDDEAB7}"/>
    <cellStyle name="Style 99 3 4 2 2 4 3" xfId="32754" xr:uid="{EBBE8B0F-E12C-41DB-BC31-51A9A33AC8A5}"/>
    <cellStyle name="Style 99 3 4 2 2 5" xfId="17066" xr:uid="{C31FB565-14A8-4522-B245-D5776AC7B32A}"/>
    <cellStyle name="Style 99 3 4 2 2 5 2" xfId="17067" xr:uid="{1BB796DA-CEEA-4491-A169-D2E059CD782A}"/>
    <cellStyle name="Style 99 3 4 2 2 5 2 2" xfId="32757" xr:uid="{93FB3DD5-4C97-42F7-A608-E4D253C98E2D}"/>
    <cellStyle name="Style 99 3 4 2 2 5 3" xfId="32756" xr:uid="{3BAB08BD-8698-4DD7-ABB3-3D5165937BA7}"/>
    <cellStyle name="Style 99 3 4 2 2 6" xfId="17068" xr:uid="{07523BA9-91AC-4A5B-80B0-2EA607573BFD}"/>
    <cellStyle name="Style 99 3 4 2 2 6 2" xfId="32758" xr:uid="{D0402BD5-605B-4DB9-B250-7F9C9BB5AF43}"/>
    <cellStyle name="Style 99 3 4 2 2 7" xfId="17069" xr:uid="{3F4ACEC9-D9AE-489F-9AEE-4EAC82643F9C}"/>
    <cellStyle name="Style 99 3 4 2 2 7 2" xfId="32759" xr:uid="{AA5618E8-371B-4E48-B1EB-1754A4F0E188}"/>
    <cellStyle name="Style 99 3 4 2 2 8" xfId="20915" xr:uid="{27BBBC0B-4581-49C1-ADFA-BD38588916B8}"/>
    <cellStyle name="Style 99 3 4 2 3" xfId="17070" xr:uid="{96F14B4D-62DF-4883-9D43-685D51E0119E}"/>
    <cellStyle name="Style 99 3 4 2 3 2" xfId="17071" xr:uid="{CDD55CB5-9FF7-422E-8F31-FA1751F3CD25}"/>
    <cellStyle name="Style 99 3 4 2 3 2 2" xfId="32760" xr:uid="{F345DCA1-7F54-443F-8620-2CE2EE74C119}"/>
    <cellStyle name="Style 99 3 4 2 3 3" xfId="17072" xr:uid="{9F894F41-BA13-43F5-86B5-5068AFF02DCB}"/>
    <cellStyle name="Style 99 3 4 2 3 3 2" xfId="32761" xr:uid="{A60A1424-D1C8-41E0-85AD-18C31E083FA6}"/>
    <cellStyle name="Style 99 3 4 2 4" xfId="17073" xr:uid="{88897F47-899F-4045-AD94-B179854A48DD}"/>
    <cellStyle name="Style 99 3 4 2 4 2" xfId="17074" xr:uid="{57506D9E-D02A-4750-9032-FAC3203DCF31}"/>
    <cellStyle name="Style 99 3 4 2 4 2 2" xfId="32763" xr:uid="{5D50BD78-C072-4058-82EC-8D6F53FE163E}"/>
    <cellStyle name="Style 99 3 4 2 4 3" xfId="32762" xr:uid="{E30C9D7E-20D9-4028-957C-43CD3E0CE866}"/>
    <cellStyle name="Style 99 3 4 2 5" xfId="17075" xr:uid="{E25B9507-E07B-43BA-8766-2156EFF8444D}"/>
    <cellStyle name="Style 99 3 4 2 5 2" xfId="17076" xr:uid="{DFA118E2-4094-43A1-B8DE-AF7AF50D66F5}"/>
    <cellStyle name="Style 99 3 4 2 5 2 2" xfId="32765" xr:uid="{FB620E84-3BFE-4FB5-BEEC-5265DFC56296}"/>
    <cellStyle name="Style 99 3 4 2 5 3" xfId="32764" xr:uid="{9586BBE4-1FC8-4BDE-9DAD-E6B11EF4193C}"/>
    <cellStyle name="Style 99 3 4 2 6" xfId="17077" xr:uid="{4CD38B39-CCCE-4405-BC93-E1D541E8292A}"/>
    <cellStyle name="Style 99 3 4 2 6 2" xfId="17078" xr:uid="{5D55EDC7-9BF3-4A65-8CCB-AE719175E081}"/>
    <cellStyle name="Style 99 3 4 2 6 2 2" xfId="32767" xr:uid="{825C8632-7453-4018-A51F-38F2C7C5310F}"/>
    <cellStyle name="Style 99 3 4 2 6 3" xfId="32766" xr:uid="{A216B473-BAA9-499F-A80D-A394FD9BF957}"/>
    <cellStyle name="Style 99 3 4 2 7" xfId="17079" xr:uid="{B08EA8A0-9E47-4FA5-BF16-69D340E27FD9}"/>
    <cellStyle name="Style 99 3 4 2 7 2" xfId="17080" xr:uid="{A3F5D8CF-9189-4879-B0DF-2E58F50A1193}"/>
    <cellStyle name="Style 99 3 4 2 7 2 2" xfId="32769" xr:uid="{AD5E92B3-591E-4C6D-9CAD-DC252EFBD138}"/>
    <cellStyle name="Style 99 3 4 2 7 3" xfId="32768" xr:uid="{C82800C7-2913-4734-AD9D-5265A15894D4}"/>
    <cellStyle name="Style 99 3 4 2 8" xfId="17081" xr:uid="{627B2D46-9506-4741-B4ED-15460AABBA86}"/>
    <cellStyle name="Style 99 3 4 2 8 2" xfId="32770" xr:uid="{C38104A9-97D3-4B64-811A-B68346403DE4}"/>
    <cellStyle name="Style 99 3 4 2 9" xfId="17082" xr:uid="{060FE7CD-37CE-4D74-81E4-B6AEB5CE6D08}"/>
    <cellStyle name="Style 99 3 4 2 9 2" xfId="32771" xr:uid="{E5E6D86D-BAC5-4D1F-B90C-92271ACAA503}"/>
    <cellStyle name="Style 99 3 4 3" xfId="2815" xr:uid="{6553917A-FD5F-474A-9400-E0DB0474CEB0}"/>
    <cellStyle name="Style 99 3 4 3 2" xfId="17083" xr:uid="{4F873117-E1FA-4623-A329-97DDB073F155}"/>
    <cellStyle name="Style 99 3 4 3 2 2" xfId="17084" xr:uid="{291461B3-ABD2-437B-946F-5FFEA610E550}"/>
    <cellStyle name="Style 99 3 4 3 2 2 2" xfId="32772" xr:uid="{C8ABDB28-1E93-49A0-A33F-2AB9381CA2A6}"/>
    <cellStyle name="Style 99 3 4 3 2 3" xfId="17085" xr:uid="{03911E53-B080-4891-8DC0-5C88F3010C29}"/>
    <cellStyle name="Style 99 3 4 3 2 3 2" xfId="32773" xr:uid="{4FEF556B-A59C-4448-9BF6-588A351B01FD}"/>
    <cellStyle name="Style 99 3 4 3 2 4" xfId="17086" xr:uid="{742601C7-94AB-40B3-B630-BF416CC25B53}"/>
    <cellStyle name="Style 99 3 4 3 2 4 2" xfId="32774" xr:uid="{F912F660-BAC4-453A-BDEC-487BB9749829}"/>
    <cellStyle name="Style 99 3 4 3 3" xfId="17087" xr:uid="{AF9E39DF-BD47-41EA-8046-C900F45D5C52}"/>
    <cellStyle name="Style 99 3 4 3 3 2" xfId="17088" xr:uid="{08674E2C-426E-4F22-A5CB-AD4F13566B1C}"/>
    <cellStyle name="Style 99 3 4 3 3 2 2" xfId="32776" xr:uid="{BC68BCD4-C000-496B-9C96-CB7D32F155E3}"/>
    <cellStyle name="Style 99 3 4 3 3 3" xfId="32775" xr:uid="{3E887591-188D-44ED-A765-7AB9B8236876}"/>
    <cellStyle name="Style 99 3 4 3 4" xfId="17089" xr:uid="{943B511E-7048-47EA-B97E-31BD730CB11E}"/>
    <cellStyle name="Style 99 3 4 3 4 2" xfId="17090" xr:uid="{5FD3F755-DF4F-42D8-804B-528AB8E04D3C}"/>
    <cellStyle name="Style 99 3 4 3 4 2 2" xfId="32778" xr:uid="{698FAE2D-36B4-4C6B-AACF-71FDEBBAF9B4}"/>
    <cellStyle name="Style 99 3 4 3 4 3" xfId="32777" xr:uid="{5CA917FC-4A0E-4FF7-9B96-6403F10F8237}"/>
    <cellStyle name="Style 99 3 4 3 5" xfId="17091" xr:uid="{DD8ADB56-A0AC-45D2-9E38-E00B85E89BCF}"/>
    <cellStyle name="Style 99 3 4 3 5 2" xfId="17092" xr:uid="{EF979247-5219-4F3C-B7FA-9C11B2D7EDD5}"/>
    <cellStyle name="Style 99 3 4 3 5 2 2" xfId="32780" xr:uid="{45EBDC7F-B203-45FF-AF1E-0B1FBAD2A6FC}"/>
    <cellStyle name="Style 99 3 4 3 5 3" xfId="32779" xr:uid="{1E9AF170-0C75-4101-8CE0-880C47894FCC}"/>
    <cellStyle name="Style 99 3 4 3 6" xfId="17093" xr:uid="{0D1E2704-54D8-479D-9ED4-6C56B8C3029A}"/>
    <cellStyle name="Style 99 3 4 3 6 2" xfId="32781" xr:uid="{46EB608F-60AD-423F-A0EE-07F88CE2FBBA}"/>
    <cellStyle name="Style 99 3 4 3 7" xfId="17094" xr:uid="{045D3336-00AD-454E-84EE-22A52E48946B}"/>
    <cellStyle name="Style 99 3 4 3 7 2" xfId="32782" xr:uid="{A0952505-F9A7-4BAC-979E-4932FA9DA102}"/>
    <cellStyle name="Style 99 3 4 3 8" xfId="20914" xr:uid="{23B6B214-2C9F-4CF3-962C-BC8FB0C9AD09}"/>
    <cellStyle name="Style 99 3 4 4" xfId="5519" xr:uid="{C8FC963F-E2C0-4522-A144-0E760CD4ECCD}"/>
    <cellStyle name="Style 99 3 4 4 2" xfId="17095" xr:uid="{4E0A5DA1-3161-4C4C-B751-1461F86E4241}"/>
    <cellStyle name="Style 99 3 4 4 2 2" xfId="32783" xr:uid="{F242386F-A368-48CC-8772-4E5152C461B6}"/>
    <cellStyle name="Style 99 3 4 4 3" xfId="17096" xr:uid="{10C4C3B5-0B4B-45A8-8D19-730E2B7950C3}"/>
    <cellStyle name="Style 99 3 4 4 3 2" xfId="32784" xr:uid="{EA777D02-22B6-4AF1-B75A-2BFB593500F0}"/>
    <cellStyle name="Style 99 3 4 4 4" xfId="17097" xr:uid="{812A4650-63E7-4CF9-8BB7-62B08B6E3DB8}"/>
    <cellStyle name="Style 99 3 4 4 4 2" xfId="32785" xr:uid="{D39576B1-6DA0-4282-B88A-3F136013414F}"/>
    <cellStyle name="Style 99 3 4 5" xfId="17098" xr:uid="{E9278DFD-D2F9-4E55-A2A6-A9CD37B5F7EB}"/>
    <cellStyle name="Style 99 3 4 5 2" xfId="17099" xr:uid="{AF7FCF15-2DCA-4704-8F13-5E3BA90DDEE7}"/>
    <cellStyle name="Style 99 3 4 5 2 2" xfId="32787" xr:uid="{6CDBEBC2-A0B1-4338-99D2-8D2B1D3D19E6}"/>
    <cellStyle name="Style 99 3 4 5 3" xfId="32786" xr:uid="{F3B6CE00-555C-4CF9-82BB-09F1C35A4495}"/>
    <cellStyle name="Style 99 3 4 6" xfId="17100" xr:uid="{8388CDD9-9B12-4365-8709-329FD41A24DA}"/>
    <cellStyle name="Style 99 3 4 6 2" xfId="17101" xr:uid="{31017649-9B63-473C-B6D0-AA203B2E8DD1}"/>
    <cellStyle name="Style 99 3 4 6 2 2" xfId="32789" xr:uid="{D57BDC8C-5D95-4725-8289-517D20514337}"/>
    <cellStyle name="Style 99 3 4 6 3" xfId="32788" xr:uid="{1012411D-EAC7-44CE-BF2B-84DDC951CD9E}"/>
    <cellStyle name="Style 99 3 4 7" xfId="17102" xr:uid="{D27CD3A7-A078-4416-98D1-86128397E6AC}"/>
    <cellStyle name="Style 99 3 4 7 2" xfId="17103" xr:uid="{C0A2A761-E038-4718-8490-37D30E4BC3F4}"/>
    <cellStyle name="Style 99 3 4 7 2 2" xfId="32791" xr:uid="{7A9D96DE-DDD3-47F9-965F-C9AAF46354E6}"/>
    <cellStyle name="Style 99 3 4 7 3" xfId="32790" xr:uid="{8C744D3C-1BD5-435C-A8CB-E5BE034D3DF4}"/>
    <cellStyle name="Style 99 3 4 8" xfId="17104" xr:uid="{7FAC328F-50A1-4A83-A9E3-E3EF579B2A12}"/>
    <cellStyle name="Style 99 3 4 8 2" xfId="17105" xr:uid="{1E12D83B-FFDA-4AE8-9B17-076B54C9D736}"/>
    <cellStyle name="Style 99 3 4 8 2 2" xfId="32793" xr:uid="{4EE7A6EB-D136-4646-BFEE-25DA6979285D}"/>
    <cellStyle name="Style 99 3 4 8 3" xfId="32792" xr:uid="{55A0F4D3-DB1D-4E47-A38C-9EAEF331C4B5}"/>
    <cellStyle name="Style 99 3 4 9" xfId="17106" xr:uid="{6B3BFC8B-25BC-45DD-BFE7-C290174EAD09}"/>
    <cellStyle name="Style 99 3 4 9 2" xfId="17107" xr:uid="{3DAA9D6A-FB3F-4524-81B4-F6BCE0B18421}"/>
    <cellStyle name="Style 99 3 4 9 2 2" xfId="32795" xr:uid="{71EDD229-C07C-4617-8751-52CE3558D75C}"/>
    <cellStyle name="Style 99 3 4 9 3" xfId="32794" xr:uid="{76368967-3617-449E-B1B3-2B16822BA6E7}"/>
    <cellStyle name="Style 99 3 5" xfId="2567" xr:uid="{CFFE3397-A667-4A3E-84D0-C544D1EACD25}"/>
    <cellStyle name="Style 99 3 5 2" xfId="5521" xr:uid="{84BE6F12-2983-402B-910E-798B19A53892}"/>
    <cellStyle name="Style 99 3 5 2 2" xfId="17108" xr:uid="{B004D274-B370-4E13-BFF8-10AB2C63C912}"/>
    <cellStyle name="Style 99 3 5 2 2 2" xfId="17109" xr:uid="{D09DFC84-2419-4001-882B-9A601D284F04}"/>
    <cellStyle name="Style 99 3 5 2 2 2 2" xfId="32797" xr:uid="{3621E903-C9EA-4B82-873B-7265BF90F5F6}"/>
    <cellStyle name="Style 99 3 5 2 2 3" xfId="17110" xr:uid="{F5BE2559-7CDB-4C8B-9BE6-29347240D163}"/>
    <cellStyle name="Style 99 3 5 2 2 3 2" xfId="32798" xr:uid="{3E8C3AB3-E869-4049-9C81-6E0413EE4369}"/>
    <cellStyle name="Style 99 3 5 2 2 4" xfId="32796" xr:uid="{5A67C7C5-346E-4826-AD6C-7C45B6A5026D}"/>
    <cellStyle name="Style 99 3 5 2 3" xfId="17111" xr:uid="{1A458C47-41B3-472F-8509-7D94EC72CD78}"/>
    <cellStyle name="Style 99 3 5 2 3 2" xfId="17112" xr:uid="{685B44A9-7D88-47ED-8345-6775C7297306}"/>
    <cellStyle name="Style 99 3 5 2 3 2 2" xfId="32800" xr:uid="{1AAC8D35-51C9-4D50-A966-8483B585A396}"/>
    <cellStyle name="Style 99 3 5 2 3 3" xfId="32799" xr:uid="{E095328C-75F6-4F13-BE6F-A7459E36B6CD}"/>
    <cellStyle name="Style 99 3 5 2 4" xfId="17113" xr:uid="{026A9BB2-8CBD-4B4C-A48D-5037ACD5DA7A}"/>
    <cellStyle name="Style 99 3 5 2 4 2" xfId="17114" xr:uid="{F32D8280-6166-4C5E-AAFA-37FA677C45B6}"/>
    <cellStyle name="Style 99 3 5 2 4 2 2" xfId="32802" xr:uid="{627E8291-9B7B-46B6-A8B4-2F9A58DD90C9}"/>
    <cellStyle name="Style 99 3 5 2 4 3" xfId="32801" xr:uid="{347FAA28-65D3-4E1C-9D9D-E1DAE9788EF1}"/>
    <cellStyle name="Style 99 3 5 2 5" xfId="17115" xr:uid="{5680AADC-80D1-411C-AC3B-75EBAC2B58AB}"/>
    <cellStyle name="Style 99 3 5 2 5 2" xfId="17116" xr:uid="{72B38ADD-538C-4543-8617-DD67A4321034}"/>
    <cellStyle name="Style 99 3 5 2 5 2 2" xfId="32804" xr:uid="{311234A7-9857-4342-AA82-3103FEAE2E9C}"/>
    <cellStyle name="Style 99 3 5 2 5 3" xfId="32803" xr:uid="{829CBD7F-4FB4-4B2C-8021-17F5DE759A2A}"/>
    <cellStyle name="Style 99 3 5 2 6" xfId="17117" xr:uid="{A4F478C9-756F-4CCF-AE07-18E061641CD9}"/>
    <cellStyle name="Style 99 3 5 2 6 2" xfId="32805" xr:uid="{DA11EA4E-84D7-4F80-864F-D09D63789A65}"/>
    <cellStyle name="Style 99 3 5 2 7" xfId="17118" xr:uid="{1D770F25-E0DA-46DC-B47E-F8DAA23B34DD}"/>
    <cellStyle name="Style 99 3 5 2 7 2" xfId="32806" xr:uid="{73F3F3E2-873C-4E7A-AE70-2B1959C620D7}"/>
    <cellStyle name="Style 99 3 5 2 8" xfId="20916" xr:uid="{8AEE0F1A-510D-4D28-94BF-1D063E5212D9}"/>
    <cellStyle name="Style 99 3 5 3" xfId="17119" xr:uid="{387C0299-0878-4ABA-A85B-17D09571DC5A}"/>
    <cellStyle name="Style 99 3 5 3 2" xfId="17120" xr:uid="{C4DF6CBE-1F68-4624-827F-7DA968892CA0}"/>
    <cellStyle name="Style 99 3 5 3 2 2" xfId="32807" xr:uid="{DFE0EA85-26AF-43D8-8A25-A149DF41BA51}"/>
    <cellStyle name="Style 99 3 5 3 3" xfId="17121" xr:uid="{2038929D-6367-4306-B733-391B9139890A}"/>
    <cellStyle name="Style 99 3 5 3 3 2" xfId="32808" xr:uid="{9710EDA8-858A-497C-900D-6AAEF51C3E7B}"/>
    <cellStyle name="Style 99 3 5 3 4" xfId="17122" xr:uid="{095223CE-5BC7-405B-86F2-D9BCD891CA3D}"/>
    <cellStyle name="Style 99 3 5 3 4 2" xfId="32809" xr:uid="{34A05C5B-439F-4CB2-9AFA-05255D9AC6F7}"/>
    <cellStyle name="Style 99 3 5 4" xfId="17123" xr:uid="{04FF45F6-039C-4F20-B1F9-7045986C51DE}"/>
    <cellStyle name="Style 99 3 5 4 2" xfId="17124" xr:uid="{5B68982B-9377-4F7F-B4EE-566628F7C76F}"/>
    <cellStyle name="Style 99 3 5 4 2 2" xfId="32811" xr:uid="{427078B6-04A0-4175-A96B-E1012D3AABFE}"/>
    <cellStyle name="Style 99 3 5 4 3" xfId="32810" xr:uid="{CCBF36EA-A317-472C-99AE-0B71642E832E}"/>
    <cellStyle name="Style 99 3 5 5" xfId="17125" xr:uid="{9B3A7EA0-F8DD-4D39-9510-ACB870A608C8}"/>
    <cellStyle name="Style 99 3 5 5 2" xfId="17126" xr:uid="{4C2FE50A-D1ED-4B1E-B90C-1D0288C30F12}"/>
    <cellStyle name="Style 99 3 5 5 2 2" xfId="32813" xr:uid="{57A5A12F-5AEA-4456-B854-B5D069FFA429}"/>
    <cellStyle name="Style 99 3 5 5 3" xfId="32812" xr:uid="{01641A3B-C160-419C-8BA8-52F4F83239CD}"/>
    <cellStyle name="Style 99 3 5 6" xfId="17127" xr:uid="{7C0837EF-9FE2-434B-81B6-2E644CAE4FBC}"/>
    <cellStyle name="Style 99 3 5 6 2" xfId="17128" xr:uid="{DD0B5FE7-33AC-4505-8C43-56CA0EDC2D2C}"/>
    <cellStyle name="Style 99 3 5 6 2 2" xfId="32815" xr:uid="{A5D5920E-C776-494D-8562-F1150B9126E4}"/>
    <cellStyle name="Style 99 3 5 6 3" xfId="32814" xr:uid="{C57D54A5-F78E-4C61-A69D-27AA8A9BFEAF}"/>
    <cellStyle name="Style 99 3 5 7" xfId="17129" xr:uid="{1480E3AB-BEBE-417B-83F3-962786458ADC}"/>
    <cellStyle name="Style 99 3 5 7 2" xfId="17130" xr:uid="{006CB7CB-7052-46D1-B674-36EE0B208542}"/>
    <cellStyle name="Style 99 3 5 7 2 2" xfId="32817" xr:uid="{6C9650E8-026B-40B8-A036-E329BFD8553F}"/>
    <cellStyle name="Style 99 3 5 7 3" xfId="32816" xr:uid="{E9BC896C-17BC-4DBA-9396-9F30F9A34BF7}"/>
    <cellStyle name="Style 99 3 5 8" xfId="17131" xr:uid="{14A69392-D45B-4145-9DFB-C04CB8DE0B63}"/>
    <cellStyle name="Style 99 3 5 8 2" xfId="32818" xr:uid="{D3ABEEAD-B242-4C7F-856F-A45F081DAC70}"/>
    <cellStyle name="Style 99 3 5 9" xfId="17132" xr:uid="{705AB68A-459A-4C00-9FC5-259653DC868E}"/>
    <cellStyle name="Style 99 3 5 9 2" xfId="32819" xr:uid="{34C8CF03-EE70-40AB-AA89-2D0A024701D6}"/>
    <cellStyle name="Style 99 3 6" xfId="2810" xr:uid="{79074E0E-3BB0-4B05-B437-5DE1ED1DDAED}"/>
    <cellStyle name="Style 99 3 6 2" xfId="5522" xr:uid="{5F5F0C1B-3135-4EAB-A864-E842EFC98794}"/>
    <cellStyle name="Style 99 3 6 2 2" xfId="17133" xr:uid="{137E73CE-AC17-499B-9F9B-CA3302FE7EDD}"/>
    <cellStyle name="Style 99 3 6 2 2 2" xfId="32820" xr:uid="{98113A7C-1BAE-4FF6-81F1-C17F8607980B}"/>
    <cellStyle name="Style 99 3 6 2 3" xfId="17134" xr:uid="{351E81AF-C043-4DCC-B242-0CBC91B254FE}"/>
    <cellStyle name="Style 99 3 6 2 3 2" xfId="32821" xr:uid="{59F8F3B9-DAE5-4ADF-9815-2A31B60C7FB0}"/>
    <cellStyle name="Style 99 3 6 3" xfId="17135" xr:uid="{6C6B1465-D21C-4B66-995A-C9C96338A541}"/>
    <cellStyle name="Style 99 3 6 3 2" xfId="17136" xr:uid="{DE45920A-8A50-4CD0-990F-981DCA0825BE}"/>
    <cellStyle name="Style 99 3 6 3 2 2" xfId="32822" xr:uid="{75CC22E9-E658-4BB2-8778-3C56D887F8FF}"/>
    <cellStyle name="Style 99 3 6 3 3" xfId="17137" xr:uid="{42596EAA-0517-4840-AD9C-30735B97F6B3}"/>
    <cellStyle name="Style 99 3 6 3 3 2" xfId="32823" xr:uid="{98A4B845-8DE5-40CB-B990-105491E06375}"/>
    <cellStyle name="Style 99 3 6 4" xfId="17138" xr:uid="{3A7BFEC0-9109-4D67-8A3C-BC7A59590D58}"/>
    <cellStyle name="Style 99 3 6 4 2" xfId="17139" xr:uid="{CC6E2683-B261-49F9-8F14-7A6257CC055F}"/>
    <cellStyle name="Style 99 3 6 4 2 2" xfId="32825" xr:uid="{602CD407-AA04-44BD-BD96-3B661964DD7B}"/>
    <cellStyle name="Style 99 3 6 4 3" xfId="32824" xr:uid="{282A485C-BAB5-49BE-B502-7AE56EC10DC1}"/>
    <cellStyle name="Style 99 3 6 5" xfId="17140" xr:uid="{7A3AEE0D-AE88-4F52-86F8-3691AB9D07BB}"/>
    <cellStyle name="Style 99 3 6 5 2" xfId="17141" xr:uid="{75A322EC-6617-4115-B620-E419B3F14518}"/>
    <cellStyle name="Style 99 3 6 5 2 2" xfId="32827" xr:uid="{8572FCC1-59DA-424C-A73E-4E4946FC2FE9}"/>
    <cellStyle name="Style 99 3 6 5 3" xfId="32826" xr:uid="{7B6B0F28-8CAE-4E93-B66C-31748D1D4437}"/>
    <cellStyle name="Style 99 3 6 6" xfId="17142" xr:uid="{904EEB17-EEE7-40A8-80E0-17C4022FCBB8}"/>
    <cellStyle name="Style 99 3 6 6 2" xfId="32828" xr:uid="{B35A4E36-9E1F-4F23-A92F-9353845B5324}"/>
    <cellStyle name="Style 99 3 6 7" xfId="17143" xr:uid="{CEE384B6-AA5C-4CFB-BCE8-F9C4D8A53941}"/>
    <cellStyle name="Style 99 3 6 7 2" xfId="32829" xr:uid="{D7B512D6-7A0E-4C25-9FFA-FF9F5974683A}"/>
    <cellStyle name="Style 99 3 7" xfId="5501" xr:uid="{A2840B95-88F3-47F6-B60D-545954C76438}"/>
    <cellStyle name="Style 99 3 7 2" xfId="17144" xr:uid="{1BB99184-70E8-4FE7-8BE4-DDCAA05FD497}"/>
    <cellStyle name="Style 99 3 7 2 2" xfId="32830" xr:uid="{A367FA83-85C6-4606-ADF9-6FD05EC017AB}"/>
    <cellStyle name="Style 99 3 7 3" xfId="17145" xr:uid="{FF047E1A-36B2-4D45-9CF0-581BC7BEBA72}"/>
    <cellStyle name="Style 99 3 7 3 2" xfId="32831" xr:uid="{6B37DCFD-439E-4F26-8446-7C981487D231}"/>
    <cellStyle name="Style 99 3 8" xfId="17146" xr:uid="{0FF3B814-0AE0-4458-975E-9B920BD8C0B7}"/>
    <cellStyle name="Style 99 3 8 2" xfId="17147" xr:uid="{10395F84-682F-45FE-993F-0A4E632544D9}"/>
    <cellStyle name="Style 99 3 8 2 2" xfId="32833" xr:uid="{4D844513-E1D4-4C0D-87B3-AA215B702BC3}"/>
    <cellStyle name="Style 99 3 8 3" xfId="32832" xr:uid="{3D104B38-9925-410D-9DFD-BE0F02BF02DC}"/>
    <cellStyle name="Style 99 3 9" xfId="17148" xr:uid="{E61CE456-02CF-47AF-B375-E7F2D5C34280}"/>
    <cellStyle name="Style 99 3 9 2" xfId="17149" xr:uid="{64C94D25-83A9-41DE-81B3-0A1620069372}"/>
    <cellStyle name="Style 99 3 9 2 2" xfId="32835" xr:uid="{6CC83302-C7F9-4C9E-847E-860BD58344D8}"/>
    <cellStyle name="Style 99 3 9 3" xfId="32834" xr:uid="{529763C9-DC84-4CF0-A82C-DDFB07AB15C2}"/>
    <cellStyle name="Style 99 4" xfId="2568" xr:uid="{46FB1255-B3EB-46F1-BDFF-DF6B758C552E}"/>
    <cellStyle name="Style 99 4 10" xfId="17150" xr:uid="{6DFA015F-C05F-4E42-9A50-5C43C3940B2A}"/>
    <cellStyle name="Style 99 4 10 2" xfId="17151" xr:uid="{E7B25B5F-E05F-49A1-9A91-BD8FAE6E5B1A}"/>
    <cellStyle name="Style 99 4 10 2 2" xfId="32837" xr:uid="{62B3E8FE-32D1-41D7-B886-781F66649E25}"/>
    <cellStyle name="Style 99 4 10 3" xfId="32836" xr:uid="{C1E33FBB-D535-4E94-A299-F0DE222D425D}"/>
    <cellStyle name="Style 99 4 11" xfId="17152" xr:uid="{E96B73D0-F246-46D0-837D-900ED5B3ACCF}"/>
    <cellStyle name="Style 99 4 11 2" xfId="32838" xr:uid="{835680EA-CD2A-4D35-8A65-93D2FB43AF96}"/>
    <cellStyle name="Style 99 4 12" xfId="17153" xr:uid="{421D3288-63AA-48CD-92AD-4563AEF4F683}"/>
    <cellStyle name="Style 99 4 12 2" xfId="32839" xr:uid="{45872832-0EEE-415D-85E3-3E8FC0ABB56B}"/>
    <cellStyle name="Style 99 4 2" xfId="2569" xr:uid="{F9F31155-F747-4513-8136-7A1D6A4A4131}"/>
    <cellStyle name="Style 99 4 2 10" xfId="17154" xr:uid="{92A2E4BC-C5C2-45C2-8D5D-69689E4537A0}"/>
    <cellStyle name="Style 99 4 2 10 2" xfId="17155" xr:uid="{6BF6CCC0-2281-4613-9E65-2264E688BFF5}"/>
    <cellStyle name="Style 99 4 2 10 2 2" xfId="32841" xr:uid="{40919164-D450-4C9E-A6FB-9D2093D291E4}"/>
    <cellStyle name="Style 99 4 2 10 3" xfId="32840" xr:uid="{BD8E905D-6571-42B1-9456-E1CBBD4BEED9}"/>
    <cellStyle name="Style 99 4 2 11" xfId="17156" xr:uid="{04CE158D-367E-4A9A-A2A9-947768B99A38}"/>
    <cellStyle name="Style 99 4 2 11 2" xfId="32842" xr:uid="{F8FB1BDF-88C3-4E8D-B407-85DF253F5629}"/>
    <cellStyle name="Style 99 4 2 12" xfId="17157" xr:uid="{5770FA6B-105D-4F0B-8EE1-8A261090465A}"/>
    <cellStyle name="Style 99 4 2 12 2" xfId="32843" xr:uid="{A92146B3-A143-4453-B332-231BB2E3E4E5}"/>
    <cellStyle name="Style 99 4 2 2" xfId="2570" xr:uid="{280DA467-921B-4A5E-A235-25D700E844B8}"/>
    <cellStyle name="Style 99 4 2 2 10" xfId="17158" xr:uid="{481CFBC5-A041-4BAD-81FC-264660C034F3}"/>
    <cellStyle name="Style 99 4 2 2 10 2" xfId="32844" xr:uid="{18DC186F-DB4B-471E-BE9D-BA5AF5EF8884}"/>
    <cellStyle name="Style 99 4 2 2 11" xfId="17159" xr:uid="{A07B3D23-43BF-42EF-9D47-47F872058B14}"/>
    <cellStyle name="Style 99 4 2 2 11 2" xfId="32845" xr:uid="{B170EFB5-64C2-440C-9152-5045C26BE478}"/>
    <cellStyle name="Style 99 4 2 2 12" xfId="19325" xr:uid="{AD5F113B-8B0C-43ED-AF88-EE70600EB3C6}"/>
    <cellStyle name="Style 99 4 2 2 2" xfId="2571" xr:uid="{10505EE4-84F6-4D96-B674-E87520B6CC9A}"/>
    <cellStyle name="Style 99 4 2 2 2 2" xfId="5526" xr:uid="{8A833BC2-3B46-4F68-9E9B-14178EBA7789}"/>
    <cellStyle name="Style 99 4 2 2 2 2 2" xfId="17160" xr:uid="{DFF46845-97F7-4C8A-A5E2-35C09A8A2C0D}"/>
    <cellStyle name="Style 99 4 2 2 2 2 2 2" xfId="17161" xr:uid="{94B475F3-8FE1-4722-8C60-9813B7FDDC2B}"/>
    <cellStyle name="Style 99 4 2 2 2 2 2 2 2" xfId="32847" xr:uid="{E4727D70-D371-48AF-882D-326377074421}"/>
    <cellStyle name="Style 99 4 2 2 2 2 2 3" xfId="32846" xr:uid="{3152CB74-2772-484A-8FCB-5933B3944147}"/>
    <cellStyle name="Style 99 4 2 2 2 2 3" xfId="17162" xr:uid="{5AB6AA49-C92E-4B0F-A6E2-AA1F2A19C717}"/>
    <cellStyle name="Style 99 4 2 2 2 2 3 2" xfId="17163" xr:uid="{8E1B8B69-C59D-48F9-A83B-31AA557B74C7}"/>
    <cellStyle name="Style 99 4 2 2 2 2 3 2 2" xfId="32849" xr:uid="{B3ED611A-1F85-4BAB-B32A-392970C8BF0B}"/>
    <cellStyle name="Style 99 4 2 2 2 2 3 3" xfId="32848" xr:uid="{FFACA352-282F-4EFF-80AE-F0881F331A63}"/>
    <cellStyle name="Style 99 4 2 2 2 2 4" xfId="17164" xr:uid="{8336F6C4-A46A-48D2-A1FD-5CD3E347D476}"/>
    <cellStyle name="Style 99 4 2 2 2 2 4 2" xfId="17165" xr:uid="{52954D59-48E4-4E00-B7F9-D2625855D479}"/>
    <cellStyle name="Style 99 4 2 2 2 2 4 2 2" xfId="32851" xr:uid="{509E7329-3230-4B09-AE36-2E0FD52F5E9A}"/>
    <cellStyle name="Style 99 4 2 2 2 2 4 3" xfId="32850" xr:uid="{CD003959-FF27-40EE-88C6-4C543754ADF8}"/>
    <cellStyle name="Style 99 4 2 2 2 2 5" xfId="17166" xr:uid="{C3BF2C9B-E742-4028-A851-D0EF8CCBC3AB}"/>
    <cellStyle name="Style 99 4 2 2 2 2 5 2" xfId="17167" xr:uid="{86FBF3E3-5E85-40A8-AC31-27BEB9EAE4AF}"/>
    <cellStyle name="Style 99 4 2 2 2 2 5 2 2" xfId="32853" xr:uid="{1947A92A-1E64-4790-906F-49D2B16A20C2}"/>
    <cellStyle name="Style 99 4 2 2 2 2 5 3" xfId="32852" xr:uid="{2C24838F-A1D7-4293-8C8F-A1D006A2D478}"/>
    <cellStyle name="Style 99 4 2 2 2 2 6" xfId="17168" xr:uid="{8602C920-9B07-4F8C-995E-6AAFEAA74F84}"/>
    <cellStyle name="Style 99 4 2 2 2 2 6 2" xfId="32854" xr:uid="{93E3E5FB-FD05-46CE-9118-023722F218B7}"/>
    <cellStyle name="Style 99 4 2 2 2 2 7" xfId="17169" xr:uid="{C5CDD1FD-F550-4DA2-9A7F-351B0BEBA708}"/>
    <cellStyle name="Style 99 4 2 2 2 2 7 2" xfId="32855" xr:uid="{0992D578-8BB1-4B73-9674-45B1B63E30CB}"/>
    <cellStyle name="Style 99 4 2 2 2 2 8" xfId="20919" xr:uid="{B7308846-1B6D-49D0-B73D-2169537A53BD}"/>
    <cellStyle name="Style 99 4 2 2 2 3" xfId="17170" xr:uid="{FCE930D3-7B2F-458C-96BD-C45A30E68B01}"/>
    <cellStyle name="Style 99 4 2 2 2 3 2" xfId="17171" xr:uid="{3084A7BA-99B2-4CF9-9B6F-2D1148A53EAC}"/>
    <cellStyle name="Style 99 4 2 2 2 3 2 2" xfId="32856" xr:uid="{8022F3DD-9C18-459C-A11A-D33BD92A9807}"/>
    <cellStyle name="Style 99 4 2 2 2 3 3" xfId="17172" xr:uid="{CB1533E8-AB06-49C3-9FEE-8025D1C5D54F}"/>
    <cellStyle name="Style 99 4 2 2 2 3 3 2" xfId="32857" xr:uid="{25BF77E7-0039-49FB-BDD5-AC1E3832C3DF}"/>
    <cellStyle name="Style 99 4 2 2 2 4" xfId="17173" xr:uid="{9A237E8C-6F19-43C9-825F-93326ED36D82}"/>
    <cellStyle name="Style 99 4 2 2 2 4 2" xfId="17174" xr:uid="{D4445907-F91C-4B67-BF44-8B5DB4EE45D2}"/>
    <cellStyle name="Style 99 4 2 2 2 4 2 2" xfId="32859" xr:uid="{B92E3046-C513-45F6-A9F6-D97663412149}"/>
    <cellStyle name="Style 99 4 2 2 2 4 3" xfId="32858" xr:uid="{8CD892C3-D624-42CF-AB1E-3211954B62C9}"/>
    <cellStyle name="Style 99 4 2 2 2 5" xfId="17175" xr:uid="{E2E19FCF-3D67-47D2-9291-26E8464A0CA0}"/>
    <cellStyle name="Style 99 4 2 2 2 5 2" xfId="17176" xr:uid="{6CD52925-9ADB-4499-85BA-5263D55016E9}"/>
    <cellStyle name="Style 99 4 2 2 2 5 2 2" xfId="32861" xr:uid="{BCDBE19D-E2CE-4A39-B565-57C702B8B344}"/>
    <cellStyle name="Style 99 4 2 2 2 5 3" xfId="32860" xr:uid="{6ED1D663-34FF-4DD5-964C-744CFC835EAD}"/>
    <cellStyle name="Style 99 4 2 2 2 6" xfId="17177" xr:uid="{09B14F16-C38D-44C7-A3AD-356E286A531B}"/>
    <cellStyle name="Style 99 4 2 2 2 6 2" xfId="17178" xr:uid="{BA251C2F-5B07-445E-9C06-724DF568530A}"/>
    <cellStyle name="Style 99 4 2 2 2 6 2 2" xfId="32863" xr:uid="{4249F9BD-9499-4667-9A89-2B5992BEC5F9}"/>
    <cellStyle name="Style 99 4 2 2 2 6 3" xfId="32862" xr:uid="{A550E535-3890-4BE2-8BE1-ED9E47745665}"/>
    <cellStyle name="Style 99 4 2 2 2 7" xfId="17179" xr:uid="{099A42AF-C207-46BE-8EF3-2CF6740495A7}"/>
    <cellStyle name="Style 99 4 2 2 2 7 2" xfId="17180" xr:uid="{619E4F2D-A8D4-4D72-B29A-AC5F3BDCB0A8}"/>
    <cellStyle name="Style 99 4 2 2 2 7 2 2" xfId="32865" xr:uid="{13DE117C-7D8B-49D7-8D62-0683C46F9953}"/>
    <cellStyle name="Style 99 4 2 2 2 7 3" xfId="32864" xr:uid="{79CB8295-7ABA-4F7E-891F-93AEBE92A3DB}"/>
    <cellStyle name="Style 99 4 2 2 2 8" xfId="17181" xr:uid="{81CE3137-249D-4712-94FF-7179D234C1EC}"/>
    <cellStyle name="Style 99 4 2 2 2 8 2" xfId="32866" xr:uid="{DD707446-66D3-4B21-A1EA-A9354319E7F9}"/>
    <cellStyle name="Style 99 4 2 2 2 9" xfId="17182" xr:uid="{F638F4E2-043E-4137-83D4-B62CBB795A40}"/>
    <cellStyle name="Style 99 4 2 2 2 9 2" xfId="32867" xr:uid="{92A5D46E-79D6-4CF5-AA4F-CD22DC6BA102}"/>
    <cellStyle name="Style 99 4 2 2 3" xfId="5525" xr:uid="{2203F3AC-A105-4691-925D-ED1878F84392}"/>
    <cellStyle name="Style 99 4 2 2 3 2" xfId="17183" xr:uid="{CEB095D3-6940-4FEE-9A95-026E27B04083}"/>
    <cellStyle name="Style 99 4 2 2 3 2 2" xfId="17184" xr:uid="{051B1276-539B-4A43-8E1C-D33F01FA3A77}"/>
    <cellStyle name="Style 99 4 2 2 3 2 2 2" xfId="32869" xr:uid="{81604031-AD34-479F-A927-A6F4521660AB}"/>
    <cellStyle name="Style 99 4 2 2 3 2 3" xfId="17185" xr:uid="{F3A88C25-9EC9-4107-9214-85B1E048AB73}"/>
    <cellStyle name="Style 99 4 2 2 3 2 3 2" xfId="32870" xr:uid="{411DF96F-6500-477D-AF68-81218EEFD148}"/>
    <cellStyle name="Style 99 4 2 2 3 2 4" xfId="32868" xr:uid="{636D59E7-9B46-47C3-BDB0-041EA2219EA5}"/>
    <cellStyle name="Style 99 4 2 2 3 3" xfId="17186" xr:uid="{40B5D20B-16D8-4D4F-BB30-1D4D3F6E06EA}"/>
    <cellStyle name="Style 99 4 2 2 3 3 2" xfId="17187" xr:uid="{5CA09F5D-2B99-499C-BC26-CE967C20FCFE}"/>
    <cellStyle name="Style 99 4 2 2 3 3 2 2" xfId="32872" xr:uid="{89139614-638E-4F17-AA0A-DAF8E4B12A2B}"/>
    <cellStyle name="Style 99 4 2 2 3 3 3" xfId="32871" xr:uid="{5C2CDA43-41A0-4B9F-A972-719A66DA93DF}"/>
    <cellStyle name="Style 99 4 2 2 3 4" xfId="17188" xr:uid="{E4BBFD01-E163-489B-88AC-104245A0E0A6}"/>
    <cellStyle name="Style 99 4 2 2 3 4 2" xfId="17189" xr:uid="{D44157F8-7F72-46E1-923C-DB3ED817C791}"/>
    <cellStyle name="Style 99 4 2 2 3 4 2 2" xfId="32874" xr:uid="{F0F31996-8BCB-41BB-9BE4-6528AFD2EA27}"/>
    <cellStyle name="Style 99 4 2 2 3 4 3" xfId="32873" xr:uid="{08B5E777-7A00-4842-BEA8-25B78C7965CC}"/>
    <cellStyle name="Style 99 4 2 2 3 5" xfId="17190" xr:uid="{0E629444-3C35-4138-B500-5D8877192AC7}"/>
    <cellStyle name="Style 99 4 2 2 3 5 2" xfId="17191" xr:uid="{1025E9A8-86C0-44EF-A13D-E4027C0BC3B3}"/>
    <cellStyle name="Style 99 4 2 2 3 5 2 2" xfId="32876" xr:uid="{EC79827C-A37C-4CAA-9D5F-6762F3F1FF52}"/>
    <cellStyle name="Style 99 4 2 2 3 5 3" xfId="32875" xr:uid="{B75D9C4D-852D-42D5-B809-FBE63D45A920}"/>
    <cellStyle name="Style 99 4 2 2 3 6" xfId="17192" xr:uid="{05F3B4AB-BE53-40DB-A98F-F97CE3A18D3C}"/>
    <cellStyle name="Style 99 4 2 2 3 6 2" xfId="32877" xr:uid="{62975D6D-702F-48B2-B7B1-028CA9171566}"/>
    <cellStyle name="Style 99 4 2 2 3 7" xfId="17193" xr:uid="{C3955682-315A-40A7-BBBC-C83FA9B93D9B}"/>
    <cellStyle name="Style 99 4 2 2 3 7 2" xfId="32878" xr:uid="{90347699-0675-41EF-BE44-5FDDB6ED92D1}"/>
    <cellStyle name="Style 99 4 2 2 3 8" xfId="20918" xr:uid="{5F40579E-63E5-46D9-9121-DB1A1992E0EF}"/>
    <cellStyle name="Style 99 4 2 2 4" xfId="17194" xr:uid="{A8339C12-4873-4BE8-A548-E8124CA4B567}"/>
    <cellStyle name="Style 99 4 2 2 4 2" xfId="17195" xr:uid="{4F4F421F-5ABB-431B-B680-57960BA66D19}"/>
    <cellStyle name="Style 99 4 2 2 4 2 2" xfId="32879" xr:uid="{301D9DA5-A863-4F4B-9BEF-9BB313526924}"/>
    <cellStyle name="Style 99 4 2 2 4 3" xfId="17196" xr:uid="{0D14088A-50A8-4B80-BF72-63918168CFE7}"/>
    <cellStyle name="Style 99 4 2 2 4 3 2" xfId="32880" xr:uid="{BB63E1E0-695E-4E1B-AC99-71C6180DBD78}"/>
    <cellStyle name="Style 99 4 2 2 4 4" xfId="17197" xr:uid="{8CD4C55C-303D-4FA7-8BA0-CC93DC7CCAC0}"/>
    <cellStyle name="Style 99 4 2 2 4 4 2" xfId="32881" xr:uid="{869A7362-5026-4BC3-8D46-891C45A610D2}"/>
    <cellStyle name="Style 99 4 2 2 5" xfId="17198" xr:uid="{EA74865E-3CB1-4910-8B4F-F10AD8D1D0EB}"/>
    <cellStyle name="Style 99 4 2 2 5 2" xfId="17199" xr:uid="{5F89247C-AD89-44D7-BD41-E44FFBCB5A8C}"/>
    <cellStyle name="Style 99 4 2 2 5 2 2" xfId="32883" xr:uid="{F931CF5D-A5AA-43B6-A5C3-3BCA2CD74CF7}"/>
    <cellStyle name="Style 99 4 2 2 5 3" xfId="32882" xr:uid="{ED272D2F-591D-41FF-BBDC-93FD721A1279}"/>
    <cellStyle name="Style 99 4 2 2 6" xfId="17200" xr:uid="{A93599C2-C321-4D2C-AFC2-9D2AB80231FC}"/>
    <cellStyle name="Style 99 4 2 2 6 2" xfId="17201" xr:uid="{73509F8A-2C35-4F8C-9FF5-5CADAC035181}"/>
    <cellStyle name="Style 99 4 2 2 6 2 2" xfId="32885" xr:uid="{A40B0296-436F-4A48-9C51-BA2F565B137F}"/>
    <cellStyle name="Style 99 4 2 2 6 3" xfId="32884" xr:uid="{2D0490AE-850C-4637-8858-9434AE9AEE5E}"/>
    <cellStyle name="Style 99 4 2 2 7" xfId="17202" xr:uid="{90A2C5D3-26C3-4CE9-8022-7BDFD8807043}"/>
    <cellStyle name="Style 99 4 2 2 7 2" xfId="17203" xr:uid="{2AB8D009-D04C-411D-BD85-672A7E2CFE78}"/>
    <cellStyle name="Style 99 4 2 2 7 2 2" xfId="32887" xr:uid="{E44C8C1B-E4DB-4222-847A-2331D8E92907}"/>
    <cellStyle name="Style 99 4 2 2 7 3" xfId="32886" xr:uid="{673DBDEE-1447-47C3-8BCE-E3B868D17982}"/>
    <cellStyle name="Style 99 4 2 2 8" xfId="17204" xr:uid="{2CE36F57-E36A-421F-874D-FA28DFF58F0C}"/>
    <cellStyle name="Style 99 4 2 2 8 2" xfId="17205" xr:uid="{79373832-E6E4-469D-8293-DA3129978B84}"/>
    <cellStyle name="Style 99 4 2 2 8 2 2" xfId="32889" xr:uid="{60C9C2ED-08F8-47D8-9AFC-2514DD9512AA}"/>
    <cellStyle name="Style 99 4 2 2 8 3" xfId="32888" xr:uid="{19E9E036-82E0-4F71-ACC6-EC782D5862EB}"/>
    <cellStyle name="Style 99 4 2 2 9" xfId="17206" xr:uid="{0FD5A1ED-546F-4A82-8957-CBEBC81E1B9A}"/>
    <cellStyle name="Style 99 4 2 2 9 2" xfId="17207" xr:uid="{62E00FB9-1F1F-4B74-BE8C-BD90B945EF3F}"/>
    <cellStyle name="Style 99 4 2 2 9 2 2" xfId="32891" xr:uid="{31B1D209-DA8E-43F5-9112-A9225C8F9C02}"/>
    <cellStyle name="Style 99 4 2 2 9 3" xfId="32890" xr:uid="{E87457AC-C91B-4E4E-A105-D902424EC9B2}"/>
    <cellStyle name="Style 99 4 2 3" xfId="2572" xr:uid="{E639635E-2AA0-4175-AB87-B851C4E44B6F}"/>
    <cellStyle name="Style 99 4 2 3 2" xfId="5527" xr:uid="{4A09DE1F-D85C-4801-81CA-F082391D6C95}"/>
    <cellStyle name="Style 99 4 2 3 2 2" xfId="17208" xr:uid="{B7C68824-6181-4577-92FD-541A606A6CFE}"/>
    <cellStyle name="Style 99 4 2 3 2 2 2" xfId="17209" xr:uid="{A398F63E-C021-44FB-B924-076926FEE968}"/>
    <cellStyle name="Style 99 4 2 3 2 2 2 2" xfId="32893" xr:uid="{D40067DA-81EB-49E0-AC90-F54A92E1F2DB}"/>
    <cellStyle name="Style 99 4 2 3 2 2 3" xfId="32892" xr:uid="{AB48F646-A190-430F-BB3A-5E90D48A2188}"/>
    <cellStyle name="Style 99 4 2 3 2 3" xfId="17210" xr:uid="{10412150-EA76-4D68-86F5-E63E285DD42E}"/>
    <cellStyle name="Style 99 4 2 3 2 3 2" xfId="17211" xr:uid="{6BB977E1-4430-4318-9555-6EFEC25A9597}"/>
    <cellStyle name="Style 99 4 2 3 2 3 2 2" xfId="32895" xr:uid="{12E634CF-E7D6-4464-8880-EB7777028FCE}"/>
    <cellStyle name="Style 99 4 2 3 2 3 3" xfId="32894" xr:uid="{79DDF1B9-AF12-4371-80AD-260085AC5A55}"/>
    <cellStyle name="Style 99 4 2 3 2 4" xfId="17212" xr:uid="{EA515C60-BB32-4233-849A-A3AEDB4E341C}"/>
    <cellStyle name="Style 99 4 2 3 2 4 2" xfId="17213" xr:uid="{D8F0F378-DB6B-48E5-B16B-181BF0C770CC}"/>
    <cellStyle name="Style 99 4 2 3 2 4 2 2" xfId="32897" xr:uid="{096B9A7A-FF04-4C67-B0E6-5B095FD74668}"/>
    <cellStyle name="Style 99 4 2 3 2 4 3" xfId="32896" xr:uid="{D120403E-AA5E-43B4-B1C6-FC0A1768A852}"/>
    <cellStyle name="Style 99 4 2 3 2 5" xfId="17214" xr:uid="{3C3C49A8-5227-4650-AFE7-DA37A62C7822}"/>
    <cellStyle name="Style 99 4 2 3 2 5 2" xfId="17215" xr:uid="{9770C25C-5C6E-4E81-97D5-C3261447A116}"/>
    <cellStyle name="Style 99 4 2 3 2 5 2 2" xfId="32899" xr:uid="{4D1E3D87-96D1-40CB-A106-1EE0C82CC0F1}"/>
    <cellStyle name="Style 99 4 2 3 2 5 3" xfId="32898" xr:uid="{D68AE414-CFEC-4133-B93A-D06961A81636}"/>
    <cellStyle name="Style 99 4 2 3 2 6" xfId="17216" xr:uid="{67221AB6-F6C0-43C9-9BC3-70D71CA10919}"/>
    <cellStyle name="Style 99 4 2 3 2 6 2" xfId="32900" xr:uid="{6182F370-2657-4355-BAFE-A5CE0206EE04}"/>
    <cellStyle name="Style 99 4 2 3 2 7" xfId="17217" xr:uid="{922B3523-9863-4BDF-996E-64B0A00BF756}"/>
    <cellStyle name="Style 99 4 2 3 2 7 2" xfId="32901" xr:uid="{CF3C4FAA-15FB-420D-9931-5737DA334345}"/>
    <cellStyle name="Style 99 4 2 3 2 8" xfId="20920" xr:uid="{576D659F-3EC8-46D2-80A6-B819E5BDD9F9}"/>
    <cellStyle name="Style 99 4 2 3 3" xfId="17218" xr:uid="{C3166B25-4734-4E80-955E-190A4F90AF45}"/>
    <cellStyle name="Style 99 4 2 3 3 2" xfId="17219" xr:uid="{24281891-08AB-4A7F-B56E-83939CCBCBEC}"/>
    <cellStyle name="Style 99 4 2 3 3 2 2" xfId="32902" xr:uid="{FCA30E1E-9AA7-412A-9685-14C6EB5C2143}"/>
    <cellStyle name="Style 99 4 2 3 3 3" xfId="17220" xr:uid="{54F75445-4138-4BCA-9D54-85483357505C}"/>
    <cellStyle name="Style 99 4 2 3 3 3 2" xfId="32903" xr:uid="{674D3C4B-8AC3-489B-9DE6-99E5C0A6FF0B}"/>
    <cellStyle name="Style 99 4 2 3 4" xfId="17221" xr:uid="{005AC683-840A-4E1D-83F1-271F5C655F50}"/>
    <cellStyle name="Style 99 4 2 3 4 2" xfId="17222" xr:uid="{254EA727-F438-4E59-B87D-A54BE00FCFB6}"/>
    <cellStyle name="Style 99 4 2 3 4 2 2" xfId="32905" xr:uid="{0401F6B1-6AE0-4C92-8576-09B2915098F6}"/>
    <cellStyle name="Style 99 4 2 3 4 3" xfId="32904" xr:uid="{60DF252B-2768-4C8E-A64B-6875BFDE7B97}"/>
    <cellStyle name="Style 99 4 2 3 5" xfId="17223" xr:uid="{118A6024-704D-4843-A6A3-850319A82CED}"/>
    <cellStyle name="Style 99 4 2 3 5 2" xfId="17224" xr:uid="{DCECDB86-A837-447B-920D-DF63F903DF55}"/>
    <cellStyle name="Style 99 4 2 3 5 2 2" xfId="32907" xr:uid="{C2F544ED-7340-414C-A2D5-4A2ED68057EC}"/>
    <cellStyle name="Style 99 4 2 3 5 3" xfId="32906" xr:uid="{CE743C98-D5FB-4069-A81D-1E42A303E76A}"/>
    <cellStyle name="Style 99 4 2 3 6" xfId="17225" xr:uid="{7E0262FB-865A-4CB7-ABBC-714A63CF4042}"/>
    <cellStyle name="Style 99 4 2 3 6 2" xfId="17226" xr:uid="{3B4B5F70-FC81-4A1F-8E0C-29777A9BA332}"/>
    <cellStyle name="Style 99 4 2 3 6 2 2" xfId="32909" xr:uid="{A329908E-662D-47BD-A92D-4AD4BC16431D}"/>
    <cellStyle name="Style 99 4 2 3 6 3" xfId="32908" xr:uid="{E3C4EE39-C899-43EC-8C14-3193B73397AF}"/>
    <cellStyle name="Style 99 4 2 3 7" xfId="17227" xr:uid="{533E31DC-4541-4E6F-90DA-93219708F0BC}"/>
    <cellStyle name="Style 99 4 2 3 7 2" xfId="17228" xr:uid="{44CF9E62-E086-43FE-9B19-06FB331A7409}"/>
    <cellStyle name="Style 99 4 2 3 7 2 2" xfId="32911" xr:uid="{6C095140-7717-4A37-9206-DB1442947613}"/>
    <cellStyle name="Style 99 4 2 3 7 3" xfId="32910" xr:uid="{C619DE53-EC1E-4CAC-A1DA-836E86872268}"/>
    <cellStyle name="Style 99 4 2 3 8" xfId="17229" xr:uid="{306435A9-1145-4955-91CD-8590FA68F547}"/>
    <cellStyle name="Style 99 4 2 3 8 2" xfId="32912" xr:uid="{87B25C3B-985C-44A8-A9D3-C4E06B4DA00B}"/>
    <cellStyle name="Style 99 4 2 3 9" xfId="17230" xr:uid="{7AB12E1B-BF35-4AFB-94F0-91F7C070A622}"/>
    <cellStyle name="Style 99 4 2 3 9 2" xfId="32913" xr:uid="{1BEA4859-D792-490E-8162-B6CD7D8D367C}"/>
    <cellStyle name="Style 99 4 2 4" xfId="2817" xr:uid="{076D5DF6-4624-4352-AF62-0F9A2264210F}"/>
    <cellStyle name="Style 99 4 2 4 2" xfId="17231" xr:uid="{0DF906D3-CF8C-45CB-9B2A-8BB8B0B072CE}"/>
    <cellStyle name="Style 99 4 2 4 2 2" xfId="17232" xr:uid="{A6D6006A-B183-45DA-B7A5-676B0D262336}"/>
    <cellStyle name="Style 99 4 2 4 2 2 2" xfId="32914" xr:uid="{54B8CFA4-72F8-4BE8-B743-19195032899A}"/>
    <cellStyle name="Style 99 4 2 4 2 3" xfId="17233" xr:uid="{86DA5493-931F-4698-8FAF-549956B65D9C}"/>
    <cellStyle name="Style 99 4 2 4 2 3 2" xfId="32915" xr:uid="{CE1E5A1A-6AF8-487F-B84D-66126E74FE35}"/>
    <cellStyle name="Style 99 4 2 4 2 4" xfId="17234" xr:uid="{3B4F7D0C-41EE-4B5A-A7A9-261F9CC25C31}"/>
    <cellStyle name="Style 99 4 2 4 2 4 2" xfId="32916" xr:uid="{65C32022-E510-46A5-A2D4-839AD6741A1C}"/>
    <cellStyle name="Style 99 4 2 4 3" xfId="17235" xr:uid="{13BB56E6-2D90-4C12-AEC8-B138F9854917}"/>
    <cellStyle name="Style 99 4 2 4 3 2" xfId="17236" xr:uid="{BB178FBF-C720-4C83-A85C-B17E4EBE8E0F}"/>
    <cellStyle name="Style 99 4 2 4 3 2 2" xfId="32918" xr:uid="{56C02BC5-0189-4A2E-8B35-F6FDB40709D7}"/>
    <cellStyle name="Style 99 4 2 4 3 3" xfId="32917" xr:uid="{CCCB40CA-34CA-4089-A16C-823A4D05DF99}"/>
    <cellStyle name="Style 99 4 2 4 4" xfId="17237" xr:uid="{88B957CC-81A3-4D4D-A25D-6FC73E948FA5}"/>
    <cellStyle name="Style 99 4 2 4 4 2" xfId="17238" xr:uid="{5CFB10B2-025A-47F2-9C8A-7C0B94EFB10E}"/>
    <cellStyle name="Style 99 4 2 4 4 2 2" xfId="32920" xr:uid="{34D07A61-1D54-4DA7-A112-715062C1AE7E}"/>
    <cellStyle name="Style 99 4 2 4 4 3" xfId="32919" xr:uid="{38010987-D709-4B2D-A40B-1D3A482F38CE}"/>
    <cellStyle name="Style 99 4 2 4 5" xfId="17239" xr:uid="{568D2A8A-4A38-433E-8B68-9F9D369B152D}"/>
    <cellStyle name="Style 99 4 2 4 5 2" xfId="17240" xr:uid="{BE440A38-06E3-4C72-AC82-E8E5AE866D94}"/>
    <cellStyle name="Style 99 4 2 4 5 2 2" xfId="32922" xr:uid="{FE662604-0B7B-4608-8467-6737A29BB7A9}"/>
    <cellStyle name="Style 99 4 2 4 5 3" xfId="32921" xr:uid="{CE4BA29E-F059-4219-B4E2-569374AF2E71}"/>
    <cellStyle name="Style 99 4 2 4 6" xfId="17241" xr:uid="{C0ECB328-BB2D-4270-A611-80FF315BE7D1}"/>
    <cellStyle name="Style 99 4 2 4 6 2" xfId="32923" xr:uid="{0C5D3915-EF2B-4C32-B3CC-B9EE580BC6A3}"/>
    <cellStyle name="Style 99 4 2 4 7" xfId="17242" xr:uid="{845161E2-B2F4-4590-AC3E-7D1C75E70DF2}"/>
    <cellStyle name="Style 99 4 2 4 7 2" xfId="32924" xr:uid="{C071D60F-B744-48D5-9483-22011C79E2BD}"/>
    <cellStyle name="Style 99 4 2 4 8" xfId="20917" xr:uid="{EE68FD0C-64F8-4927-8D41-4BEFAC1ABBE8}"/>
    <cellStyle name="Style 99 4 2 5" xfId="5524" xr:uid="{7D1129E3-7A25-4EE5-B31C-7F2E2D471606}"/>
    <cellStyle name="Style 99 4 2 5 2" xfId="17243" xr:uid="{2FD567AF-1B01-45A8-BAF2-38ACEB7863B4}"/>
    <cellStyle name="Style 99 4 2 5 2 2" xfId="32925" xr:uid="{E51A7E77-9043-4F9C-B009-F6EB1F07EF92}"/>
    <cellStyle name="Style 99 4 2 5 3" xfId="17244" xr:uid="{C5304F00-CD71-47CD-A1AB-338B648B87E7}"/>
    <cellStyle name="Style 99 4 2 5 3 2" xfId="32926" xr:uid="{13B2FF7D-3813-450B-B782-0139A1707733}"/>
    <cellStyle name="Style 99 4 2 5 4" xfId="17245" xr:uid="{512AFC16-7AF8-41D9-8370-1E1993020AFE}"/>
    <cellStyle name="Style 99 4 2 5 4 2" xfId="32927" xr:uid="{06F82111-1EE1-4721-9550-B74F9FEC6F56}"/>
    <cellStyle name="Style 99 4 2 6" xfId="17246" xr:uid="{6DCA4983-29FD-4A7F-9BF7-F7701785B515}"/>
    <cellStyle name="Style 99 4 2 6 2" xfId="17247" xr:uid="{7A90C064-1FE2-4D15-AFAA-82A3061A1D54}"/>
    <cellStyle name="Style 99 4 2 6 2 2" xfId="32929" xr:uid="{D14E7321-CBA5-4B3F-8CE1-08F1E3FED819}"/>
    <cellStyle name="Style 99 4 2 6 3" xfId="32928" xr:uid="{99728615-0347-4603-B9ED-C197384EE80F}"/>
    <cellStyle name="Style 99 4 2 7" xfId="17248" xr:uid="{0CC0F036-3A15-41AB-9F41-6C8994A188DA}"/>
    <cellStyle name="Style 99 4 2 7 2" xfId="17249" xr:uid="{85FD1E10-CBA6-455A-A5CE-8C3C7461B442}"/>
    <cellStyle name="Style 99 4 2 7 2 2" xfId="32931" xr:uid="{2357485E-B6A0-4EE7-8022-D3AA98CA531F}"/>
    <cellStyle name="Style 99 4 2 7 3" xfId="32930" xr:uid="{DC8BD570-5D5C-48D4-BD90-046889D75CB1}"/>
    <cellStyle name="Style 99 4 2 8" xfId="17250" xr:uid="{186F4515-6FBF-4598-BBB6-1C102C1632B5}"/>
    <cellStyle name="Style 99 4 2 8 2" xfId="17251" xr:uid="{E0D238D6-4648-40C3-BC47-1BE3DC98ECBC}"/>
    <cellStyle name="Style 99 4 2 8 2 2" xfId="32933" xr:uid="{7BE5E6AC-F5F2-4CF4-905A-6D28B39E0F0D}"/>
    <cellStyle name="Style 99 4 2 8 3" xfId="32932" xr:uid="{CAB32FA1-4FB6-4057-A92A-4B4DDFFDA586}"/>
    <cellStyle name="Style 99 4 2 9" xfId="17252" xr:uid="{A5D8B254-4219-49CC-B6D9-009B4AD915A1}"/>
    <cellStyle name="Style 99 4 2 9 2" xfId="17253" xr:uid="{772E946D-DB2D-4475-97E8-8DBFE8869A63}"/>
    <cellStyle name="Style 99 4 2 9 2 2" xfId="32935" xr:uid="{50E18C41-2E43-4DA9-90EF-21676A52163C}"/>
    <cellStyle name="Style 99 4 2 9 3" xfId="32934" xr:uid="{E27589DF-93E2-435C-A664-674A8C0B3384}"/>
    <cellStyle name="Style 99 4 3" xfId="2573" xr:uid="{9712C4C5-2F5C-4500-AAE5-C5D87A0466FF}"/>
    <cellStyle name="Style 99 4 3 10" xfId="19326" xr:uid="{FBEDEAF9-DC2A-4FF1-B16B-E2560097BA05}"/>
    <cellStyle name="Style 99 4 3 2" xfId="5529" xr:uid="{A883E4D3-021D-4E23-A1EB-DD8C9BC7D9F8}"/>
    <cellStyle name="Style 99 4 3 2 2" xfId="17254" xr:uid="{BF27C416-CD35-4C32-A1F7-8D2EE37167E6}"/>
    <cellStyle name="Style 99 4 3 2 2 2" xfId="17255" xr:uid="{CAC8061B-36BC-485F-9711-97E1A71740D1}"/>
    <cellStyle name="Style 99 4 3 2 2 2 2" xfId="32936" xr:uid="{3B57F1EB-25AD-4404-B839-232BED5867A5}"/>
    <cellStyle name="Style 99 4 3 2 2 3" xfId="17256" xr:uid="{B21FB4F7-AF19-484D-831E-CF0CCF1B5520}"/>
    <cellStyle name="Style 99 4 3 2 2 3 2" xfId="32937" xr:uid="{90054859-2928-4158-ABDD-E1E441D93D20}"/>
    <cellStyle name="Style 99 4 3 2 2 4" xfId="17257" xr:uid="{5F777D3D-79F8-4625-975C-5C5628B885BD}"/>
    <cellStyle name="Style 99 4 3 2 2 4 2" xfId="32938" xr:uid="{3F6F440F-AD20-4165-A7F3-B98B8C94A016}"/>
    <cellStyle name="Style 99 4 3 2 3" xfId="17258" xr:uid="{01A88D20-66B9-450F-B21C-D64ED31CCEF4}"/>
    <cellStyle name="Style 99 4 3 2 3 2" xfId="17259" xr:uid="{45E90D0D-CA60-4FC6-8F7A-2133CA65565F}"/>
    <cellStyle name="Style 99 4 3 2 3 2 2" xfId="32940" xr:uid="{BD3A8F5D-7DA3-4CAC-813F-72882A13EAD1}"/>
    <cellStyle name="Style 99 4 3 2 3 3" xfId="32939" xr:uid="{6EA46718-9958-4723-A8D0-60E100C10264}"/>
    <cellStyle name="Style 99 4 3 2 4" xfId="17260" xr:uid="{220781D8-21E7-4BBD-A97E-51DB7BCC28A2}"/>
    <cellStyle name="Style 99 4 3 2 4 2" xfId="17261" xr:uid="{33FC6D1D-5F81-40B3-B03F-89E2AC80298F}"/>
    <cellStyle name="Style 99 4 3 2 4 2 2" xfId="32942" xr:uid="{9588DC96-114C-4DA6-A013-3349D2459605}"/>
    <cellStyle name="Style 99 4 3 2 4 3" xfId="32941" xr:uid="{301E646E-6701-4551-9098-5464228197E7}"/>
    <cellStyle name="Style 99 4 3 2 5" xfId="17262" xr:uid="{B03D9FCA-9895-47EC-95AF-E4B189BB35AE}"/>
    <cellStyle name="Style 99 4 3 2 5 2" xfId="17263" xr:uid="{7F977FD6-4755-43B8-A3D8-59D56D5E2182}"/>
    <cellStyle name="Style 99 4 3 2 5 2 2" xfId="32944" xr:uid="{A859D8EB-09F3-4165-98E3-FF45B067294F}"/>
    <cellStyle name="Style 99 4 3 2 5 3" xfId="32943" xr:uid="{7A4DB925-6281-4D2D-9838-C3A3A0A91BD6}"/>
    <cellStyle name="Style 99 4 3 2 6" xfId="17264" xr:uid="{4E97BB14-E8F3-4DE3-BCD1-613C86C687B0}"/>
    <cellStyle name="Style 99 4 3 2 6 2" xfId="32945" xr:uid="{A4BC46B3-D72D-4044-8C27-CCBB77AA95E8}"/>
    <cellStyle name="Style 99 4 3 2 7" xfId="17265" xr:uid="{9DB636B5-2C4F-4D97-9276-078032F8A1A7}"/>
    <cellStyle name="Style 99 4 3 2 7 2" xfId="32946" xr:uid="{F66BF8B8-EC82-44B7-9051-6601555EED79}"/>
    <cellStyle name="Style 99 4 3 3" xfId="5528" xr:uid="{12D6AF2F-1CF7-443E-BDA1-7E39673D668D}"/>
    <cellStyle name="Style 99 4 3 3 2" xfId="17266" xr:uid="{1826D893-A6AE-4018-B6ED-400C40960A11}"/>
    <cellStyle name="Style 99 4 3 3 2 2" xfId="32947" xr:uid="{DC2BCB1B-C4CB-4232-9AA9-2DF98967D5ED}"/>
    <cellStyle name="Style 99 4 3 3 3" xfId="17267" xr:uid="{9D00D765-B94E-49B3-9AC9-028059FBF6F4}"/>
    <cellStyle name="Style 99 4 3 3 3 2" xfId="32948" xr:uid="{D17CB741-6488-42F3-8871-34CAA3D71557}"/>
    <cellStyle name="Style 99 4 3 3 4" xfId="17268" xr:uid="{05A47CF8-3563-419B-B8A9-053005D3BB7F}"/>
    <cellStyle name="Style 99 4 3 3 4 2" xfId="32949" xr:uid="{DD414695-61C3-4D7D-86F5-5677C85E67C3}"/>
    <cellStyle name="Style 99 4 3 4" xfId="17269" xr:uid="{85568DBA-4425-4AC0-9082-862545A3F432}"/>
    <cellStyle name="Style 99 4 3 4 2" xfId="17270" xr:uid="{41DD8D67-29E8-485A-B75D-447DCAAA399C}"/>
    <cellStyle name="Style 99 4 3 4 2 2" xfId="32951" xr:uid="{1F4BC011-2BF6-4956-819E-A119D5A5A07B}"/>
    <cellStyle name="Style 99 4 3 4 3" xfId="32950" xr:uid="{762C9C3E-2D21-4F4D-B80C-EF87460D55ED}"/>
    <cellStyle name="Style 99 4 3 5" xfId="17271" xr:uid="{5DEB0915-5A2B-44F3-9024-4FF60793D222}"/>
    <cellStyle name="Style 99 4 3 5 2" xfId="17272" xr:uid="{2F2BF775-1635-44D4-A579-008FBCAE1DA1}"/>
    <cellStyle name="Style 99 4 3 5 2 2" xfId="32953" xr:uid="{9EA8FD28-D45E-4B5C-8CCF-165B1A1AE434}"/>
    <cellStyle name="Style 99 4 3 5 3" xfId="32952" xr:uid="{CB505749-E0C2-4416-9A4D-B46889D2374B}"/>
    <cellStyle name="Style 99 4 3 6" xfId="17273" xr:uid="{C5BF3DA3-2CC9-42CE-A415-A8AEE3FA351D}"/>
    <cellStyle name="Style 99 4 3 6 2" xfId="17274" xr:uid="{BFF6C390-74AE-4432-9B3E-80CA1438978A}"/>
    <cellStyle name="Style 99 4 3 6 2 2" xfId="32955" xr:uid="{495A7CF4-D38A-4509-916F-5C2115FE91B4}"/>
    <cellStyle name="Style 99 4 3 6 3" xfId="32954" xr:uid="{B79189F8-CD53-46B3-87C2-0206D61C92B3}"/>
    <cellStyle name="Style 99 4 3 7" xfId="17275" xr:uid="{D2A207FC-29EA-4752-83AD-783D1747BE5D}"/>
    <cellStyle name="Style 99 4 3 7 2" xfId="17276" xr:uid="{D1F5E1A2-2DB1-496B-974E-1AD4A7F12521}"/>
    <cellStyle name="Style 99 4 3 7 2 2" xfId="32957" xr:uid="{8C805FE5-371C-4832-9F0D-31EB24E86481}"/>
    <cellStyle name="Style 99 4 3 7 3" xfId="32956" xr:uid="{7021B41B-0E00-4B84-80C0-029F327252F9}"/>
    <cellStyle name="Style 99 4 3 8" xfId="17277" xr:uid="{AC9C74EB-86D1-4DF8-8A8B-EA1976C766A3}"/>
    <cellStyle name="Style 99 4 3 8 2" xfId="32958" xr:uid="{E867A3AA-7428-4328-962C-EE4FB70DE99E}"/>
    <cellStyle name="Style 99 4 3 9" xfId="17278" xr:uid="{6A67544A-F3B6-4F18-BBE2-656D9E37378F}"/>
    <cellStyle name="Style 99 4 3 9 2" xfId="32959" xr:uid="{3941B69C-3E96-4963-953F-E0DBD833CAAE}"/>
    <cellStyle name="Style 99 4 4" xfId="2816" xr:uid="{3F49D319-E2E7-4AF8-AFEA-69C6FF0B6F15}"/>
    <cellStyle name="Style 99 4 4 2" xfId="5530" xr:uid="{938E257F-DA8D-4D46-86E6-AEE89C94E061}"/>
    <cellStyle name="Style 99 4 4 2 2" xfId="17279" xr:uid="{DFFC3EDE-7DCF-4D07-9960-1B6E292BD110}"/>
    <cellStyle name="Style 99 4 4 2 2 2" xfId="32960" xr:uid="{B551A6E9-8129-4DEC-A92B-1BB6F8147F3F}"/>
    <cellStyle name="Style 99 4 4 2 3" xfId="17280" xr:uid="{6EFC8F99-8FE0-4B73-9D26-1B67598676EA}"/>
    <cellStyle name="Style 99 4 4 2 3 2" xfId="32961" xr:uid="{9DAE0DF2-2305-4F0F-8535-C12011AC592B}"/>
    <cellStyle name="Style 99 4 4 2 4" xfId="17281" xr:uid="{9E83B2BD-F638-45A9-8F04-BBBF31E24237}"/>
    <cellStyle name="Style 99 4 4 2 4 2" xfId="32962" xr:uid="{E5D3281D-FD74-41E6-91CA-5827F10D24C5}"/>
    <cellStyle name="Style 99 4 4 3" xfId="17282" xr:uid="{CB94A879-FEB0-4702-BF8C-D188E452D8A2}"/>
    <cellStyle name="Style 99 4 4 3 2" xfId="17283" xr:uid="{5B0CD541-FF37-4509-954F-700097DA04FE}"/>
    <cellStyle name="Style 99 4 4 3 2 2" xfId="32963" xr:uid="{8C0515CE-0224-467C-AF1D-02C9FC3D0D54}"/>
    <cellStyle name="Style 99 4 4 3 3" xfId="17284" xr:uid="{924ABB4D-5E8B-43E0-B9FA-26C8C92C37A5}"/>
    <cellStyle name="Style 99 4 4 3 3 2" xfId="32964" xr:uid="{BB8E3735-1F9C-4DD2-B30E-C374D1EBF00E}"/>
    <cellStyle name="Style 99 4 4 4" xfId="17285" xr:uid="{996C701C-F555-4473-A279-00C4DACEFB44}"/>
    <cellStyle name="Style 99 4 4 4 2" xfId="17286" xr:uid="{8BEA70D3-114D-441B-A3BC-9FBD0E5BDBA2}"/>
    <cellStyle name="Style 99 4 4 4 2 2" xfId="32966" xr:uid="{E7EB89F2-0E21-46FE-A39A-503D976DB019}"/>
    <cellStyle name="Style 99 4 4 4 3" xfId="32965" xr:uid="{997DFBF8-7ABC-4132-81A2-E8D2363E042A}"/>
    <cellStyle name="Style 99 4 4 5" xfId="17287" xr:uid="{9FBEBEAD-9660-4703-B01B-39F8C93FCA48}"/>
    <cellStyle name="Style 99 4 4 5 2" xfId="17288" xr:uid="{5432F109-724E-4FF1-998F-F2923D94C6C9}"/>
    <cellStyle name="Style 99 4 4 5 2 2" xfId="32968" xr:uid="{C08E9754-73D0-413D-88D4-4C08E4D03F60}"/>
    <cellStyle name="Style 99 4 4 5 3" xfId="32967" xr:uid="{4EBE07E1-8565-43FB-B751-96AD6E7E01BF}"/>
    <cellStyle name="Style 99 4 4 6" xfId="17289" xr:uid="{FF5FED60-AC31-4C0B-B2E1-DFA610A91ACC}"/>
    <cellStyle name="Style 99 4 4 6 2" xfId="32969" xr:uid="{23BFAB77-ED1F-435A-86D3-46A8EBBFE0F1}"/>
    <cellStyle name="Style 99 4 4 7" xfId="17290" xr:uid="{861A4E47-DA5A-4373-9775-12C8FD46EF02}"/>
    <cellStyle name="Style 99 4 4 7 2" xfId="32970" xr:uid="{D76D978B-B8BB-4276-B716-62834669F3F6}"/>
    <cellStyle name="Style 99 4 5" xfId="5531" xr:uid="{FC547C83-2E92-4BF9-B7AC-89D05183D519}"/>
    <cellStyle name="Style 99 4 5 2" xfId="17291" xr:uid="{554BCA07-9D7D-418F-B041-926AB9E33466}"/>
    <cellStyle name="Style 99 4 5 2 2" xfId="32971" xr:uid="{6BBA0ED3-7C61-4DCF-9F26-24F1FBEE0247}"/>
    <cellStyle name="Style 99 4 5 3" xfId="17292" xr:uid="{FE4AC7A7-D1D0-4734-AB56-80070D35C3C1}"/>
    <cellStyle name="Style 99 4 5 3 2" xfId="32972" xr:uid="{0C9B920B-41A6-4E93-8D17-270C98D37464}"/>
    <cellStyle name="Style 99 4 5 4" xfId="17293" xr:uid="{B24D1B9C-1B85-482D-8638-19787BC9CE61}"/>
    <cellStyle name="Style 99 4 5 4 2" xfId="32973" xr:uid="{4C94ECC7-E126-49AE-95C0-0F8C3200D53B}"/>
    <cellStyle name="Style 99 4 6" xfId="5523" xr:uid="{AA10736D-7811-42E2-A0F3-02BDCBFBD4CC}"/>
    <cellStyle name="Style 99 4 6 2" xfId="17294" xr:uid="{8AC2DF9A-F18E-44EF-8FAD-3FDDDB886762}"/>
    <cellStyle name="Style 99 4 6 2 2" xfId="32974" xr:uid="{67E1F735-CD51-416C-9AC7-E2CA901B9696}"/>
    <cellStyle name="Style 99 4 6 3" xfId="17295" xr:uid="{E73A362E-4894-4E8D-A4F5-460C4BE46450}"/>
    <cellStyle name="Style 99 4 6 3 2" xfId="32975" xr:uid="{BD5A4B27-5FE6-4488-A4D0-349BBD928D92}"/>
    <cellStyle name="Style 99 4 7" xfId="17296" xr:uid="{AF13D457-8E41-4734-8903-DA5F7255A41C}"/>
    <cellStyle name="Style 99 4 7 2" xfId="17297" xr:uid="{682EC83B-90D7-4C0A-9CCF-81B12E6EEE28}"/>
    <cellStyle name="Style 99 4 7 2 2" xfId="32977" xr:uid="{D04E0A99-4081-46D6-B901-2604E63A142E}"/>
    <cellStyle name="Style 99 4 7 3" xfId="32976" xr:uid="{38E0ADDF-2623-4F86-9533-8965A0835375}"/>
    <cellStyle name="Style 99 4 8" xfId="17298" xr:uid="{4FE07C4D-8F66-44E1-AEE9-735BD0F169D8}"/>
    <cellStyle name="Style 99 4 8 2" xfId="17299" xr:uid="{3A48BE2E-4DF7-469D-8C40-231AB12171C1}"/>
    <cellStyle name="Style 99 4 8 2 2" xfId="32979" xr:uid="{54FFFAA1-7534-4D28-BE7A-BF62C8212E3C}"/>
    <cellStyle name="Style 99 4 8 3" xfId="32978" xr:uid="{6FA9965F-F937-434F-AD1E-B007054E8C29}"/>
    <cellStyle name="Style 99 4 9" xfId="17300" xr:uid="{03FAD078-F3F6-40CE-B8EE-E9AC18CE0F50}"/>
    <cellStyle name="Style 99 4 9 2" xfId="17301" xr:uid="{869859E4-FA6A-4BF6-A514-66235AD7DC47}"/>
    <cellStyle name="Style 99 4 9 2 2" xfId="32981" xr:uid="{4F050A11-DB8C-4D88-8355-956F164F5E6C}"/>
    <cellStyle name="Style 99 4 9 3" xfId="32980" xr:uid="{6F670F18-72CC-44F8-81F8-D1DDA68219D0}"/>
    <cellStyle name="Style 99 5" xfId="2574" xr:uid="{446CE7AF-CCCD-4371-A8C2-D6F4CA4B741C}"/>
    <cellStyle name="Style 99 5 10" xfId="17302" xr:uid="{51DEFBAB-DEB2-42D4-A80A-74FA8B44D352}"/>
    <cellStyle name="Style 99 5 10 2" xfId="32982" xr:uid="{6DAFD96F-ADE1-4B98-9C41-118756039C81}"/>
    <cellStyle name="Style 99 5 11" xfId="17303" xr:uid="{BED8CD8F-5F5C-4C18-99A0-105BD1090260}"/>
    <cellStyle name="Style 99 5 11 2" xfId="32983" xr:uid="{8AFC6A8B-D87D-4F9A-8B68-A2CCB7D6DACB}"/>
    <cellStyle name="Style 99 5 2" xfId="2575" xr:uid="{8DD59042-5B0A-47D8-B56B-F8E8B4E3AB71}"/>
    <cellStyle name="Style 99 5 2 2" xfId="5533" xr:uid="{68957943-2C7F-47DE-80B8-5FB516BD8DFA}"/>
    <cellStyle name="Style 99 5 2 2 2" xfId="17304" xr:uid="{B55DF8CC-F3E3-4BEA-82A5-1833F2937D79}"/>
    <cellStyle name="Style 99 5 2 2 2 2" xfId="17305" xr:uid="{CE449E7A-4BD2-432B-9284-8EE77164B87D}"/>
    <cellStyle name="Style 99 5 2 2 2 2 2" xfId="32985" xr:uid="{06A725A7-281D-4F47-8A72-F2B69649E4BE}"/>
    <cellStyle name="Style 99 5 2 2 2 3" xfId="32984" xr:uid="{70620ED3-E9A7-4462-99F2-459D44A145FA}"/>
    <cellStyle name="Style 99 5 2 2 3" xfId="17306" xr:uid="{108FEF18-3754-41DA-B4E1-BF57341AB5A0}"/>
    <cellStyle name="Style 99 5 2 2 3 2" xfId="17307" xr:uid="{8522CEB4-B948-4AAA-B7B4-5896D3B4C85E}"/>
    <cellStyle name="Style 99 5 2 2 3 2 2" xfId="32987" xr:uid="{73BBA728-BEFC-4539-BACF-60CE4942C7E8}"/>
    <cellStyle name="Style 99 5 2 2 3 3" xfId="32986" xr:uid="{E0714456-BCA8-4538-8C1C-32FBD91DF638}"/>
    <cellStyle name="Style 99 5 2 2 4" xfId="17308" xr:uid="{D90B25D8-8371-45F2-AB60-1EF2B3D0567D}"/>
    <cellStyle name="Style 99 5 2 2 4 2" xfId="17309" xr:uid="{A42603B1-2BBD-47BE-A92B-4BBB398A0A5B}"/>
    <cellStyle name="Style 99 5 2 2 4 2 2" xfId="32989" xr:uid="{52D3F351-DC12-4454-943D-F550F11076E2}"/>
    <cellStyle name="Style 99 5 2 2 4 3" xfId="32988" xr:uid="{9AE43D98-AAB7-4356-B699-7DFC98C55440}"/>
    <cellStyle name="Style 99 5 2 2 5" xfId="17310" xr:uid="{269063F0-48F1-42F0-9BAA-F696D5280074}"/>
    <cellStyle name="Style 99 5 2 2 5 2" xfId="17311" xr:uid="{592C7A49-DD2A-475A-AF6B-0BF8F680021C}"/>
    <cellStyle name="Style 99 5 2 2 5 2 2" xfId="32991" xr:uid="{1E00D4EF-1F53-4AED-B335-728F3D082DD3}"/>
    <cellStyle name="Style 99 5 2 2 5 3" xfId="32990" xr:uid="{CB88653C-E5CB-42F4-8A0A-0DA15004429F}"/>
    <cellStyle name="Style 99 5 2 2 6" xfId="17312" xr:uid="{8754E70D-2368-440F-89F6-E89A51737CD7}"/>
    <cellStyle name="Style 99 5 2 2 6 2" xfId="32992" xr:uid="{1688C8E7-18D7-4AD9-A932-6BBB66F40BF8}"/>
    <cellStyle name="Style 99 5 2 2 7" xfId="17313" xr:uid="{5D5ACF92-8A88-4D72-89C1-B4813941A0C8}"/>
    <cellStyle name="Style 99 5 2 2 7 2" xfId="32993" xr:uid="{E40F4771-9C03-47D8-BF99-0593342030F6}"/>
    <cellStyle name="Style 99 5 2 2 8" xfId="20922" xr:uid="{5F2B5E50-4721-4DA7-ACFA-F0109D9084DC}"/>
    <cellStyle name="Style 99 5 2 3" xfId="17314" xr:uid="{FE34C101-5804-4E1B-86C6-76A18DD7C8A0}"/>
    <cellStyle name="Style 99 5 2 3 2" xfId="17315" xr:uid="{8065BDDA-CE19-42DF-B036-A70B857A476E}"/>
    <cellStyle name="Style 99 5 2 3 2 2" xfId="32994" xr:uid="{0C0D9509-143A-451A-B698-DCE3122EDC34}"/>
    <cellStyle name="Style 99 5 2 3 3" xfId="17316" xr:uid="{106B200D-1172-4710-A91C-297CB8C92727}"/>
    <cellStyle name="Style 99 5 2 3 3 2" xfId="32995" xr:uid="{0EDEFC26-F7EB-4130-ACEC-5F7F2C7E9EA3}"/>
    <cellStyle name="Style 99 5 2 4" xfId="17317" xr:uid="{7CEF49CD-0D49-48E6-ADE1-9ADA788B8F1A}"/>
    <cellStyle name="Style 99 5 2 4 2" xfId="17318" xr:uid="{00C9E0B5-536F-4D77-B320-BECC7BD8EA37}"/>
    <cellStyle name="Style 99 5 2 4 2 2" xfId="32997" xr:uid="{1C5A7EC6-6CF6-47D3-8C9A-89AA4748FD9E}"/>
    <cellStyle name="Style 99 5 2 4 3" xfId="32996" xr:uid="{DE0AE99E-5B63-45DB-9312-EF4825894BF8}"/>
    <cellStyle name="Style 99 5 2 5" xfId="17319" xr:uid="{9F21B4BD-04F0-4AE2-B3CE-02F98D086B24}"/>
    <cellStyle name="Style 99 5 2 5 2" xfId="17320" xr:uid="{D6C900EE-223E-4E1C-A454-8D8843D20219}"/>
    <cellStyle name="Style 99 5 2 5 2 2" xfId="32999" xr:uid="{961E8BDB-3AC6-4FA3-9EEA-36C9CC9A19D9}"/>
    <cellStyle name="Style 99 5 2 5 3" xfId="32998" xr:uid="{B59E97EB-6E47-4F83-ADDD-BA6F7CD6D98D}"/>
    <cellStyle name="Style 99 5 2 6" xfId="17321" xr:uid="{B65DD782-1A50-4461-979A-02B306140CCB}"/>
    <cellStyle name="Style 99 5 2 6 2" xfId="17322" xr:uid="{4E541897-51F3-45EA-B015-5DAFE5470412}"/>
    <cellStyle name="Style 99 5 2 6 2 2" xfId="33001" xr:uid="{0D0E4850-9FB7-40C8-A152-49F1024691CF}"/>
    <cellStyle name="Style 99 5 2 6 3" xfId="33000" xr:uid="{0C0DEF03-3A82-42C0-9491-416BDB84E3A0}"/>
    <cellStyle name="Style 99 5 2 7" xfId="17323" xr:uid="{F5AC4F28-8B35-4FFD-9E31-AC1A626C04A3}"/>
    <cellStyle name="Style 99 5 2 7 2" xfId="17324" xr:uid="{24460D13-FC5C-47F7-9F54-D60AF5C6C410}"/>
    <cellStyle name="Style 99 5 2 7 2 2" xfId="33003" xr:uid="{64B36CB9-550B-4F41-966A-D36D53A47300}"/>
    <cellStyle name="Style 99 5 2 7 3" xfId="33002" xr:uid="{9DC11FDB-312A-43BE-82BE-D384CCDD5A66}"/>
    <cellStyle name="Style 99 5 2 8" xfId="17325" xr:uid="{4DC7E82E-FA59-4C7D-9B7E-12E3DE0B260A}"/>
    <cellStyle name="Style 99 5 2 8 2" xfId="33004" xr:uid="{C54F2DC8-3E0A-4A45-BEFF-8D83F12C864C}"/>
    <cellStyle name="Style 99 5 2 9" xfId="17326" xr:uid="{BE08BCA5-7F34-439A-9B14-35535666BD1D}"/>
    <cellStyle name="Style 99 5 2 9 2" xfId="33005" xr:uid="{28FED293-373F-4DF4-837A-7EA0D200E72F}"/>
    <cellStyle name="Style 99 5 3" xfId="2818" xr:uid="{F2528C3F-11A7-4DD8-93C4-6D46CD632968}"/>
    <cellStyle name="Style 99 5 3 2" xfId="17327" xr:uid="{626F47F8-1C98-41A6-8027-76146A126228}"/>
    <cellStyle name="Style 99 5 3 2 2" xfId="17328" xr:uid="{A514147E-946F-48F8-8918-6B2BBCAA5E44}"/>
    <cellStyle name="Style 99 5 3 2 2 2" xfId="33006" xr:uid="{7555F738-8BC9-488B-BB47-DB991EBD3922}"/>
    <cellStyle name="Style 99 5 3 2 3" xfId="17329" xr:uid="{29783BA3-FFA5-4A48-8F6C-EC71BA0AC456}"/>
    <cellStyle name="Style 99 5 3 2 3 2" xfId="33007" xr:uid="{AF61AD86-4A01-4130-AE84-23193E475450}"/>
    <cellStyle name="Style 99 5 3 2 4" xfId="17330" xr:uid="{1D6B2239-0187-4C93-BC73-7596949AA8E9}"/>
    <cellStyle name="Style 99 5 3 2 4 2" xfId="33008" xr:uid="{2CDE6E7B-1D45-4BAC-9271-789D07443BEF}"/>
    <cellStyle name="Style 99 5 3 3" xfId="17331" xr:uid="{BAD7DCD9-5CE6-4218-A4BB-7E7ADD5B1C47}"/>
    <cellStyle name="Style 99 5 3 3 2" xfId="17332" xr:uid="{1584B0D9-FD69-4B23-9B87-2AC4ADACC52B}"/>
    <cellStyle name="Style 99 5 3 3 2 2" xfId="33010" xr:uid="{C372E4AB-9BE5-40B0-BCC7-4A80AACAED17}"/>
    <cellStyle name="Style 99 5 3 3 3" xfId="33009" xr:uid="{6F215154-3A97-401E-8034-ABBDC732CC0B}"/>
    <cellStyle name="Style 99 5 3 4" xfId="17333" xr:uid="{27239500-741B-4F2E-BD9A-3B79D04A407B}"/>
    <cellStyle name="Style 99 5 3 4 2" xfId="17334" xr:uid="{89CC7DDC-43DC-4628-84F9-619F18591903}"/>
    <cellStyle name="Style 99 5 3 4 2 2" xfId="33012" xr:uid="{A7C8BA58-C88B-4C9E-A6AD-EA7EB7D3C014}"/>
    <cellStyle name="Style 99 5 3 4 3" xfId="33011" xr:uid="{3258E151-4E94-4EC5-899E-D55C9551EF83}"/>
    <cellStyle name="Style 99 5 3 5" xfId="17335" xr:uid="{A7F1E488-CBC7-443E-8FFA-0CB019792C46}"/>
    <cellStyle name="Style 99 5 3 5 2" xfId="17336" xr:uid="{BD6E1E14-541F-4D1A-BBBD-4D0F1D3B0984}"/>
    <cellStyle name="Style 99 5 3 5 2 2" xfId="33014" xr:uid="{11E513D6-36E1-40FF-84FE-F48C224148D6}"/>
    <cellStyle name="Style 99 5 3 5 3" xfId="33013" xr:uid="{DADAAFFF-F622-4024-BF86-77F9BC97F4D8}"/>
    <cellStyle name="Style 99 5 3 6" xfId="17337" xr:uid="{80D6C399-4ADF-45D5-9947-E969E689EFF8}"/>
    <cellStyle name="Style 99 5 3 6 2" xfId="33015" xr:uid="{E6D90E40-28F9-4E10-B61C-29F228734786}"/>
    <cellStyle name="Style 99 5 3 7" xfId="17338" xr:uid="{6B9D5043-E174-416E-9131-1A930600171D}"/>
    <cellStyle name="Style 99 5 3 7 2" xfId="33016" xr:uid="{5EF8D164-08F9-4930-9D50-EF569590EB4E}"/>
    <cellStyle name="Style 99 5 3 8" xfId="20921" xr:uid="{5084534C-BEBE-4FA9-901A-1A9709B14BAA}"/>
    <cellStyle name="Style 99 5 4" xfId="5532" xr:uid="{C82FE1D3-22F8-4B8B-8998-B292C35DC2C3}"/>
    <cellStyle name="Style 99 5 4 2" xfId="17339" xr:uid="{22228C32-F44D-434D-AC20-BBBA76A0FF61}"/>
    <cellStyle name="Style 99 5 4 2 2" xfId="33017" xr:uid="{15C3363D-73AA-4CF4-ACFF-81EB4CFF4D03}"/>
    <cellStyle name="Style 99 5 4 3" xfId="17340" xr:uid="{8063F7E9-DEE3-48FD-8166-8FC584430D2E}"/>
    <cellStyle name="Style 99 5 4 3 2" xfId="33018" xr:uid="{31D265A7-7AF0-4CE9-BD84-E7BDAE2F18D8}"/>
    <cellStyle name="Style 99 5 4 4" xfId="17341" xr:uid="{DB0D9DFF-2165-42F9-9043-BBC272BB7EB4}"/>
    <cellStyle name="Style 99 5 4 4 2" xfId="33019" xr:uid="{A2BCAD33-BA9A-48CC-960A-2299BC1BC535}"/>
    <cellStyle name="Style 99 5 5" xfId="17342" xr:uid="{7D52F189-303D-4260-A5E8-2C8DE181659F}"/>
    <cellStyle name="Style 99 5 5 2" xfId="17343" xr:uid="{B836B106-C5C1-4B1B-BC36-C1643A477B2A}"/>
    <cellStyle name="Style 99 5 5 2 2" xfId="33021" xr:uid="{9D172206-5CD8-4C43-95C6-0BBA641DF0CC}"/>
    <cellStyle name="Style 99 5 5 3" xfId="33020" xr:uid="{475883AF-5E52-4934-A5E0-C7DE3C67366F}"/>
    <cellStyle name="Style 99 5 6" xfId="17344" xr:uid="{4DFC52CC-6E75-44C0-BF69-C6E1E7F5A649}"/>
    <cellStyle name="Style 99 5 6 2" xfId="17345" xr:uid="{92FABC9B-270D-4013-BE9F-910B444B16E0}"/>
    <cellStyle name="Style 99 5 6 2 2" xfId="33023" xr:uid="{7B08BEED-D71C-49FB-B3B0-15E276666CBC}"/>
    <cellStyle name="Style 99 5 6 3" xfId="33022" xr:uid="{3AD94E64-16E0-4F54-9EFF-E8197D1226AD}"/>
    <cellStyle name="Style 99 5 7" xfId="17346" xr:uid="{1569453A-F39D-42D6-962E-21BC7096BE77}"/>
    <cellStyle name="Style 99 5 7 2" xfId="17347" xr:uid="{A11CA49C-3850-474A-8C4E-327C187DD878}"/>
    <cellStyle name="Style 99 5 7 2 2" xfId="33025" xr:uid="{7B2FC089-25D1-4182-BBAD-50218ACFB942}"/>
    <cellStyle name="Style 99 5 7 3" xfId="33024" xr:uid="{F9864285-9040-4AC7-881B-78732C1A7091}"/>
    <cellStyle name="Style 99 5 8" xfId="17348" xr:uid="{4A61C16D-A379-47B4-9945-5EFD38FD1CB1}"/>
    <cellStyle name="Style 99 5 8 2" xfId="17349" xr:uid="{47A1FA16-4D00-4B03-BD8C-9F5F778AADD4}"/>
    <cellStyle name="Style 99 5 8 2 2" xfId="33027" xr:uid="{CFABA915-167A-4D98-9090-CBA8B9AAB5D7}"/>
    <cellStyle name="Style 99 5 8 3" xfId="33026" xr:uid="{B9FEC6E8-4D2F-4824-9F75-B2E412D0C95B}"/>
    <cellStyle name="Style 99 5 9" xfId="17350" xr:uid="{D90333E3-A008-4B35-A1AD-7DA648762B8A}"/>
    <cellStyle name="Style 99 5 9 2" xfId="17351" xr:uid="{FD704FAD-4E0A-47F3-B99A-91C2EA71B9CB}"/>
    <cellStyle name="Style 99 5 9 2 2" xfId="33029" xr:uid="{18E9A37D-8946-4C75-8E88-5E43D6792C41}"/>
    <cellStyle name="Style 99 5 9 3" xfId="33028" xr:uid="{E9002FE3-4824-42B6-98F8-9DC707555022}"/>
    <cellStyle name="Style 99 6" xfId="2576" xr:uid="{47635675-8AC5-48EA-97DB-A4B78D052B21}"/>
    <cellStyle name="Style 99 6 10" xfId="17352" xr:uid="{856765AD-BC59-4D33-9C71-24DE423D019F}"/>
    <cellStyle name="Style 99 6 10 2" xfId="33030" xr:uid="{49486D25-BB6A-48CB-93A1-716ECDFF2644}"/>
    <cellStyle name="Style 99 6 2" xfId="2819" xr:uid="{F03B72AB-ED8C-470B-AD9E-E84110C6E166}"/>
    <cellStyle name="Style 99 6 2 2" xfId="5535" xr:uid="{8EE80D80-0B00-424A-8904-A74689F75751}"/>
    <cellStyle name="Style 99 6 2 2 2" xfId="17353" xr:uid="{E695D84B-2853-4F83-87A8-40A51A9482B5}"/>
    <cellStyle name="Style 99 6 2 2 2 2" xfId="33031" xr:uid="{D663963F-DFF9-4472-B9B6-721FB17B6023}"/>
    <cellStyle name="Style 99 6 2 2 3" xfId="17354" xr:uid="{CD3D5803-172C-4599-8BC7-2BE63DF91E5F}"/>
    <cellStyle name="Style 99 6 2 2 3 2" xfId="33032" xr:uid="{9C27FA7C-AC0A-4E1D-8F8A-1C386ADF421C}"/>
    <cellStyle name="Style 99 6 2 2 4" xfId="17355" xr:uid="{2F99113A-2405-4AC7-89A3-5D2ABD2D9379}"/>
    <cellStyle name="Style 99 6 2 2 4 2" xfId="33033" xr:uid="{C24242EF-83E2-4EDC-AFDD-3A5493B45E32}"/>
    <cellStyle name="Style 99 6 2 3" xfId="17356" xr:uid="{3811DCA2-BCCA-492F-A9F5-99326A24C6DB}"/>
    <cellStyle name="Style 99 6 2 3 2" xfId="17357" xr:uid="{D1EC00E2-C261-49F7-8E2F-A73098149827}"/>
    <cellStyle name="Style 99 6 2 3 2 2" xfId="33034" xr:uid="{B89B02BC-C90E-4774-8EA3-A60EF2BE5CB7}"/>
    <cellStyle name="Style 99 6 2 3 3" xfId="17358" xr:uid="{D96839F5-B2AE-4AD5-9CDC-D20C31E03D64}"/>
    <cellStyle name="Style 99 6 2 3 3 2" xfId="33035" xr:uid="{553CA411-8EB6-415D-8CBE-5C8BDDF6CBC1}"/>
    <cellStyle name="Style 99 6 2 4" xfId="17359" xr:uid="{84FB5DB5-818B-4008-AE24-EA664E26D3C1}"/>
    <cellStyle name="Style 99 6 2 4 2" xfId="17360" xr:uid="{0C88CCFA-CBDE-4812-B1F9-6A04C0DB83A1}"/>
    <cellStyle name="Style 99 6 2 4 2 2" xfId="33037" xr:uid="{EE6E65C9-4A86-462F-B39A-9FC20CDD74DB}"/>
    <cellStyle name="Style 99 6 2 4 3" xfId="33036" xr:uid="{8FDCFA49-F578-4926-9CDD-9721739E98F4}"/>
    <cellStyle name="Style 99 6 2 5" xfId="17361" xr:uid="{8BCF02A9-A534-48FF-8A1B-AECA7A6C2C49}"/>
    <cellStyle name="Style 99 6 2 5 2" xfId="17362" xr:uid="{ED141779-9097-437A-A92C-A7CB9B2B7C70}"/>
    <cellStyle name="Style 99 6 2 5 2 2" xfId="33039" xr:uid="{097F64DC-7023-472F-8D40-927646502E93}"/>
    <cellStyle name="Style 99 6 2 5 3" xfId="33038" xr:uid="{90ED06FA-705E-49B0-8725-C089B1A7655A}"/>
    <cellStyle name="Style 99 6 2 6" xfId="17363" xr:uid="{92C2F0C6-C830-498B-BC4F-FF32F8731D36}"/>
    <cellStyle name="Style 99 6 2 6 2" xfId="33040" xr:uid="{D9714015-1935-4FF8-8DFE-79EC490E0853}"/>
    <cellStyle name="Style 99 6 2 7" xfId="17364" xr:uid="{807EB3D9-36A0-4D79-B091-5156F530E186}"/>
    <cellStyle name="Style 99 6 2 7 2" xfId="33041" xr:uid="{D4DF4F64-4047-4284-AC73-9D263D878A3B}"/>
    <cellStyle name="Style 99 6 3" xfId="5536" xr:uid="{7AC39CA5-B2B8-448E-9B9F-CAAF91F07A6E}"/>
    <cellStyle name="Style 99 6 3 2" xfId="17365" xr:uid="{B42A1C36-C83E-4EAB-86D3-2330A7FAC958}"/>
    <cellStyle name="Style 99 6 3 2 2" xfId="33042" xr:uid="{1BB447A7-EF41-4770-AFD9-8E263DCAA157}"/>
    <cellStyle name="Style 99 6 3 3" xfId="17366" xr:uid="{C475A575-DF5F-4025-8C5F-86B4B70CBCF0}"/>
    <cellStyle name="Style 99 6 3 3 2" xfId="33043" xr:uid="{E382D00B-1546-4BF5-8F39-5051AB995C47}"/>
    <cellStyle name="Style 99 6 3 4" xfId="17367" xr:uid="{A85CA191-5DC4-43E9-86D3-65B7223D5889}"/>
    <cellStyle name="Style 99 6 3 4 2" xfId="33044" xr:uid="{362C26DB-82C9-4BC2-9FE2-B675CA6D5F45}"/>
    <cellStyle name="Style 99 6 4" xfId="5534" xr:uid="{D3F040E7-E4DA-408F-9B56-20CF0F4941C8}"/>
    <cellStyle name="Style 99 6 4 2" xfId="17368" xr:uid="{0276C672-DE50-44A9-935C-AB606968BFB5}"/>
    <cellStyle name="Style 99 6 4 2 2" xfId="33045" xr:uid="{AA4DE932-EA06-4FF2-9364-A9D69B908C29}"/>
    <cellStyle name="Style 99 6 4 3" xfId="17369" xr:uid="{2FFF1997-F3F0-4401-89E1-016290DE31BB}"/>
    <cellStyle name="Style 99 6 4 3 2" xfId="33046" xr:uid="{F990C454-9242-4CF1-ACA2-95562FDEE968}"/>
    <cellStyle name="Style 99 6 5" xfId="17370" xr:uid="{FEDEC9C4-D303-4E2D-BAA8-FB303F2E3809}"/>
    <cellStyle name="Style 99 6 5 2" xfId="17371" xr:uid="{5C50FDD1-6CFC-4A4D-89AD-78B5EDD78813}"/>
    <cellStyle name="Style 99 6 5 2 2" xfId="33048" xr:uid="{8C397119-ECBC-45D1-9711-E33A77D92C5E}"/>
    <cellStyle name="Style 99 6 5 3" xfId="33047" xr:uid="{DDE3D80B-9EEC-4265-BE0C-A870AD8986CA}"/>
    <cellStyle name="Style 99 6 6" xfId="17372" xr:uid="{F5086048-944D-4F74-9DD3-EB1832178F9F}"/>
    <cellStyle name="Style 99 6 6 2" xfId="17373" xr:uid="{2B99D340-59B5-4804-8831-8072D28358C4}"/>
    <cellStyle name="Style 99 6 6 2 2" xfId="33050" xr:uid="{1EDBE958-B232-4069-A568-0B7264E2E871}"/>
    <cellStyle name="Style 99 6 6 3" xfId="33049" xr:uid="{35EEF752-86AA-4853-B899-AD39E5E21469}"/>
    <cellStyle name="Style 99 6 7" xfId="17374" xr:uid="{5C93E225-C4E3-4A42-B917-2D77457C5745}"/>
    <cellStyle name="Style 99 6 7 2" xfId="17375" xr:uid="{25815FA3-72DF-4595-B13D-416529EDE2F1}"/>
    <cellStyle name="Style 99 6 7 2 2" xfId="33052" xr:uid="{F41ED94C-B680-45B1-868D-197550C38DC8}"/>
    <cellStyle name="Style 99 6 7 3" xfId="33051" xr:uid="{F242C1F4-A6A3-4C61-B03B-ACA06C0BCF60}"/>
    <cellStyle name="Style 99 6 8" xfId="17376" xr:uid="{D5CAE26A-B18F-4545-BE6E-10BE6C2ACA41}"/>
    <cellStyle name="Style 99 6 8 2" xfId="17377" xr:uid="{5ECBA9B1-5F48-4173-A3DB-F3545EB5101F}"/>
    <cellStyle name="Style 99 6 8 2 2" xfId="33054" xr:uid="{9460B1E5-1308-4A4E-88B4-23330803BAB9}"/>
    <cellStyle name="Style 99 6 8 3" xfId="33053" xr:uid="{53179E17-8160-4F14-8F4E-758AA4E2BEFB}"/>
    <cellStyle name="Style 99 6 9" xfId="17378" xr:uid="{247916E1-6D65-4DCF-BD4D-A7C33CAA5D36}"/>
    <cellStyle name="Style 99 6 9 2" xfId="33055" xr:uid="{E6B63B96-D160-48D4-8F10-892F002C4818}"/>
    <cellStyle name="Style 99 7" xfId="2807" xr:uid="{C527E394-EA32-456A-9A8D-C907972F2A69}"/>
    <cellStyle name="Style 99 7 2" xfId="5538" xr:uid="{300E4093-2823-4F96-8EAE-92EE2F96A93F}"/>
    <cellStyle name="Style 99 7 2 2" xfId="17379" xr:uid="{92AB7B1A-1411-49AB-9C6A-7E78A5CF5429}"/>
    <cellStyle name="Style 99 7 2 2 2" xfId="33056" xr:uid="{70F44717-C8ED-43E8-8BB4-D61E55F6188E}"/>
    <cellStyle name="Style 99 7 3" xfId="5539" xr:uid="{E3F53F8E-7A2F-4BDC-8E25-736D0C40932B}"/>
    <cellStyle name="Style 99 7 3 2" xfId="17380" xr:uid="{0E5491F4-C9BB-4DCE-94DB-011002015095}"/>
    <cellStyle name="Style 99 7 3 2 2" xfId="33057" xr:uid="{4AA953D2-E27D-44D2-ACDD-F076B04E30F2}"/>
    <cellStyle name="Style 99 7 4" xfId="5537" xr:uid="{7C8D451D-273E-4A9E-A85B-8AD964BE8937}"/>
    <cellStyle name="Style 99 7 4 2" xfId="22553" xr:uid="{8DE8B2C8-1105-40E7-AEAC-92CA1F9C873B}"/>
    <cellStyle name="Style 99 7 5" xfId="17381" xr:uid="{17BE2094-5E31-473E-8FDA-74DCE08CC11F}"/>
    <cellStyle name="Style 99 7 5 2" xfId="33058" xr:uid="{65821692-C7A3-4E85-B2BC-D3667C33F99B}"/>
    <cellStyle name="Style 99 7 6" xfId="19327" xr:uid="{D051D6DE-5E85-484A-8DC3-8CF5C125AFE1}"/>
    <cellStyle name="Style 99 8" xfId="5540" xr:uid="{4A230E91-B971-4267-BFA7-2626821FE20B}"/>
    <cellStyle name="Style 99 8 2" xfId="17382" xr:uid="{30C6B264-202F-41E7-81BD-0C7AB28829D8}"/>
    <cellStyle name="Style 99 8 2 2" xfId="33059" xr:uid="{A9BC9945-F636-4597-8842-CB32F2FCE12F}"/>
    <cellStyle name="Style 99 8 3" xfId="17383" xr:uid="{3E685B7C-1517-4737-8514-7F8E966754FF}"/>
    <cellStyle name="Style 99 8 3 2" xfId="33060" xr:uid="{313477D5-A0B8-47E6-8B83-01B5564551BD}"/>
    <cellStyle name="Style 99 9" xfId="5541" xr:uid="{57D2CB3E-8065-446B-8E9F-70D53DE6E602}"/>
    <cellStyle name="Style 99 9 2" xfId="17384" xr:uid="{70275A2D-9FC9-4913-AC9C-F2E12B7E4A58}"/>
    <cellStyle name="Style 99 9 2 2" xfId="33061" xr:uid="{AB966D35-12D5-4327-ACDA-ED7110BBBE99}"/>
    <cellStyle name="Style 99 9 3" xfId="17385" xr:uid="{60399D03-5C32-4D41-9FFB-532C0E4E7805}"/>
    <cellStyle name="Style 99 9 3 2" xfId="33062" xr:uid="{84BF1D6A-92A8-4BF5-9D22-D7454F855029}"/>
    <cellStyle name="Style 99_ADDON" xfId="20540" xr:uid="{7A9AE465-D434-4119-9192-910C2428B0ED}"/>
    <cellStyle name="TableStyleLight1" xfId="2577" xr:uid="{6DA73881-DEC1-4C9F-806F-584565B483DB}"/>
    <cellStyle name="TableStyleLight1 10" xfId="17386" xr:uid="{BD9A744C-EEF9-48C2-8460-F5FC44104DDE}"/>
    <cellStyle name="TableStyleLight1 10 2" xfId="33063" xr:uid="{9A66E0D0-57F8-41B5-87B6-B96CFF98C5A7}"/>
    <cellStyle name="TableStyleLight1 2" xfId="17387" xr:uid="{13771917-0E7D-47C6-B2A5-53692DEF2155}"/>
    <cellStyle name="TableStyleLight1 2 2" xfId="17388" xr:uid="{D81B558A-741C-4C94-8490-0168750CB5FB}"/>
    <cellStyle name="TableStyleLight1 2 2 2" xfId="17389" xr:uid="{42F850CF-59DD-40C8-8643-9CCD1BD86CE9}"/>
    <cellStyle name="TableStyleLight1 2 2 2 2" xfId="33065" xr:uid="{4ADF491C-CF91-493B-B5C0-4AF1F1F0E0EE}"/>
    <cellStyle name="TableStyleLight1 2 2 3" xfId="17390" xr:uid="{74C967F0-B5D0-472E-A73E-9438B87D4C19}"/>
    <cellStyle name="TableStyleLight1 2 2 3 2" xfId="33066" xr:uid="{5DABF0E4-CF72-4ED0-B11D-F602409F3667}"/>
    <cellStyle name="TableStyleLight1 2 2 4" xfId="33064" xr:uid="{121E6199-B8BF-42C1-9B39-3D84988DF8B0}"/>
    <cellStyle name="TableStyleLight1 2 3" xfId="17391" xr:uid="{05CC2766-293C-41DD-B315-79A6EA89A881}"/>
    <cellStyle name="TableStyleLight1 2 3 2" xfId="17392" xr:uid="{8562FDE6-BC20-401E-8F9B-B8C76D4BE8CE}"/>
    <cellStyle name="TableStyleLight1 2 3 2 2" xfId="33068" xr:uid="{B3481A9F-7B77-4DFB-A0A4-CADC680063E9}"/>
    <cellStyle name="TableStyleLight1 2 3 3" xfId="33067" xr:uid="{5268F74B-A56F-445F-85F5-8454052CDD8D}"/>
    <cellStyle name="TableStyleLight1 2 4" xfId="17393" xr:uid="{16A3154C-7B38-4D35-B615-352195EA90AF}"/>
    <cellStyle name="TableStyleLight1 2 4 2" xfId="17394" xr:uid="{EC2C2007-BF56-4BA8-B84A-D605660C76D5}"/>
    <cellStyle name="TableStyleLight1 2 4 2 2" xfId="33070" xr:uid="{EC7E8DB0-F2C6-41C8-B720-7E900A016FB0}"/>
    <cellStyle name="TableStyleLight1 2 4 3" xfId="33069" xr:uid="{9DB474A4-91B7-4FFE-A176-A494E3EDBA16}"/>
    <cellStyle name="TableStyleLight1 2 5" xfId="17395" xr:uid="{84F7A1B9-F77C-4DF6-8A3A-7215BC8FA9DA}"/>
    <cellStyle name="TableStyleLight1 2 5 2" xfId="17396" xr:uid="{D4F72AB3-62A9-4DC3-A504-5F1D889F65AB}"/>
    <cellStyle name="TableStyleLight1 2 5 2 2" xfId="33072" xr:uid="{0E40C5EC-0791-4EF3-BA3F-BD695FFD0272}"/>
    <cellStyle name="TableStyleLight1 2 5 3" xfId="33071" xr:uid="{0B4D7763-07AF-4080-BB0C-F03252999A8D}"/>
    <cellStyle name="TableStyleLight1 2 6" xfId="17397" xr:uid="{FB8B5AC0-222E-41A4-926C-2EA64E40AE41}"/>
    <cellStyle name="TableStyleLight1 2 6 2" xfId="33073" xr:uid="{87BC41AB-0E88-400C-A0EF-1CF791C2E5DD}"/>
    <cellStyle name="TableStyleLight1 2 7" xfId="17398" xr:uid="{0444EED5-5B1F-4A06-9587-05B2464D5E89}"/>
    <cellStyle name="TableStyleLight1 2 7 2" xfId="33074" xr:uid="{900602DA-3E41-4441-BF8A-6EEE14BDE414}"/>
    <cellStyle name="TableStyleLight1 3" xfId="17399" xr:uid="{0A13F4BA-D67E-4AA7-853A-FD9EFABDE3DF}"/>
    <cellStyle name="TableStyleLight1 3 2" xfId="17400" xr:uid="{8D87FFA3-CBEA-4A8E-A04D-54D4FF000978}"/>
    <cellStyle name="TableStyleLight1 3 2 2" xfId="33076" xr:uid="{F7CDD04F-4A80-4037-AFD5-F3388E40D2DD}"/>
    <cellStyle name="TableStyleLight1 3 3" xfId="17401" xr:uid="{5C02117D-7433-4D8D-BC40-790717A95FC9}"/>
    <cellStyle name="TableStyleLight1 3 3 2" xfId="33077" xr:uid="{3BAD1722-0CAC-4891-BB47-C4563F736AE0}"/>
    <cellStyle name="TableStyleLight1 3 4" xfId="33075" xr:uid="{3E066C49-FF17-46B5-8BF9-11190FDEFA7D}"/>
    <cellStyle name="TableStyleLight1 4" xfId="17402" xr:uid="{C43D2F05-80ED-43D3-BACC-4DD714B49E55}"/>
    <cellStyle name="TableStyleLight1 4 2" xfId="17403" xr:uid="{476748C5-4575-44BF-BB29-D3F78F8B6CF8}"/>
    <cellStyle name="TableStyleLight1 4 2 2" xfId="33079" xr:uid="{0ACAA57E-DB5D-406E-AFE7-4BD5EF22100C}"/>
    <cellStyle name="TableStyleLight1 4 3" xfId="33078" xr:uid="{D17BF2F2-4BF8-4797-A7A4-88CF0A6E4920}"/>
    <cellStyle name="TableStyleLight1 5" xfId="17404" xr:uid="{AFA3C92F-AC5D-4249-B5A1-EC277B27041D}"/>
    <cellStyle name="TableStyleLight1 5 2" xfId="17405" xr:uid="{7FD2646E-AB85-435B-85FA-BB9041909BBF}"/>
    <cellStyle name="TableStyleLight1 5 2 2" xfId="33081" xr:uid="{2D5BB5DA-2A0A-49B9-AD56-B01D0A9499A2}"/>
    <cellStyle name="TableStyleLight1 5 3" xfId="33080" xr:uid="{07F30E75-AD69-426E-A8DD-9520D5123B14}"/>
    <cellStyle name="TableStyleLight1 6" xfId="17406" xr:uid="{A890FD4E-BEE3-42D1-BC95-667E42BFDB06}"/>
    <cellStyle name="TableStyleLight1 6 2" xfId="17407" xr:uid="{4C158D40-0A12-43F4-9802-03DCACA457A3}"/>
    <cellStyle name="TableStyleLight1 6 2 2" xfId="33083" xr:uid="{881D19BB-EB2C-4B7F-9A0E-DD73AF86E8BC}"/>
    <cellStyle name="TableStyleLight1 6 3" xfId="33082" xr:uid="{FE04BDE0-BD4A-4D25-B1B1-7699F34D5106}"/>
    <cellStyle name="TableStyleLight1 7" xfId="17408" xr:uid="{F7DBB0B3-1F04-47D3-9783-46E8DD230FB9}"/>
    <cellStyle name="TableStyleLight1 7 2" xfId="17409" xr:uid="{802BDA7B-204F-4FC1-BD74-6F7456360052}"/>
    <cellStyle name="TableStyleLight1 7 2 2" xfId="33085" xr:uid="{89D6FAA5-50D7-4F2F-9B6F-681E87B6EA6F}"/>
    <cellStyle name="TableStyleLight1 7 3" xfId="33084" xr:uid="{97F41AD5-50A0-4BBE-83FC-3C9BEA9DCA71}"/>
    <cellStyle name="TableStyleLight1 8" xfId="17410" xr:uid="{3131C3C9-CC6D-4FB2-B859-EB24510BA601}"/>
    <cellStyle name="TableStyleLight1 8 2" xfId="17411" xr:uid="{98585E5A-8553-48FA-843B-9A3F583C78F3}"/>
    <cellStyle name="TableStyleLight1 8 2 2" xfId="33087" xr:uid="{1D972843-6F97-47D5-8524-05DA1ADF6B11}"/>
    <cellStyle name="TableStyleLight1 8 3" xfId="33086" xr:uid="{B220DC31-48DA-4098-A0B6-A2E58C10B671}"/>
    <cellStyle name="TableStyleLight1 9" xfId="17412" xr:uid="{935A611D-6C32-4749-A94B-F1FE7A38B499}"/>
    <cellStyle name="TableStyleLight1 9 2" xfId="33088" xr:uid="{860E0D63-679C-40FB-873D-7FE76D897B24}"/>
    <cellStyle name="Texte explicatif" xfId="2578" xr:uid="{B312965F-115D-41AA-8018-7E3F28ABA08D}"/>
    <cellStyle name="Texte explicatif 10" xfId="17413" xr:uid="{0C5C713C-FF4D-4058-A2C4-BADFEB23FEDC}"/>
    <cellStyle name="Texte explicatif 10 2" xfId="33089" xr:uid="{6B843196-BC40-4FBC-9DD7-10157D0CF03C}"/>
    <cellStyle name="Texte explicatif 11" xfId="17414" xr:uid="{84A1B2A8-6B6A-49F8-977C-33434B45DF18}"/>
    <cellStyle name="Texte explicatif 11 2" xfId="33090" xr:uid="{0D55F93A-839F-488F-92FC-68097CD00BDF}"/>
    <cellStyle name="Texte explicatif 2" xfId="2820" xr:uid="{08D393C3-830F-4AD8-B0C7-B461960CEE90}"/>
    <cellStyle name="Texte explicatif 2 2" xfId="5543" xr:uid="{DD8FC98F-534E-4FA9-A113-2AE7658E7B52}"/>
    <cellStyle name="Texte explicatif 2 2 2" xfId="17415" xr:uid="{8E5B3C71-0339-4AED-93F2-91708431E5A3}"/>
    <cellStyle name="Texte explicatif 2 2 2 2" xfId="33091" xr:uid="{BBCA56B5-6A96-4460-B062-60CF42CA491E}"/>
    <cellStyle name="Texte explicatif 2 2 3" xfId="17416" xr:uid="{6A821AD0-B0D4-4816-A25F-F9D2FCAC47CF}"/>
    <cellStyle name="Texte explicatif 2 2 3 2" xfId="33092" xr:uid="{DDBFBE33-D878-426A-82ED-1D64FAECED90}"/>
    <cellStyle name="Texte explicatif 2 2 4" xfId="17417" xr:uid="{D44952A6-21E5-4275-9BC9-122A1EC33521}"/>
    <cellStyle name="Texte explicatif 2 2 4 2" xfId="33093" xr:uid="{C289CE87-AC2C-41E7-9A6F-8FD6CE275C33}"/>
    <cellStyle name="Texte explicatif 2 3" xfId="17418" xr:uid="{C12314A4-78D3-41EE-9CCC-BA22C8352068}"/>
    <cellStyle name="Texte explicatif 2 3 2" xfId="17419" xr:uid="{A4B19F94-68FF-4FA9-961F-1848DAB82500}"/>
    <cellStyle name="Texte explicatif 2 3 2 2" xfId="33094" xr:uid="{C3770300-963A-45AB-9018-5720D02598B4}"/>
    <cellStyle name="Texte explicatif 2 3 3" xfId="17420" xr:uid="{5787DF01-F5D1-4AA3-BBD0-847922DB20EB}"/>
    <cellStyle name="Texte explicatif 2 3 3 2" xfId="33095" xr:uid="{92144E36-8E4A-4DBA-8BC6-0C19BE4E34DE}"/>
    <cellStyle name="Texte explicatif 2 4" xfId="17421" xr:uid="{F82407C6-0A54-48A1-985F-EB0F5FCA660B}"/>
    <cellStyle name="Texte explicatif 2 4 2" xfId="17422" xr:uid="{549BD233-AC4C-4E63-A6E7-297AD12E842F}"/>
    <cellStyle name="Texte explicatif 2 4 2 2" xfId="33097" xr:uid="{F9DD1A02-2E63-4DB5-8020-3E4314C093A8}"/>
    <cellStyle name="Texte explicatif 2 4 3" xfId="33096" xr:uid="{A4725EFA-5F87-4453-93FF-0A881C92822B}"/>
    <cellStyle name="Texte explicatif 2 5" xfId="17423" xr:uid="{05C5F915-7CC2-455D-8DBA-D64C377A5F42}"/>
    <cellStyle name="Texte explicatif 2 5 2" xfId="17424" xr:uid="{6F30D32F-38BD-4E19-AE7F-4B4CA1AD8844}"/>
    <cellStyle name="Texte explicatif 2 5 2 2" xfId="33099" xr:uid="{7FFC0379-AD13-4DAD-9C49-16F443FC9572}"/>
    <cellStyle name="Texte explicatif 2 5 3" xfId="33098" xr:uid="{9519939E-910D-4BA8-9C8C-13CD4028AF97}"/>
    <cellStyle name="Texte explicatif 2 6" xfId="17425" xr:uid="{D7445E98-1D9D-48A2-B1D4-6A32463FCBBE}"/>
    <cellStyle name="Texte explicatif 2 6 2" xfId="33100" xr:uid="{B3FAC1D0-D42F-4698-B77F-9CCF884C6108}"/>
    <cellStyle name="Texte explicatif 2 7" xfId="17426" xr:uid="{371BC254-81D0-44DF-80DF-CD1E6C76C6E5}"/>
    <cellStyle name="Texte explicatif 2 7 2" xfId="33101" xr:uid="{F612C0CF-7582-4785-8B3A-AF0241B1ABED}"/>
    <cellStyle name="Texte explicatif 3" xfId="5542" xr:uid="{9EA8ACAD-487E-4431-89A4-C135A181FDE7}"/>
    <cellStyle name="Texte explicatif 3 2" xfId="17427" xr:uid="{712DDA97-8CB8-412F-AC9A-FF7011FF7905}"/>
    <cellStyle name="Texte explicatif 3 2 2" xfId="17428" xr:uid="{D494F210-CC34-4CA3-8D75-8247AF57AAFB}"/>
    <cellStyle name="Texte explicatif 3 2 2 2" xfId="33102" xr:uid="{0BDD8F87-1449-4C8B-99D8-0975B63E210E}"/>
    <cellStyle name="Texte explicatif 3 3" xfId="17429" xr:uid="{EAFFCDD9-5913-4205-A696-540932DCA06E}"/>
    <cellStyle name="Texte explicatif 3 3 2" xfId="33103" xr:uid="{BAF7FCB4-821B-438D-BE6D-6B4E872C2722}"/>
    <cellStyle name="Texte explicatif 3 4" xfId="17430" xr:uid="{15BEF632-6C48-4092-8A7D-9CB1F7DA021A}"/>
    <cellStyle name="Texte explicatif 3 4 2" xfId="33104" xr:uid="{EC1235D6-1929-4A00-84C4-6597298134E6}"/>
    <cellStyle name="Texte explicatif 4" xfId="17431" xr:uid="{3C5CF91E-4876-43A0-9BBA-4EBC3068272A}"/>
    <cellStyle name="Texte explicatif 4 2" xfId="17432" xr:uid="{6C318282-DD38-48D5-BB50-264AE4A0B12B}"/>
    <cellStyle name="Texte explicatif 4 2 2" xfId="33106" xr:uid="{5E663CC9-542F-456C-A86D-5B4152DACF01}"/>
    <cellStyle name="Texte explicatif 4 3" xfId="33105" xr:uid="{7A959890-2308-4379-9B14-1A7E6F095210}"/>
    <cellStyle name="Texte explicatif 5" xfId="17433" xr:uid="{32963AE9-E0A9-435F-BD7E-B97B111B7061}"/>
    <cellStyle name="Texte explicatif 5 2" xfId="17434" xr:uid="{E6734D00-599D-424A-8466-5A0668C8AE26}"/>
    <cellStyle name="Texte explicatif 5 2 2" xfId="33108" xr:uid="{B19C30CD-3FCD-4FFF-A2DE-F9EF57C68F72}"/>
    <cellStyle name="Texte explicatif 5 3" xfId="33107" xr:uid="{F0169133-CB8E-4DFA-ACBF-7DCB1CDCE2E4}"/>
    <cellStyle name="Texte explicatif 6" xfId="17435" xr:uid="{ED9BE7BB-5B74-4D26-A1E8-2D80B4C97D43}"/>
    <cellStyle name="Texte explicatif 6 2" xfId="17436" xr:uid="{EB6839FD-A730-4B39-9CF7-2B0494285DFD}"/>
    <cellStyle name="Texte explicatif 6 2 2" xfId="33110" xr:uid="{040C020C-1E7B-495F-9CA4-6E0A3289D531}"/>
    <cellStyle name="Texte explicatif 6 3" xfId="33109" xr:uid="{6289E9EC-2409-45C5-8062-27AB926D1E0C}"/>
    <cellStyle name="Texte explicatif 7" xfId="17437" xr:uid="{0D1AAD6A-A641-44D1-B902-D7B479C6256E}"/>
    <cellStyle name="Texte explicatif 7 2" xfId="17438" xr:uid="{AAF71549-4DC6-4090-8E06-36440A86652C}"/>
    <cellStyle name="Texte explicatif 7 2 2" xfId="33112" xr:uid="{54AAE31D-64A4-428D-B2BC-129FB44D1EF7}"/>
    <cellStyle name="Texte explicatif 7 3" xfId="33111" xr:uid="{9AF56FAF-D401-4564-8D1A-1BB78BB96CF8}"/>
    <cellStyle name="Texte explicatif 8" xfId="17439" xr:uid="{D4761911-B6AE-4EC5-BF33-7566811D0B28}"/>
    <cellStyle name="Texte explicatif 8 2" xfId="17440" xr:uid="{E26A22AD-D464-4074-8F5E-5C7883E5C0B6}"/>
    <cellStyle name="Texte explicatif 8 2 2" xfId="33114" xr:uid="{CA013C2D-D47A-4BE8-B7AE-A62C3DA67136}"/>
    <cellStyle name="Texte explicatif 8 3" xfId="33113" xr:uid="{12DBE9DB-A144-49F3-95A2-0CA3B492D416}"/>
    <cellStyle name="Texte explicatif 9" xfId="17441" xr:uid="{D6A29CDA-C68F-4AAA-B0F7-5E4EAAF85EB7}"/>
    <cellStyle name="Texte explicatif 9 2" xfId="33115" xr:uid="{DE79022C-6EB9-46F6-9281-76EE8A954590}"/>
    <cellStyle name="Title 2" xfId="2579" xr:uid="{EECA9410-4818-446F-8E21-3E666F7BEFF5}"/>
    <cellStyle name="Title 2 10" xfId="17442" xr:uid="{AC99AE66-E38D-48A3-9434-A54504C33A43}"/>
    <cellStyle name="Title 2 10 2" xfId="33116" xr:uid="{DE46374B-F462-4CC2-AD45-AFD1F511744E}"/>
    <cellStyle name="Title 2 11" xfId="17443" xr:uid="{689128B8-FA9A-4396-A440-E409DD17AEB1}"/>
    <cellStyle name="Title 2 11 2" xfId="33117" xr:uid="{27AAFF9A-EF3D-45BF-8801-6298F4312C34}"/>
    <cellStyle name="Title 2 2" xfId="2821" xr:uid="{36897DF0-B24B-4EC0-83CC-B392C2532BCF}"/>
    <cellStyle name="Title 2 2 2" xfId="5545" xr:uid="{1C86AD22-D6DE-4A18-87C0-85D888EA5795}"/>
    <cellStyle name="Title 2 2 2 2" xfId="17444" xr:uid="{6A5D4463-B078-4508-AAF9-E70822657D46}"/>
    <cellStyle name="Title 2 2 2 2 2" xfId="33118" xr:uid="{E6F25019-4A0C-45AF-BD95-8FCCD6E98296}"/>
    <cellStyle name="Title 2 2 2 3" xfId="17445" xr:uid="{1EA64123-E639-4DA5-A266-15F9AA04F5F4}"/>
    <cellStyle name="Title 2 2 2 3 2" xfId="33119" xr:uid="{38660C78-EAE6-4024-BF0D-57A1B93B899F}"/>
    <cellStyle name="Title 2 2 2 4" xfId="17446" xr:uid="{387474F1-AA3A-4C88-B7D2-451C9C99D1D0}"/>
    <cellStyle name="Title 2 2 2 4 2" xfId="33120" xr:uid="{1D536FB0-E1B1-4759-948D-823EABDD8ACF}"/>
    <cellStyle name="Title 2 2 3" xfId="17447" xr:uid="{EAB4AAD8-CAFB-4677-BBCE-357C849D7792}"/>
    <cellStyle name="Title 2 2 3 2" xfId="17448" xr:uid="{6FF26779-E0B7-4C07-9513-F2A608395426}"/>
    <cellStyle name="Title 2 2 3 2 2" xfId="33121" xr:uid="{CC013A17-19C2-4F1B-A8DD-6DF8A64A7209}"/>
    <cellStyle name="Title 2 2 3 3" xfId="17449" xr:uid="{AD92C126-74B0-4258-83CA-85209C3CA8E6}"/>
    <cellStyle name="Title 2 2 3 3 2" xfId="33122" xr:uid="{66F5F88C-5A05-455F-9254-F7FE1845AA84}"/>
    <cellStyle name="Title 2 2 4" xfId="17450" xr:uid="{B7F306C5-22B0-4460-85A7-2CAFD964E5FD}"/>
    <cellStyle name="Title 2 2 4 2" xfId="17451" xr:uid="{1948BA3B-000F-4551-AEA8-CA91F48ABE27}"/>
    <cellStyle name="Title 2 2 4 2 2" xfId="33124" xr:uid="{CC093F58-2636-491B-A94B-3BEF3B506FE1}"/>
    <cellStyle name="Title 2 2 4 3" xfId="33123" xr:uid="{A006E125-7FD2-4FC2-9849-C21256E2E7AA}"/>
    <cellStyle name="Title 2 2 5" xfId="17452" xr:uid="{6DF64481-6A3B-406A-929B-39316D523101}"/>
    <cellStyle name="Title 2 2 5 2" xfId="17453" xr:uid="{38851C74-809D-4B3B-961A-AB5C51B95794}"/>
    <cellStyle name="Title 2 2 5 2 2" xfId="33126" xr:uid="{61A57062-56B0-495D-98D2-92C75B19FFB0}"/>
    <cellStyle name="Title 2 2 5 3" xfId="33125" xr:uid="{4A4F89ED-67D5-4E0E-91A0-0273EFCBD02C}"/>
    <cellStyle name="Title 2 2 6" xfId="17454" xr:uid="{7E379EC1-26BF-444C-B93E-287C927F1B26}"/>
    <cellStyle name="Title 2 2 6 2" xfId="33127" xr:uid="{8294EEEC-11D2-4FC2-A8CA-93685E38247D}"/>
    <cellStyle name="Title 2 2 7" xfId="17455" xr:uid="{8406A552-5D36-44C7-BB54-B72496EB4858}"/>
    <cellStyle name="Title 2 2 7 2" xfId="33128" xr:uid="{0065B2BA-BF34-4EF2-AA25-7A7C7F6695E1}"/>
    <cellStyle name="Title 2 3" xfId="5544" xr:uid="{E5A79DFF-83DB-4343-9996-9E6E869807A5}"/>
    <cellStyle name="Title 2 3 2" xfId="17456" xr:uid="{0F339FA7-135E-407D-ABA2-BF7C5489CBDB}"/>
    <cellStyle name="Title 2 3 2 2" xfId="17457" xr:uid="{C3EAFE12-C269-4E79-AD3C-E7C40FC6D199}"/>
    <cellStyle name="Title 2 3 2 2 2" xfId="33129" xr:uid="{6378A874-D467-4394-A517-6774EC819B93}"/>
    <cellStyle name="Title 2 3 3" xfId="17458" xr:uid="{C97A37DD-51E8-4ADA-A9C5-A0769B827629}"/>
    <cellStyle name="Title 2 3 3 2" xfId="33130" xr:uid="{4E8ADFBE-F4D8-482C-BF46-980FE1E8900D}"/>
    <cellStyle name="Title 2 3 4" xfId="17459" xr:uid="{B3D7D911-6DF9-469F-876B-6824CEAE96D1}"/>
    <cellStyle name="Title 2 3 4 2" xfId="33131" xr:uid="{8B15573F-9264-47B0-BDE6-7B04D6C7A38C}"/>
    <cellStyle name="Title 2 4" xfId="17460" xr:uid="{568C3FA5-E299-471D-8389-D39BFD09EA11}"/>
    <cellStyle name="Title 2 4 2" xfId="17461" xr:uid="{6AE965DE-998D-498C-8E9B-47B5939F80BE}"/>
    <cellStyle name="Title 2 4 2 2" xfId="33133" xr:uid="{34FA4D97-0C4F-4765-B839-BABC7439F6B7}"/>
    <cellStyle name="Title 2 4 3" xfId="33132" xr:uid="{29DB2411-7C45-40F1-927C-08A9B6DC4D35}"/>
    <cellStyle name="Title 2 5" xfId="17462" xr:uid="{05DADB68-599D-44D0-8B3A-9C1860C75245}"/>
    <cellStyle name="Title 2 5 2" xfId="17463" xr:uid="{76314CEB-B13E-409E-91A9-CF266998B13B}"/>
    <cellStyle name="Title 2 5 2 2" xfId="33135" xr:uid="{0EB311CC-1805-4C0A-864D-F692DED51C8E}"/>
    <cellStyle name="Title 2 5 3" xfId="33134" xr:uid="{C5AD99B1-CC83-4413-B32A-A4AC57D5794E}"/>
    <cellStyle name="Title 2 6" xfId="17464" xr:uid="{886086E8-9499-4D11-A5D2-814723BAA8D3}"/>
    <cellStyle name="Title 2 6 2" xfId="17465" xr:uid="{0FCC3E75-66F2-4865-9A26-ECAEC3597BD7}"/>
    <cellStyle name="Title 2 6 2 2" xfId="33137" xr:uid="{75A3FB10-2780-4140-B0E5-E7458A9698C6}"/>
    <cellStyle name="Title 2 6 3" xfId="33136" xr:uid="{A8815CEE-47B8-4212-A8A4-526D6CF01FD9}"/>
    <cellStyle name="Title 2 7" xfId="17466" xr:uid="{2E1D8835-412A-4753-B31C-B01B51AFB5BA}"/>
    <cellStyle name="Title 2 7 2" xfId="17467" xr:uid="{43402404-1CB5-4CAA-B632-DD22F4D955EE}"/>
    <cellStyle name="Title 2 7 2 2" xfId="33139" xr:uid="{DE6AB384-5315-4DA8-9F30-A0F03B2FED13}"/>
    <cellStyle name="Title 2 7 3" xfId="33138" xr:uid="{0A2EA185-596B-4DE4-B71C-E007613EFB7C}"/>
    <cellStyle name="Title 2 8" xfId="17468" xr:uid="{32580E72-8AD3-456B-87D4-D3A8B7CBF762}"/>
    <cellStyle name="Title 2 8 2" xfId="17469" xr:uid="{EA99D8C8-E983-47BF-A7CA-50757D62F3F5}"/>
    <cellStyle name="Title 2 8 2 2" xfId="33141" xr:uid="{B25E04D6-07DD-4C67-AAB4-1CF96B6AA3A4}"/>
    <cellStyle name="Title 2 8 3" xfId="33140" xr:uid="{2134DA6C-E5EE-40CA-8513-0382DC8FD897}"/>
    <cellStyle name="Title 2 9" xfId="17470" xr:uid="{62181DAE-32AD-4AB3-9E21-CFA29F1355B1}"/>
    <cellStyle name="Title 2 9 2" xfId="33142" xr:uid="{43EF2E0A-2C33-42C1-9F73-F496013BFACC}"/>
    <cellStyle name="Title 3" xfId="2580" xr:uid="{B7167D12-A7C8-44BE-979E-5461FF9F0289}"/>
    <cellStyle name="Title 3 2" xfId="17471" xr:uid="{2CAC0830-237B-42FE-8469-66A618E96A0B}"/>
    <cellStyle name="Title 3 2 2" xfId="17472" xr:uid="{156C8BEB-0A17-415D-91DB-6C8B92F63698}"/>
    <cellStyle name="Title 3 2 2 2" xfId="17473" xr:uid="{745B9CAF-F630-4759-AA42-142DE7345334}"/>
    <cellStyle name="Title 3 2 2 2 2" xfId="33144" xr:uid="{CDCD0F22-111F-4D8D-8E60-796193C0944F}"/>
    <cellStyle name="Title 3 2 2 3" xfId="33143" xr:uid="{184F6E74-1445-465B-B1EE-BA24352CC7B3}"/>
    <cellStyle name="Title 3 2 3" xfId="17474" xr:uid="{FDB09815-58D0-46B6-86B5-82D9F71C8BCD}"/>
    <cellStyle name="Title 3 2 3 2" xfId="17475" xr:uid="{506E9E35-835D-4E93-B181-DBDE544E8DEA}"/>
    <cellStyle name="Title 3 2 3 2 2" xfId="33146" xr:uid="{B5C39B01-1387-46AA-B56E-E9ECA5D0AB19}"/>
    <cellStyle name="Title 3 2 3 3" xfId="33145" xr:uid="{5C90BDFC-A7F3-4235-BA1F-5EAD01847D93}"/>
    <cellStyle name="Title 3 2 4" xfId="17476" xr:uid="{689BFA7D-0007-4707-BDB1-B71590193FA6}"/>
    <cellStyle name="Title 3 2 4 2" xfId="17477" xr:uid="{364ED75B-B49F-4097-985B-20F6048488F4}"/>
    <cellStyle name="Title 3 2 4 2 2" xfId="33148" xr:uid="{835E0FA2-31BD-4E7F-8E93-F0141F95B52C}"/>
    <cellStyle name="Title 3 2 4 3" xfId="33147" xr:uid="{C724C99E-0204-4678-B684-C430AF8476F8}"/>
    <cellStyle name="Title 3 2 5" xfId="17478" xr:uid="{AD1FADF8-9CA0-45AE-AFA8-05DE8D9122C8}"/>
    <cellStyle name="Title 3 2 5 2" xfId="17479" xr:uid="{03434C97-5194-4F3A-B7F9-AFC6E62B7E09}"/>
    <cellStyle name="Title 3 2 5 2 2" xfId="33150" xr:uid="{F20F8D7D-6A2C-4A23-92FA-819603BC51FC}"/>
    <cellStyle name="Title 3 2 5 3" xfId="33149" xr:uid="{2ECDB87A-E1D1-4484-B252-D3E84D4D3B80}"/>
    <cellStyle name="Title 3 2 6" xfId="17480" xr:uid="{99E54638-2E72-475B-AD68-B49CE2D15223}"/>
    <cellStyle name="Title 3 2 6 2" xfId="33151" xr:uid="{5F228D4B-BEEE-4EFF-9305-98679F3173DF}"/>
    <cellStyle name="Title 3 2 7" xfId="17481" xr:uid="{703A35A9-2C9F-4FD5-8353-D3E6A5375EE5}"/>
    <cellStyle name="Title 3 2 7 2" xfId="33152" xr:uid="{80971301-52E4-4E22-8487-C56E0AD440EF}"/>
    <cellStyle name="Title 3 3" xfId="17482" xr:uid="{DA969577-E2DE-4F6A-AEAB-263606A68CCC}"/>
    <cellStyle name="Title 3 3 2" xfId="17483" xr:uid="{D64133DD-6B8C-4BB1-9D6C-EC7B49D2C8B6}"/>
    <cellStyle name="Title 3 3 2 2" xfId="33154" xr:uid="{2892B04E-5898-4BDD-96D5-25C5068277C5}"/>
    <cellStyle name="Title 3 3 3" xfId="33153" xr:uid="{5B52507E-EC8D-4460-A38A-8E3EE207E923}"/>
    <cellStyle name="Title 3 4" xfId="17484" xr:uid="{A2F6C054-7200-4603-B4AF-07C1CB9AA5B7}"/>
    <cellStyle name="Title 3 4 2" xfId="17485" xr:uid="{69ABFBD7-CAE3-433A-A571-DCB17984D6D4}"/>
    <cellStyle name="Title 3 4 2 2" xfId="33156" xr:uid="{1622DEB4-92F4-44C8-83AC-9403838A0576}"/>
    <cellStyle name="Title 3 4 3" xfId="33155" xr:uid="{EC4B61B1-0643-4562-99E6-ED3B328FB6C3}"/>
    <cellStyle name="Title 3 5" xfId="17486" xr:uid="{A253153A-ED17-46CF-A038-758E1563852E}"/>
    <cellStyle name="Title 3 5 2" xfId="17487" xr:uid="{6F373F8D-3AEF-4482-94C9-2EDC0BB83BAF}"/>
    <cellStyle name="Title 3 5 2 2" xfId="33158" xr:uid="{2E01735F-495C-4245-AEDD-247AFF8397DB}"/>
    <cellStyle name="Title 3 5 3" xfId="33157" xr:uid="{775C02DD-D3CB-40D2-A58B-461F865AC099}"/>
    <cellStyle name="Title 3 6" xfId="17488" xr:uid="{DE1207DE-FBA6-4A71-BD00-CC58751A11FA}"/>
    <cellStyle name="Title 3 6 2" xfId="17489" xr:uid="{0BCFE861-99A2-42EE-B146-38838B80ACEF}"/>
    <cellStyle name="Title 3 6 2 2" xfId="33160" xr:uid="{8F9DC60D-84CB-48BF-87DE-51842DA02868}"/>
    <cellStyle name="Title 3 6 3" xfId="33159" xr:uid="{CD759747-90BF-42AA-81DD-89340D4D1EA7}"/>
    <cellStyle name="Title 3 7" xfId="17490" xr:uid="{F5CD00AE-AAF0-47BF-BE83-69AA1AC097FD}"/>
    <cellStyle name="Title 3 7 2" xfId="17491" xr:uid="{DA56F7C8-00AD-4FE4-A1CE-15F67A0E7E67}"/>
    <cellStyle name="Title 3 7 2 2" xfId="33162" xr:uid="{C252892E-054C-4CFC-A7BF-ACB0807F9879}"/>
    <cellStyle name="Title 3 7 3" xfId="33161" xr:uid="{AA7B95C2-5203-4B96-9FF1-0CAAEAFB38E3}"/>
    <cellStyle name="Title 3 8" xfId="17492" xr:uid="{107EF134-D15F-4343-8E0A-AC55AC2FC85F}"/>
    <cellStyle name="Title 3 8 2" xfId="33163" xr:uid="{264F930D-18AE-4E9F-98BD-313041DC6903}"/>
    <cellStyle name="Title 3 9" xfId="17493" xr:uid="{78AF7F93-6FB5-4B99-9255-798261C582B8}"/>
    <cellStyle name="Title 3 9 2" xfId="33164" xr:uid="{151575A7-E873-4F0A-B6BC-9D0887D40D1D}"/>
    <cellStyle name="Title 4" xfId="17494" xr:uid="{D44EF310-9CCA-4863-B79E-20CADD72663D}"/>
    <cellStyle name="Title 4 2" xfId="17495" xr:uid="{A7ECC203-072B-4A25-AC99-D1A01AB13BC7}"/>
    <cellStyle name="Title 4 2 2" xfId="17496" xr:uid="{6BCF1AD5-68E3-4890-A0E0-B64C8E9406ED}"/>
    <cellStyle name="Title 4 2 2 2" xfId="33167" xr:uid="{82515D42-9057-45A3-82CB-CF6B07D8A8AC}"/>
    <cellStyle name="Title 4 2 3" xfId="33166" xr:uid="{3D2E129B-A0E6-4250-B07C-74A673F2EB7C}"/>
    <cellStyle name="Title 4 3" xfId="17497" xr:uid="{2569AB79-B4D0-46FC-A612-A8E059A30D38}"/>
    <cellStyle name="Title 4 3 2" xfId="17498" xr:uid="{43B2633E-40B2-4F23-BF49-3C58ABB3DBE3}"/>
    <cellStyle name="Title 4 3 2 2" xfId="33169" xr:uid="{2D4AACEE-0AC1-44B9-9621-C7F9407D08AB}"/>
    <cellStyle name="Title 4 3 3" xfId="33168" xr:uid="{E8D79929-75FE-4E52-8769-725A3CAD83C1}"/>
    <cellStyle name="Title 4 4" xfId="17499" xr:uid="{E035F433-4AB9-4017-889D-9DD5E8BC4475}"/>
    <cellStyle name="Title 4 4 2" xfId="17500" xr:uid="{0AD16C96-276D-4C34-9AEE-A425B672CEB2}"/>
    <cellStyle name="Title 4 4 2 2" xfId="33171" xr:uid="{25031973-B2FD-4247-A3F8-EE1C5A038031}"/>
    <cellStyle name="Title 4 4 3" xfId="33170" xr:uid="{0D51B4EB-5976-40A3-AF25-A48F185F8B70}"/>
    <cellStyle name="Title 4 5" xfId="17501" xr:uid="{C0F17F2C-9FB9-441B-BA0A-8592FEA77D81}"/>
    <cellStyle name="Title 4 5 2" xfId="17502" xr:uid="{2E661D42-B928-49D8-AB07-D68FA2AA05F1}"/>
    <cellStyle name="Title 4 5 2 2" xfId="33173" xr:uid="{D6B4BD94-F7C9-41D7-ACC6-F88FA340FE97}"/>
    <cellStyle name="Title 4 5 3" xfId="33172" xr:uid="{D49AAD29-B473-4ABB-90D9-D793C0DE41D4}"/>
    <cellStyle name="Title 4 6" xfId="17503" xr:uid="{F5A6B509-39BC-4EBD-9D9F-DA9DE163D341}"/>
    <cellStyle name="Title 4 6 2" xfId="33174" xr:uid="{904D1DE1-6394-4855-B642-49C9CFF68BAD}"/>
    <cellStyle name="Title 4 7" xfId="33165" xr:uid="{C025C925-CACA-45D1-9893-16C535EAC296}"/>
    <cellStyle name="Titre" xfId="2581" xr:uid="{4686A0FB-6831-4F03-A94D-2E868518B18F}"/>
    <cellStyle name="Titre 10" xfId="17504" xr:uid="{DC47A479-EDAE-446B-800C-4545286076E0}"/>
    <cellStyle name="Titre 10 2" xfId="33175" xr:uid="{E1F07F2F-3186-4331-9CEE-3DB7243D3394}"/>
    <cellStyle name="Titre 11" xfId="17505" xr:uid="{4C87052E-581F-4367-877F-7FB419499347}"/>
    <cellStyle name="Titre 11 2" xfId="33176" xr:uid="{DDB07BC7-D394-4A6C-8F03-CB2B2A246C3A}"/>
    <cellStyle name="Titre 2" xfId="2822" xr:uid="{45E3DBA9-F527-443D-9031-70290965B782}"/>
    <cellStyle name="Titre 2 2" xfId="5547" xr:uid="{9D7A0372-A620-4C5D-A896-97346D4144C8}"/>
    <cellStyle name="Titre 2 2 2" xfId="17506" xr:uid="{11D9E621-B21F-46C6-BA30-C0818A75EBC3}"/>
    <cellStyle name="Titre 2 2 2 2" xfId="33177" xr:uid="{094ABB40-44F7-442B-B38A-6CFB47D9FC71}"/>
    <cellStyle name="Titre 2 2 3" xfId="17507" xr:uid="{D20EB036-BE8A-4B8F-B635-114DE7B89E04}"/>
    <cellStyle name="Titre 2 2 3 2" xfId="33178" xr:uid="{C64B7247-7699-4DF4-8BCB-70E21977FF6C}"/>
    <cellStyle name="Titre 2 2 4" xfId="17508" xr:uid="{BD7654A3-ED06-44F4-9351-51A808E47A03}"/>
    <cellStyle name="Titre 2 2 4 2" xfId="33179" xr:uid="{3427F802-9D79-4351-A71F-AF28CF4962A3}"/>
    <cellStyle name="Titre 2 3" xfId="17509" xr:uid="{0DFBB950-5977-41AD-B8A2-A04BC720975D}"/>
    <cellStyle name="Titre 2 3 2" xfId="17510" xr:uid="{1141092F-3A0C-430C-A9C8-F0A472F44724}"/>
    <cellStyle name="Titre 2 3 2 2" xfId="33180" xr:uid="{12FC3651-8A1E-45AA-A43C-7D9EDE3C65B5}"/>
    <cellStyle name="Titre 2 3 3" xfId="17511" xr:uid="{CD8B1829-9FFB-43F9-AA25-33ED7D850F13}"/>
    <cellStyle name="Titre 2 3 3 2" xfId="33181" xr:uid="{B24F9952-91B2-4524-BBC4-42F08154D9CC}"/>
    <cellStyle name="Titre 2 4" xfId="17512" xr:uid="{68DCEA04-E188-4A40-9EE6-D78D4E6FEE24}"/>
    <cellStyle name="Titre 2 4 2" xfId="17513" xr:uid="{F5469BD0-C5CE-4823-B5AE-D9275896289B}"/>
    <cellStyle name="Titre 2 4 2 2" xfId="33183" xr:uid="{171C6A83-BAE6-4886-B6C8-E2AB452D2E78}"/>
    <cellStyle name="Titre 2 4 3" xfId="33182" xr:uid="{C5FB8B80-4A43-49D0-B928-50944546B522}"/>
    <cellStyle name="Titre 2 5" xfId="17514" xr:uid="{AB4940DD-F3FD-4093-AD01-CCAE222FB86C}"/>
    <cellStyle name="Titre 2 5 2" xfId="17515" xr:uid="{39F8A4BA-293D-4EA3-AB0B-6F5ADE233138}"/>
    <cellStyle name="Titre 2 5 2 2" xfId="33185" xr:uid="{27FC575D-2F96-4BE2-9C00-66FDC4932386}"/>
    <cellStyle name="Titre 2 5 3" xfId="33184" xr:uid="{9A6197BC-E299-4563-B10D-FBA6B91C300B}"/>
    <cellStyle name="Titre 2 6" xfId="17516" xr:uid="{0F48615E-2BEE-456E-96B8-302BB470444C}"/>
    <cellStyle name="Titre 2 6 2" xfId="33186" xr:uid="{AD8EFA6F-F244-4986-BCA1-8B3C568B834A}"/>
    <cellStyle name="Titre 2 7" xfId="17517" xr:uid="{31F2DBDD-8BF6-4DC6-85F0-5E6FD9693E60}"/>
    <cellStyle name="Titre 2 7 2" xfId="33187" xr:uid="{A61824E0-4D93-4F56-9409-D939865DA3CF}"/>
    <cellStyle name="Titre 3" xfId="5546" xr:uid="{9398BC45-3E9D-42BD-804D-523B17F600E0}"/>
    <cellStyle name="Titre 3 2" xfId="17518" xr:uid="{F2978A74-4D9A-46FE-828A-E95FB283B8CA}"/>
    <cellStyle name="Titre 3 2 2" xfId="17519" xr:uid="{03B92DAF-DCCA-47D9-8DEA-CAACCEAEA751}"/>
    <cellStyle name="Titre 3 2 2 2" xfId="33188" xr:uid="{59CF7F7C-FD2A-420A-814E-D9AE0ED03FB6}"/>
    <cellStyle name="Titre 3 3" xfId="17520" xr:uid="{A370451B-B3D5-4596-9817-87A7D41ECE1D}"/>
    <cellStyle name="Titre 3 3 2" xfId="33189" xr:uid="{14A46BE3-524B-4C5B-A192-36033F622A90}"/>
    <cellStyle name="Titre 3 4" xfId="17521" xr:uid="{D1F47828-276C-4433-833E-4388E14CECAB}"/>
    <cellStyle name="Titre 3 4 2" xfId="33190" xr:uid="{08F3B409-F356-4AC2-A888-918E2B4F90A9}"/>
    <cellStyle name="Titre 4" xfId="17522" xr:uid="{BAB942DA-BBCE-41DA-9F67-BAD3523800A8}"/>
    <cellStyle name="Titre 4 2" xfId="17523" xr:uid="{0896E869-3F3B-411F-B51E-197EA93394AD}"/>
    <cellStyle name="Titre 4 2 2" xfId="33192" xr:uid="{2FDFEC6E-FC06-4DDC-A81A-9A5F60EE5E80}"/>
    <cellStyle name="Titre 4 3" xfId="33191" xr:uid="{D2A9A0F4-80ED-4CE5-8A65-D1AC8B21E307}"/>
    <cellStyle name="Titre 5" xfId="17524" xr:uid="{2ABAD0C7-DAC1-415D-BA52-20F0F0F3DD87}"/>
    <cellStyle name="Titre 5 2" xfId="17525" xr:uid="{5CE0F646-92A9-44E7-AA80-E7FA588AED7A}"/>
    <cellStyle name="Titre 5 2 2" xfId="33194" xr:uid="{74874E1B-1BE1-441B-B271-A228DEB0D288}"/>
    <cellStyle name="Titre 5 3" xfId="33193" xr:uid="{B5A693FC-0DCE-4CD6-9ED0-F605FA961772}"/>
    <cellStyle name="Titre 6" xfId="17526" xr:uid="{6259F7F0-E0D7-4620-A170-652A997BA96C}"/>
    <cellStyle name="Titre 6 2" xfId="17527" xr:uid="{74447BD1-94E3-41DD-8D51-8114DECBC0BB}"/>
    <cellStyle name="Titre 6 2 2" xfId="33196" xr:uid="{61567CC7-A411-4F25-85FD-5F1725AE115B}"/>
    <cellStyle name="Titre 6 3" xfId="33195" xr:uid="{30F66916-A639-47C7-92D4-7ECB6110CD41}"/>
    <cellStyle name="Titre 7" xfId="17528" xr:uid="{9374CF36-5C4D-41D5-A476-CE5EFE68C556}"/>
    <cellStyle name="Titre 7 2" xfId="17529" xr:uid="{1E7FEE65-336C-45B5-908D-D44E6965C727}"/>
    <cellStyle name="Titre 7 2 2" xfId="33198" xr:uid="{E485AE98-099C-43DA-8AFB-8948889FB7B7}"/>
    <cellStyle name="Titre 7 3" xfId="33197" xr:uid="{743882B4-F4EB-447C-8B65-854159A292F6}"/>
    <cellStyle name="Titre 8" xfId="17530" xr:uid="{EAD4711F-2038-4446-BBB4-9A23302B2021}"/>
    <cellStyle name="Titre 8 2" xfId="17531" xr:uid="{7F4857C5-10F7-4EEB-B39E-5FAD524B6A75}"/>
    <cellStyle name="Titre 8 2 2" xfId="33200" xr:uid="{ACFD3093-F26B-47E2-87AA-6B5A402BB7ED}"/>
    <cellStyle name="Titre 8 3" xfId="33199" xr:uid="{B396E0FB-455D-4EB0-9FCD-485087860CF6}"/>
    <cellStyle name="Titre 9" xfId="17532" xr:uid="{9D285D36-0BB1-43C2-AF06-29B041BE6AB2}"/>
    <cellStyle name="Titre 9 2" xfId="33201" xr:uid="{CBE72656-1FEC-430E-B330-A58D430A08F2}"/>
    <cellStyle name="Titre 1" xfId="2582" xr:uid="{B41FEA3D-82D4-433D-AD92-2D49158DDEC5}"/>
    <cellStyle name="Titre 1 10" xfId="17533" xr:uid="{1CA6A554-BBC4-417B-BB05-A4E8ABABF010}"/>
    <cellStyle name="Titre 1 10 2" xfId="33202" xr:uid="{F4223D4E-D938-483B-8D86-C15010A4CD86}"/>
    <cellStyle name="Titre 1 11" xfId="17534" xr:uid="{D8933A35-E448-4434-8327-6D52ED45D324}"/>
    <cellStyle name="Titre 1 11 2" xfId="33203" xr:uid="{E453EBD6-F167-4A29-8F9F-08EAABF82686}"/>
    <cellStyle name="Titre 1 2" xfId="2823" xr:uid="{73B5FD9C-71F9-470C-A715-D78813B0EA00}"/>
    <cellStyle name="Titre 1 2 2" xfId="5549" xr:uid="{05B65DFA-B2E8-45E5-AEE6-006CBA0DDAE0}"/>
    <cellStyle name="Titre 1 2 2 2" xfId="17535" xr:uid="{98763E99-CCFE-4A16-967C-FF63C7348E26}"/>
    <cellStyle name="Titre 1 2 2 2 2" xfId="33204" xr:uid="{B8EF4B22-82A8-4DCB-8CAD-2DC0D20E69FD}"/>
    <cellStyle name="Titre 1 2 2 3" xfId="17536" xr:uid="{B7B0FEE6-52FD-46C0-A79F-77EC18322FF1}"/>
    <cellStyle name="Titre 1 2 2 3 2" xfId="33205" xr:uid="{B912782B-C831-4F81-B5BF-9FAFBC9D650B}"/>
    <cellStyle name="Titre 1 2 2 4" xfId="17537" xr:uid="{8744DF66-C3A4-4A5C-991E-43D8E9717C51}"/>
    <cellStyle name="Titre 1 2 2 4 2" xfId="33206" xr:uid="{2C2100CB-F3ED-4C1D-97A8-0FDE4D67C794}"/>
    <cellStyle name="Titre 1 2 3" xfId="17538" xr:uid="{288E5D2E-F5E4-4819-B298-78DC255B678E}"/>
    <cellStyle name="Titre 1 2 3 2" xfId="17539" xr:uid="{FF7D00AC-D5F6-4523-9FE0-B428D7988EDC}"/>
    <cellStyle name="Titre 1 2 3 2 2" xfId="33207" xr:uid="{705B201A-77D9-4EBA-B0EF-2DDB8CEDD24C}"/>
    <cellStyle name="Titre 1 2 3 3" xfId="17540" xr:uid="{90B5B7DB-E4C9-4430-9503-E8C62ED12FBF}"/>
    <cellStyle name="Titre 1 2 3 3 2" xfId="33208" xr:uid="{3CC2CAE4-566A-40F7-9AC6-C8A803490D24}"/>
    <cellStyle name="Titre 1 2 4" xfId="17541" xr:uid="{3B952487-0D48-45A3-BF73-7EFB15DF2B36}"/>
    <cellStyle name="Titre 1 2 4 2" xfId="17542" xr:uid="{66D8C605-D4C2-4CFC-A290-5DE48FA76AEB}"/>
    <cellStyle name="Titre 1 2 4 2 2" xfId="33210" xr:uid="{61D45DAF-3675-4AB8-B74E-2CAAE809DB55}"/>
    <cellStyle name="Titre 1 2 4 3" xfId="33209" xr:uid="{975AA796-9FBC-4ED7-8B39-DDC5B71CA3EE}"/>
    <cellStyle name="Titre 1 2 5" xfId="17543" xr:uid="{1E6A041A-1BDD-4AF9-8709-E1FD20965765}"/>
    <cellStyle name="Titre 1 2 5 2" xfId="17544" xr:uid="{AA5571FB-E6D0-4B63-AC10-86A653F610A9}"/>
    <cellStyle name="Titre 1 2 5 2 2" xfId="33212" xr:uid="{7B0B24BE-C34E-40C2-A5A7-EDF003C6B868}"/>
    <cellStyle name="Titre 1 2 5 3" xfId="33211" xr:uid="{0059E4A6-0460-4AE6-A955-0628C22B7DF4}"/>
    <cellStyle name="Titre 1 2 6" xfId="17545" xr:uid="{0C1B0222-C06D-4799-8AAA-E4F0576FC998}"/>
    <cellStyle name="Titre 1 2 6 2" xfId="33213" xr:uid="{2EF28122-9A37-4E5D-9646-8806293FF933}"/>
    <cellStyle name="Titre 1 2 7" xfId="17546" xr:uid="{1DDCCC6B-4C0C-4265-A216-02D5324773C2}"/>
    <cellStyle name="Titre 1 2 7 2" xfId="33214" xr:uid="{3DD0EBA5-EA91-409F-9CF4-FC06D88EE7E9}"/>
    <cellStyle name="Titre 1 3" xfId="5548" xr:uid="{5B085F19-D40C-4E7B-B37C-AF58326A3DB4}"/>
    <cellStyle name="Titre 1 3 2" xfId="17547" xr:uid="{45E17ADA-FE0A-40B7-9756-B5CBEE4B3920}"/>
    <cellStyle name="Titre 1 3 2 2" xfId="17548" xr:uid="{329FF35A-4C28-4A7D-81A8-6BE1613441A3}"/>
    <cellStyle name="Titre 1 3 2 2 2" xfId="33215" xr:uid="{7CB66548-4413-45ED-9A66-CE1DDD26505E}"/>
    <cellStyle name="Titre 1 3 3" xfId="17549" xr:uid="{0F422DFF-DEF2-4628-BE0E-7D40DFC28176}"/>
    <cellStyle name="Titre 1 3 3 2" xfId="33216" xr:uid="{814C3E2A-4086-4BE9-95BE-AB97D7848A69}"/>
    <cellStyle name="Titre 1 3 4" xfId="17550" xr:uid="{23A264A6-8EF8-4706-A926-E8131E8FBA7C}"/>
    <cellStyle name="Titre 1 3 4 2" xfId="33217" xr:uid="{18A21805-55B5-45AF-8958-46713C8F531B}"/>
    <cellStyle name="Titre 1 4" xfId="17551" xr:uid="{B82FD2C3-DCDE-439E-9EDC-3A491C096B7B}"/>
    <cellStyle name="Titre 1 4 2" xfId="17552" xr:uid="{E0DE7E1C-13B8-4680-BD16-365CC5D8D135}"/>
    <cellStyle name="Titre 1 4 2 2" xfId="33219" xr:uid="{BF9559BD-34B4-40A9-9B8D-1B8E0273140C}"/>
    <cellStyle name="Titre 1 4 3" xfId="33218" xr:uid="{C599EEAF-5CC3-4CB0-AD92-ADC65EEA4F9B}"/>
    <cellStyle name="Titre 1 5" xfId="17553" xr:uid="{ECEBF990-EB81-4A86-BC6A-4379F670412E}"/>
    <cellStyle name="Titre 1 5 2" xfId="17554" xr:uid="{539FE7B1-6B44-49E5-944A-149908C58BE8}"/>
    <cellStyle name="Titre 1 5 2 2" xfId="33221" xr:uid="{FB39AF2A-986A-46F0-9BB5-8A2DF4D6436B}"/>
    <cellStyle name="Titre 1 5 3" xfId="33220" xr:uid="{9E6C9B0D-DE6C-4A58-8943-F8C460CF11E4}"/>
    <cellStyle name="Titre 1 6" xfId="17555" xr:uid="{A848BCC4-F6D8-482B-8188-77B1CD081298}"/>
    <cellStyle name="Titre 1 6 2" xfId="17556" xr:uid="{DBE6D3C8-9311-498D-BB7E-E07D09FF45D4}"/>
    <cellStyle name="Titre 1 6 2 2" xfId="33223" xr:uid="{08017C1B-CD99-4D10-8067-B5EA7C3A1205}"/>
    <cellStyle name="Titre 1 6 3" xfId="33222" xr:uid="{565DFAFE-8726-49AE-8170-45515B2D4897}"/>
    <cellStyle name="Titre 1 7" xfId="17557" xr:uid="{956B8F62-FC1D-47BA-A732-15F89971AAEA}"/>
    <cellStyle name="Titre 1 7 2" xfId="17558" xr:uid="{0A8EA252-FB95-49BA-9345-E2F552BF1772}"/>
    <cellStyle name="Titre 1 7 2 2" xfId="33225" xr:uid="{5B205E38-0D0B-4278-ADCB-19325B3F5B02}"/>
    <cellStyle name="Titre 1 7 3" xfId="33224" xr:uid="{4685E327-83A8-43FA-8830-BE71B12E82B2}"/>
    <cellStyle name="Titre 1 8" xfId="17559" xr:uid="{96C3D9D3-AF70-4751-A28C-7ED4467250F6}"/>
    <cellStyle name="Titre 1 8 2" xfId="17560" xr:uid="{55EC7B3F-D479-449B-BC7A-5DE3A73448C8}"/>
    <cellStyle name="Titre 1 8 2 2" xfId="33227" xr:uid="{F94291FE-DBE9-4414-BC0C-796A053C0695}"/>
    <cellStyle name="Titre 1 8 3" xfId="33226" xr:uid="{9CFAB303-DD31-4CD1-8986-3258618FD286}"/>
    <cellStyle name="Titre 1 9" xfId="17561" xr:uid="{6FA612C8-C104-4E20-B4DB-64340FF1E260}"/>
    <cellStyle name="Titre 1 9 2" xfId="33228" xr:uid="{A65AF2AB-2899-4D31-86E0-3DF847FF7120}"/>
    <cellStyle name="Titre 2" xfId="2583" xr:uid="{D72384DD-4099-410E-B1F6-86B08A1E2D9D}"/>
    <cellStyle name="Titre 2 10" xfId="17562" xr:uid="{14BD076A-7CFF-4508-9C89-6369FA1C0824}"/>
    <cellStyle name="Titre 2 10 2" xfId="33229" xr:uid="{A37D2B7F-B4F7-48B3-BA21-4AB05499338F}"/>
    <cellStyle name="Titre 2 11" xfId="17563" xr:uid="{0194654A-2133-4A21-85E9-A1AEA8DBF045}"/>
    <cellStyle name="Titre 2 11 2" xfId="33230" xr:uid="{4643095E-537E-4FFF-A109-AA35C661E6D9}"/>
    <cellStyle name="Titre 2 2" xfId="2824" xr:uid="{F1001EDF-7335-488E-81BC-B437400C7BD7}"/>
    <cellStyle name="Titre 2 2 2" xfId="5551" xr:uid="{D9AF9E33-9EF9-46CC-B4B4-81D836004F83}"/>
    <cellStyle name="Titre 2 2 2 2" xfId="17564" xr:uid="{A135A12B-678D-46D6-8431-50FB89458C90}"/>
    <cellStyle name="Titre 2 2 2 2 2" xfId="33231" xr:uid="{22705F73-7F8B-4665-A0EE-4579DE793131}"/>
    <cellStyle name="Titre 2 2 2 3" xfId="17565" xr:uid="{372F0759-7861-41B3-89C0-243A3B445F1A}"/>
    <cellStyle name="Titre 2 2 2 3 2" xfId="33232" xr:uid="{839CBDF7-4BB8-433A-A3B4-77E7BB2C6B53}"/>
    <cellStyle name="Titre 2 2 2 4" xfId="17566" xr:uid="{D3F83C10-5ECE-48D0-BCE6-79162AB21D64}"/>
    <cellStyle name="Titre 2 2 2 4 2" xfId="33233" xr:uid="{9ADEE433-9036-4F0E-AF17-461917F9BBB0}"/>
    <cellStyle name="Titre 2 2 3" xfId="17567" xr:uid="{3871AF64-8B11-4B50-99D6-18ECB477916F}"/>
    <cellStyle name="Titre 2 2 3 2" xfId="17568" xr:uid="{FCE5DC2C-012B-4927-B91E-65FAB5BF29BA}"/>
    <cellStyle name="Titre 2 2 3 2 2" xfId="33234" xr:uid="{F9E87BBA-B66F-4D60-80EB-02B35CB35F89}"/>
    <cellStyle name="Titre 2 2 3 3" xfId="17569" xr:uid="{6247607D-6430-4F78-BFB1-B89A1189EBA9}"/>
    <cellStyle name="Titre 2 2 3 3 2" xfId="33235" xr:uid="{EBF9FDB1-9A92-41A2-8186-D78828D47F5B}"/>
    <cellStyle name="Titre 2 2 4" xfId="17570" xr:uid="{D454B645-B6F6-415E-8291-32844C3247BB}"/>
    <cellStyle name="Titre 2 2 4 2" xfId="17571" xr:uid="{F1E6F1F9-2049-4A9C-AF6C-E54EB4A5736F}"/>
    <cellStyle name="Titre 2 2 4 2 2" xfId="33237" xr:uid="{132DA99A-0E16-4B92-8154-7CE9B567DA62}"/>
    <cellStyle name="Titre 2 2 4 3" xfId="33236" xr:uid="{FBCD0F87-6070-46EB-BC6B-F9FA771D79E8}"/>
    <cellStyle name="Titre 2 2 5" xfId="17572" xr:uid="{38AFDD20-11C1-4592-8028-4854E77D0E13}"/>
    <cellStyle name="Titre 2 2 5 2" xfId="17573" xr:uid="{98371370-9118-4F3A-A25E-D0BA83ECB416}"/>
    <cellStyle name="Titre 2 2 5 2 2" xfId="33239" xr:uid="{1CE24075-298B-42EE-840B-22B6CB733068}"/>
    <cellStyle name="Titre 2 2 5 3" xfId="33238" xr:uid="{F676941C-85B7-4D6D-A950-4F4CA789AE19}"/>
    <cellStyle name="Titre 2 2 6" xfId="17574" xr:uid="{158E4BF2-B71F-4150-A2E8-A87D795EB145}"/>
    <cellStyle name="Titre 2 2 6 2" xfId="33240" xr:uid="{E93EFA2A-2D4F-4C7A-AB48-C83B370110F2}"/>
    <cellStyle name="Titre 2 2 7" xfId="17575" xr:uid="{62B44E6B-FBEC-41C6-B167-19E90FDBE386}"/>
    <cellStyle name="Titre 2 2 7 2" xfId="33241" xr:uid="{9053523E-6003-41D3-9171-00AE94AB8C5F}"/>
    <cellStyle name="Titre 2 3" xfId="5550" xr:uid="{DE18B6DC-DFB3-4466-8D78-E6934DBFD46B}"/>
    <cellStyle name="Titre 2 3 2" xfId="17576" xr:uid="{EA0004B7-64F7-42EB-B6D6-083140327C5A}"/>
    <cellStyle name="Titre 2 3 2 2" xfId="17577" xr:uid="{8B05BF14-7498-43AB-B303-AC13DF84CEA4}"/>
    <cellStyle name="Titre 2 3 2 2 2" xfId="33242" xr:uid="{EC63E757-E6D1-4EA0-BC9A-F81685DC6FE5}"/>
    <cellStyle name="Titre 2 3 3" xfId="17578" xr:uid="{37619C83-38B3-4F02-8D79-4833FDFD3C19}"/>
    <cellStyle name="Titre 2 3 3 2" xfId="33243" xr:uid="{657E0A27-F3F0-4904-AECF-44B02147268D}"/>
    <cellStyle name="Titre 2 3 4" xfId="17579" xr:uid="{65A6AE53-D4BA-4F22-9221-FDDD2849FEB8}"/>
    <cellStyle name="Titre 2 3 4 2" xfId="33244" xr:uid="{8B1E9B28-3FE9-4BD9-8872-94192EA25881}"/>
    <cellStyle name="Titre 2 4" xfId="17580" xr:uid="{2C64E0CE-B48E-4F15-9F6D-7313B153A4E8}"/>
    <cellStyle name="Titre 2 4 2" xfId="17581" xr:uid="{D1CE9656-15F9-4522-97B7-A0FA463E98E3}"/>
    <cellStyle name="Titre 2 4 2 2" xfId="33246" xr:uid="{BC9DFF1E-558D-4CF6-925D-FEF0B65448D3}"/>
    <cellStyle name="Titre 2 4 3" xfId="33245" xr:uid="{E4BEC4FE-0E3B-424D-9594-CDCDE03C9C14}"/>
    <cellStyle name="Titre 2 5" xfId="17582" xr:uid="{869436CA-7AED-466B-A3A5-8DF54C1E3BBB}"/>
    <cellStyle name="Titre 2 5 2" xfId="17583" xr:uid="{CE2362A6-D455-4D12-A2C9-F0B97C9FF766}"/>
    <cellStyle name="Titre 2 5 2 2" xfId="33248" xr:uid="{5F1F8C39-2D34-4690-8A44-3B4C96A9DAB2}"/>
    <cellStyle name="Titre 2 5 3" xfId="33247" xr:uid="{ACF31A00-2BF8-499F-B7C3-99CC8872086D}"/>
    <cellStyle name="Titre 2 6" xfId="17584" xr:uid="{4F544AA9-142C-4335-9142-C1C0249D660F}"/>
    <cellStyle name="Titre 2 6 2" xfId="17585" xr:uid="{A11CFB70-A18C-4B69-8B1F-DEC9F41E37FA}"/>
    <cellStyle name="Titre 2 6 2 2" xfId="33250" xr:uid="{DE443FCA-29A1-4E2F-BC66-30CCDB9CC485}"/>
    <cellStyle name="Titre 2 6 3" xfId="33249" xr:uid="{2EFBDEE8-F72D-4312-82F2-2BBEA2A7E1B5}"/>
    <cellStyle name="Titre 2 7" xfId="17586" xr:uid="{C0DC5AC9-AED4-49BD-997B-9C24C2BAC09E}"/>
    <cellStyle name="Titre 2 7 2" xfId="17587" xr:uid="{A95A5178-2DD0-48B2-B9CE-1ACBBC43CA95}"/>
    <cellStyle name="Titre 2 7 2 2" xfId="33252" xr:uid="{E1D05BB9-A138-4020-88AB-D8364BAA80F5}"/>
    <cellStyle name="Titre 2 7 3" xfId="33251" xr:uid="{618EDD85-C14B-43BA-9DF6-A715835EA2BC}"/>
    <cellStyle name="Titre 2 8" xfId="17588" xr:uid="{18556EC1-2C56-44DC-8873-3031D14580F2}"/>
    <cellStyle name="Titre 2 8 2" xfId="17589" xr:uid="{4EFEF172-F216-4175-8FF8-B3829C59F696}"/>
    <cellStyle name="Titre 2 8 2 2" xfId="33254" xr:uid="{15051BCC-EB34-48DF-82AC-F30D8F10C64C}"/>
    <cellStyle name="Titre 2 8 3" xfId="33253" xr:uid="{37856BF9-CAE3-4F77-866E-A0F768A3F71F}"/>
    <cellStyle name="Titre 2 9" xfId="17590" xr:uid="{2FF4F3A7-0B15-4568-B5FD-007B7D8CED8B}"/>
    <cellStyle name="Titre 2 9 2" xfId="33255" xr:uid="{5E1AE235-261C-413F-9593-449D300321D5}"/>
    <cellStyle name="Titre 3" xfId="2584" xr:uid="{DC1E8BFE-EB96-4335-84E7-A8ADD19C0F96}"/>
    <cellStyle name="Titre 3 10" xfId="17591" xr:uid="{6C404275-6767-46EA-841A-EC008E955875}"/>
    <cellStyle name="Titre 3 10 2" xfId="33256" xr:uid="{38B68C18-CB0A-48E5-A8C9-5C0B485DF1F6}"/>
    <cellStyle name="Titre 3 11" xfId="17592" xr:uid="{8B43AC4A-9773-4148-940E-779CBB1B84F3}"/>
    <cellStyle name="Titre 3 11 2" xfId="33257" xr:uid="{8A574CEC-32D8-4857-B877-7804DC4D900C}"/>
    <cellStyle name="Titre 3 2" xfId="2825" xr:uid="{E5537B27-A596-4819-814F-D2E1237421B7}"/>
    <cellStyle name="Titre 3 2 2" xfId="5553" xr:uid="{03CB502C-4E1D-447E-ACD2-7899DD47865A}"/>
    <cellStyle name="Titre 3 2 2 2" xfId="17593" xr:uid="{71AFED60-980F-419B-A6E2-DC0610E23D7C}"/>
    <cellStyle name="Titre 3 2 2 2 2" xfId="33258" xr:uid="{9A1F0495-7367-48B6-A800-92D3B25F43FF}"/>
    <cellStyle name="Titre 3 2 2 3" xfId="17594" xr:uid="{5891150C-40FE-4709-A262-9136B85709E3}"/>
    <cellStyle name="Titre 3 2 2 3 2" xfId="33259" xr:uid="{FD8801B5-DEC3-4898-BA76-1DE245D9EF33}"/>
    <cellStyle name="Titre 3 2 2 4" xfId="17595" xr:uid="{64AEF217-B780-4F8E-AD22-8A24F8042EED}"/>
    <cellStyle name="Titre 3 2 2 4 2" xfId="33260" xr:uid="{5DEEC7F2-5592-4C33-B1AE-85E8909BC391}"/>
    <cellStyle name="Titre 3 2 3" xfId="17596" xr:uid="{A0F2024E-0B4E-4C27-A438-7F9963C40BB8}"/>
    <cellStyle name="Titre 3 2 3 2" xfId="17597" xr:uid="{717B687B-24CC-4030-9E68-71A2EDEC1104}"/>
    <cellStyle name="Titre 3 2 3 2 2" xfId="33261" xr:uid="{0808F420-BEEB-4290-AB24-98C3312B89FD}"/>
    <cellStyle name="Titre 3 2 3 3" xfId="17598" xr:uid="{256C7C53-7E83-4C0F-9BCE-A39B8723C42A}"/>
    <cellStyle name="Titre 3 2 3 3 2" xfId="33262" xr:uid="{D39E40BF-C577-496A-A80F-464208A18838}"/>
    <cellStyle name="Titre 3 2 4" xfId="17599" xr:uid="{25D5EA18-AF27-4916-B45D-96CCF91259A7}"/>
    <cellStyle name="Titre 3 2 4 2" xfId="17600" xr:uid="{CADB5D26-D848-4656-8FAA-00A0226D5A51}"/>
    <cellStyle name="Titre 3 2 4 2 2" xfId="33264" xr:uid="{4F9F47D5-5497-46F5-ABC2-16EB37337D62}"/>
    <cellStyle name="Titre 3 2 4 3" xfId="33263" xr:uid="{E33035F3-8083-47C2-B351-5BA8A08738C9}"/>
    <cellStyle name="Titre 3 2 5" xfId="17601" xr:uid="{ED7F41B3-FD7D-4136-8FF1-FF9ABE06ACC4}"/>
    <cellStyle name="Titre 3 2 5 2" xfId="17602" xr:uid="{78776ED0-0135-430E-823A-5E0BF45A36BA}"/>
    <cellStyle name="Titre 3 2 5 2 2" xfId="33266" xr:uid="{8996416E-89D2-41E7-BF66-BB30EC5BB3C6}"/>
    <cellStyle name="Titre 3 2 5 3" xfId="33265" xr:uid="{6796065B-64E9-43CA-AA19-F8B955D33631}"/>
    <cellStyle name="Titre 3 2 6" xfId="17603" xr:uid="{DD293282-E2E3-4ADC-B055-1AD365D0B7F5}"/>
    <cellStyle name="Titre 3 2 6 2" xfId="33267" xr:uid="{A3E4A14D-2177-4A3B-9A8D-062F3AD4095C}"/>
    <cellStyle name="Titre 3 2 7" xfId="17604" xr:uid="{A860ADB9-FEEC-4F2C-9125-027CC1931685}"/>
    <cellStyle name="Titre 3 2 7 2" xfId="33268" xr:uid="{F9CD4B78-FFAC-4D93-8721-CAA4839BCF6D}"/>
    <cellStyle name="Titre 3 3" xfId="5552" xr:uid="{C1870928-187F-42ED-A5F8-444297C0C894}"/>
    <cellStyle name="Titre 3 3 2" xfId="17605" xr:uid="{BE3370F1-3D99-4EE0-8728-DA1C92C89727}"/>
    <cellStyle name="Titre 3 3 2 2" xfId="17606" xr:uid="{2A5B16D1-94E5-44AE-BD78-810974F9B8E1}"/>
    <cellStyle name="Titre 3 3 2 2 2" xfId="33269" xr:uid="{1D6CDA87-26AF-42D9-8DFC-B9277E28138D}"/>
    <cellStyle name="Titre 3 3 3" xfId="17607" xr:uid="{53068075-521C-43C7-82F0-0E124E5F2148}"/>
    <cellStyle name="Titre 3 3 3 2" xfId="33270" xr:uid="{93041834-C889-40C1-9E68-FD80D279C67D}"/>
    <cellStyle name="Titre 3 3 4" xfId="17608" xr:uid="{8FE35C7A-343C-45C9-939E-2A97CFA07EEB}"/>
    <cellStyle name="Titre 3 3 4 2" xfId="33271" xr:uid="{6694EC5E-10E2-449D-B5AF-B96A0A0A1889}"/>
    <cellStyle name="Titre 3 4" xfId="17609" xr:uid="{E8C2F066-874C-43DE-86A8-4B356CB2006D}"/>
    <cellStyle name="Titre 3 4 2" xfId="17610" xr:uid="{984F48EB-32D9-4F19-9F72-FAC2C9C3AE84}"/>
    <cellStyle name="Titre 3 4 2 2" xfId="33273" xr:uid="{BD3AFAAF-DBC4-477E-9A40-7DB6621EA40E}"/>
    <cellStyle name="Titre 3 4 3" xfId="33272" xr:uid="{6330B152-95C7-45EE-AF5D-416614AC5402}"/>
    <cellStyle name="Titre 3 5" xfId="17611" xr:uid="{80A802EA-7FFA-439A-84AD-D3C7D94DA138}"/>
    <cellStyle name="Titre 3 5 2" xfId="17612" xr:uid="{E87DF28E-077D-4F5A-A1B7-D133B424DD11}"/>
    <cellStyle name="Titre 3 5 2 2" xfId="33275" xr:uid="{E01D5323-2851-417F-94C6-D05C14EC9AFE}"/>
    <cellStyle name="Titre 3 5 3" xfId="33274" xr:uid="{755FA351-6A74-4B5F-9A4C-94802AD2C083}"/>
    <cellStyle name="Titre 3 6" xfId="17613" xr:uid="{CD3B8076-22E6-4156-A99A-099B44CD69A4}"/>
    <cellStyle name="Titre 3 6 2" xfId="17614" xr:uid="{A9E2D509-8017-45F1-8E9B-6EA463E7628F}"/>
    <cellStyle name="Titre 3 6 2 2" xfId="33277" xr:uid="{D838C3DC-9669-480F-9A02-87D37C6666D0}"/>
    <cellStyle name="Titre 3 6 3" xfId="33276" xr:uid="{688F524D-E806-4C6B-BD6F-7954157E9F97}"/>
    <cellStyle name="Titre 3 7" xfId="17615" xr:uid="{36EF7829-A35E-40AB-A90B-2E8D0FDFD959}"/>
    <cellStyle name="Titre 3 7 2" xfId="17616" xr:uid="{3958F756-46F1-42BC-8ECB-F26E34730C4C}"/>
    <cellStyle name="Titre 3 7 2 2" xfId="33279" xr:uid="{5F8FC64E-3EA6-47A3-AE95-BCE18863C77C}"/>
    <cellStyle name="Titre 3 7 3" xfId="33278" xr:uid="{3F39991F-0BD7-4A50-A42C-245D32A9DDE4}"/>
    <cellStyle name="Titre 3 8" xfId="17617" xr:uid="{465ED37C-C85E-4A87-8B1D-9B36FBE00AEA}"/>
    <cellStyle name="Titre 3 8 2" xfId="17618" xr:uid="{2B8BFE3B-CCF5-4128-99FD-ACF0B90FB746}"/>
    <cellStyle name="Titre 3 8 2 2" xfId="33281" xr:uid="{CDA2A6A2-EB3B-4922-BB73-2E6BB2A8A858}"/>
    <cellStyle name="Titre 3 8 3" xfId="33280" xr:uid="{12331045-63E1-474F-8571-F0B7E44005A7}"/>
    <cellStyle name="Titre 3 9" xfId="17619" xr:uid="{CE055805-C402-4EAF-85C1-9A69557FDF3A}"/>
    <cellStyle name="Titre 3 9 2" xfId="33282" xr:uid="{C78C2675-53E9-4110-A737-4B1B28EBBC30}"/>
    <cellStyle name="Titre 4" xfId="2585" xr:uid="{9697B493-3CAC-4292-92A1-FADE92DC2204}"/>
    <cellStyle name="Titre 4 10" xfId="17620" xr:uid="{D51C5D52-962E-498D-BF2E-E45DF0B23DF3}"/>
    <cellStyle name="Titre 4 10 2" xfId="33283" xr:uid="{DBCD4300-7DE4-48C1-927C-F8BD45D2DAE9}"/>
    <cellStyle name="Titre 4 11" xfId="17621" xr:uid="{B40036BA-88CB-43A1-B95D-05E63014C41D}"/>
    <cellStyle name="Titre 4 11 2" xfId="33284" xr:uid="{E3FF7E9A-5B78-4CC5-B5DA-494622B81233}"/>
    <cellStyle name="Titre 4 2" xfId="2826" xr:uid="{8828F6F0-525C-437C-8E91-EE48C04F9CFE}"/>
    <cellStyle name="Titre 4 2 2" xfId="5555" xr:uid="{160B26A3-8D6E-4A9A-B17C-D5EE54EE38C1}"/>
    <cellStyle name="Titre 4 2 2 2" xfId="17622" xr:uid="{C0560C2C-CCA1-471E-927B-01EBA559A234}"/>
    <cellStyle name="Titre 4 2 2 2 2" xfId="33285" xr:uid="{B6FFB1FE-510E-42C2-A66F-A7EB56C93BA8}"/>
    <cellStyle name="Titre 4 2 2 3" xfId="17623" xr:uid="{A864D753-69FE-4F4F-BF62-E694F43B1B62}"/>
    <cellStyle name="Titre 4 2 2 3 2" xfId="33286" xr:uid="{59269C1B-465F-4C96-8263-D5E88BAEA5F8}"/>
    <cellStyle name="Titre 4 2 2 4" xfId="17624" xr:uid="{48EE0B5E-8E54-47DB-B79A-914C011B36AF}"/>
    <cellStyle name="Titre 4 2 2 4 2" xfId="33287" xr:uid="{E85432A1-DB9F-47FC-81EC-0EAA347AB2BA}"/>
    <cellStyle name="Titre 4 2 3" xfId="17625" xr:uid="{14DECCC9-24D9-41AA-8B26-20F6589790E4}"/>
    <cellStyle name="Titre 4 2 3 2" xfId="17626" xr:uid="{4A119AA2-93C2-475D-B23B-939153697F85}"/>
    <cellStyle name="Titre 4 2 3 2 2" xfId="33288" xr:uid="{B7706748-2437-4353-8C0F-240E346E41AE}"/>
    <cellStyle name="Titre 4 2 3 3" xfId="17627" xr:uid="{F4FF23FD-71FF-49F6-9836-7D5EEBAC71CB}"/>
    <cellStyle name="Titre 4 2 3 3 2" xfId="33289" xr:uid="{C1B6B20C-1260-41A1-8F5E-C3BCEAEF4535}"/>
    <cellStyle name="Titre 4 2 4" xfId="17628" xr:uid="{DE4F90C9-ED27-4631-8ABD-134F4A1F2BCC}"/>
    <cellStyle name="Titre 4 2 4 2" xfId="17629" xr:uid="{78EC61E0-6668-43E3-9FD7-2C5ACB17027D}"/>
    <cellStyle name="Titre 4 2 4 2 2" xfId="33291" xr:uid="{FA0FD980-2F5E-4D3F-AB7E-0686727C40FB}"/>
    <cellStyle name="Titre 4 2 4 3" xfId="33290" xr:uid="{766E4CA7-1FD6-422F-BCC0-852B3B1E847F}"/>
    <cellStyle name="Titre 4 2 5" xfId="17630" xr:uid="{22F7AFF0-8F47-49AF-827D-F06B6387C5FF}"/>
    <cellStyle name="Titre 4 2 5 2" xfId="17631" xr:uid="{1141EAC2-EB51-40D7-B7FA-C40AD872089D}"/>
    <cellStyle name="Titre 4 2 5 2 2" xfId="33293" xr:uid="{7C99FC1D-CA39-430A-9660-E430AFFA7B87}"/>
    <cellStyle name="Titre 4 2 5 3" xfId="33292" xr:uid="{E9F07C17-EC17-4F11-98AD-517F0766E8FB}"/>
    <cellStyle name="Titre 4 2 6" xfId="17632" xr:uid="{FA5C715F-26B6-4207-9F8A-EF58A4EA5C67}"/>
    <cellStyle name="Titre 4 2 6 2" xfId="33294" xr:uid="{13EA49BA-D88E-4EDA-A97D-6E9C589A56C9}"/>
    <cellStyle name="Titre 4 2 7" xfId="17633" xr:uid="{2D60229C-AA35-4B2E-821D-A0E45AF898B7}"/>
    <cellStyle name="Titre 4 2 7 2" xfId="33295" xr:uid="{ABDB751D-DEC8-4906-9E28-2DF7EC715C69}"/>
    <cellStyle name="Titre 4 3" xfId="5554" xr:uid="{97CA7154-DEEE-4AA4-AAC7-02A09BBDA8F0}"/>
    <cellStyle name="Titre 4 3 2" xfId="17634" xr:uid="{F57A3A36-CF75-4983-949F-541971E4B8BE}"/>
    <cellStyle name="Titre 4 3 2 2" xfId="17635" xr:uid="{C1D63038-C6DD-49E1-A762-2CE81809B03F}"/>
    <cellStyle name="Titre 4 3 2 2 2" xfId="33296" xr:uid="{607031CC-00DF-42A9-B613-B1E3E96A76FE}"/>
    <cellStyle name="Titre 4 3 3" xfId="17636" xr:uid="{822555FF-10A9-4173-88FF-DC2C630A06E7}"/>
    <cellStyle name="Titre 4 3 3 2" xfId="33297" xr:uid="{AD8879BF-5BCD-402E-A6FB-5907881B3960}"/>
    <cellStyle name="Titre 4 3 4" xfId="17637" xr:uid="{E760E8B4-E2D2-4D41-8C6D-CECF9643B7B5}"/>
    <cellStyle name="Titre 4 3 4 2" xfId="33298" xr:uid="{1E94A11F-7263-4258-AA78-E9FB0AC235FF}"/>
    <cellStyle name="Titre 4 4" xfId="17638" xr:uid="{479BCC37-8207-48D8-9E29-6190D3A46A16}"/>
    <cellStyle name="Titre 4 4 2" xfId="17639" xr:uid="{FA14E005-B775-4607-AAD0-83BBD913FFC7}"/>
    <cellStyle name="Titre 4 4 2 2" xfId="33300" xr:uid="{B7A074C2-E52D-4A40-93C3-B195CBC627AD}"/>
    <cellStyle name="Titre 4 4 3" xfId="33299" xr:uid="{911C08DC-ADC3-4176-AC11-123000377AA9}"/>
    <cellStyle name="Titre 4 5" xfId="17640" xr:uid="{10CD9AD0-023B-4754-AF50-1537B32BFA4E}"/>
    <cellStyle name="Titre 4 5 2" xfId="17641" xr:uid="{84FE57DC-E313-4810-8A68-FE782BFA7404}"/>
    <cellStyle name="Titre 4 5 2 2" xfId="33302" xr:uid="{2BE37C35-CB58-4293-A6DE-86B77D92817F}"/>
    <cellStyle name="Titre 4 5 3" xfId="33301" xr:uid="{91967092-C9B0-450F-98B6-FECF28B085D0}"/>
    <cellStyle name="Titre 4 6" xfId="17642" xr:uid="{4C65F355-3E99-4CA0-BAAE-8287BCD77A1C}"/>
    <cellStyle name="Titre 4 6 2" xfId="17643" xr:uid="{9F7A7D16-C3EA-47E7-88EE-B5D719DDA376}"/>
    <cellStyle name="Titre 4 6 2 2" xfId="33304" xr:uid="{C454B833-E574-49B1-B343-71AC2A7411A4}"/>
    <cellStyle name="Titre 4 6 3" xfId="33303" xr:uid="{EC229AE4-1E0A-4BF5-98D4-326635E6057F}"/>
    <cellStyle name="Titre 4 7" xfId="17644" xr:uid="{E88446E7-9460-42F6-B372-8CEB5EEDCEA1}"/>
    <cellStyle name="Titre 4 7 2" xfId="17645" xr:uid="{8913FA8B-B422-4C5F-847B-ED500268BD13}"/>
    <cellStyle name="Titre 4 7 2 2" xfId="33306" xr:uid="{0CF6CDDF-265E-4C8A-BD03-BC611C294BB3}"/>
    <cellStyle name="Titre 4 7 3" xfId="33305" xr:uid="{5D4CECA9-6F06-4B90-95AA-C1A2160AE38C}"/>
    <cellStyle name="Titre 4 8" xfId="17646" xr:uid="{FAEE3B3C-D603-495B-8DF6-1AA1E44BD2B8}"/>
    <cellStyle name="Titre 4 8 2" xfId="17647" xr:uid="{1359E375-9724-42BB-B8A2-0FE118EFDC41}"/>
    <cellStyle name="Titre 4 8 2 2" xfId="33308" xr:uid="{2FA5017E-DF8E-4A6A-9E75-4E08F0CF7DD5}"/>
    <cellStyle name="Titre 4 8 3" xfId="33307" xr:uid="{70C78597-B5C1-4050-BECD-C6F4DAF03357}"/>
    <cellStyle name="Titre 4 9" xfId="17648" xr:uid="{79E27635-FEA6-46F1-B03A-0EE32261CBE6}"/>
    <cellStyle name="Titre 4 9 2" xfId="33309" xr:uid="{7671AFBB-9B93-4714-BDEC-A9E361BD9645}"/>
    <cellStyle name="Total 2" xfId="2586" xr:uid="{30F5B4EC-469E-48C5-AC45-83FB6B94E8FA}"/>
    <cellStyle name="Total 2 10" xfId="17649" xr:uid="{890FEE30-68A8-4422-90B8-CF39A8900223}"/>
    <cellStyle name="Total 2 10 2" xfId="33310" xr:uid="{FC06ED07-C46C-424E-9C69-90F6FBA05D21}"/>
    <cellStyle name="Total 2 11" xfId="17650" xr:uid="{9907A6FF-EDED-4169-8929-D49938F69ECC}"/>
    <cellStyle name="Total 2 11 2" xfId="33311" xr:uid="{C6315264-8439-4AAC-8257-99AC6E941ACA}"/>
    <cellStyle name="Total 2 2" xfId="2827" xr:uid="{4C34AD8A-1EB4-4507-B120-F7C0C9EF87AF}"/>
    <cellStyle name="Total 2 2 2" xfId="5557" xr:uid="{172C15EB-D52F-45E3-B5DA-4D1C2014A48A}"/>
    <cellStyle name="Total 2 2 2 2" xfId="17651" xr:uid="{DF9D25FC-4A35-4696-AB78-D603474CE043}"/>
    <cellStyle name="Total 2 2 2 2 2" xfId="33312" xr:uid="{A28D95FD-3EEA-43C6-9D1D-77342FBD9849}"/>
    <cellStyle name="Total 2 2 2 3" xfId="17652" xr:uid="{9A44B854-4372-4AAB-837E-0954B41901BA}"/>
    <cellStyle name="Total 2 2 2 3 2" xfId="33313" xr:uid="{E010DD65-87A2-4EE2-A0C4-A4E58471747A}"/>
    <cellStyle name="Total 2 2 2 4" xfId="17653" xr:uid="{70C33388-DDBE-4668-BD33-9AE30D1AB044}"/>
    <cellStyle name="Total 2 2 2 4 2" xfId="33314" xr:uid="{93BE4C5C-90FB-432B-A93C-E1B9DF49F39F}"/>
    <cellStyle name="Total 2 2 3" xfId="17654" xr:uid="{DEB0C729-16FD-4A45-888C-F868FC33B499}"/>
    <cellStyle name="Total 2 2 3 2" xfId="17655" xr:uid="{8CD131D1-65E7-44F9-9E67-5E5E7ED97D01}"/>
    <cellStyle name="Total 2 2 3 2 2" xfId="33315" xr:uid="{AA96FBC8-94B1-4086-AE70-885258B6763B}"/>
    <cellStyle name="Total 2 2 3 3" xfId="17656" xr:uid="{F99E4CED-E351-49BD-933E-720EB9D07155}"/>
    <cellStyle name="Total 2 2 3 3 2" xfId="33316" xr:uid="{6B4230E8-B4A2-4310-B251-20DDA176D789}"/>
    <cellStyle name="Total 2 2 4" xfId="17657" xr:uid="{E7ACA6CC-6E0F-4804-9F0F-2FB96290A78A}"/>
    <cellStyle name="Total 2 2 4 2" xfId="17658" xr:uid="{D30768DA-1A05-421D-96A3-8B35FFCF980F}"/>
    <cellStyle name="Total 2 2 4 2 2" xfId="33318" xr:uid="{8773422E-21F1-4B36-AEB7-1C440E1BCA65}"/>
    <cellStyle name="Total 2 2 4 3" xfId="33317" xr:uid="{DCC1AE50-B80C-4FC2-B4B3-3B79FFD1093F}"/>
    <cellStyle name="Total 2 2 5" xfId="17659" xr:uid="{A73E702A-0F09-418E-AD9A-E6611D7F20EB}"/>
    <cellStyle name="Total 2 2 5 2" xfId="17660" xr:uid="{68DB177A-4244-4B79-AB55-B559665F1CBE}"/>
    <cellStyle name="Total 2 2 5 2 2" xfId="33320" xr:uid="{1E612D76-81B6-4C71-AAA6-371942DE78B5}"/>
    <cellStyle name="Total 2 2 5 3" xfId="33319" xr:uid="{D160432E-B348-4D80-B53E-3380A3AB7C5B}"/>
    <cellStyle name="Total 2 2 6" xfId="17661" xr:uid="{107143C8-9E87-46EE-B9AC-C83F5BDAC54B}"/>
    <cellStyle name="Total 2 2 6 2" xfId="33321" xr:uid="{27649E24-B80C-4909-B13E-2D5141F39670}"/>
    <cellStyle name="Total 2 2 7" xfId="17662" xr:uid="{FBBCB3C2-A8FB-425A-A2D3-01542843E9B2}"/>
    <cellStyle name="Total 2 2 7 2" xfId="33322" xr:uid="{271D214D-29D9-496F-96E5-71F079A8AC48}"/>
    <cellStyle name="Total 2 3" xfId="5556" xr:uid="{66C5C322-0A77-4FAF-9FC9-3B9FF1DC62F4}"/>
    <cellStyle name="Total 2 3 2" xfId="17663" xr:uid="{CF43FD26-E1AD-41C9-AE76-C3268696FA86}"/>
    <cellStyle name="Total 2 3 2 2" xfId="17664" xr:uid="{86E54D60-CADD-4790-A2A0-BC6BAAA73013}"/>
    <cellStyle name="Total 2 3 2 2 2" xfId="33323" xr:uid="{8BD01CBF-BF4A-4098-9280-00568448CDF5}"/>
    <cellStyle name="Total 2 3 3" xfId="17665" xr:uid="{1541CC7D-9B2A-44AC-8FAB-C954C2D78FAE}"/>
    <cellStyle name="Total 2 3 3 2" xfId="33324" xr:uid="{5B0B2511-8687-4325-8703-F76F8DAC028A}"/>
    <cellStyle name="Total 2 3 4" xfId="17666" xr:uid="{79A05D8C-1999-4112-BDAC-0C3F8B2F8203}"/>
    <cellStyle name="Total 2 3 4 2" xfId="33325" xr:uid="{F3A241B0-7152-4BF4-ACC8-33DAB9A3A26D}"/>
    <cellStyle name="Total 2 4" xfId="17667" xr:uid="{8721DFD8-D633-4C37-9C45-28EE3B3E66E0}"/>
    <cellStyle name="Total 2 4 2" xfId="17668" xr:uid="{BFA376BC-F352-4FC0-88A9-333F159E78C2}"/>
    <cellStyle name="Total 2 4 2 2" xfId="33327" xr:uid="{92CD5329-020B-4711-9C15-8EDB5B5335C4}"/>
    <cellStyle name="Total 2 4 3" xfId="33326" xr:uid="{2222B7FF-3E7A-4426-A066-036D72F3332E}"/>
    <cellStyle name="Total 2 5" xfId="17669" xr:uid="{95CB9628-114C-4E42-B73D-048738E9A00C}"/>
    <cellStyle name="Total 2 5 2" xfId="17670" xr:uid="{2B678CA0-65DC-4375-8735-934978E6256A}"/>
    <cellStyle name="Total 2 5 2 2" xfId="33329" xr:uid="{D9EE9614-3AC1-47D8-84F2-0BE86A854E4B}"/>
    <cellStyle name="Total 2 5 3" xfId="33328" xr:uid="{4686C474-78D6-4AD5-AA77-938C5A832B2C}"/>
    <cellStyle name="Total 2 6" xfId="17671" xr:uid="{09ED41BA-228C-4C85-A66C-9BA1DCA50FFC}"/>
    <cellStyle name="Total 2 6 2" xfId="17672" xr:uid="{C993C36D-6062-4967-AD89-78EA30D0A999}"/>
    <cellStyle name="Total 2 6 2 2" xfId="33331" xr:uid="{B68A73FD-291B-4D6B-820F-DF0AB5793025}"/>
    <cellStyle name="Total 2 6 3" xfId="33330" xr:uid="{06DA7DA4-3A61-4D38-A644-3897691F2BBC}"/>
    <cellStyle name="Total 2 7" xfId="17673" xr:uid="{52B52669-F720-44F1-83CB-1BDFF78D816E}"/>
    <cellStyle name="Total 2 7 2" xfId="17674" xr:uid="{6C311EAC-3892-41EC-9C01-68CDDD185423}"/>
    <cellStyle name="Total 2 7 2 2" xfId="33333" xr:uid="{9BE59AEE-0CED-43EA-877E-84F6DB797ADC}"/>
    <cellStyle name="Total 2 7 3" xfId="33332" xr:uid="{39C6AECC-567E-4D0A-914A-8CD0886F92ED}"/>
    <cellStyle name="Total 2 8" xfId="17675" xr:uid="{A495FC30-7130-4F17-AAD5-855B544E86D1}"/>
    <cellStyle name="Total 2 8 2" xfId="17676" xr:uid="{7A9C0C59-1CC1-4BCA-83E5-4BFF158117FA}"/>
    <cellStyle name="Total 2 8 2 2" xfId="33335" xr:uid="{AE1B402B-E88E-48FC-80D1-BB646F1F8E8C}"/>
    <cellStyle name="Total 2 8 3" xfId="33334" xr:uid="{BEA68517-3BD6-41E8-801F-E97D3579D340}"/>
    <cellStyle name="Total 2 9" xfId="17677" xr:uid="{D9AE3183-3A98-4F9F-9C89-FB2582EC132C}"/>
    <cellStyle name="Total 2 9 2" xfId="33336" xr:uid="{6143261A-F191-4AE6-9CE7-C884C175BF9C}"/>
    <cellStyle name="Total 3" xfId="2587" xr:uid="{66628367-9279-46CE-8DCD-CD812C584869}"/>
    <cellStyle name="Total 3 2" xfId="17678" xr:uid="{587EA31E-EAF7-410A-8392-79F407F6485A}"/>
    <cellStyle name="Total 3 2 2" xfId="17679" xr:uid="{FFB7A74E-3D7E-49A5-A557-782F5227AC51}"/>
    <cellStyle name="Total 3 2 2 2" xfId="17680" xr:uid="{B0D8810F-708F-48FE-A8E3-660B927AFB6F}"/>
    <cellStyle name="Total 3 2 2 2 2" xfId="33338" xr:uid="{3264AAF6-BD11-4C35-89F6-F168A36156D3}"/>
    <cellStyle name="Total 3 2 2 3" xfId="33337" xr:uid="{441AA1F3-D968-461A-9BE5-D43E549C17A3}"/>
    <cellStyle name="Total 3 2 3" xfId="17681" xr:uid="{CCEB964E-0C3F-43EF-ABCA-E832D001FF6A}"/>
    <cellStyle name="Total 3 2 3 2" xfId="17682" xr:uid="{5C257629-912C-48E3-BBBC-0CB73F6991DA}"/>
    <cellStyle name="Total 3 2 3 2 2" xfId="33340" xr:uid="{915C7D38-9BAD-40CB-8338-1A54C52C06BF}"/>
    <cellStyle name="Total 3 2 3 3" xfId="33339" xr:uid="{7178BFA7-DE69-4E28-B652-F3631421EF63}"/>
    <cellStyle name="Total 3 2 4" xfId="17683" xr:uid="{CD945F9C-1054-4440-AD25-0AD58E72D4C3}"/>
    <cellStyle name="Total 3 2 4 2" xfId="17684" xr:uid="{FA57B77A-D0C8-4D9F-8270-7E03E8FFBB7F}"/>
    <cellStyle name="Total 3 2 4 2 2" xfId="33342" xr:uid="{5564123A-8F41-42C6-87BF-3878C868DE04}"/>
    <cellStyle name="Total 3 2 4 3" xfId="33341" xr:uid="{AD2D635F-E92F-42F9-AEDD-6F20A12BF7F4}"/>
    <cellStyle name="Total 3 2 5" xfId="17685" xr:uid="{1B8F3A8C-446D-4671-847B-02165C528C26}"/>
    <cellStyle name="Total 3 2 5 2" xfId="17686" xr:uid="{6F535216-D160-4C00-B825-44510299F6F0}"/>
    <cellStyle name="Total 3 2 5 2 2" xfId="33344" xr:uid="{5A67AB7D-76B9-4265-ABD4-DD205C5E253D}"/>
    <cellStyle name="Total 3 2 5 3" xfId="33343" xr:uid="{FDCB5FF8-D7FC-4B3B-ABC9-F5C8EC9A1B37}"/>
    <cellStyle name="Total 3 2 6" xfId="17687" xr:uid="{3C3EA1D9-A948-4D77-A202-5192DE5A10C6}"/>
    <cellStyle name="Total 3 2 6 2" xfId="33345" xr:uid="{0D66AC9B-23E3-4D36-A043-6A625BD2769A}"/>
    <cellStyle name="Total 3 2 7" xfId="17688" xr:uid="{E0021E48-60F6-4CD0-B5B6-57AB3429CBDD}"/>
    <cellStyle name="Total 3 2 7 2" xfId="33346" xr:uid="{AA0BBBFB-BDCD-436E-AEFC-551D4CAF9DEC}"/>
    <cellStyle name="Total 3 3" xfId="17689" xr:uid="{3755C4CA-4B86-4DC0-8E64-E10FB7AC33E7}"/>
    <cellStyle name="Total 3 3 2" xfId="17690" xr:uid="{A359A891-8311-4D2A-B590-56E2A86FBE39}"/>
    <cellStyle name="Total 3 3 2 2" xfId="33348" xr:uid="{A28E4580-406E-4BFD-B030-5C3076B78099}"/>
    <cellStyle name="Total 3 3 3" xfId="33347" xr:uid="{65DC64BE-8451-418C-91C7-053AA31EF18B}"/>
    <cellStyle name="Total 3 4" xfId="17691" xr:uid="{F873647C-8B5D-4BD4-9512-69526D830165}"/>
    <cellStyle name="Total 3 4 2" xfId="17692" xr:uid="{14AE1D06-6211-4B24-8D26-7E1B45056A2D}"/>
    <cellStyle name="Total 3 4 2 2" xfId="33350" xr:uid="{8D22DB3C-1E0B-4360-8070-ABFC8D6DB61D}"/>
    <cellStyle name="Total 3 4 3" xfId="33349" xr:uid="{292B74CF-A117-4201-B5DC-564E2FB7D999}"/>
    <cellStyle name="Total 3 5" xfId="17693" xr:uid="{2BEDF5ED-635F-4363-8F51-EEF0D4929F64}"/>
    <cellStyle name="Total 3 5 2" xfId="17694" xr:uid="{40A5CD13-6322-4A62-996A-D7D7DAA9ACEC}"/>
    <cellStyle name="Total 3 5 2 2" xfId="33352" xr:uid="{8C3AADD3-CC5A-4666-A3A9-419B573B9CA1}"/>
    <cellStyle name="Total 3 5 3" xfId="33351" xr:uid="{FCC88068-0011-4B2E-B2C2-14EC829D70CF}"/>
    <cellStyle name="Total 3 6" xfId="17695" xr:uid="{27BC367F-433D-465B-BF15-18434F2CD8BA}"/>
    <cellStyle name="Total 3 6 2" xfId="17696" xr:uid="{9CED4F84-B0A9-40EF-9732-5923A672DEBE}"/>
    <cellStyle name="Total 3 6 2 2" xfId="33354" xr:uid="{E0CEFED7-1144-4516-AB61-670A4F5BCD1D}"/>
    <cellStyle name="Total 3 6 3" xfId="33353" xr:uid="{C4CCC318-251C-4FAE-8109-0D79A0473DF5}"/>
    <cellStyle name="Total 3 7" xfId="17697" xr:uid="{DCCB0E2A-88FD-44DC-AB09-9A75C30CDDB7}"/>
    <cellStyle name="Total 3 7 2" xfId="17698" xr:uid="{B81EDCB0-EA10-4CDA-BB8D-23E97F5250C8}"/>
    <cellStyle name="Total 3 7 2 2" xfId="33356" xr:uid="{148CA881-CCCB-48C5-9460-73A33256ECEB}"/>
    <cellStyle name="Total 3 7 3" xfId="33355" xr:uid="{A886F240-DF8B-4A2D-8156-7A97F8466C0D}"/>
    <cellStyle name="Total 3 8" xfId="17699" xr:uid="{695CA62B-8B30-40A4-BF88-2CC699C326C1}"/>
    <cellStyle name="Total 3 8 2" xfId="33357" xr:uid="{295E3AB4-1F01-4C3F-85D7-C43763CD6381}"/>
    <cellStyle name="Total 3 9" xfId="17700" xr:uid="{4301D1B6-1A2F-4758-AFBE-98E8E77B4355}"/>
    <cellStyle name="Total 3 9 2" xfId="33358" xr:uid="{B7761EDE-F4AC-421E-A0C4-7BF08A8FE0F6}"/>
    <cellStyle name="Total 4" xfId="17701" xr:uid="{93E13D74-08E7-4F62-BAAA-3D470D7C44B7}"/>
    <cellStyle name="Total 4 2" xfId="17702" xr:uid="{18D9D59A-39F2-4F11-B2B2-3F8A944A3F73}"/>
    <cellStyle name="Total 4 2 2" xfId="17703" xr:uid="{34CBED35-75CB-4040-9A81-156AB366CA8A}"/>
    <cellStyle name="Total 4 2 2 2" xfId="33361" xr:uid="{0C11B853-E412-492C-8984-E30888B3D0BD}"/>
    <cellStyle name="Total 4 2 3" xfId="33360" xr:uid="{2D72DDB7-3F79-4142-A7A7-D7DBE30E7F59}"/>
    <cellStyle name="Total 4 3" xfId="17704" xr:uid="{1CBAD474-BD4E-4EC8-AEA4-05FFD5BD573B}"/>
    <cellStyle name="Total 4 3 2" xfId="17705" xr:uid="{D0528E76-520E-40C8-B874-F52BA4780128}"/>
    <cellStyle name="Total 4 3 2 2" xfId="33363" xr:uid="{98BC5053-4382-4719-A827-CC75F0E3FFC3}"/>
    <cellStyle name="Total 4 3 3" xfId="33362" xr:uid="{8FA6E1BA-F510-429D-9307-400AFAEF1C4D}"/>
    <cellStyle name="Total 4 4" xfId="17706" xr:uid="{DC7F3858-949B-4F0D-B4BE-3D279EC9BD9C}"/>
    <cellStyle name="Total 4 4 2" xfId="17707" xr:uid="{95CBFDAA-DCD1-4D8F-8560-AE891FC00E89}"/>
    <cellStyle name="Total 4 4 2 2" xfId="33365" xr:uid="{69CD3FC5-E75C-4955-A2BF-EAD714F678A6}"/>
    <cellStyle name="Total 4 4 3" xfId="33364" xr:uid="{4D202A96-E3C8-488F-8300-1DD0A41727ED}"/>
    <cellStyle name="Total 4 5" xfId="17708" xr:uid="{3EE4A9D4-1D66-4B1E-B040-42265CE21B44}"/>
    <cellStyle name="Total 4 5 2" xfId="17709" xr:uid="{D3F186E4-95BA-4B9F-8E13-49D1EC845205}"/>
    <cellStyle name="Total 4 5 2 2" xfId="33367" xr:uid="{B967E425-7CD3-4665-9E53-8265D89DFDC0}"/>
    <cellStyle name="Total 4 5 3" xfId="33366" xr:uid="{2E65A77B-DAD3-4998-B571-D3FC95E4B5D3}"/>
    <cellStyle name="Total 4 6" xfId="17710" xr:uid="{391584A8-6003-4C58-861D-6016017FA606}"/>
    <cellStyle name="Total 4 6 2" xfId="33368" xr:uid="{9A410708-81DA-4139-AA4E-B4B7C406189A}"/>
    <cellStyle name="Total 4 7" xfId="33359" xr:uid="{6E6ADD5B-AA78-4E19-813F-FC09E7D1043A}"/>
    <cellStyle name="Überschrift" xfId="2588" xr:uid="{6988D28E-2F07-42F4-87DF-6BE87097676F}"/>
    <cellStyle name="Überschrift 1" xfId="2589" xr:uid="{408EF07A-524C-4771-BE08-2BEDDF7CB012}"/>
    <cellStyle name="Überschrift 1 10" xfId="17711" xr:uid="{2A259B66-6A7A-4526-A373-B7748CA741CD}"/>
    <cellStyle name="Überschrift 1 10 2" xfId="33369" xr:uid="{1426796D-2058-44D7-A855-E6B6989704AB}"/>
    <cellStyle name="Überschrift 1 11" xfId="17712" xr:uid="{1092EC02-DCEE-4620-944F-E0343C4F94F0}"/>
    <cellStyle name="Überschrift 1 11 2" xfId="33370" xr:uid="{9D407EC4-BCC8-4639-B8E7-41E10010D820}"/>
    <cellStyle name="Überschrift 1 2" xfId="2829" xr:uid="{A685C7C7-A533-4503-9649-A775D62444A8}"/>
    <cellStyle name="Überschrift 1 2 2" xfId="5560" xr:uid="{6D46B408-7198-4402-AD92-DADF58A93177}"/>
    <cellStyle name="Überschrift 1 2 2 2" xfId="17713" xr:uid="{EC665E55-6574-4CF8-B6C4-D3AF8D21D0D0}"/>
    <cellStyle name="Überschrift 1 2 2 2 2" xfId="33371" xr:uid="{63123AD3-2487-427B-9CFF-2B1FD5CB6A55}"/>
    <cellStyle name="Überschrift 1 2 2 3" xfId="17714" xr:uid="{EA18812D-4FF4-4FC5-A851-E029063F1B53}"/>
    <cellStyle name="Überschrift 1 2 2 3 2" xfId="33372" xr:uid="{30BB385F-55C2-4F6B-A612-A077ACE434CE}"/>
    <cellStyle name="Überschrift 1 2 2 4" xfId="17715" xr:uid="{9D3C18CA-8D75-4791-B279-11851EC05AB4}"/>
    <cellStyle name="Überschrift 1 2 2 4 2" xfId="33373" xr:uid="{AA238B95-364E-40B5-98F0-F9B3B2D88725}"/>
    <cellStyle name="Überschrift 1 2 3" xfId="17716" xr:uid="{4BF369C0-7D50-4593-AE37-FF6D1A8E065F}"/>
    <cellStyle name="Überschrift 1 2 3 2" xfId="17717" xr:uid="{10EFC624-B72E-402B-B7BA-7559977DDDC8}"/>
    <cellStyle name="Überschrift 1 2 3 2 2" xfId="33374" xr:uid="{E532B876-B64C-4C1B-94EF-C37836A1E738}"/>
    <cellStyle name="Überschrift 1 2 3 3" xfId="17718" xr:uid="{7D8AA4B4-B9B0-4114-BA60-984E5C165937}"/>
    <cellStyle name="Überschrift 1 2 3 3 2" xfId="33375" xr:uid="{FB7D1CA4-E605-4484-8267-DD4D6B930111}"/>
    <cellStyle name="Überschrift 1 2 4" xfId="17719" xr:uid="{0CAFB9CA-D0DC-4EC2-BAE0-8190BF080B29}"/>
    <cellStyle name="Überschrift 1 2 4 2" xfId="17720" xr:uid="{5BC64CB2-FE81-48CF-B731-310A187D3AE7}"/>
    <cellStyle name="Überschrift 1 2 4 2 2" xfId="33377" xr:uid="{7E2CBAAC-AAAA-4DC4-BE4E-4D645FED34B6}"/>
    <cellStyle name="Überschrift 1 2 4 3" xfId="33376" xr:uid="{E9DC4DFA-21D5-4523-9494-55061BE10147}"/>
    <cellStyle name="Überschrift 1 2 5" xfId="17721" xr:uid="{7595F2F6-A409-4F6A-8B96-DAA8129D0E18}"/>
    <cellStyle name="Überschrift 1 2 5 2" xfId="17722" xr:uid="{52DE8955-3B34-4FF4-A440-906A60C02926}"/>
    <cellStyle name="Überschrift 1 2 5 2 2" xfId="33379" xr:uid="{53A368A6-41DD-4B8B-B15F-4039DD5CADDC}"/>
    <cellStyle name="Überschrift 1 2 5 3" xfId="33378" xr:uid="{71C49296-6763-4B75-BB14-FEA3CA1A2644}"/>
    <cellStyle name="Überschrift 1 2 6" xfId="17723" xr:uid="{04375882-4E8B-482D-A114-7BB9090FE1BC}"/>
    <cellStyle name="Überschrift 1 2 6 2" xfId="33380" xr:uid="{B06913A9-29AD-4B2F-9873-AEC260795721}"/>
    <cellStyle name="Überschrift 1 2 7" xfId="17724" xr:uid="{96093D78-CCA8-4784-B62B-3C645CC6F6F0}"/>
    <cellStyle name="Überschrift 1 2 7 2" xfId="33381" xr:uid="{085EC0DB-D5EB-46E5-B8BE-1AEC17436371}"/>
    <cellStyle name="Überschrift 1 3" xfId="5559" xr:uid="{AEC7B901-978A-401F-A8FE-EE5782566AEC}"/>
    <cellStyle name="Überschrift 1 3 2" xfId="17725" xr:uid="{2F395057-351B-4EE8-BE66-99B32D65C003}"/>
    <cellStyle name="Überschrift 1 3 2 2" xfId="17726" xr:uid="{BD00171B-3FD2-4EA1-9332-91B17B955176}"/>
    <cellStyle name="Überschrift 1 3 2 2 2" xfId="33382" xr:uid="{7C6EB4D0-8584-4B8B-A95B-848827E57FAA}"/>
    <cellStyle name="Überschrift 1 3 3" xfId="17727" xr:uid="{02843FC5-AB7F-4D94-9AB7-73CD0E4280AE}"/>
    <cellStyle name="Überschrift 1 3 3 2" xfId="33383" xr:uid="{96944597-BD8E-4EAE-91DB-AAC867D42310}"/>
    <cellStyle name="Überschrift 1 3 4" xfId="17728" xr:uid="{B4FB7426-39A1-423D-9BB5-707EA253903D}"/>
    <cellStyle name="Überschrift 1 3 4 2" xfId="33384" xr:uid="{3F64AB0D-52E1-44D6-9E46-F1F44D59A614}"/>
    <cellStyle name="Überschrift 1 4" xfId="17729" xr:uid="{A5AF459E-CB03-44E8-BDC7-B4AF5DF81AE3}"/>
    <cellStyle name="Überschrift 1 4 2" xfId="17730" xr:uid="{A63C13F4-E603-458C-9DD2-59F693FFFAF4}"/>
    <cellStyle name="Überschrift 1 4 2 2" xfId="33386" xr:uid="{FAB52390-B7CE-4B0C-94AB-F6D632C05EFE}"/>
    <cellStyle name="Überschrift 1 4 3" xfId="33385" xr:uid="{21433334-973C-452F-9490-A19F2D72322F}"/>
    <cellStyle name="Überschrift 1 5" xfId="17731" xr:uid="{590E878E-6C72-4D95-9A8C-0B9C7FC65E19}"/>
    <cellStyle name="Überschrift 1 5 2" xfId="17732" xr:uid="{14681442-7D60-4072-BB56-7520E89233A7}"/>
    <cellStyle name="Überschrift 1 5 2 2" xfId="33388" xr:uid="{8CBAF6D8-836E-4468-B613-E257C7D48A0B}"/>
    <cellStyle name="Überschrift 1 5 3" xfId="33387" xr:uid="{118DBA73-CBDF-4107-9583-4A5B8E3E9D3B}"/>
    <cellStyle name="Überschrift 1 6" xfId="17733" xr:uid="{DB6FDF99-59EB-4499-9A86-E727AD6F3C19}"/>
    <cellStyle name="Überschrift 1 6 2" xfId="17734" xr:uid="{0DAFBF39-4DBF-4C07-9269-E6AAAAD1C9D7}"/>
    <cellStyle name="Überschrift 1 6 2 2" xfId="33390" xr:uid="{00B3CC36-B207-43D5-A773-ECFFF93E883D}"/>
    <cellStyle name="Überschrift 1 6 3" xfId="33389" xr:uid="{ECEF3DB4-392C-44B3-AC95-6CD621406165}"/>
    <cellStyle name="Überschrift 1 7" xfId="17735" xr:uid="{C6380111-C0F9-430C-9574-AB0E8252DB3A}"/>
    <cellStyle name="Überschrift 1 7 2" xfId="17736" xr:uid="{54C3ED47-8A77-4A62-9F33-959120822CCD}"/>
    <cellStyle name="Überschrift 1 7 2 2" xfId="33392" xr:uid="{E41B7E7D-77C8-4FF1-A542-9F2EE0A85E7B}"/>
    <cellStyle name="Überschrift 1 7 3" xfId="33391" xr:uid="{EE8781BB-B2EF-4C10-8D00-E5052D71A4FA}"/>
    <cellStyle name="Überschrift 1 8" xfId="17737" xr:uid="{98F3CC3E-A825-4451-8E7F-F8765949CF64}"/>
    <cellStyle name="Überschrift 1 8 2" xfId="17738" xr:uid="{F5E4AB8E-EB4F-4869-B078-9ACE29B09768}"/>
    <cellStyle name="Überschrift 1 8 2 2" xfId="33394" xr:uid="{BF913BB6-0588-4B17-91ED-0833EEDF01AD}"/>
    <cellStyle name="Überschrift 1 8 3" xfId="33393" xr:uid="{66D1C823-9FFC-48C7-98F7-3604D87A2CE2}"/>
    <cellStyle name="Überschrift 1 9" xfId="17739" xr:uid="{06AA0CF6-A772-4EC3-A3A4-0488D139157B}"/>
    <cellStyle name="Überschrift 1 9 2" xfId="33395" xr:uid="{24771072-E286-47A2-93BC-BB49B1D8D1D5}"/>
    <cellStyle name="Überschrift 10" xfId="17740" xr:uid="{A1D821AD-9563-48FB-95B7-9E90D8661E2D}"/>
    <cellStyle name="Überschrift 10 2" xfId="17741" xr:uid="{C75AA710-0E3A-4836-B42E-9B9E65628445}"/>
    <cellStyle name="Überschrift 10 2 2" xfId="33397" xr:uid="{AF3DF8AE-05C5-42C2-8EC2-D6BF75A6932F}"/>
    <cellStyle name="Überschrift 10 3" xfId="33396" xr:uid="{B3F73A66-0055-424B-9F4A-F352A3042413}"/>
    <cellStyle name="Überschrift 11" xfId="17742" xr:uid="{613E8011-9DF3-4CE5-9BF0-7548BF8211AC}"/>
    <cellStyle name="Überschrift 11 2" xfId="17743" xr:uid="{04FE8348-3DE0-44EE-A618-8683C9A703D5}"/>
    <cellStyle name="Überschrift 11 2 2" xfId="33399" xr:uid="{F28B7C81-6769-42C6-9332-6E1AC1B35FCA}"/>
    <cellStyle name="Überschrift 11 3" xfId="33398" xr:uid="{486A5262-FA93-49E1-B682-7AA9F39CD566}"/>
    <cellStyle name="Überschrift 12" xfId="17744" xr:uid="{A2849F05-F6F2-4D22-8DF8-DD4A2B657574}"/>
    <cellStyle name="Überschrift 12 2" xfId="33400" xr:uid="{DF3CB1DD-4282-4C03-BF56-9D3C0868B796}"/>
    <cellStyle name="Überschrift 13" xfId="17745" xr:uid="{AAF9C6D7-1F56-48F7-B957-81B02FFA8EAE}"/>
    <cellStyle name="Überschrift 13 2" xfId="33401" xr:uid="{D183DBB9-E873-4115-B167-F6A9D2A8ECB1}"/>
    <cellStyle name="Überschrift 14" xfId="17746" xr:uid="{991EFBBC-C93C-429A-B747-83EF513875FD}"/>
    <cellStyle name="Überschrift 14 2" xfId="33402" xr:uid="{63BEE902-CCCF-4B34-A7EA-25ABA346B7A5}"/>
    <cellStyle name="Überschrift 2" xfId="2590" xr:uid="{E98F6C4C-96CC-4BB2-A847-1F18D38C525B}"/>
    <cellStyle name="Überschrift 2 10" xfId="17747" xr:uid="{5E594D98-45FD-4B06-86EA-C077CC4CE48B}"/>
    <cellStyle name="Überschrift 2 10 2" xfId="33403" xr:uid="{2920BFDE-85B0-449B-A2E0-655C49E316E7}"/>
    <cellStyle name="Überschrift 2 11" xfId="17748" xr:uid="{D122839D-B486-45E9-ACDE-A5D2D2A90DEF}"/>
    <cellStyle name="Überschrift 2 11 2" xfId="33404" xr:uid="{4CC96622-8D5F-457A-A52B-3E4B3FB80A74}"/>
    <cellStyle name="Überschrift 2 2" xfId="2830" xr:uid="{F6E3639D-05F1-4C38-A724-E64EFA7874F6}"/>
    <cellStyle name="Überschrift 2 2 2" xfId="5562" xr:uid="{D2EC42EB-021B-4D68-B5E0-35F7A9383138}"/>
    <cellStyle name="Überschrift 2 2 2 2" xfId="17749" xr:uid="{6C6AC323-6AD2-4808-BFE4-AEEBD3A5F1A4}"/>
    <cellStyle name="Überschrift 2 2 2 2 2" xfId="33405" xr:uid="{5C256E3C-350B-4606-AAF1-716A6329ECA5}"/>
    <cellStyle name="Überschrift 2 2 2 3" xfId="17750" xr:uid="{4EBA0D03-5113-40FB-BADF-BA91455D648D}"/>
    <cellStyle name="Überschrift 2 2 2 3 2" xfId="33406" xr:uid="{D128131B-1D31-4D32-90D1-B63C90D20029}"/>
    <cellStyle name="Überschrift 2 2 2 4" xfId="17751" xr:uid="{5B308F7C-1718-49E7-B119-AD084D193A1A}"/>
    <cellStyle name="Überschrift 2 2 2 4 2" xfId="33407" xr:uid="{4305A63D-8041-4783-8188-F0ED84F933FD}"/>
    <cellStyle name="Überschrift 2 2 3" xfId="17752" xr:uid="{2616E295-F546-43C8-B04C-D76867E2D235}"/>
    <cellStyle name="Überschrift 2 2 3 2" xfId="17753" xr:uid="{8C304524-BAE9-4DBE-A332-DEA8C8535C07}"/>
    <cellStyle name="Überschrift 2 2 3 2 2" xfId="33408" xr:uid="{A2D0704C-5FB9-4D32-A80F-F7E8F778F073}"/>
    <cellStyle name="Überschrift 2 2 3 3" xfId="17754" xr:uid="{767E9F2A-D996-4B14-A143-DEB073470444}"/>
    <cellStyle name="Überschrift 2 2 3 3 2" xfId="33409" xr:uid="{893F7BC7-FFBA-4A04-A463-F8D8B85DDE3B}"/>
    <cellStyle name="Überschrift 2 2 4" xfId="17755" xr:uid="{78213682-854C-4F68-AC7F-15BEAD126E16}"/>
    <cellStyle name="Überschrift 2 2 4 2" xfId="17756" xr:uid="{B64A969A-65F8-4E06-866B-E63AE50664D2}"/>
    <cellStyle name="Überschrift 2 2 4 2 2" xfId="33411" xr:uid="{6CA41FD5-3E45-4697-A5B2-B122E687AF32}"/>
    <cellStyle name="Überschrift 2 2 4 3" xfId="33410" xr:uid="{DEABEE9B-B6AB-4774-912D-1CE813A1EE88}"/>
    <cellStyle name="Überschrift 2 2 5" xfId="17757" xr:uid="{151B4908-E6C2-410F-BE1D-E6BCBA36713F}"/>
    <cellStyle name="Überschrift 2 2 5 2" xfId="17758" xr:uid="{A768B2CE-5008-4BF7-89A7-BDE8C931E74F}"/>
    <cellStyle name="Überschrift 2 2 5 2 2" xfId="33413" xr:uid="{AE3C53D3-3566-4B10-8760-5AB6054CF0FC}"/>
    <cellStyle name="Überschrift 2 2 5 3" xfId="33412" xr:uid="{0E42DF7B-6186-4307-A9CA-BEF11C60A2E4}"/>
    <cellStyle name="Überschrift 2 2 6" xfId="17759" xr:uid="{31BE8CBF-A63A-429B-8145-C6FF0054C35E}"/>
    <cellStyle name="Überschrift 2 2 6 2" xfId="33414" xr:uid="{ED406819-733C-4DAE-BD4C-29C6C5C34AD6}"/>
    <cellStyle name="Überschrift 2 2 7" xfId="17760" xr:uid="{B1C61210-919A-4CBE-9329-EC73F7BB775E}"/>
    <cellStyle name="Überschrift 2 2 7 2" xfId="33415" xr:uid="{D4BCB12C-7864-4A6E-A062-542F80544A92}"/>
    <cellStyle name="Überschrift 2 3" xfId="5561" xr:uid="{12D86918-C8DB-405F-AC7B-856D56E1916A}"/>
    <cellStyle name="Überschrift 2 3 2" xfId="17761" xr:uid="{1B8B8E90-2EF6-418F-906A-C284BF06BF80}"/>
    <cellStyle name="Überschrift 2 3 2 2" xfId="17762" xr:uid="{F1743F53-314C-4CAA-9B3E-D206387D30B1}"/>
    <cellStyle name="Überschrift 2 3 2 2 2" xfId="33416" xr:uid="{51C20BE7-5696-458C-8A3A-C417EB4CFE8E}"/>
    <cellStyle name="Überschrift 2 3 3" xfId="17763" xr:uid="{52712E7A-2EF9-4676-A9AC-E45C1D9B0961}"/>
    <cellStyle name="Überschrift 2 3 3 2" xfId="33417" xr:uid="{FEA64A10-BC95-4FF2-A8DC-AC1C3B2D9D1B}"/>
    <cellStyle name="Überschrift 2 3 4" xfId="17764" xr:uid="{EF1780A6-D93F-43A4-A0F1-4D62519286E3}"/>
    <cellStyle name="Überschrift 2 3 4 2" xfId="33418" xr:uid="{D9AE8406-1E7C-4F3A-BFEC-571D6009F33D}"/>
    <cellStyle name="Überschrift 2 4" xfId="17765" xr:uid="{191EA279-8547-40F5-83FC-821B6D8FE13C}"/>
    <cellStyle name="Überschrift 2 4 2" xfId="17766" xr:uid="{F147EFB5-C494-4180-AB38-92E2176672AB}"/>
    <cellStyle name="Überschrift 2 4 2 2" xfId="33420" xr:uid="{BC6E30A9-BA05-4228-8968-2581EC9FD704}"/>
    <cellStyle name="Überschrift 2 4 3" xfId="33419" xr:uid="{55DC6EC8-B4FE-428D-850D-AD7C488DA706}"/>
    <cellStyle name="Überschrift 2 5" xfId="17767" xr:uid="{2410F060-9799-4D89-8CAC-2A8C27BCE095}"/>
    <cellStyle name="Überschrift 2 5 2" xfId="17768" xr:uid="{3B4BCC2A-8D2F-48C6-BB89-F0114D082B68}"/>
    <cellStyle name="Überschrift 2 5 2 2" xfId="33422" xr:uid="{EDAB874C-FB86-4B85-BCD2-C2CB0BDF06D3}"/>
    <cellStyle name="Überschrift 2 5 3" xfId="33421" xr:uid="{DD205D63-3F4A-4446-A3C7-A3D99397D8D5}"/>
    <cellStyle name="Überschrift 2 6" xfId="17769" xr:uid="{3400B08F-3462-4AB4-B20F-F8E36DBB6859}"/>
    <cellStyle name="Überschrift 2 6 2" xfId="17770" xr:uid="{53AEB17D-8B49-4B2C-9F19-2CE7DCA387A9}"/>
    <cellStyle name="Überschrift 2 6 2 2" xfId="33424" xr:uid="{74230126-CB92-4274-AEC5-D13F8D13E936}"/>
    <cellStyle name="Überschrift 2 6 3" xfId="33423" xr:uid="{6ACE646F-5849-4AE6-A962-2C1F81F0A59D}"/>
    <cellStyle name="Überschrift 2 7" xfId="17771" xr:uid="{BF67FEE1-2625-422A-AF96-B569CFA84F39}"/>
    <cellStyle name="Überschrift 2 7 2" xfId="17772" xr:uid="{CAEF61EB-31DD-4839-B54A-40817D6FBF47}"/>
    <cellStyle name="Überschrift 2 7 2 2" xfId="33426" xr:uid="{59DE7534-1B25-4EF9-9DBB-145DECCC4097}"/>
    <cellStyle name="Überschrift 2 7 3" xfId="33425" xr:uid="{9F5E9286-58F3-4D1F-A745-177F09C75A6C}"/>
    <cellStyle name="Überschrift 2 8" xfId="17773" xr:uid="{CA7F46A4-3EEB-472C-A980-09C3EDB70091}"/>
    <cellStyle name="Überschrift 2 8 2" xfId="17774" xr:uid="{07DC1AD2-EBDF-4020-A2C8-1D83EED8C65A}"/>
    <cellStyle name="Überschrift 2 8 2 2" xfId="33428" xr:uid="{8B8E8246-61A1-47C6-BF2A-C07172E0F1A2}"/>
    <cellStyle name="Überschrift 2 8 3" xfId="33427" xr:uid="{7B99573C-16DD-44CC-A419-F72B4D766DE2}"/>
    <cellStyle name="Überschrift 2 9" xfId="17775" xr:uid="{BCDA8531-1C76-45FF-B78C-D2F4FCA816FF}"/>
    <cellStyle name="Überschrift 2 9 2" xfId="33429" xr:uid="{4B00A2B3-44F4-4CFC-99F6-E6B6EADAC75F}"/>
    <cellStyle name="Überschrift 3" xfId="2591" xr:uid="{273A5D29-708A-46FD-9E80-707E1AE67139}"/>
    <cellStyle name="Überschrift 3 10" xfId="17776" xr:uid="{EF95B25F-FC70-4F2A-8934-3FC42297FDB1}"/>
    <cellStyle name="Überschrift 3 10 2" xfId="33430" xr:uid="{2E99B0C7-2BA3-4A87-8C48-10933D40F954}"/>
    <cellStyle name="Überschrift 3 11" xfId="17777" xr:uid="{354A7A85-7BBF-4DB3-8683-A58745F0B338}"/>
    <cellStyle name="Überschrift 3 11 2" xfId="33431" xr:uid="{2282A772-CF1C-4815-9B9A-1013B4633969}"/>
    <cellStyle name="Überschrift 3 2" xfId="2831" xr:uid="{E4FB7F9B-6254-45E1-A943-6079A8C314AF}"/>
    <cellStyle name="Überschrift 3 2 2" xfId="5564" xr:uid="{C45717DF-E73F-419B-BB0A-8CC82246709C}"/>
    <cellStyle name="Überschrift 3 2 2 2" xfId="17778" xr:uid="{FE93A4D7-4E36-41E9-AC05-78EFB61386E5}"/>
    <cellStyle name="Überschrift 3 2 2 2 2" xfId="33432" xr:uid="{68F7E5ED-E1DE-4AD7-932C-D40052BC07DF}"/>
    <cellStyle name="Überschrift 3 2 2 3" xfId="17779" xr:uid="{3085A894-67FA-4D0F-B7C1-6EEC576B49AE}"/>
    <cellStyle name="Überschrift 3 2 2 3 2" xfId="33433" xr:uid="{34DBD7D4-A7A2-441F-9B16-E0457A632533}"/>
    <cellStyle name="Überschrift 3 2 2 4" xfId="17780" xr:uid="{754004AD-729A-4612-A204-A6EEF50BE83C}"/>
    <cellStyle name="Überschrift 3 2 2 4 2" xfId="33434" xr:uid="{0ADCBA7E-3916-4509-A547-515E51EAD700}"/>
    <cellStyle name="Überschrift 3 2 3" xfId="17781" xr:uid="{6676B712-4B0E-4B2B-880D-DE6A93736C84}"/>
    <cellStyle name="Überschrift 3 2 3 2" xfId="17782" xr:uid="{3F328ABA-258E-44BC-B150-E6F6DBEE2E69}"/>
    <cellStyle name="Überschrift 3 2 3 2 2" xfId="33435" xr:uid="{B1E57C08-A281-455E-9104-E09519BBC65B}"/>
    <cellStyle name="Überschrift 3 2 3 3" xfId="17783" xr:uid="{41BEFE68-242C-4848-93AC-0A6ADE08777E}"/>
    <cellStyle name="Überschrift 3 2 3 3 2" xfId="33436" xr:uid="{4819F9CA-1ECB-4A02-99E6-37DC9B3006D7}"/>
    <cellStyle name="Überschrift 3 2 4" xfId="17784" xr:uid="{7AFEFAC2-CA0E-4F62-AF91-D42D0E453AB5}"/>
    <cellStyle name="Überschrift 3 2 4 2" xfId="17785" xr:uid="{37A1E769-BB33-44DB-BC2C-7B14F690EB2A}"/>
    <cellStyle name="Überschrift 3 2 4 2 2" xfId="33438" xr:uid="{6FBD5541-CADF-4995-8CBF-C8FBA5EE6A62}"/>
    <cellStyle name="Überschrift 3 2 4 3" xfId="33437" xr:uid="{4A23F2E7-63F1-4A98-BEEA-7FDC196B50C8}"/>
    <cellStyle name="Überschrift 3 2 5" xfId="17786" xr:uid="{64DC66BF-8BB7-4681-ADB0-9CCED717BD64}"/>
    <cellStyle name="Überschrift 3 2 5 2" xfId="17787" xr:uid="{6FA596AF-3034-4F5B-8021-4F4FD4455178}"/>
    <cellStyle name="Überschrift 3 2 5 2 2" xfId="33440" xr:uid="{EFA4D51A-E815-46E8-B236-D3336C123BC6}"/>
    <cellStyle name="Überschrift 3 2 5 3" xfId="33439" xr:uid="{9590A470-BB1D-4A95-A5EE-0A38EF4E9F0D}"/>
    <cellStyle name="Überschrift 3 2 6" xfId="17788" xr:uid="{B885009D-82C4-4FA0-9130-ED1BABCB23D2}"/>
    <cellStyle name="Überschrift 3 2 6 2" xfId="33441" xr:uid="{F26712AB-610B-46B6-BB85-2A0B6A53DEEC}"/>
    <cellStyle name="Überschrift 3 2 7" xfId="17789" xr:uid="{10A20EF3-AB6B-41E1-8F9C-F94A8824EC7C}"/>
    <cellStyle name="Überschrift 3 2 7 2" xfId="33442" xr:uid="{83192A20-E9DB-4CCE-8EE4-D90A83A6649E}"/>
    <cellStyle name="Überschrift 3 3" xfId="5563" xr:uid="{2CE98CFB-AAB3-4526-9598-2F4FA2BB7B44}"/>
    <cellStyle name="Überschrift 3 3 2" xfId="17790" xr:uid="{A30311BD-B674-4287-815F-C8DD15378B7C}"/>
    <cellStyle name="Überschrift 3 3 2 2" xfId="17791" xr:uid="{4070F70B-345C-4682-BAD7-A44071059BA5}"/>
    <cellStyle name="Überschrift 3 3 2 2 2" xfId="33443" xr:uid="{A34F6147-6FED-46F7-8C9D-D974BE0AD8C2}"/>
    <cellStyle name="Überschrift 3 3 3" xfId="17792" xr:uid="{8B052DA5-D16D-4EC8-84F8-BFE646E4C739}"/>
    <cellStyle name="Überschrift 3 3 3 2" xfId="33444" xr:uid="{70287583-1FA5-40B7-9A50-E46412C1B831}"/>
    <cellStyle name="Überschrift 3 3 4" xfId="17793" xr:uid="{7C4C395A-4135-4D83-8FB0-30630F98BF2F}"/>
    <cellStyle name="Überschrift 3 3 4 2" xfId="33445" xr:uid="{669E343D-BBED-402D-B016-429A05187628}"/>
    <cellStyle name="Überschrift 3 4" xfId="17794" xr:uid="{A9F69A6D-0599-40CD-8891-6BE0C662BFBB}"/>
    <cellStyle name="Überschrift 3 4 2" xfId="17795" xr:uid="{519F48E5-BD36-4FE1-8B5C-D6E2368E14FC}"/>
    <cellStyle name="Überschrift 3 4 2 2" xfId="33447" xr:uid="{A84772C0-704A-42C7-9DE2-E045990D28B2}"/>
    <cellStyle name="Überschrift 3 4 3" xfId="33446" xr:uid="{33AB4232-9573-4678-9503-1B73BBCC01AD}"/>
    <cellStyle name="Überschrift 3 5" xfId="17796" xr:uid="{7B2D09FA-6EAD-4779-A5E3-50045BD84813}"/>
    <cellStyle name="Überschrift 3 5 2" xfId="17797" xr:uid="{67782603-C6CA-4678-A64F-30E0BF148585}"/>
    <cellStyle name="Überschrift 3 5 2 2" xfId="33449" xr:uid="{CF9E5603-3007-49FB-BA35-3E3AAEC7EA05}"/>
    <cellStyle name="Überschrift 3 5 3" xfId="33448" xr:uid="{273E1F9C-1361-4A1F-B6A2-BF6813A49374}"/>
    <cellStyle name="Überschrift 3 6" xfId="17798" xr:uid="{5A57EF07-E11F-4102-A4D8-BF76C07A4069}"/>
    <cellStyle name="Überschrift 3 6 2" xfId="17799" xr:uid="{CA17C3CF-47D1-4290-9D00-01D2F1D56616}"/>
    <cellStyle name="Überschrift 3 6 2 2" xfId="33451" xr:uid="{A167FDC0-AC7D-4389-B50D-9CA6B1B218AA}"/>
    <cellStyle name="Überschrift 3 6 3" xfId="33450" xr:uid="{4D4FA38D-0A07-46D8-866D-A97C5872AD45}"/>
    <cellStyle name="Überschrift 3 7" xfId="17800" xr:uid="{C35CA2D1-3CCC-4C4E-860B-70C63DEFEF80}"/>
    <cellStyle name="Überschrift 3 7 2" xfId="17801" xr:uid="{CBB770E1-4758-4A2C-B757-1E330B3CFB97}"/>
    <cellStyle name="Überschrift 3 7 2 2" xfId="33453" xr:uid="{C4E26943-225C-408A-8AD6-9AED627DE676}"/>
    <cellStyle name="Überschrift 3 7 3" xfId="33452" xr:uid="{34635516-196F-46F5-97BB-4D69F071D3E4}"/>
    <cellStyle name="Überschrift 3 8" xfId="17802" xr:uid="{25EEC394-3958-4812-8C60-47BE31F5A7DE}"/>
    <cellStyle name="Überschrift 3 8 2" xfId="17803" xr:uid="{34D65301-74EE-4A37-8CC1-3E4B6D04D05F}"/>
    <cellStyle name="Überschrift 3 8 2 2" xfId="33455" xr:uid="{9D7E2F16-24A4-432C-8478-E7C2532C4E2B}"/>
    <cellStyle name="Überschrift 3 8 3" xfId="33454" xr:uid="{A89D140A-D852-4EF9-8E7A-E8CB573A9561}"/>
    <cellStyle name="Überschrift 3 9" xfId="17804" xr:uid="{B3FF73C5-7ED8-41D1-AB9A-4DFFD41043A1}"/>
    <cellStyle name="Überschrift 3 9 2" xfId="33456" xr:uid="{5071DCB1-655C-4EDE-BEC3-A93F37FA0D58}"/>
    <cellStyle name="Überschrift 4" xfId="2592" xr:uid="{2C8B788A-BD8E-4956-BAFC-D46E8A6B3E3E}"/>
    <cellStyle name="Überschrift 4 10" xfId="17805" xr:uid="{DA70D4D9-ECDB-4AE7-9927-E36F2FE1EDE5}"/>
    <cellStyle name="Überschrift 4 10 2" xfId="33457" xr:uid="{AC04959B-FA3D-4121-95EF-1BC3C2BFCBDF}"/>
    <cellStyle name="Überschrift 4 11" xfId="17806" xr:uid="{6F7B2F34-817B-47A7-BA5C-FDD979DFAE1A}"/>
    <cellStyle name="Überschrift 4 11 2" xfId="33458" xr:uid="{7253A4D0-D9ED-4EDF-8697-37AFBF7916D1}"/>
    <cellStyle name="Überschrift 4 2" xfId="2832" xr:uid="{E8FCA2F1-79AD-4F7E-BF45-C44FF35E90D7}"/>
    <cellStyle name="Überschrift 4 2 2" xfId="5566" xr:uid="{7C33D839-DEC4-4134-A942-6D343DF55022}"/>
    <cellStyle name="Überschrift 4 2 2 2" xfId="17807" xr:uid="{0249BD80-5A79-4F24-A9B4-421B0D6E48B0}"/>
    <cellStyle name="Überschrift 4 2 2 2 2" xfId="33459" xr:uid="{ED588C2D-1EC5-4816-8F7F-2172717D0EA3}"/>
    <cellStyle name="Überschrift 4 2 2 3" xfId="17808" xr:uid="{FA7F8EF9-4390-4535-919E-07FA0FEC0A1D}"/>
    <cellStyle name="Überschrift 4 2 2 3 2" xfId="33460" xr:uid="{376E9D0D-8E39-46C0-8DD9-7826C2F95D60}"/>
    <cellStyle name="Überschrift 4 2 2 4" xfId="17809" xr:uid="{9BF61A98-8760-48DF-8434-B3F00DD0488D}"/>
    <cellStyle name="Überschrift 4 2 2 4 2" xfId="33461" xr:uid="{F1C0207B-F0B3-4B6C-979E-C99409E23262}"/>
    <cellStyle name="Überschrift 4 2 3" xfId="17810" xr:uid="{7FDA617F-F7A3-44D7-A3C7-FF7F47E64320}"/>
    <cellStyle name="Überschrift 4 2 3 2" xfId="17811" xr:uid="{5DA2B046-F375-49D1-B999-95EE1653EACF}"/>
    <cellStyle name="Überschrift 4 2 3 2 2" xfId="33462" xr:uid="{CB77F162-20AD-490E-A819-71A81C2F6162}"/>
    <cellStyle name="Überschrift 4 2 3 3" xfId="17812" xr:uid="{910F096C-5977-4A44-8237-3695368EBD1D}"/>
    <cellStyle name="Überschrift 4 2 3 3 2" xfId="33463" xr:uid="{24CAB858-029D-4FF5-94EF-13521A672CEF}"/>
    <cellStyle name="Überschrift 4 2 4" xfId="17813" xr:uid="{645ADAAC-10F8-4149-AB41-33466AAF4C61}"/>
    <cellStyle name="Überschrift 4 2 4 2" xfId="17814" xr:uid="{DC91DFB7-91A9-4DB7-8100-C5954C6B6F0B}"/>
    <cellStyle name="Überschrift 4 2 4 2 2" xfId="33465" xr:uid="{2DE3B4F9-776E-4930-9D0C-5D047D39407F}"/>
    <cellStyle name="Überschrift 4 2 4 3" xfId="33464" xr:uid="{6EB9C4B5-E0AB-4F65-9D5B-C5013C1097D9}"/>
    <cellStyle name="Überschrift 4 2 5" xfId="17815" xr:uid="{E0F471DE-FB21-4513-AA4B-9B83166AE4C8}"/>
    <cellStyle name="Überschrift 4 2 5 2" xfId="17816" xr:uid="{E43A50FA-FD44-4D19-9B8A-968D0D49AAE7}"/>
    <cellStyle name="Überschrift 4 2 5 2 2" xfId="33467" xr:uid="{076659AF-FBD5-4543-955C-5724D0880871}"/>
    <cellStyle name="Überschrift 4 2 5 3" xfId="33466" xr:uid="{F36387D4-3808-4FAA-A181-7E3ED6156C31}"/>
    <cellStyle name="Überschrift 4 2 6" xfId="17817" xr:uid="{1F4481E2-E086-4E2E-A97D-A62AC97F617A}"/>
    <cellStyle name="Überschrift 4 2 6 2" xfId="33468" xr:uid="{250B5417-E59E-49C3-AA6E-280BAE3932CB}"/>
    <cellStyle name="Überschrift 4 2 7" xfId="17818" xr:uid="{274C1DF8-3D28-4852-9058-77FF42722D91}"/>
    <cellStyle name="Überschrift 4 2 7 2" xfId="33469" xr:uid="{CA2B37D8-6A2E-4FEC-8376-AC3A46DFA323}"/>
    <cellStyle name="Überschrift 4 3" xfId="5565" xr:uid="{9C06ED29-44B3-47CA-9416-D67D56829CA8}"/>
    <cellStyle name="Überschrift 4 3 2" xfId="17819" xr:uid="{488D2EE9-0B8F-416A-9253-DB34B9A8E522}"/>
    <cellStyle name="Überschrift 4 3 2 2" xfId="17820" xr:uid="{330FD8B7-E4D3-48E7-82AB-EEE0031674BC}"/>
    <cellStyle name="Überschrift 4 3 2 2 2" xfId="33470" xr:uid="{FF487BE2-CCEA-497B-A8AE-CA02BCD3B0D8}"/>
    <cellStyle name="Überschrift 4 3 3" xfId="17821" xr:uid="{2BA385B1-C5DA-4F2A-AE09-23B848CB3207}"/>
    <cellStyle name="Überschrift 4 3 3 2" xfId="33471" xr:uid="{7E1D1EFF-EC43-4AD9-AC05-023933209EE7}"/>
    <cellStyle name="Überschrift 4 3 4" xfId="17822" xr:uid="{2FC3BC2C-BA41-4762-9936-52607C4D2FA9}"/>
    <cellStyle name="Überschrift 4 3 4 2" xfId="33472" xr:uid="{828BBC44-4A79-42CD-999C-520FC8D7DFB3}"/>
    <cellStyle name="Überschrift 4 4" xfId="17823" xr:uid="{D957341D-8785-4C72-9035-4F6A5D116BFA}"/>
    <cellStyle name="Überschrift 4 4 2" xfId="17824" xr:uid="{1DB4B433-B785-4ECF-BEC3-FEFA5787CEF7}"/>
    <cellStyle name="Überschrift 4 4 2 2" xfId="33474" xr:uid="{A4165DCA-6EB5-4399-A4C5-EBBD6544E1A1}"/>
    <cellStyle name="Überschrift 4 4 3" xfId="33473" xr:uid="{BD8A1CEE-FA61-4CAB-9F22-72930B794A07}"/>
    <cellStyle name="Überschrift 4 5" xfId="17825" xr:uid="{C80C6230-BE87-4F24-B5E5-271CE5BA4324}"/>
    <cellStyle name="Überschrift 4 5 2" xfId="17826" xr:uid="{D99AA061-4428-4F93-977F-CD5DBBCCD084}"/>
    <cellStyle name="Überschrift 4 5 2 2" xfId="33476" xr:uid="{8B3A8EB6-E460-4BC3-9715-E7C18115A751}"/>
    <cellStyle name="Überschrift 4 5 3" xfId="33475" xr:uid="{7861ABEB-4A9E-4486-B1FC-2A8AE5B05E60}"/>
    <cellStyle name="Überschrift 4 6" xfId="17827" xr:uid="{DAC1EA54-4891-4A67-93B2-504A8E047814}"/>
    <cellStyle name="Überschrift 4 6 2" xfId="17828" xr:uid="{71A1246F-DD75-49DE-9A35-450233E2E174}"/>
    <cellStyle name="Überschrift 4 6 2 2" xfId="33478" xr:uid="{3A01BB19-E003-454C-9716-C04F9DFBF1C8}"/>
    <cellStyle name="Überschrift 4 6 3" xfId="33477" xr:uid="{8536EC2F-2398-4144-A0E6-F35756884028}"/>
    <cellStyle name="Überschrift 4 7" xfId="17829" xr:uid="{A969FB63-5242-406B-8BF4-1B82B93DACDC}"/>
    <cellStyle name="Überschrift 4 7 2" xfId="17830" xr:uid="{5D51C848-B7E4-46D3-9413-47E7F52ED81C}"/>
    <cellStyle name="Überschrift 4 7 2 2" xfId="33480" xr:uid="{A47B7429-0B20-4A7C-8B67-FA188FCA27B7}"/>
    <cellStyle name="Überschrift 4 7 3" xfId="33479" xr:uid="{716F6B05-49C9-473D-B395-73456F7E99BF}"/>
    <cellStyle name="Überschrift 4 8" xfId="17831" xr:uid="{9ECB4342-4640-4E6D-A988-8AB0D10948D9}"/>
    <cellStyle name="Überschrift 4 8 2" xfId="17832" xr:uid="{693F3B59-02EF-4B8C-84A8-C48EC7E99DFA}"/>
    <cellStyle name="Überschrift 4 8 2 2" xfId="33482" xr:uid="{9F5610A1-392A-4B35-9845-0D5E277A8F46}"/>
    <cellStyle name="Überschrift 4 8 3" xfId="33481" xr:uid="{D50D792B-22AF-4FE6-B375-AE5D584DF29E}"/>
    <cellStyle name="Überschrift 4 9" xfId="17833" xr:uid="{6B261DAD-2C02-4BC4-A95F-31461D81E00D}"/>
    <cellStyle name="Überschrift 4 9 2" xfId="33483" xr:uid="{AC436560-DE7B-47AD-B174-1BC30DD9705C}"/>
    <cellStyle name="Überschrift 5" xfId="2828" xr:uid="{1C2FE623-516D-4BF8-8BDB-BF8F6DEBB03F}"/>
    <cellStyle name="Überschrift 5 2" xfId="5567" xr:uid="{32BDA621-B25F-43D2-ADCA-0AE4506461E6}"/>
    <cellStyle name="Überschrift 5 2 2" xfId="17834" xr:uid="{FEC39821-EDA6-4B62-BF18-F42B8AC347D1}"/>
    <cellStyle name="Überschrift 5 2 2 2" xfId="33484" xr:uid="{93FA473B-5098-4FDC-AE67-56272F26B3E1}"/>
    <cellStyle name="Überschrift 5 2 3" xfId="17835" xr:uid="{C33BA04E-243B-4B03-BF4E-B4AA519B7052}"/>
    <cellStyle name="Überschrift 5 2 3 2" xfId="33485" xr:uid="{FDD19F11-8A7D-400F-8D85-349D116633E9}"/>
    <cellStyle name="Überschrift 5 2 4" xfId="17836" xr:uid="{D1697609-5D23-4AA1-8A54-959DCE7FFF2D}"/>
    <cellStyle name="Überschrift 5 2 4 2" xfId="33486" xr:uid="{103F1EAF-8A87-4893-B36C-AD872D30AAE0}"/>
    <cellStyle name="Überschrift 5 3" xfId="17837" xr:uid="{445D050F-04CA-4202-8CAC-3FEF120CB7C7}"/>
    <cellStyle name="Überschrift 5 3 2" xfId="17838" xr:uid="{F98044AE-6D21-4464-A159-96CA1A48F75F}"/>
    <cellStyle name="Überschrift 5 3 2 2" xfId="33487" xr:uid="{5171012F-C11E-4311-ABDB-90BC554D9835}"/>
    <cellStyle name="Überschrift 5 3 3" xfId="17839" xr:uid="{BA4E3781-7CED-4D05-A797-67DC6B1FFFEC}"/>
    <cellStyle name="Überschrift 5 3 3 2" xfId="33488" xr:uid="{0DFE771C-D90B-4491-84AB-28314F6FCA58}"/>
    <cellStyle name="Überschrift 5 4" xfId="17840" xr:uid="{A17828C3-ADBA-4EAE-9272-8719ECB465D3}"/>
    <cellStyle name="Überschrift 5 4 2" xfId="17841" xr:uid="{96A740CE-11B5-4145-8C2F-5FDBFFCF050A}"/>
    <cellStyle name="Überschrift 5 4 2 2" xfId="33490" xr:uid="{3674D0F8-E544-4A28-9D48-9B272C1EE64B}"/>
    <cellStyle name="Überschrift 5 4 3" xfId="33489" xr:uid="{F51B061E-3D28-44C6-BFC9-D4EBF23B9820}"/>
    <cellStyle name="Überschrift 5 5" xfId="17842" xr:uid="{104ECCDF-CD42-4CD9-AF06-4F0333624BBA}"/>
    <cellStyle name="Überschrift 5 5 2" xfId="17843" xr:uid="{FFC509BE-56DE-4E78-93F5-C996EDCB11F2}"/>
    <cellStyle name="Überschrift 5 5 2 2" xfId="33492" xr:uid="{A51C7D5A-4A08-4B22-B6DB-F4AAE8681001}"/>
    <cellStyle name="Überschrift 5 5 3" xfId="33491" xr:uid="{FB722F5D-20FA-4884-937D-E13F2EB1065E}"/>
    <cellStyle name="Überschrift 5 6" xfId="17844" xr:uid="{9E60D0A9-1410-4192-9BD8-F9F21F7CAEDE}"/>
    <cellStyle name="Überschrift 5 6 2" xfId="33493" xr:uid="{E4C60E3B-F69E-4BE4-A6F0-EC55B768B130}"/>
    <cellStyle name="Überschrift 5 7" xfId="17845" xr:uid="{ABC9F33E-8315-4FFA-90ED-07EC6DA41EDF}"/>
    <cellStyle name="Überschrift 5 7 2" xfId="33494" xr:uid="{178A7501-C940-410A-92BF-8ACDE7A574D1}"/>
    <cellStyle name="Überschrift 6" xfId="5558" xr:uid="{532386FA-A180-4190-9C35-A55F5A983A09}"/>
    <cellStyle name="Überschrift 6 2" xfId="17846" xr:uid="{3D3B614D-7B66-4ACC-8E57-07DA1AB483B6}"/>
    <cellStyle name="Überschrift 6 2 2" xfId="17847" xr:uid="{EBFE7664-58DC-45F9-A18C-B89D4A7C9E99}"/>
    <cellStyle name="Überschrift 6 2 2 2" xfId="33495" xr:uid="{A1EA4760-226C-401E-B8FE-2D0624C2DC7B}"/>
    <cellStyle name="Überschrift 6 3" xfId="17848" xr:uid="{C1505EA1-0B63-47CB-AAEA-24072A1A7198}"/>
    <cellStyle name="Überschrift 6 3 2" xfId="33496" xr:uid="{9ACA7EBF-5753-4DA1-ADBC-67C72F9E6B44}"/>
    <cellStyle name="Überschrift 6 4" xfId="17849" xr:uid="{E2A61E9C-7A4E-49D8-B0EE-4DC452B22AC5}"/>
    <cellStyle name="Überschrift 6 4 2" xfId="33497" xr:uid="{2160B18E-0229-4E85-A0B9-F27DF4F00682}"/>
    <cellStyle name="Überschrift 7" xfId="17850" xr:uid="{E942A131-25BC-4B77-9BAF-B65DDB9FD11D}"/>
    <cellStyle name="Überschrift 7 2" xfId="17851" xr:uid="{6CDD33C3-7A4C-4938-9D4B-B2867DEF6929}"/>
    <cellStyle name="Überschrift 7 2 2" xfId="33499" xr:uid="{4A36A465-93C0-40EC-B1FF-EB4C1BDCF2C5}"/>
    <cellStyle name="Überschrift 7 3" xfId="33498" xr:uid="{B827D7C8-D57E-4E7C-875B-22AC56249520}"/>
    <cellStyle name="Überschrift 8" xfId="17852" xr:uid="{1AC28065-75C6-47E6-A841-88B9740652E8}"/>
    <cellStyle name="Überschrift 8 2" xfId="17853" xr:uid="{AE6467FD-2AC1-4FA4-BA00-CEEAC66C4CD2}"/>
    <cellStyle name="Überschrift 8 2 2" xfId="33501" xr:uid="{FB5021E8-EA71-4041-925D-5C29699DC6E0}"/>
    <cellStyle name="Überschrift 8 3" xfId="33500" xr:uid="{56AA04A5-4879-4C43-AB78-8F841D73A5F5}"/>
    <cellStyle name="Überschrift 9" xfId="17854" xr:uid="{4CD999CB-BD9A-4ED3-A13E-473BB18055AB}"/>
    <cellStyle name="Überschrift 9 2" xfId="17855" xr:uid="{EB4B5047-FBD3-4FC3-B8FF-A26F9674CA7A}"/>
    <cellStyle name="Überschrift 9 2 2" xfId="33503" xr:uid="{F7DA7859-4836-4487-B28F-243D87FC14EB}"/>
    <cellStyle name="Überschrift 9 3" xfId="33502" xr:uid="{B427D079-E643-422E-B670-08C1CBAFBEDE}"/>
    <cellStyle name="Überschrift_Energy cost" xfId="20504" xr:uid="{B319C754-9A1A-49BA-B27A-0B7417EDF629}"/>
    <cellStyle name="Vérification" xfId="2593" xr:uid="{32EB3E8B-51E6-4007-8EA8-328C940F5FCA}"/>
    <cellStyle name="Vérification 10" xfId="17856" xr:uid="{72A60E48-B513-441B-849D-B49B81C9D6CD}"/>
    <cellStyle name="Vérification 10 2" xfId="33504" xr:uid="{DB5D495F-D0C8-41F6-9CC9-6FFABF3F3060}"/>
    <cellStyle name="Vérification 11" xfId="17857" xr:uid="{D1562FC4-1544-476A-859C-AE702A3BF139}"/>
    <cellStyle name="Vérification 11 2" xfId="33505" xr:uid="{750CAEDF-D075-4838-B082-812CE9F9ED75}"/>
    <cellStyle name="Vérification 2" xfId="2833" xr:uid="{A89FE6D8-DD57-4AAC-A544-E916BD1141D3}"/>
    <cellStyle name="Vérification 2 2" xfId="5569" xr:uid="{33914C93-E880-4BB8-BBE7-30ADCF90D396}"/>
    <cellStyle name="Vérification 2 2 2 2" xfId="33506" xr:uid="{744BF362-D9DE-4E5C-97E0-0E0FBA731784}"/>
    <cellStyle name="Vérification 2 2 3" xfId="17858" xr:uid="{263C20E0-4601-4BAE-8C1D-E0A7A11BF401}"/>
    <cellStyle name="Vérification 2 2 3 2" xfId="33507" xr:uid="{878A5FC1-2612-4B0F-99E5-9E294A116F59}"/>
    <cellStyle name="Vérification 2 2 4" xfId="17859" xr:uid="{28C00029-71BF-459B-B3BA-1358F18934B6}"/>
    <cellStyle name="Vérification 2 2 4 2" xfId="33508" xr:uid="{19D9E26C-00AE-448F-8D07-600E9204A83C}"/>
    <cellStyle name="Vérification 2 3" xfId="17860" xr:uid="{2B36CCA2-B98C-4D57-8F17-ECD7CBC714D8}"/>
    <cellStyle name="Vérification 2 3 2" xfId="17861" xr:uid="{2C3BBFDB-34FC-47B9-9276-C79D95155519}"/>
    <cellStyle name="Vérification 2 3 2 2" xfId="33509" xr:uid="{1D1556DC-610C-40E2-AA8C-9BE44400E787}"/>
    <cellStyle name="Vérification 2 3 3 2" xfId="33510" xr:uid="{C2348C63-7482-4D68-AB88-39F1344481E7}"/>
    <cellStyle name="Vérification 2 4" xfId="17862" xr:uid="{27C41277-867E-4151-96EA-5176040915C2}"/>
    <cellStyle name="Vérification 2 4 2" xfId="17863" xr:uid="{F312215A-BF92-46F9-96CD-D20645B0BA22}"/>
    <cellStyle name="Vérification 2 4 2 2" xfId="33512" xr:uid="{EFD74E5C-E224-41F6-B8FF-7D239950CDEE}"/>
    <cellStyle name="Vérification 2 4 3" xfId="33511" xr:uid="{9846BF80-B0CA-4BED-B1F1-536F780586EC}"/>
    <cellStyle name="Vérification 2 5" xfId="17864" xr:uid="{2227F1F6-846F-4C69-AE26-5E24244EB78F}"/>
    <cellStyle name="Vérification 2 5 2" xfId="17865" xr:uid="{DB36D170-BCCF-4774-AD4E-7DCD8BD5A085}"/>
    <cellStyle name="Vérification 2 5 2 2" xfId="33514" xr:uid="{1FF6FE4E-3E77-4511-92EA-97850284232D}"/>
    <cellStyle name="Vérification 2 5 3" xfId="33513" xr:uid="{1BA14322-D92F-4979-9F7B-A173B8148169}"/>
    <cellStyle name="Vérification 2 6" xfId="17866" xr:uid="{59599124-300E-42D1-A1D8-4F192EC50954}"/>
    <cellStyle name="Vérification 2 6 2" xfId="33515" xr:uid="{53C0344E-FC38-4940-90A3-A2D6CED05B10}"/>
    <cellStyle name="Vérification 2 7" xfId="17867" xr:uid="{3DFA9E80-EBB4-458D-A9B0-83BF394AF444}"/>
    <cellStyle name="Vérification 2 7 2" xfId="33516" xr:uid="{E82121F8-2A4C-410C-9168-1D82E437D713}"/>
    <cellStyle name="Vérification 3" xfId="5568" xr:uid="{FC678694-BDB3-493B-BFF7-E93826D224E7}"/>
    <cellStyle name="Vérification 3 2" xfId="17868" xr:uid="{36224F3E-86FD-4BC5-9835-02669772825D}"/>
    <cellStyle name="Vérification 3 2 2" xfId="17869" xr:uid="{CA2F0A36-8231-4B5D-9C17-8B8490262108}"/>
    <cellStyle name="Vérification 3 2 2 2" xfId="33517" xr:uid="{4C2486C2-104D-4986-A614-70A259092558}"/>
    <cellStyle name="Vérification 3 3" xfId="17870" xr:uid="{2EA63DEE-CFC5-4F9A-AE17-D86F99988D30}"/>
    <cellStyle name="Vérification 3 3 2" xfId="33518" xr:uid="{A5F4642B-0E80-4E0C-A4AC-20DD73B5180D}"/>
    <cellStyle name="Vérification 3 4" xfId="17871" xr:uid="{094D6F8C-8BA0-4675-B82D-64DC8A54FDAB}"/>
    <cellStyle name="Vérification 3 4 2" xfId="33519" xr:uid="{47BFF7DE-2DCE-44DF-8373-43235A805059}"/>
    <cellStyle name="Vérification 4" xfId="17872" xr:uid="{7866F790-807E-48FF-B819-9A1E23AE79AE}"/>
    <cellStyle name="Vérification 4 2" xfId="17873" xr:uid="{079F6333-61BD-40FB-A932-37C8BC5CA0AF}"/>
    <cellStyle name="Vérification 4 2 2" xfId="33521" xr:uid="{BA470A99-FDD2-424F-8569-1AEAAE3A7D6C}"/>
    <cellStyle name="Vérification 4 3" xfId="33520" xr:uid="{B4D64782-A04A-41B3-85E1-B7351A373985}"/>
    <cellStyle name="Vérification 5" xfId="17874" xr:uid="{313B1AD6-58D1-4762-B1B5-1143B89498C8}"/>
    <cellStyle name="Vérification 5 2" xfId="17875" xr:uid="{8E037F58-A883-4A97-97C5-152B56BD254A}"/>
    <cellStyle name="Vérification 5 2 2" xfId="33523" xr:uid="{524C79A8-1FD9-4102-BADB-085F97F3D1F3}"/>
    <cellStyle name="Vérification 5 3" xfId="33522" xr:uid="{9B546C8C-8EAD-401D-8665-688EF5BC5C2D}"/>
    <cellStyle name="Vérification 6" xfId="17876" xr:uid="{261512D2-5F75-49F2-A7CD-A75E7BBC35F7}"/>
    <cellStyle name="Vérification 6 2" xfId="17877" xr:uid="{D17742F0-4C73-4275-B64D-EDD1AA6F6A30}"/>
    <cellStyle name="Vérification 6 2 2" xfId="33525" xr:uid="{C270F449-B1C4-4B49-B1F7-F1740F83170E}"/>
    <cellStyle name="Vérification 6 3" xfId="33524" xr:uid="{06B57492-B4C9-4E24-9112-78E0555B02A6}"/>
    <cellStyle name="Vérification 7" xfId="17878" xr:uid="{4F3B2210-B4FD-4D9A-BB61-A00A884F44D7}"/>
    <cellStyle name="Vérification 7 2" xfId="17879" xr:uid="{DE830FC9-7132-4DF6-BE97-EB230BA98CBD}"/>
    <cellStyle name="Vérification 7 2 2" xfId="33527" xr:uid="{A3B70100-87E5-4926-89BB-4360CB3BBB65}"/>
    <cellStyle name="Vérification 7 3" xfId="33526" xr:uid="{2CECB154-64F0-491C-A0A5-43C2504480B6}"/>
    <cellStyle name="Vérification 8" xfId="17880" xr:uid="{81CC0005-8D9E-4F1F-B12A-D8E1CBE90349}"/>
    <cellStyle name="Vérification 8 2" xfId="17881" xr:uid="{7BA93192-9A4E-4798-A29F-D948E9DBB2C6}"/>
    <cellStyle name="Vérification 8 2 2" xfId="33529" xr:uid="{A95F8254-0473-4EA2-8BCE-5F7DA4FB19E6}"/>
    <cellStyle name="Vérification 8 3" xfId="33528" xr:uid="{EF5189D3-155B-4168-A8D3-615D1DC16D92}"/>
    <cellStyle name="Vérification 9" xfId="17882" xr:uid="{6C757373-F6D3-4704-889F-6C77F3948458}"/>
    <cellStyle name="Vérification 9 2" xfId="33530" xr:uid="{07602F83-3885-479A-8A26-642CD1DD2174}"/>
    <cellStyle name="Verknüpfte Zelle" xfId="2594" xr:uid="{3831B40A-CE67-4B1D-A80C-CFFD7CEA83A9}"/>
    <cellStyle name="Verknüpfte Zelle 10" xfId="17883" xr:uid="{3337E58C-21C2-403B-8704-E80A3B809905}"/>
    <cellStyle name="Verknüpfte Zelle 10 2" xfId="33531" xr:uid="{3BF591F0-A0C6-496E-AFD1-00FFCD1804FC}"/>
    <cellStyle name="Verknüpfte Zelle 11" xfId="17884" xr:uid="{959972B9-7CAF-47AF-93DD-C1232E5B66E5}"/>
    <cellStyle name="Verknüpfte Zelle 11 2" xfId="33532" xr:uid="{DDA0E1FC-2722-41F3-8DE6-809CC7263AE2}"/>
    <cellStyle name="Verknüpfte Zelle 2" xfId="2834" xr:uid="{1DCBB26B-DA1D-475E-B9FB-89423E5B0FAA}"/>
    <cellStyle name="Verknüpfte Zelle 2 2" xfId="5571" xr:uid="{C87324AE-68C8-4BF3-A635-71167B177DE9}"/>
    <cellStyle name="Verknüpfte Zelle 2 2 2" xfId="17885" xr:uid="{C5A720B1-7F7B-4F31-BF9C-7DCDB784848C}"/>
    <cellStyle name="Verknüpfte Zelle 2 2 2 2" xfId="33533" xr:uid="{7E6427F4-3B33-44A4-9DA3-3C5BB7052678}"/>
    <cellStyle name="Verknüpfte Zelle 2 2 3" xfId="17886" xr:uid="{FF75E8E8-9DB3-4397-BA27-627D1525C123}"/>
    <cellStyle name="Verknüpfte Zelle 2 2 3 2" xfId="33534" xr:uid="{2B8BB8E8-2652-49E2-96E3-5F3820ECBBDA}"/>
    <cellStyle name="Verknüpfte Zelle 2 2 4" xfId="17887" xr:uid="{B2404DFA-B68B-4C85-9892-BD487CEC0B12}"/>
    <cellStyle name="Verknüpfte Zelle 2 2 4 2" xfId="33535" xr:uid="{BFFEC487-4F0F-4E03-84D0-369A05719A36}"/>
    <cellStyle name="Verknüpfte Zelle 2 3" xfId="17888" xr:uid="{6C16B0DD-DDE4-4113-8277-1104FB5C4B78}"/>
    <cellStyle name="Verknüpfte Zelle 2 3 2" xfId="17889" xr:uid="{7112F8BA-457E-4BDE-92FA-BFC3F94EEA36}"/>
    <cellStyle name="Verknüpfte Zelle 2 3 2 2" xfId="33536" xr:uid="{E072859E-FB09-495C-9FCF-C748E01708B8}"/>
    <cellStyle name="Verknüpfte Zelle 2 3 3" xfId="17890" xr:uid="{C555321D-88BB-4013-A154-D1957E78CA5C}"/>
    <cellStyle name="Verknüpfte Zelle 2 3 3 2" xfId="33537" xr:uid="{AC758F10-545C-407C-BA57-0E272A65DAB3}"/>
    <cellStyle name="Verknüpfte Zelle 2 4" xfId="17891" xr:uid="{BEF6FE95-80A7-4669-8527-547D608CFC52}"/>
    <cellStyle name="Verknüpfte Zelle 2 4 2" xfId="17892" xr:uid="{1B860B5F-D655-46C8-B7D2-F48A2F709210}"/>
    <cellStyle name="Verknüpfte Zelle 2 4 2 2" xfId="33539" xr:uid="{74292CBF-08F5-43AF-BC6A-7F2E4EBF46CB}"/>
    <cellStyle name="Verknüpfte Zelle 2 4 3" xfId="33538" xr:uid="{D5D9F10E-C54A-4D9E-92EC-E17A962E7F4A}"/>
    <cellStyle name="Verknüpfte Zelle 2 5" xfId="17893" xr:uid="{E535886C-A820-4B82-8C21-AF4494C93826}"/>
    <cellStyle name="Verknüpfte Zelle 2 5 2" xfId="17894" xr:uid="{5EFFCE19-8C55-499B-BE79-2F2A82F653DB}"/>
    <cellStyle name="Verknüpfte Zelle 2 5 2 2" xfId="33541" xr:uid="{939F69ED-6DC1-4D34-8DF6-F1C40846FB43}"/>
    <cellStyle name="Verknüpfte Zelle 2 5 3" xfId="33540" xr:uid="{FE34B0A3-BC5C-4CE9-ABA3-0CE704DF617C}"/>
    <cellStyle name="Verknüpfte Zelle 2 6" xfId="17895" xr:uid="{233732D4-D907-40E6-B77E-10250092D829}"/>
    <cellStyle name="Verknüpfte Zelle 2 6 2" xfId="33542" xr:uid="{7F3430D7-F66C-4D8A-AB1F-3395D2B765BA}"/>
    <cellStyle name="Verknüpfte Zelle 2 7" xfId="17896" xr:uid="{236F4ECA-61D0-4AFA-BA2A-E7F149E9BE66}"/>
    <cellStyle name="Verknüpfte Zelle 2 7 2" xfId="33543" xr:uid="{FF56F56F-042B-41A8-B843-452648E7D617}"/>
    <cellStyle name="Verknüpfte Zelle 3" xfId="5570" xr:uid="{FB4AD762-D096-41FE-ACC3-FB1C824BE437}"/>
    <cellStyle name="Verknüpfte Zelle 3 2" xfId="17897" xr:uid="{F08220FA-7018-4E64-92A5-1367840FCEB5}"/>
    <cellStyle name="Verknüpfte Zelle 3 2 2" xfId="17898" xr:uid="{FD281F3A-E052-4223-95D4-65512DA09383}"/>
    <cellStyle name="Verknüpfte Zelle 3 2 2 2" xfId="33544" xr:uid="{8C7A95BE-4D21-4659-AFFD-33C1301B854F}"/>
    <cellStyle name="Verknüpfte Zelle 3 3" xfId="17899" xr:uid="{AC29023C-CD90-467F-A4EC-57E0EF43C2B0}"/>
    <cellStyle name="Verknüpfte Zelle 3 3 2" xfId="33545" xr:uid="{CA3DFC24-21E8-4A93-B43A-FC5D1B05B82A}"/>
    <cellStyle name="Verknüpfte Zelle 3 4" xfId="17900" xr:uid="{942554E9-E98A-4C89-BBBB-61F6F2045B50}"/>
    <cellStyle name="Verknüpfte Zelle 3 4 2" xfId="33546" xr:uid="{B4551ACE-DED7-458F-ABF2-B5F551FD7CC2}"/>
    <cellStyle name="Verknüpfte Zelle 4" xfId="17901" xr:uid="{D381D29D-E40B-4586-A0D0-382E5ADDAB2B}"/>
    <cellStyle name="Verknüpfte Zelle 4 2" xfId="17902" xr:uid="{BC1B0CF7-96B3-471C-A9C8-A9FF4F2B7F6A}"/>
    <cellStyle name="Verknüpfte Zelle 4 2 2" xfId="33548" xr:uid="{B11A23F6-DD75-40D0-AE24-42CDD4079630}"/>
    <cellStyle name="Verknüpfte Zelle 4 3" xfId="33547" xr:uid="{CAD94718-A483-4402-BC68-A413F85402E9}"/>
    <cellStyle name="Verknüpfte Zelle 5" xfId="17903" xr:uid="{14A7CEE8-7430-4C04-99B5-8B206949DDC2}"/>
    <cellStyle name="Verknüpfte Zelle 5 2" xfId="17904" xr:uid="{39E66E5C-2D09-490F-9204-01B4C8E83502}"/>
    <cellStyle name="Verknüpfte Zelle 5 2 2" xfId="33550" xr:uid="{D44AD447-C260-45BA-BACD-637CBF39834A}"/>
    <cellStyle name="Verknüpfte Zelle 5 3" xfId="33549" xr:uid="{C15AF5E4-DFAD-4003-8CC1-A50C321152F9}"/>
    <cellStyle name="Verknüpfte Zelle 6" xfId="17905" xr:uid="{026A394F-10D1-4EAB-AF0A-F8AD6FCF4DD5}"/>
    <cellStyle name="Verknüpfte Zelle 6 2" xfId="17906" xr:uid="{0A56A5A7-59DD-47FA-94A7-CA569B191B3F}"/>
    <cellStyle name="Verknüpfte Zelle 6 2 2" xfId="33552" xr:uid="{2C121416-A0A1-4188-B884-F525C5512211}"/>
    <cellStyle name="Verknüpfte Zelle 6 3" xfId="33551" xr:uid="{4FE2DC58-3AA7-4755-9BC8-4D2D8AD8D89F}"/>
    <cellStyle name="Verknüpfte Zelle 7" xfId="17907" xr:uid="{8D843A36-70A7-4B14-A3CA-751CE66CD96F}"/>
    <cellStyle name="Verknüpfte Zelle 7 2" xfId="17908" xr:uid="{A8A0D728-485D-49A2-868C-8D7D85F117C2}"/>
    <cellStyle name="Verknüpfte Zelle 7 2 2" xfId="33554" xr:uid="{0B2E1B28-FE16-4834-B7AE-7A7F3F31A437}"/>
    <cellStyle name="Verknüpfte Zelle 7 3" xfId="33553" xr:uid="{49A34315-CE8F-4E76-BC77-B81CCF32D1C3}"/>
    <cellStyle name="Verknüpfte Zelle 8" xfId="17909" xr:uid="{41468451-0741-4500-9405-CF85AA37A899}"/>
    <cellStyle name="Verknüpfte Zelle 8 2" xfId="17910" xr:uid="{9BFFBD2A-01F6-4DA8-9AA5-293384747BFA}"/>
    <cellStyle name="Verknüpfte Zelle 8 2 2" xfId="33556" xr:uid="{0720B71D-96D5-4C94-9B35-5C5236924AAB}"/>
    <cellStyle name="Verknüpfte Zelle 8 3" xfId="33555" xr:uid="{2BB3F4F2-CE26-4DC2-B9F5-3DD57C6524F7}"/>
    <cellStyle name="Verknüpfte Zelle 9" xfId="17911" xr:uid="{AF4F2974-7E8F-4B12-9E79-144839BC0FAF}"/>
    <cellStyle name="Verknüpfte Zelle 9 2" xfId="33557" xr:uid="{C5F78244-13DF-4EA8-A4F4-17F367E93B75}"/>
    <cellStyle name="Warnender Text" xfId="2595" xr:uid="{98D401B8-7961-473D-A1B5-EF82AFABC4A9}"/>
    <cellStyle name="Warnender Text 10" xfId="17912" xr:uid="{1A97BBA7-965C-49DD-A9B6-2A26142E0351}"/>
    <cellStyle name="Warnender Text 10 2" xfId="33558" xr:uid="{B4C99A8B-7686-4F7F-B9D3-A22F0B6FD428}"/>
    <cellStyle name="Warnender Text 11" xfId="17913" xr:uid="{0AA65346-DF8A-44B7-9203-AD5677DC5682}"/>
    <cellStyle name="Warnender Text 11 2" xfId="33559" xr:uid="{C0565DBE-1CE9-4BBE-987B-A5A18D40C7B7}"/>
    <cellStyle name="Warnender Text 2" xfId="2835" xr:uid="{44C3B343-4FC4-45F7-9A16-431886541444}"/>
    <cellStyle name="Warnender Text 2 2" xfId="5573" xr:uid="{C9F63E1C-3AC4-4E8C-94D3-EA3D472143EF}"/>
    <cellStyle name="Warnender Text 2 2 2" xfId="17914" xr:uid="{511E9BBC-1B74-4CF6-941E-01175985F59D}"/>
    <cellStyle name="Warnender Text 2 2 2 2" xfId="33560" xr:uid="{F0069562-6F55-49B9-AED4-9750C1163ADC}"/>
    <cellStyle name="Warnender Text 2 2 3" xfId="17915" xr:uid="{3CF1478C-BC4F-43CA-81FD-BC4239831E88}"/>
    <cellStyle name="Warnender Text 2 2 3 2" xfId="33561" xr:uid="{70A92EC5-623F-409F-BC98-6DC770CE1CB7}"/>
    <cellStyle name="Warnender Text 2 2 4" xfId="17916" xr:uid="{06320BC6-11DD-45CF-B5C3-8E774156A33C}"/>
    <cellStyle name="Warnender Text 2 2 4 2" xfId="33562" xr:uid="{E7C12D9A-EEC9-4B93-8F2F-FC67BA5F026A}"/>
    <cellStyle name="Warnender Text 2 3" xfId="17917" xr:uid="{ECC89193-5FD8-41A5-B44A-9660AC88F3DC}"/>
    <cellStyle name="Warnender Text 2 3 2" xfId="17918" xr:uid="{13745E9E-F754-4DFE-887A-A80A7F1C9B87}"/>
    <cellStyle name="Warnender Text 2 3 2 2" xfId="33563" xr:uid="{E42DAA61-0607-4734-B063-2EF4A6D70224}"/>
    <cellStyle name="Warnender Text 2 3 3" xfId="17919" xr:uid="{1168EB46-2E6E-4984-9CCF-48DE5D066FFA}"/>
    <cellStyle name="Warnender Text 2 3 3 2" xfId="33564" xr:uid="{38445C0F-A928-4018-BC4E-FA1F05A11126}"/>
    <cellStyle name="Warnender Text 2 4" xfId="17920" xr:uid="{6252B991-831A-4379-B361-4DB7674AD727}"/>
    <cellStyle name="Warnender Text 2 4 2" xfId="17921" xr:uid="{A4F9EAF2-46E8-4AB0-9528-AD1B83BFC25A}"/>
    <cellStyle name="Warnender Text 2 4 2 2" xfId="33566" xr:uid="{56250EE2-2BD9-4A86-96D8-C86939FD1283}"/>
    <cellStyle name="Warnender Text 2 4 3" xfId="33565" xr:uid="{554D62CF-EA3C-4890-96C9-F61A29E7D4AF}"/>
    <cellStyle name="Warnender Text 2 5" xfId="17922" xr:uid="{702D5957-D7A9-47B5-8917-97FA1B90F800}"/>
    <cellStyle name="Warnender Text 2 5 2" xfId="17923" xr:uid="{DB0AEE5D-B751-4909-991D-ED360E4E7823}"/>
    <cellStyle name="Warnender Text 2 5 2 2" xfId="33568" xr:uid="{F10C0FCB-FB9D-4259-9DAB-EDB62CC65C1C}"/>
    <cellStyle name="Warnender Text 2 5 3" xfId="33567" xr:uid="{BA515CA0-03DB-4E48-B4BB-656DC5A9FE46}"/>
    <cellStyle name="Warnender Text 2 6" xfId="17924" xr:uid="{8AEE386A-7C9F-4219-82C2-35372CFBF02A}"/>
    <cellStyle name="Warnender Text 2 6 2" xfId="33569" xr:uid="{23B3DD81-8B15-450E-A991-6D55DE74FBF5}"/>
    <cellStyle name="Warnender Text 2 7" xfId="17925" xr:uid="{DAC16BB2-071F-4F90-9CBD-4B59268D3F50}"/>
    <cellStyle name="Warnender Text 2 7 2" xfId="33570" xr:uid="{FD53F9AA-8C98-4C49-A8E3-3AAB9C7E7D56}"/>
    <cellStyle name="Warnender Text 3" xfId="5572" xr:uid="{D6068059-B7F1-4B89-AE2C-FC3AEE5F3DD5}"/>
    <cellStyle name="Warnender Text 3 2" xfId="17926" xr:uid="{1C498624-9A63-48E5-A0D2-E247B5134B5A}"/>
    <cellStyle name="Warnender Text 3 2 2" xfId="17927" xr:uid="{C3DEFDE8-4FFA-4A2C-9971-5FA8DA5CB395}"/>
    <cellStyle name="Warnender Text 3 2 2 2" xfId="33571" xr:uid="{72AA8736-0316-4AFA-9047-46C61966D170}"/>
    <cellStyle name="Warnender Text 3 3" xfId="17928" xr:uid="{5F137792-0178-4BFB-97EB-D7DEFF29A8A8}"/>
    <cellStyle name="Warnender Text 3 3 2" xfId="33572" xr:uid="{7991D194-5507-43F3-9A05-58111F38A930}"/>
    <cellStyle name="Warnender Text 3 4" xfId="17929" xr:uid="{09B4C197-630B-476F-9050-768725B98C06}"/>
    <cellStyle name="Warnender Text 3 4 2" xfId="33573" xr:uid="{120CBEAA-371B-423D-BBC0-76B4DD81EFCF}"/>
    <cellStyle name="Warnender Text 4" xfId="17930" xr:uid="{CF2D2C0A-3E2F-4780-91C9-57C9E98E5509}"/>
    <cellStyle name="Warnender Text 4 2" xfId="17931" xr:uid="{3ED72D69-AF3C-441F-AD8C-4F05D7A5C8BE}"/>
    <cellStyle name="Warnender Text 4 2 2" xfId="33575" xr:uid="{88FE3326-B367-40B3-8515-E82E7401BC0D}"/>
    <cellStyle name="Warnender Text 4 3" xfId="33574" xr:uid="{9A57A9F7-4F72-4C11-9361-FEA8E56887FE}"/>
    <cellStyle name="Warnender Text 5" xfId="17932" xr:uid="{F16D744E-E856-4A4E-8ACA-DDCB556C63D1}"/>
    <cellStyle name="Warnender Text 5 2" xfId="17933" xr:uid="{2E1C2436-3B91-406B-B9B7-998EF7E49833}"/>
    <cellStyle name="Warnender Text 5 2 2" xfId="33577" xr:uid="{C68C040C-EBD4-4E93-B300-F63C35346C18}"/>
    <cellStyle name="Warnender Text 5 3" xfId="33576" xr:uid="{F1F6CE54-36E6-468C-BC78-B23A12E066A9}"/>
    <cellStyle name="Warnender Text 6" xfId="17934" xr:uid="{3AD9A8E8-D9CC-418F-9EF2-B9A1D4CCA115}"/>
    <cellStyle name="Warnender Text 6 2" xfId="17935" xr:uid="{90238ABB-2EED-4AF1-9572-9AFAC64EB06D}"/>
    <cellStyle name="Warnender Text 6 2 2" xfId="33579" xr:uid="{2E2ADB83-8543-4D2B-984F-3F19E4C02198}"/>
    <cellStyle name="Warnender Text 6 3" xfId="33578" xr:uid="{BF2CF93F-B6B5-4354-B53B-D3AB4AF3E0E6}"/>
    <cellStyle name="Warnender Text 7" xfId="17936" xr:uid="{FFF09B3A-76C9-433A-8307-F73BDF58AE81}"/>
    <cellStyle name="Warnender Text 7 2" xfId="17937" xr:uid="{671DB9CC-97C5-4266-961F-7CFCDA6444E3}"/>
    <cellStyle name="Warnender Text 7 2 2" xfId="33581" xr:uid="{A068F0E4-A3D4-4A01-BB79-261984E12C28}"/>
    <cellStyle name="Warnender Text 7 3" xfId="33580" xr:uid="{B3D69410-5804-4B2E-AF37-AAA6B7E8C8DB}"/>
    <cellStyle name="Warnender Text 8" xfId="17938" xr:uid="{546A088B-6460-42FD-8137-E8051CA90C1C}"/>
    <cellStyle name="Warnender Text 8 2" xfId="17939" xr:uid="{EAFBE51E-A94E-44B4-A094-E86646546C88}"/>
    <cellStyle name="Warnender Text 8 2 2" xfId="33583" xr:uid="{5CF267F3-C26F-40D4-A550-EACBA5B011A1}"/>
    <cellStyle name="Warnender Text 8 3" xfId="33582" xr:uid="{7ED56727-6F4A-4713-8CDF-A3F139F6A520}"/>
    <cellStyle name="Warnender Text 9" xfId="17940" xr:uid="{A673D13C-3C27-4284-B24C-6D9DD0DFCC54}"/>
    <cellStyle name="Warnender Text 9 2" xfId="33584" xr:uid="{E6AB6C51-82B0-451A-903D-9FB8DCD8A387}"/>
    <cellStyle name="Warning Text 2" xfId="2596" xr:uid="{D40F1ACB-E0D7-4723-9EC2-EA8A24D11E7B}"/>
    <cellStyle name="Warning Text 2 10" xfId="17941" xr:uid="{1ED3BC32-31C1-466A-BF1C-1561896579BC}"/>
    <cellStyle name="Warning Text 2 10 2" xfId="33585" xr:uid="{182FC16F-9EFD-4E04-A19A-561DD30ABC4B}"/>
    <cellStyle name="Warning Text 2 11" xfId="17942" xr:uid="{C54BC649-AE09-4F47-8DA0-A45FE6066E77}"/>
    <cellStyle name="Warning Text 2 11 2" xfId="33586" xr:uid="{EE3AB674-4950-4FEA-9CF0-3665783C135F}"/>
    <cellStyle name="Warning Text 2 2" xfId="2836" xr:uid="{D6D005B5-9529-47DE-B00E-C36512863D4E}"/>
    <cellStyle name="Warning Text 2 2 2" xfId="5575" xr:uid="{078A3C3F-BEC8-4232-B94D-490050C6CA0C}"/>
    <cellStyle name="Warning Text 2 2 2 2" xfId="17943" xr:uid="{8195BC58-AE7A-4765-9966-CAEA863FD37E}"/>
    <cellStyle name="Warning Text 2 2 2 2 2" xfId="33587" xr:uid="{48515CBD-ECAC-4EF3-BB87-7B849D7CBECD}"/>
    <cellStyle name="Warning Text 2 2 2 3" xfId="17944" xr:uid="{9DF48040-DA55-4822-8740-A40FA4546B3D}"/>
    <cellStyle name="Warning Text 2 2 2 3 2" xfId="33588" xr:uid="{02B1122A-1967-4F93-A5B6-0194D5CA6E44}"/>
    <cellStyle name="Warning Text 2 2 2 4" xfId="17945" xr:uid="{1C15919A-9AE0-41C8-AFEA-FC1CC650E5D6}"/>
    <cellStyle name="Warning Text 2 2 2 4 2" xfId="33589" xr:uid="{F1B6A7EE-D602-459D-8E5E-E7BAABB0969D}"/>
    <cellStyle name="Warning Text 2 2 3" xfId="17946" xr:uid="{537FE8B4-BFEF-4CF7-A2A1-9C085938D396}"/>
    <cellStyle name="Warning Text 2 2 3 2" xfId="17947" xr:uid="{5E802DD7-E41D-4DA7-A7AA-CE10C5539793}"/>
    <cellStyle name="Warning Text 2 2 3 2 2" xfId="33590" xr:uid="{4D8C3F39-2B97-4D64-BA69-55BE26893F85}"/>
    <cellStyle name="Warning Text 2 2 3 3" xfId="17948" xr:uid="{6CAB17D3-9FAA-4016-9CE8-CB14B301B7BE}"/>
    <cellStyle name="Warning Text 2 2 3 3 2" xfId="33591" xr:uid="{B0EEBE26-03B3-41A6-8E9D-88A0CE511771}"/>
    <cellStyle name="Warning Text 2 2 4" xfId="17949" xr:uid="{91EFDE78-D7D1-4675-8629-19255573A04E}"/>
    <cellStyle name="Warning Text 2 2 4 2" xfId="17950" xr:uid="{5470FA99-A242-40EF-9537-5770D0719435}"/>
    <cellStyle name="Warning Text 2 2 4 2 2" xfId="33593" xr:uid="{9BE6D84C-6229-4ABE-A058-1058ACE874C4}"/>
    <cellStyle name="Warning Text 2 2 4 3" xfId="33592" xr:uid="{48A61DE1-A32B-4475-A640-369534E3F3EA}"/>
    <cellStyle name="Warning Text 2 2 5" xfId="17951" xr:uid="{A9913465-0741-4902-9724-5A488E297FE8}"/>
    <cellStyle name="Warning Text 2 2 5 2" xfId="17952" xr:uid="{A3850436-6397-4BB3-BEF1-B973A7B43984}"/>
    <cellStyle name="Warning Text 2 2 5 2 2" xfId="33595" xr:uid="{DBD79AA8-C3AB-47BB-9418-79260A6D5DE0}"/>
    <cellStyle name="Warning Text 2 2 5 3" xfId="33594" xr:uid="{C4066298-230E-42A4-B9D4-0C7EE91D72CC}"/>
    <cellStyle name="Warning Text 2 2 6" xfId="17953" xr:uid="{B3F02E74-C7CD-431C-86CD-BBD9D1DD1804}"/>
    <cellStyle name="Warning Text 2 2 6 2" xfId="33596" xr:uid="{FD1F6EE1-54EE-4C82-A508-DB7A6D42E7A2}"/>
    <cellStyle name="Warning Text 2 2 7" xfId="17954" xr:uid="{EB55290E-7A94-4BDF-8CC8-3C27C824C841}"/>
    <cellStyle name="Warning Text 2 2 7 2" xfId="33597" xr:uid="{95D8D2BB-794D-4FE7-B745-18F9A3F006F5}"/>
    <cellStyle name="Warning Text 2 3" xfId="5574" xr:uid="{C2F04424-D4D8-491F-8258-60A5C3264DD3}"/>
    <cellStyle name="Warning Text 2 3 2" xfId="17955" xr:uid="{966EF33D-B9E9-4394-A0DB-DF98C87B1B61}"/>
    <cellStyle name="Warning Text 2 3 2 2" xfId="17956" xr:uid="{C3155B68-F535-4A0B-A84A-0C4FAFBC93CA}"/>
    <cellStyle name="Warning Text 2 3 2 2 2" xfId="33598" xr:uid="{7EE292A7-5659-4D0A-AEAB-4B54BD8540BD}"/>
    <cellStyle name="Warning Text 2 3 3" xfId="17957" xr:uid="{7378A6F7-0D6E-435F-8D40-596CF346D2B7}"/>
    <cellStyle name="Warning Text 2 3 3 2" xfId="33599" xr:uid="{D1E90EF8-CF49-4403-9F5E-CC5819F8ECF2}"/>
    <cellStyle name="Warning Text 2 3 4" xfId="17958" xr:uid="{5576E6AD-2C75-4988-A66B-7BC535A12868}"/>
    <cellStyle name="Warning Text 2 3 4 2" xfId="33600" xr:uid="{4F75EBA0-289F-4CAA-A438-75E848B1DB1E}"/>
    <cellStyle name="Warning Text 2 4" xfId="17959" xr:uid="{FCC55B37-E486-49F8-86B7-8F599C917E1A}"/>
    <cellStyle name="Warning Text 2 4 2" xfId="17960" xr:uid="{E72A36E8-0BCF-42A9-9D67-7A08D5CBA413}"/>
    <cellStyle name="Warning Text 2 4 2 2" xfId="33602" xr:uid="{3C17FC9A-7356-44B5-907F-37D9E3E02200}"/>
    <cellStyle name="Warning Text 2 4 3" xfId="33601" xr:uid="{DC7C44DD-812C-4C11-803A-D171F552F573}"/>
    <cellStyle name="Warning Text 2 5" xfId="17961" xr:uid="{AC232DFD-89D0-4530-A430-0868018C2CDC}"/>
    <cellStyle name="Warning Text 2 5 2" xfId="17962" xr:uid="{D7A69F7D-586D-4516-AACD-6AC2D32307C6}"/>
    <cellStyle name="Warning Text 2 5 2 2" xfId="33604" xr:uid="{7F5C7FD5-9B12-4DCB-94F5-5B1DEEF513D2}"/>
    <cellStyle name="Warning Text 2 5 3" xfId="33603" xr:uid="{526E6C9C-8970-4DA0-A1F8-ED659A34D3F3}"/>
    <cellStyle name="Warning Text 2 6" xfId="17963" xr:uid="{275B23A0-54FD-4BC4-B2CF-BA98D162B69A}"/>
    <cellStyle name="Warning Text 2 6 2" xfId="17964" xr:uid="{6CBB5EC3-8DC1-4B80-AEF8-48BC0585CD50}"/>
    <cellStyle name="Warning Text 2 6 2 2" xfId="33606" xr:uid="{9F86A00E-3DA2-4B36-98D9-D930166E0744}"/>
    <cellStyle name="Warning Text 2 6 3" xfId="33605" xr:uid="{20C692FB-C342-49AC-97D2-DBF065CE01F6}"/>
    <cellStyle name="Warning Text 2 7" xfId="17965" xr:uid="{D22D8048-0F45-49D9-B820-BB5BF5E6E2A7}"/>
    <cellStyle name="Warning Text 2 7 2" xfId="17966" xr:uid="{A582FD74-B6F1-4FD8-92FF-6D810E2A6A37}"/>
    <cellStyle name="Warning Text 2 7 2 2" xfId="33608" xr:uid="{9D76183B-DA8A-4FF1-85E3-6D925148C0B4}"/>
    <cellStyle name="Warning Text 2 7 3" xfId="33607" xr:uid="{6CEA9CE6-8AA8-427A-BB03-1AEBA5A36765}"/>
    <cellStyle name="Warning Text 2 8" xfId="17967" xr:uid="{B94E4A1D-F488-4937-9749-0977C5CFAEFA}"/>
    <cellStyle name="Warning Text 2 8 2" xfId="17968" xr:uid="{C097D203-AD8D-4ED8-A9B2-6DD0E655BA1F}"/>
    <cellStyle name="Warning Text 2 8 2 2" xfId="33610" xr:uid="{535E0390-E764-4398-8167-DC0E982CEB0D}"/>
    <cellStyle name="Warning Text 2 8 3" xfId="33609" xr:uid="{0435470E-06C1-4838-8E38-265543175116}"/>
    <cellStyle name="Warning Text 2 9" xfId="17969" xr:uid="{51177E45-D032-41F0-9C2F-E4FCBC8ABFF1}"/>
    <cellStyle name="Warning Text 2 9 2" xfId="33611" xr:uid="{AF7F044B-C69D-4956-87BB-D3E298422F3C}"/>
    <cellStyle name="Warning Text 3" xfId="2597" xr:uid="{3C763532-EAE4-426B-AA8D-CA2310FA5A8B}"/>
    <cellStyle name="Warning Text 3 2" xfId="17970" xr:uid="{AAD267DD-0555-491F-B36D-4BE547C56CE8}"/>
    <cellStyle name="Warning Text 3 2 2" xfId="17971" xr:uid="{F3C78393-0934-4100-9CEC-AA5B5D08ECA2}"/>
    <cellStyle name="Warning Text 3 2 2 2" xfId="17972" xr:uid="{28543FF6-9BEF-4F88-B038-4EB41553775E}"/>
    <cellStyle name="Warning Text 3 2 2 2 2" xfId="33613" xr:uid="{D695783A-7B36-4933-9A84-1F0D95975DB5}"/>
    <cellStyle name="Warning Text 3 2 2 3" xfId="33612" xr:uid="{6627B0E8-9E8C-47B7-9CDD-3888D501628B}"/>
    <cellStyle name="Warning Text 3 2 3" xfId="17973" xr:uid="{F42AFF1D-8065-469E-BD78-67DAFC799FFF}"/>
    <cellStyle name="Warning Text 3 2 3 2" xfId="17974" xr:uid="{27EB3205-C526-478B-978A-3C708169E48D}"/>
    <cellStyle name="Warning Text 3 2 3 2 2" xfId="33615" xr:uid="{FD685A2D-A57C-4C03-BE38-C23A782CA0F8}"/>
    <cellStyle name="Warning Text 3 2 3 3" xfId="33614" xr:uid="{0BE0811D-9483-4B75-ADAB-DB29EE651091}"/>
    <cellStyle name="Warning Text 3 2 4" xfId="17975" xr:uid="{6E1285E2-E8D6-4528-8A5A-56385AE6DE31}"/>
    <cellStyle name="Warning Text 3 2 4 2" xfId="17976" xr:uid="{DC88DFF6-0BD7-4F1F-8FF9-2128529ECFE2}"/>
    <cellStyle name="Warning Text 3 2 4 2 2" xfId="33617" xr:uid="{5676731F-5CBA-4B48-B6C3-E757D6D7B14D}"/>
    <cellStyle name="Warning Text 3 2 4 3" xfId="33616" xr:uid="{221D2CC0-3B6C-499B-8547-63014FE8974F}"/>
    <cellStyle name="Warning Text 3 2 5" xfId="17977" xr:uid="{29395644-4153-47D8-9603-47BAE1A23BD1}"/>
    <cellStyle name="Warning Text 3 2 5 2" xfId="17978" xr:uid="{7D0C5D96-8072-42A9-8ADF-F94E2DA7E3D0}"/>
    <cellStyle name="Warning Text 3 2 5 2 2" xfId="33619" xr:uid="{4C8C5450-72BE-4643-AEC5-C26D0DF10BED}"/>
    <cellStyle name="Warning Text 3 2 5 3" xfId="33618" xr:uid="{50ECB501-73F3-4525-B65F-F15AE2350C50}"/>
    <cellStyle name="Warning Text 3 2 6" xfId="17979" xr:uid="{B88BFA2D-ECD0-4FE7-B0A2-ECE181C6DB84}"/>
    <cellStyle name="Warning Text 3 2 6 2" xfId="33620" xr:uid="{60FA728D-66B9-445C-9981-795E898B5E31}"/>
    <cellStyle name="Warning Text 3 2 7" xfId="17980" xr:uid="{4D04C202-F86F-4949-92BF-A770FEDE42EE}"/>
    <cellStyle name="Warning Text 3 2 7 2" xfId="33621" xr:uid="{D02B5D21-C598-4ACC-955D-654D0F91E936}"/>
    <cellStyle name="Warning Text 3 3" xfId="17981" xr:uid="{E50AA715-70B1-4070-9E64-1A69FBE4CC74}"/>
    <cellStyle name="Warning Text 3 3 2" xfId="17982" xr:uid="{8C9FD5F9-0D33-4676-8942-080F29BD7F7E}"/>
    <cellStyle name="Warning Text 3 3 2 2" xfId="33623" xr:uid="{CF29561E-E946-4B22-9235-BCF283B3791D}"/>
    <cellStyle name="Warning Text 3 3 3" xfId="33622" xr:uid="{7B7EA646-AE31-4122-AEA3-3415839F3B01}"/>
    <cellStyle name="Warning Text 3 4" xfId="17983" xr:uid="{2915A982-AC91-4CEE-86A9-CA3D23FB432E}"/>
    <cellStyle name="Warning Text 3 4 2" xfId="17984" xr:uid="{9CFC19CA-F065-4B1C-8124-B908101486FF}"/>
    <cellStyle name="Warning Text 3 4 2 2" xfId="33625" xr:uid="{D76673E6-104F-4317-B51D-E5774771C81F}"/>
    <cellStyle name="Warning Text 3 4 3" xfId="33624" xr:uid="{EBBA4D3C-3500-490D-B35F-990C3265E5C4}"/>
    <cellStyle name="Warning Text 3 5" xfId="17985" xr:uid="{18DE9A4B-DD7C-4792-B646-5C49B8BB7ED7}"/>
    <cellStyle name="Warning Text 3 5 2" xfId="17986" xr:uid="{12C6AE52-B54D-452F-B508-FD0894F1D717}"/>
    <cellStyle name="Warning Text 3 5 2 2" xfId="33627" xr:uid="{D067BDE6-1428-46F1-B442-7A733D69BA1E}"/>
    <cellStyle name="Warning Text 3 5 3" xfId="33626" xr:uid="{B735CAD2-164C-4587-B5B8-657CB8B9E764}"/>
    <cellStyle name="Warning Text 3 6" xfId="17987" xr:uid="{AF00C480-332A-4F02-8F72-172CEE144A81}"/>
    <cellStyle name="Warning Text 3 6 2" xfId="17988" xr:uid="{BB209B3D-48E5-47A5-BAD2-3AF8C8F09349}"/>
    <cellStyle name="Warning Text 3 6 2 2" xfId="33629" xr:uid="{85C75126-0318-4459-A1E5-39B6D1F725FA}"/>
    <cellStyle name="Warning Text 3 6 3" xfId="33628" xr:uid="{AAAFE689-955D-4E96-8541-0F45FF4C21F7}"/>
    <cellStyle name="Warning Text 3 7" xfId="17989" xr:uid="{11329EAC-8F63-4D50-959D-1189096DEA01}"/>
    <cellStyle name="Warning Text 3 7 2" xfId="17990" xr:uid="{C99D1802-1823-44EF-9B76-689E670EB044}"/>
    <cellStyle name="Warning Text 3 7 2 2" xfId="33631" xr:uid="{7F361A93-B26F-4B1E-8B0A-0ACDB64067E4}"/>
    <cellStyle name="Warning Text 3 7 3" xfId="33630" xr:uid="{5633062A-BC7A-4866-B0E6-1DC0D888FF0E}"/>
    <cellStyle name="Warning Text 3 8" xfId="17991" xr:uid="{79F66D02-F19A-4479-969B-E0D430EA156D}"/>
    <cellStyle name="Warning Text 3 8 2" xfId="33632" xr:uid="{2EDF0F4B-7A40-4EB2-A563-28F67C34D441}"/>
    <cellStyle name="Warning Text 3 9" xfId="17992" xr:uid="{1EC842C8-CA52-431E-BF94-A4A32FEA5B97}"/>
    <cellStyle name="Warning Text 3 9 2" xfId="33633" xr:uid="{165E1720-9B47-4AF8-A422-E91EEF1E22E6}"/>
    <cellStyle name="Warning Text 4" xfId="17993" xr:uid="{EFEE235E-DD0D-42F1-BDF5-4121659F92F5}"/>
    <cellStyle name="Warning Text 4 2" xfId="17994" xr:uid="{6DFA23CA-14D3-4424-A9E0-84CB2F118257}"/>
    <cellStyle name="Warning Text 4 2 2" xfId="17995" xr:uid="{759915B9-1E1F-48FE-A99D-44015B114288}"/>
    <cellStyle name="Warning Text 4 2 2 2" xfId="33636" xr:uid="{78158724-1931-4500-946E-7D44E9CAC41C}"/>
    <cellStyle name="Warning Text 4 2 3" xfId="33635" xr:uid="{CFD415C1-54EC-4836-BA66-E458F993A59C}"/>
    <cellStyle name="Warning Text 4 3" xfId="17996" xr:uid="{61CE000C-19C8-444B-ABF5-7F3D997FBD2F}"/>
    <cellStyle name="Warning Text 4 3 2" xfId="17997" xr:uid="{A686E4E8-74E4-4066-AE4F-8EACB25BA9C0}"/>
    <cellStyle name="Warning Text 4 3 2 2" xfId="33638" xr:uid="{CBB6F04E-A889-4893-86C8-40B7A6090D92}"/>
    <cellStyle name="Warning Text 4 3 3" xfId="33637" xr:uid="{AC8EE85D-9889-4ECC-8DCC-F06D78DEAEF1}"/>
    <cellStyle name="Warning Text 4 4" xfId="17998" xr:uid="{4B6E2B86-FD7C-4BBE-B24F-6285D9941A66}"/>
    <cellStyle name="Warning Text 4 4 2" xfId="17999" xr:uid="{8EA91D6E-2E58-4927-8CE6-3A153D49E0DA}"/>
    <cellStyle name="Warning Text 4 4 2 2" xfId="33640" xr:uid="{FD62E483-E43F-46AA-9230-B6454C1BCD8E}"/>
    <cellStyle name="Warning Text 4 4 3" xfId="33639" xr:uid="{4F4990D1-157E-4EE6-A203-287131E14334}"/>
    <cellStyle name="Warning Text 4 5" xfId="18000" xr:uid="{31C99CA6-D464-4EE7-BC42-D0821EAE9381}"/>
    <cellStyle name="Warning Text 4 5 2" xfId="18001" xr:uid="{E67C3178-12FC-4388-9869-B12B249C9F94}"/>
    <cellStyle name="Warning Text 4 5 2 2" xfId="33642" xr:uid="{9D09C9C1-4592-4418-BDF3-FAC60F67942C}"/>
    <cellStyle name="Warning Text 4 5 3" xfId="33641" xr:uid="{DC4320B2-9AD4-42AC-A66B-2E011F1EEF25}"/>
    <cellStyle name="Warning Text 4 6" xfId="18002" xr:uid="{73EB8D08-CFB2-4257-82E7-73A8A31A9303}"/>
    <cellStyle name="Warning Text 4 6 2" xfId="33643" xr:uid="{A6AE16F8-B8AD-404F-BD03-ED505B3386A1}"/>
    <cellStyle name="Warning Text 4 7" xfId="33634" xr:uid="{ADBB3BBB-DC6F-4861-9A5A-9E5E399A83CA}"/>
    <cellStyle name="Zelle überprüfen" xfId="2598" xr:uid="{60E58058-E642-4576-A827-792F987F3659}"/>
    <cellStyle name="Zelle überprüfen 10" xfId="18003" xr:uid="{50C94837-74DC-4F9C-9D53-DAC039E0FEDE}"/>
    <cellStyle name="Zelle überprüfen 10 2" xfId="33644" xr:uid="{8AEA2283-41A5-484F-AC9A-98B9F95BFA56}"/>
    <cellStyle name="Zelle überprüfen 11" xfId="18004" xr:uid="{CC519A97-B58A-443D-893C-95C23F37F120}"/>
    <cellStyle name="Zelle überprüfen 11 2" xfId="33645" xr:uid="{CA9C6993-E9FC-4CF9-8F9F-5DADB3D8AC3A}"/>
    <cellStyle name="Zelle überprüfen 2" xfId="2837" xr:uid="{216E1E69-50B5-42CC-8346-53B97D2CBDEA}"/>
    <cellStyle name="Zelle überprüfen 2 2" xfId="5577" xr:uid="{4E032E97-47B2-4F02-B91D-D21726638187}"/>
    <cellStyle name="Zelle überprüfen 2 2 2" xfId="18005" xr:uid="{28E58A36-F5EE-4DC8-AEB0-59D84DE18CB2}"/>
    <cellStyle name="Zelle überprüfen 2 2 2 2" xfId="33646" xr:uid="{0AA73750-0361-410A-A18E-61F517637107}"/>
    <cellStyle name="Zelle überprüfen 2 2 3 2" xfId="33647" xr:uid="{1C457BC9-BDEE-4E8F-BEDA-7BA6637FE11F}"/>
    <cellStyle name="Zelle überprüfen 2 2 4" xfId="18006" xr:uid="{B0777794-C5DE-4DFD-A558-1634D33B52BC}"/>
    <cellStyle name="Zelle überprüfen 2 2 4 2" xfId="33648" xr:uid="{1742F303-ACDE-4352-93D7-8AA9E7B3FD1B}"/>
    <cellStyle name="Zelle überprüfen 2 3" xfId="18007" xr:uid="{41302B42-00B4-405C-BC79-60DEE7549C36}"/>
    <cellStyle name="Zelle überprüfen 2 3 2" xfId="18008" xr:uid="{2468EEE3-5278-49EE-ADB6-F6992CB1CFFA}"/>
    <cellStyle name="Zelle überprüfen 2 3 2 2" xfId="33649" xr:uid="{7B4DFE9A-280B-403D-AB01-D29BCEA00145}"/>
    <cellStyle name="Zelle überprüfen 2 3 3" xfId="18009" xr:uid="{EC5266D2-6958-4B9F-98AA-925AA81725C4}"/>
    <cellStyle name="Zelle überprüfen 2 3 3 2" xfId="33650" xr:uid="{52BBC2EA-C283-4CE6-9DCA-47EB90972202}"/>
    <cellStyle name="Zelle überprüfen 2 4 2" xfId="18010" xr:uid="{3C0EACE1-0E4C-4A8A-BB85-E34552557654}"/>
    <cellStyle name="Zelle überprüfen 2 4 2 2" xfId="33652" xr:uid="{C54D7C9F-C2CA-45B3-ABE7-0A82A11BF031}"/>
    <cellStyle name="Zelle überprüfen 2 4 3" xfId="33651" xr:uid="{50126601-7D22-4C7B-98BC-85C3399B494A}"/>
    <cellStyle name="Zelle überprüfen 2 5" xfId="18011" xr:uid="{942093FB-E84A-457A-85EE-A1BD703E3789}"/>
    <cellStyle name="Zelle überprüfen 2 5 2" xfId="18012" xr:uid="{237DB592-DE43-41E1-949B-22B714CE5980}"/>
    <cellStyle name="Zelle überprüfen 2 5 2 2" xfId="33654" xr:uid="{DF0D9891-027A-47A5-9877-57A0BC0FC3C9}"/>
    <cellStyle name="Zelle überprüfen 2 5 3" xfId="33653" xr:uid="{5F54ED4E-4EB2-43B9-8EA6-BE4D4FE936A6}"/>
    <cellStyle name="Zelle überprüfen 2 6" xfId="18013" xr:uid="{6919516A-1CB2-4EDF-82D5-5D945B27B2BE}"/>
    <cellStyle name="Zelle überprüfen 2 6 2" xfId="33655" xr:uid="{88AB1519-ACBE-436B-A08D-0C12BAED3FD1}"/>
    <cellStyle name="Zelle überprüfen 2 7" xfId="18014" xr:uid="{0B8514ED-E7C7-4A1B-B69E-C80FBA76E530}"/>
    <cellStyle name="Zelle überprüfen 2 7 2" xfId="33656" xr:uid="{71E6C544-4240-4A39-9EDD-DC991E691AA1}"/>
    <cellStyle name="Zelle überprüfen 3" xfId="5576" xr:uid="{630C1ED2-113A-4411-907D-1F4B3A9F8C6F}"/>
    <cellStyle name="Zelle überprüfen 3 2" xfId="18015" xr:uid="{DA204E41-64E3-4650-878F-6C16032DBF64}"/>
    <cellStyle name="Zelle überprüfen 3 2 2" xfId="18016" xr:uid="{0CB7688D-0C62-46EE-A873-45523556C7C9}"/>
    <cellStyle name="Zelle überprüfen 3 2 2 2" xfId="33657" xr:uid="{85AA4CDF-9DC1-4C62-BB0E-5DD1BE1B0FE7}"/>
    <cellStyle name="Zelle überprüfen 3 3" xfId="18017" xr:uid="{55C52976-2B43-4060-BB76-34AF43185B77}"/>
    <cellStyle name="Zelle überprüfen 3 3 2" xfId="33658" xr:uid="{58915BA3-E581-4858-B3A2-6F44FF2BABFB}"/>
    <cellStyle name="Zelle überprüfen 3 4" xfId="18018" xr:uid="{ADDEFA01-C911-47E0-A918-49113AC2FFE1}"/>
    <cellStyle name="Zelle überprüfen 3 4 2" xfId="33659" xr:uid="{87BABB7F-40C3-424B-84D7-72110A4C01D7}"/>
    <cellStyle name="Zelle überprüfen 4" xfId="18019" xr:uid="{2E371A3E-6A11-4E3D-80DA-5AE06EB2C1E7}"/>
    <cellStyle name="Zelle überprüfen 4 2" xfId="18020" xr:uid="{2C80FFBC-D812-4537-837C-4C448911158E}"/>
    <cellStyle name="Zelle überprüfen 4 2 2" xfId="33661" xr:uid="{6D558CB6-F17F-4083-A6D3-D7DCAAEA59CF}"/>
    <cellStyle name="Zelle überprüfen 4 3" xfId="33660" xr:uid="{87CDF121-6CE1-423D-BDD5-F1D389F58C54}"/>
    <cellStyle name="Zelle überprüfen 5" xfId="18021" xr:uid="{4C9DAAC1-3BFD-4D44-877B-D57E1A66410B}"/>
    <cellStyle name="Zelle überprüfen 5 2" xfId="18022" xr:uid="{1F724E73-28FA-41B7-8D72-30BAD50E4D57}"/>
    <cellStyle name="Zelle überprüfen 5 2 2" xfId="33663" xr:uid="{A6CD298E-216E-4875-8673-950DB2C941DB}"/>
    <cellStyle name="Zelle überprüfen 5 3" xfId="33662" xr:uid="{75A0E2A6-0964-4DB2-AB9D-B8EDB8BCC31A}"/>
    <cellStyle name="Zelle überprüfen 6" xfId="18023" xr:uid="{0AFAFB6F-3EFC-46C7-BF42-388DE43FCE3A}"/>
    <cellStyle name="Zelle überprüfen 6 2" xfId="18024" xr:uid="{A36C1792-DC4E-4E17-BE21-FCFD458B66A1}"/>
    <cellStyle name="Zelle überprüfen 6 2 2" xfId="33665" xr:uid="{D57D63F4-9B2B-4F10-85CA-105DB5221E9B}"/>
    <cellStyle name="Zelle überprüfen 6 3" xfId="33664" xr:uid="{552D57EA-AC1E-4B38-AAEE-D1D0486492CA}"/>
    <cellStyle name="Zelle überprüfen 7" xfId="18025" xr:uid="{A8BC723B-44EA-4CD7-9AD4-C15F7B9BB636}"/>
    <cellStyle name="Zelle überprüfen 7 2" xfId="18026" xr:uid="{68975594-DDB5-4F2C-873F-4992AC03451F}"/>
    <cellStyle name="Zelle überprüfen 7 2 2" xfId="33667" xr:uid="{A7F92ADF-17A8-43C8-B945-1FD35C38F4B7}"/>
    <cellStyle name="Zelle überprüfen 7 3" xfId="33666" xr:uid="{51FBE232-93C4-463C-8D28-4EB43A45DC50}"/>
    <cellStyle name="Zelle überprüfen 8" xfId="18027" xr:uid="{B8D7BDAB-1921-4482-BE2C-7820FBA3A859}"/>
    <cellStyle name="Zelle überprüfen 8 2" xfId="18028" xr:uid="{3C614AD5-605B-4C92-B3C4-776CE8C854A3}"/>
    <cellStyle name="Zelle überprüfen 8 2 2" xfId="33669" xr:uid="{B7A6FB8C-93C8-40B3-8B2C-CA6EF92BFE33}"/>
    <cellStyle name="Zelle überprüfen 8 3" xfId="33668" xr:uid="{1E2E30AC-3D50-4BFE-86BE-0405AB203506}"/>
    <cellStyle name="Zelle überprüfen 9" xfId="18029" xr:uid="{2B915BAB-A94A-402D-80D4-EF39547F743B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BA1B30-ADA8-48F4-83E6-29786DD5B15A}">
      <tableStyleElement type="wholeTable" dxfId="4"/>
      <tableStyleElement type="headerRow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4_bau_bsm_2035.xlsx" TargetMode="External"/><Relationship Id="rId2" Type="http://schemas.openxmlformats.org/officeDocument/2006/relationships/externalLinkPath" Target="file:///J:\WP07%20integrated%20modelling\STEM_Results\sps4_bau_bsm_2035.xlsx" TargetMode="External"/><Relationship Id="rId1" Type="http://schemas.openxmlformats.org/officeDocument/2006/relationships/externalLinkPath" Target="/WP07%20integrated%20modelling/STEM_Results/sps4_bau_bsm_203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4_BAU_BSM_FIN_Low_2035.xlsx" TargetMode="External"/><Relationship Id="rId2" Type="http://schemas.openxmlformats.org/officeDocument/2006/relationships/externalLinkPath" Target="file:///J:\WP07%20integrated%20modelling\STEM_Results\SPS4_BAU_BSM_FIN_Low_2035.xlsx" TargetMode="External"/><Relationship Id="rId1" Type="http://schemas.openxmlformats.org/officeDocument/2006/relationships/externalLinkPath" Target="/WP07%20integrated%20modelling/STEM_Results/SPS4_BAU_BSM_FIN_Low_203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E1"/>
          <cell r="F1"/>
          <cell r="G1"/>
          <cell r="H1"/>
        </row>
        <row r="2">
          <cell r="B2"/>
          <cell r="C2"/>
          <cell r="D2"/>
          <cell r="E2"/>
          <cell r="F2"/>
          <cell r="G2"/>
          <cell r="H2"/>
        </row>
        <row r="3">
          <cell r="B3"/>
          <cell r="C3"/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G4">
            <v>4.3206756886284611E-4</v>
          </cell>
          <cell r="H4">
            <v>2.1042397275022063E-4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G5">
            <v>1.2088540054653568E-4</v>
          </cell>
          <cell r="H5">
            <v>5.8169832997649135E-5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G6">
            <v>5.4131746705135136E-5</v>
          </cell>
          <cell r="H6">
            <v>2.5793279081946272E-5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G7">
            <v>3.401980449839174E-5</v>
          </cell>
          <cell r="H7">
            <v>1.9852345265649295E-5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G8">
            <v>5.4572111136989441E-5</v>
          </cell>
          <cell r="H8">
            <v>2.6028137699547872E-5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G9">
            <v>5.4805960482765663E-5</v>
          </cell>
          <cell r="H9">
            <v>2.6351940743499934E-5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G10">
            <v>5.9504279591303781E-5</v>
          </cell>
          <cell r="H10">
            <v>2.8395962653952722E-5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G11">
            <v>5.4109915438081337E-5</v>
          </cell>
          <cell r="H11">
            <v>2.5790314020500607E-5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F12">
            <v>1.2730921389202702E-3</v>
          </cell>
          <cell r="G12">
            <v>1.4745017561543982E-3</v>
          </cell>
          <cell r="H12">
            <v>1.49723696364254E-3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F13">
            <v>1.2730921389202702E-3</v>
          </cell>
          <cell r="G13">
            <v>1.4745017561543982E-3</v>
          </cell>
          <cell r="H13">
            <v>1.49723696364254E-3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F14">
            <v>1.5675425241751701E-4</v>
          </cell>
          <cell r="G14">
            <v>5.6821825049935403E-7</v>
          </cell>
          <cell r="H14">
            <v>0.20799526845683999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F15">
            <v>1.5675425241751701E-4</v>
          </cell>
          <cell r="G15">
            <v>1.5675425241751701E-4</v>
          </cell>
          <cell r="H15">
            <v>1.5675425241751701E-4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E16">
            <v>3.2682136058828681</v>
          </cell>
          <cell r="F16">
            <v>3.831986286663092</v>
          </cell>
          <cell r="G16">
            <v>0.6412147215463202</v>
          </cell>
          <cell r="H16">
            <v>1.0213163885204479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E17">
            <v>3.2682136058828681</v>
          </cell>
          <cell r="F17">
            <v>3.831986286663092</v>
          </cell>
          <cell r="G17">
            <v>0.6412147215463202</v>
          </cell>
          <cell r="H17">
            <v>1.0213163885204479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E18">
            <v>0.66996706142721818</v>
          </cell>
          <cell r="F18">
            <v>0.16578928313456487</v>
          </cell>
          <cell r="G18">
            <v>0.95518478301099263</v>
          </cell>
          <cell r="H18">
            <v>1.4159657289009404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E19">
            <v>2.0850321483445735</v>
          </cell>
          <cell r="F19">
            <v>0.48314113314136042</v>
          </cell>
          <cell r="G19">
            <v>2.4999650000088001</v>
          </cell>
          <cell r="H19">
            <v>3.0052098230117936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E20">
            <v>108.17302359460299</v>
          </cell>
          <cell r="F20">
            <v>26.565973380236301</v>
          </cell>
          <cell r="G20">
            <v>151.773640754973</v>
          </cell>
          <cell r="H20">
            <v>221.83779022111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E21">
            <v>1.9179614112518257</v>
          </cell>
          <cell r="F21">
            <v>0.47102789681270035</v>
          </cell>
          <cell r="G21">
            <v>2.6910219992016531</v>
          </cell>
          <cell r="H21">
            <v>3.9332941528565617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F22">
            <v>1.6531589830338499E-7</v>
          </cell>
          <cell r="G22">
            <v>6.4758760470310199E-3</v>
          </cell>
          <cell r="H22">
            <v>3.7022233279364401E-2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E23">
            <v>5.3315818187333205E-2</v>
          </cell>
          <cell r="F23">
            <v>3.9432518674767505E-2</v>
          </cell>
          <cell r="G23">
            <v>4.5908271928096739E-2</v>
          </cell>
          <cell r="H23">
            <v>5.5468315607730634E-2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E24">
            <v>6.7990987403794056</v>
          </cell>
          <cell r="F24">
            <v>1.3674047949247017E-4</v>
          </cell>
          <cell r="G24">
            <v>1.1145174263870686E-4</v>
          </cell>
          <cell r="H24">
            <v>4.8196316443690645E-5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E25">
            <v>6.7990987403794056</v>
          </cell>
          <cell r="F25">
            <v>1.3674047949247017E-4</v>
          </cell>
          <cell r="G25">
            <v>1.1145174263870686E-4</v>
          </cell>
          <cell r="H25">
            <v>4.8196316443690645E-5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E26">
            <v>2.6166308119130603E-7</v>
          </cell>
          <cell r="F26">
            <v>2.17040557034981E-7</v>
          </cell>
          <cell r="G26">
            <v>2.4323673576265202E-7</v>
          </cell>
          <cell r="H26">
            <v>2.51024642345769E-7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E27">
            <v>1.4617954033462772</v>
          </cell>
          <cell r="F27">
            <v>1.4601372660005829E-4</v>
          </cell>
          <cell r="G27">
            <v>1.4167564825995349E-4</v>
          </cell>
          <cell r="H27">
            <v>1.3569712117278421E-4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E28">
            <v>3.969166433433502E-4</v>
          </cell>
          <cell r="F28">
            <v>3.9456757781399274E-4</v>
          </cell>
          <cell r="G28">
            <v>0.19215144118163996</v>
          </cell>
          <cell r="H28">
            <v>9.4047293753573374E-2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E29">
            <v>3.9691664334334993E-4</v>
          </cell>
          <cell r="F29">
            <v>3.9456757781399236E-4</v>
          </cell>
          <cell r="G29">
            <v>0.19215144118163985</v>
          </cell>
          <cell r="H29">
            <v>9.4047293753573305E-2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E30">
            <v>4.4223944473081438E-4</v>
          </cell>
          <cell r="F30">
            <v>4.3895264775452032E-4</v>
          </cell>
          <cell r="G30">
            <v>0.21249374162385173</v>
          </cell>
          <cell r="H30">
            <v>0.10400390048488352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E31">
            <v>4.4223944473081438E-4</v>
          </cell>
          <cell r="F31">
            <v>4.3895264775452032E-4</v>
          </cell>
          <cell r="G31">
            <v>0.21249374162385173</v>
          </cell>
          <cell r="H31">
            <v>0.10400390048488352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E32">
            <v>1.59257725138859E-4</v>
          </cell>
          <cell r="F32">
            <v>2.62092700841697E-7</v>
          </cell>
          <cell r="G32">
            <v>0.123928278686293</v>
          </cell>
          <cell r="H32">
            <v>8.6329915471033795E-4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E33">
            <v>1.6163549904325657E-4</v>
          </cell>
          <cell r="F33">
            <v>1.6183151654969709E-4</v>
          </cell>
          <cell r="G33">
            <v>0.12408998844761741</v>
          </cell>
          <cell r="H33">
            <v>0.12490816930700231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E34">
            <v>1.4448638516746446E-5</v>
          </cell>
          <cell r="F34">
            <v>2.862351909161301E-5</v>
          </cell>
          <cell r="G34">
            <v>9.8852142931775092E-2</v>
          </cell>
          <cell r="H34">
            <v>3.1037823405594733E-5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E35">
            <v>1.444863851674642E-5</v>
          </cell>
          <cell r="F35">
            <v>2.8600142219300908E-5</v>
          </cell>
          <cell r="G35">
            <v>9.8726056014770164E-2</v>
          </cell>
          <cell r="H35">
            <v>3.1037823405594773E-5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E36">
            <v>1.1891882159410587E-5</v>
          </cell>
          <cell r="F36">
            <v>3.5069546997795379E-5</v>
          </cell>
          <cell r="G36">
            <v>0.11767751191026402</v>
          </cell>
          <cell r="H36">
            <v>3.1037823405594733E-5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E37">
            <v>1.1891882159410587E-5</v>
          </cell>
          <cell r="F37">
            <v>3.5069546997795379E-5</v>
          </cell>
          <cell r="G37">
            <v>0.11767751191026402</v>
          </cell>
          <cell r="H37">
            <v>3.1037823405594733E-5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E38">
            <v>1.7759357005134699E-3</v>
          </cell>
          <cell r="F38">
            <v>3.2917594169950203E-5</v>
          </cell>
          <cell r="G38">
            <v>4.4027386838659897E-3</v>
          </cell>
          <cell r="H38">
            <v>2.22855969928095E-6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E39">
            <v>1.7759357005134699E-3</v>
          </cell>
          <cell r="F39">
            <v>1.8079479003782137E-3</v>
          </cell>
          <cell r="G39">
            <v>6.2088568470178001E-3</v>
          </cell>
          <cell r="H39">
            <v>7.4630874536146981E-4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G40">
            <v>2.4367850663119578E-4</v>
          </cell>
          <cell r="H40">
            <v>1.3392233204101331E-4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G41">
            <v>6.82988171702124E-5</v>
          </cell>
          <cell r="H41">
            <v>3.9847643947381115E-5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G42">
            <v>2.8351272715875209E-5</v>
          </cell>
          <cell r="H42">
            <v>1.4325501539252006E-5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G43">
            <v>2.0329863786644203E-5</v>
          </cell>
          <cell r="H43">
            <v>1.2171475184148827E-5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G44">
            <v>2.851991135941517E-5</v>
          </cell>
          <cell r="H44">
            <v>1.4423167013536172E-5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G45">
            <v>3.4008117407637456E-5</v>
          </cell>
          <cell r="H45">
            <v>1.8615771316451556E-5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G46">
            <v>3.5780101532854721E-5</v>
          </cell>
          <cell r="H46">
            <v>2.0179203005833285E-5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G47">
            <v>2.8342908698105549E-5</v>
          </cell>
          <cell r="H47">
            <v>1.4318876651934956E-5</v>
          </cell>
        </row>
        <row r="48">
          <cell r="B48" t="str">
            <v>ITOT-EBAT</v>
          </cell>
          <cell r="C48" t="str">
            <v>VAR_fout</v>
          </cell>
          <cell r="D48" t="str">
            <v>AUX_ITOT-EBAT_OUT</v>
          </cell>
          <cell r="E48">
            <v>3.9501986098739068E-4</v>
          </cell>
          <cell r="F48">
            <v>3.9270108512070234E-4</v>
          </cell>
          <cell r="G48">
            <v>0.11085669778146742</v>
          </cell>
          <cell r="H48">
            <v>0.19966215499985185</v>
          </cell>
        </row>
        <row r="49">
          <cell r="B49" t="str">
            <v>ITOT-EBAT</v>
          </cell>
          <cell r="C49" t="str">
            <v>VAR_fout</v>
          </cell>
          <cell r="D49" t="str">
            <v>ITOT_ELC</v>
          </cell>
          <cell r="E49">
            <v>3.9501986098739036E-4</v>
          </cell>
          <cell r="F49">
            <v>3.927010851207019E-4</v>
          </cell>
          <cell r="G49">
            <v>0.11085669778146721</v>
          </cell>
          <cell r="H49">
            <v>0.19966215499985171</v>
          </cell>
        </row>
        <row r="50">
          <cell r="B50" t="str">
            <v>ITOT-EBAT</v>
          </cell>
          <cell r="C50" t="str">
            <v>VAR_fin</v>
          </cell>
          <cell r="D50" t="str">
            <v>ITOT_ELC</v>
          </cell>
          <cell r="E50">
            <v>4.3815987883659603E-4</v>
          </cell>
          <cell r="F50">
            <v>4.369092048283886E-4</v>
          </cell>
          <cell r="G50">
            <v>0.12259288657356644</v>
          </cell>
          <cell r="H50">
            <v>0.22079967206576276</v>
          </cell>
        </row>
        <row r="51">
          <cell r="B51" t="str">
            <v>ITOT-EBAT</v>
          </cell>
          <cell r="C51" t="str">
            <v>VAR_fin</v>
          </cell>
          <cell r="D51" t="str">
            <v>AUX_ITOT-EBAT_IN</v>
          </cell>
          <cell r="E51">
            <v>4.3815987883659603E-4</v>
          </cell>
          <cell r="F51">
            <v>4.369092048283886E-4</v>
          </cell>
          <cell r="G51">
            <v>0.12259288657356644</v>
          </cell>
          <cell r="H51">
            <v>0.22079967206576276</v>
          </cell>
        </row>
        <row r="52">
          <cell r="B52" t="str">
            <v>ITOT-EBAT</v>
          </cell>
          <cell r="C52" t="str">
            <v>VAR_ncap</v>
          </cell>
          <cell r="D52" t="str">
            <v>-</v>
          </cell>
          <cell r="E52">
            <v>1.5873746779717E-4</v>
          </cell>
          <cell r="F52">
            <v>2.6147105143463598E-7</v>
          </cell>
          <cell r="G52">
            <v>6.9322770828444E-2</v>
          </cell>
          <cell r="H52">
            <v>8.3760384804503901E-2</v>
          </cell>
        </row>
        <row r="53">
          <cell r="B53" t="str">
            <v>ITOT-EBAT</v>
          </cell>
          <cell r="C53" t="str">
            <v>VAR_cap</v>
          </cell>
          <cell r="D53" t="str">
            <v>-</v>
          </cell>
          <cell r="E53">
            <v>1.6085671997848882E-4</v>
          </cell>
          <cell r="F53">
            <v>1.6105266035990667E-4</v>
          </cell>
          <cell r="G53">
            <v>6.9483698079187403E-2</v>
          </cell>
          <cell r="H53">
            <v>0.15319936296179992</v>
          </cell>
        </row>
        <row r="54">
          <cell r="B54" t="str">
            <v>D-RES_LTH</v>
          </cell>
          <cell r="C54" t="str">
            <v>VAR_fout</v>
          </cell>
          <cell r="D54" t="str">
            <v>RHNS_LTH_DH</v>
          </cell>
          <cell r="F54">
            <v>5.4466912307558943E-2</v>
          </cell>
          <cell r="G54">
            <v>4.5359512516003819E-3</v>
          </cell>
          <cell r="H54">
            <v>7.2450137821379679E-3</v>
          </cell>
        </row>
        <row r="55">
          <cell r="B55" t="str">
            <v>D-RES_LTH</v>
          </cell>
          <cell r="C55" t="str">
            <v>VAR_fout</v>
          </cell>
          <cell r="D55" t="str">
            <v>RHEM_LTH_DH</v>
          </cell>
          <cell r="E55">
            <v>3.4405829122846385</v>
          </cell>
          <cell r="F55">
            <v>3.8270025880469305</v>
          </cell>
          <cell r="G55">
            <v>4.9258931786716271</v>
          </cell>
          <cell r="H55">
            <v>5.4323626322235707</v>
          </cell>
        </row>
        <row r="56">
          <cell r="B56" t="str">
            <v>D-RES_LTH</v>
          </cell>
          <cell r="C56" t="str">
            <v>VAR_fout</v>
          </cell>
          <cell r="D56" t="str">
            <v>RHES_LTH_DH</v>
          </cell>
          <cell r="E56">
            <v>3.1851518058627155</v>
          </cell>
          <cell r="F56">
            <v>3.5391915500075863</v>
          </cell>
          <cell r="G56">
            <v>1.5971885108083126</v>
          </cell>
          <cell r="H56">
            <v>1.7867662230163122</v>
          </cell>
        </row>
        <row r="57">
          <cell r="B57" t="str">
            <v>D-RES_LTH</v>
          </cell>
          <cell r="C57" t="str">
            <v>VAR_fout</v>
          </cell>
          <cell r="D57" t="str">
            <v>RHSA_LTH</v>
          </cell>
          <cell r="E57">
            <v>1.7142689463467711</v>
          </cell>
          <cell r="F57">
            <v>1.895533180833366</v>
          </cell>
          <cell r="G57">
            <v>1.7514153011695983</v>
          </cell>
          <cell r="H57">
            <v>2.1164551236835485</v>
          </cell>
        </row>
        <row r="58">
          <cell r="B58" t="str">
            <v>D-RES_LTH</v>
          </cell>
          <cell r="C58" t="str">
            <v>VAR_fout</v>
          </cell>
          <cell r="D58" t="str">
            <v>RHNM_LTH_DH</v>
          </cell>
          <cell r="F58">
            <v>0.35009850779942164</v>
          </cell>
          <cell r="G58">
            <v>6.6180697507705305E-2</v>
          </cell>
          <cell r="H58">
            <v>0.12353563890355469</v>
          </cell>
        </row>
        <row r="59">
          <cell r="B59" t="str">
            <v>D-RES_LTH</v>
          </cell>
          <cell r="C59" t="str">
            <v>VAR_fin</v>
          </cell>
          <cell r="D59" t="str">
            <v>LTH</v>
          </cell>
          <cell r="E59">
            <v>9.2187320999557674</v>
          </cell>
          <cell r="F59">
            <v>10.684707090469541</v>
          </cell>
          <cell r="G59">
            <v>9.2039326064743285</v>
          </cell>
          <cell r="H59">
            <v>10.401934169042013</v>
          </cell>
        </row>
        <row r="60">
          <cell r="B60" t="str">
            <v>D-RES_LTH</v>
          </cell>
          <cell r="C60" t="str">
            <v>VAR_ncap</v>
          </cell>
          <cell r="D60" t="str">
            <v>-</v>
          </cell>
          <cell r="E60">
            <v>0.62767177786702899</v>
          </cell>
          <cell r="F60">
            <v>7.4321961206517696E-8</v>
          </cell>
          <cell r="G60">
            <v>1.49507302811985E-8</v>
          </cell>
          <cell r="H60">
            <v>1.7260486465908401E-8</v>
          </cell>
        </row>
        <row r="61">
          <cell r="B61" t="str">
            <v>D-RES_LTH</v>
          </cell>
          <cell r="C61" t="str">
            <v>VAR_cap</v>
          </cell>
          <cell r="D61" t="str">
            <v>-</v>
          </cell>
          <cell r="E61">
            <v>0.62767177786702899</v>
          </cell>
          <cell r="F61">
            <v>0.62767185218899002</v>
          </cell>
          <cell r="G61">
            <v>0.62767186713972101</v>
          </cell>
          <cell r="H61">
            <v>0.62767188440020705</v>
          </cell>
        </row>
        <row r="62">
          <cell r="B62" t="str">
            <v>RHES-SHSTG-CHPNGA</v>
          </cell>
          <cell r="C62" t="str">
            <v>VAR_fout</v>
          </cell>
          <cell r="D62" t="str">
            <v>RHES_LTH_CHPNGA</v>
          </cell>
          <cell r="E62">
            <v>1.8196092038772166E-3</v>
          </cell>
          <cell r="F62">
            <v>5.4056378923391923E-5</v>
          </cell>
          <cell r="G62">
            <v>1.0313500419235982E-3</v>
          </cell>
          <cell r="H62">
            <v>5.5751454563423918E-5</v>
          </cell>
        </row>
        <row r="63">
          <cell r="B63" t="str">
            <v>RHES-SHSTG-CHPNGA</v>
          </cell>
          <cell r="C63" t="str">
            <v>VAR_fout</v>
          </cell>
          <cell r="D63" t="str">
            <v>AUX_RES_CHPNGA_OUT</v>
          </cell>
          <cell r="E63">
            <v>1.8196092038772216E-3</v>
          </cell>
          <cell r="F63">
            <v>5.4020365346494412E-5</v>
          </cell>
          <cell r="G63">
            <v>1.0302768368851776E-3</v>
          </cell>
          <cell r="H63">
            <v>5.5751454563423918E-5</v>
          </cell>
        </row>
        <row r="64">
          <cell r="B64" t="str">
            <v>RHES-SHSTG-CHPNGA</v>
          </cell>
          <cell r="C64" t="str">
            <v>VAR_fin</v>
          </cell>
          <cell r="D64" t="str">
            <v>RHES_LTH_CHPNGA</v>
          </cell>
          <cell r="E64">
            <v>2.4320915483500788E-3</v>
          </cell>
          <cell r="F64">
            <v>7.1106168734625739E-5</v>
          </cell>
          <cell r="G64">
            <v>1.32928776184809E-3</v>
          </cell>
          <cell r="H64">
            <v>4.2958380934105356E-5</v>
          </cell>
        </row>
        <row r="65">
          <cell r="B65" t="str">
            <v>RHES-SHSTG-CHPNGA</v>
          </cell>
          <cell r="C65" t="str">
            <v>VAR_fin</v>
          </cell>
          <cell r="D65" t="str">
            <v>AUX_RES_CHPNGA_IN</v>
          </cell>
          <cell r="E65">
            <v>2.4320915483500788E-3</v>
          </cell>
          <cell r="F65">
            <v>7.1106168734625739E-5</v>
          </cell>
          <cell r="G65">
            <v>1.32928776184809E-3</v>
          </cell>
          <cell r="H65">
            <v>4.2958380934105356E-5</v>
          </cell>
        </row>
        <row r="66">
          <cell r="B66" t="str">
            <v>RHES-SHSTG-CHPNGA</v>
          </cell>
          <cell r="C66" t="str">
            <v>VAR_ncap</v>
          </cell>
          <cell r="D66" t="str">
            <v>-</v>
          </cell>
          <cell r="E66">
            <v>5.9237853670209505E-4</v>
          </cell>
          <cell r="F66">
            <v>7.8546969710474106E-6</v>
          </cell>
          <cell r="G66">
            <v>5.8403699886896E-6</v>
          </cell>
          <cell r="H66">
            <v>3.5703390139044498E-6</v>
          </cell>
        </row>
        <row r="67">
          <cell r="B67" t="str">
            <v>RHES-SHSTG-CHPNGA</v>
          </cell>
          <cell r="C67" t="str">
            <v>VAR_cap</v>
          </cell>
          <cell r="D67" t="str">
            <v>-</v>
          </cell>
          <cell r="E67">
            <v>5.9237853670209505E-4</v>
          </cell>
          <cell r="F67">
            <v>5.9918782105034267E-4</v>
          </cell>
          <cell r="G67">
            <v>6.0148680218529522E-4</v>
          </cell>
          <cell r="H67">
            <v>5.783141317494176E-4</v>
          </cell>
        </row>
        <row r="68">
          <cell r="B68" t="str">
            <v>RHNS-CHPWOD</v>
          </cell>
          <cell r="C68" t="str">
            <v>VAR_ncap</v>
          </cell>
          <cell r="D68" t="str">
            <v>-</v>
          </cell>
          <cell r="H68">
            <v>1.08904643013487E-6</v>
          </cell>
        </row>
        <row r="69">
          <cell r="B69" t="str">
            <v>RHNS-CHPWOD</v>
          </cell>
          <cell r="C69" t="str">
            <v>VAR_cap</v>
          </cell>
          <cell r="D69" t="str">
            <v>-</v>
          </cell>
          <cell r="H69">
            <v>1.08904643013487E-6</v>
          </cell>
        </row>
        <row r="70">
          <cell r="B70" t="str">
            <v>D-ICOA</v>
          </cell>
          <cell r="C70" t="str">
            <v>VAR_fout</v>
          </cell>
          <cell r="D70" t="str">
            <v>ICOA</v>
          </cell>
          <cell r="E70">
            <v>3.5600044603966894</v>
          </cell>
          <cell r="F70">
            <v>3.464717415452482</v>
          </cell>
          <cell r="G70">
            <v>3.3403267487415373</v>
          </cell>
          <cell r="H70">
            <v>2.3688697598404625E-4</v>
          </cell>
        </row>
        <row r="71">
          <cell r="B71" t="str">
            <v>D-ICOA</v>
          </cell>
          <cell r="C71" t="str">
            <v>VAR_fout</v>
          </cell>
          <cell r="D71" t="str">
            <v>CO2</v>
          </cell>
          <cell r="E71">
            <v>330.012413478773</v>
          </cell>
          <cell r="F71">
            <v>321.17930441244499</v>
          </cell>
          <cell r="G71">
            <v>309.64828960834097</v>
          </cell>
          <cell r="H71">
            <v>2.1959422673721099E-2</v>
          </cell>
        </row>
        <row r="72">
          <cell r="B72" t="str">
            <v>D-ICOA</v>
          </cell>
          <cell r="C72" t="str">
            <v>VAR_fin</v>
          </cell>
          <cell r="D72" t="str">
            <v>COA</v>
          </cell>
          <cell r="E72">
            <v>3.5600044603966894</v>
          </cell>
          <cell r="F72">
            <v>3.464717415452482</v>
          </cell>
          <cell r="G72">
            <v>3.3403267487415373</v>
          </cell>
          <cell r="H72">
            <v>2.3688697598404625E-4</v>
          </cell>
        </row>
        <row r="73">
          <cell r="B73" t="str">
            <v>RHNM-SHSTG-CHPWOD</v>
          </cell>
          <cell r="C73" t="str">
            <v>VAR_fout</v>
          </cell>
          <cell r="D73" t="str">
            <v>RHNM_LTH_CHPWOD</v>
          </cell>
          <cell r="E73">
            <v>1.2413416242418532E-4</v>
          </cell>
          <cell r="F73">
            <v>6.1442649159867542E-5</v>
          </cell>
          <cell r="G73">
            <v>2.9263252819419206E-5</v>
          </cell>
          <cell r="H73">
            <v>5.669791419210404E-5</v>
          </cell>
        </row>
        <row r="74">
          <cell r="B74" t="str">
            <v>RHNM-SHSTG-CHPWOD</v>
          </cell>
          <cell r="C74" t="str">
            <v>VAR_fout</v>
          </cell>
          <cell r="D74" t="str">
            <v>AUX_RNM-CHPWOD_OUT</v>
          </cell>
          <cell r="E74">
            <v>1.2413416242418565E-4</v>
          </cell>
          <cell r="F74">
            <v>6.1401714683411969E-5</v>
          </cell>
          <cell r="G74">
            <v>2.9232801984019241E-5</v>
          </cell>
          <cell r="H74">
            <v>5.669791419210404E-5</v>
          </cell>
        </row>
        <row r="75">
          <cell r="B75" t="str">
            <v>RHNM-SHSTG-CHPWOD</v>
          </cell>
          <cell r="C75" t="str">
            <v>VAR_fin</v>
          </cell>
          <cell r="D75" t="str">
            <v>RHNM_LTH_CHPWOD</v>
          </cell>
          <cell r="E75">
            <v>9.8785520865706872E-5</v>
          </cell>
          <cell r="F75">
            <v>3.9556831699373866E-5</v>
          </cell>
          <cell r="G75">
            <v>2.3457637800245604E-5</v>
          </cell>
          <cell r="H75">
            <v>4.3541441672275754E-5</v>
          </cell>
        </row>
        <row r="76">
          <cell r="B76" t="str">
            <v>RHNM-SHSTG-CHPWOD</v>
          </cell>
          <cell r="C76" t="str">
            <v>VAR_fin</v>
          </cell>
          <cell r="D76" t="str">
            <v>AUX_RNM-CHPWOD_IN</v>
          </cell>
          <cell r="E76">
            <v>9.8785520865706872E-5</v>
          </cell>
          <cell r="F76">
            <v>3.9556831699373866E-5</v>
          </cell>
          <cell r="G76">
            <v>2.3457637800245604E-5</v>
          </cell>
          <cell r="H76">
            <v>4.3541441672275754E-5</v>
          </cell>
        </row>
        <row r="77">
          <cell r="B77" t="str">
            <v>RHNM-SHSTG-CHPWOD</v>
          </cell>
          <cell r="C77" t="str">
            <v>VAR_ncap</v>
          </cell>
          <cell r="D77" t="str">
            <v>-</v>
          </cell>
          <cell r="E77">
            <v>5.5446763063788903E-4</v>
          </cell>
          <cell r="F77">
            <v>1.2574029904817301E-5</v>
          </cell>
          <cell r="G77">
            <v>1.24598819037622E-5</v>
          </cell>
          <cell r="H77">
            <v>8.4153436969631898E-6</v>
          </cell>
        </row>
        <row r="78">
          <cell r="B78" t="str">
            <v>RHNM-SHSTG-CHPWOD</v>
          </cell>
          <cell r="C78" t="str">
            <v>VAR_cap</v>
          </cell>
          <cell r="D78" t="str">
            <v>-</v>
          </cell>
          <cell r="E78">
            <v>5.5446763063788903E-4</v>
          </cell>
          <cell r="F78">
            <v>5.6532252900326865E-4</v>
          </cell>
          <cell r="G78">
            <v>5.724777787629022E-4</v>
          </cell>
          <cell r="H78">
            <v>5.6851705062965167E-4</v>
          </cell>
        </row>
        <row r="79">
          <cell r="B79" t="str">
            <v>ENGA-CCS</v>
          </cell>
          <cell r="C79" t="str">
            <v>VAR_fout</v>
          </cell>
          <cell r="D79" t="str">
            <v>CO2_E</v>
          </cell>
        </row>
        <row r="80">
          <cell r="B80" t="str">
            <v>ENGA-CCS</v>
          </cell>
          <cell r="C80" t="str">
            <v>VAR_fin</v>
          </cell>
          <cell r="D80" t="str">
            <v>ENGA</v>
          </cell>
        </row>
        <row r="81">
          <cell r="B81" t="str">
            <v>RHNS-CHPGFC</v>
          </cell>
          <cell r="C81" t="str">
            <v>VAR_ncap</v>
          </cell>
          <cell r="D81" t="str">
            <v>-</v>
          </cell>
          <cell r="H81">
            <v>3.8506216082019702E-7</v>
          </cell>
        </row>
        <row r="82">
          <cell r="B82" t="str">
            <v>RHNS-CHPGFC</v>
          </cell>
          <cell r="C82" t="str">
            <v>VAR_cap</v>
          </cell>
          <cell r="D82" t="str">
            <v>-</v>
          </cell>
          <cell r="H82">
            <v>3.8506216082019702E-7</v>
          </cell>
        </row>
        <row r="83">
          <cell r="B83" t="str">
            <v>D-ENGA</v>
          </cell>
          <cell r="C83" t="str">
            <v>VAR_fout</v>
          </cell>
          <cell r="D83" t="str">
            <v>CO2</v>
          </cell>
          <cell r="E83">
            <v>310.86628449092098</v>
          </cell>
          <cell r="F83">
            <v>97.099106413104906</v>
          </cell>
          <cell r="G83">
            <v>64.220134316405293</v>
          </cell>
          <cell r="H83">
            <v>168.00994999699401</v>
          </cell>
        </row>
        <row r="84">
          <cell r="B84" t="str">
            <v>D-ENGA</v>
          </cell>
          <cell r="C84" t="str">
            <v>VAR_fout</v>
          </cell>
          <cell r="D84" t="str">
            <v>ENGA</v>
          </cell>
          <cell r="E84">
            <v>5.6979691452091501</v>
          </cell>
          <cell r="F84">
            <v>1.716154071466393</v>
          </cell>
          <cell r="G84">
            <v>1.2461769145058175</v>
          </cell>
          <cell r="H84">
            <v>3.5830320128036641</v>
          </cell>
        </row>
        <row r="85">
          <cell r="B85" t="str">
            <v>D-ENGA</v>
          </cell>
          <cell r="C85" t="str">
            <v>VAR_fin</v>
          </cell>
          <cell r="D85" t="str">
            <v>NGA</v>
          </cell>
          <cell r="E85">
            <v>5.5118135548035685</v>
          </cell>
          <cell r="F85">
            <v>1.7216153619344874</v>
          </cell>
          <cell r="G85">
            <v>1.138654863766051</v>
          </cell>
          <cell r="H85">
            <v>2.9788998226417376</v>
          </cell>
        </row>
        <row r="86">
          <cell r="B86" t="str">
            <v>D-ENGA</v>
          </cell>
          <cell r="C86" t="str">
            <v>VAR_fin</v>
          </cell>
          <cell r="D86" t="str">
            <v>BNGA</v>
          </cell>
          <cell r="E86">
            <v>0.20435843424904362</v>
          </cell>
          <cell r="F86">
            <v>1.8770036876915233E-5</v>
          </cell>
          <cell r="G86">
            <v>0.11149835833530476</v>
          </cell>
          <cell r="H86">
            <v>0.6155728303085819</v>
          </cell>
        </row>
        <row r="87">
          <cell r="B87" t="str">
            <v>D-ENGA</v>
          </cell>
          <cell r="C87" t="str">
            <v>VAR_ncap</v>
          </cell>
          <cell r="D87" t="str">
            <v>-</v>
          </cell>
          <cell r="E87">
            <v>3.00949499088119E-7</v>
          </cell>
          <cell r="F87">
            <v>1.02555734195434E-7</v>
          </cell>
          <cell r="G87">
            <v>1.2938045110089201E-7</v>
          </cell>
          <cell r="H87">
            <v>1.7598270911190499E-7</v>
          </cell>
        </row>
        <row r="88">
          <cell r="B88" t="str">
            <v>D-ENGA</v>
          </cell>
          <cell r="C88" t="str">
            <v>VAR_cap</v>
          </cell>
          <cell r="D88" t="str">
            <v>-</v>
          </cell>
          <cell r="E88">
            <v>1.0275122954904792</v>
          </cell>
          <cell r="F88">
            <v>1.0275123980462133</v>
          </cell>
          <cell r="G88">
            <v>1.0275125274266645</v>
          </cell>
          <cell r="H88">
            <v>1.0275127034093736</v>
          </cell>
        </row>
        <row r="89">
          <cell r="B89" t="str">
            <v>D-ILFO</v>
          </cell>
          <cell r="C89" t="str">
            <v>VAR_fout</v>
          </cell>
          <cell r="D89" t="str">
            <v>CO2</v>
          </cell>
          <cell r="E89">
            <v>688.81204010383703</v>
          </cell>
          <cell r="F89">
            <v>659.57576137618003</v>
          </cell>
          <cell r="G89">
            <v>621.78805166626796</v>
          </cell>
          <cell r="H89">
            <v>485.17533603775701</v>
          </cell>
        </row>
        <row r="90">
          <cell r="B90" t="str">
            <v>D-ILFO</v>
          </cell>
          <cell r="C90" t="str">
            <v>VAR_fout</v>
          </cell>
          <cell r="D90" t="str">
            <v>ILFO</v>
          </cell>
          <cell r="E90">
            <v>9.1900688778251229</v>
          </cell>
          <cell r="F90">
            <v>8.8000010514875449</v>
          </cell>
          <cell r="G90">
            <v>8.2958656740706544</v>
          </cell>
          <cell r="H90">
            <v>7.372668259312972</v>
          </cell>
        </row>
        <row r="91">
          <cell r="B91" t="str">
            <v>D-ILFO</v>
          </cell>
          <cell r="C91" t="str">
            <v>VAR_fin</v>
          </cell>
          <cell r="D91" t="str">
            <v>LFO</v>
          </cell>
          <cell r="E91">
            <v>9.3461606526979164</v>
          </cell>
          <cell r="F91">
            <v>8.949467589907476</v>
          </cell>
          <cell r="G91">
            <v>8.4367442559873496</v>
          </cell>
          <cell r="H91">
            <v>6.5831117508515149</v>
          </cell>
        </row>
        <row r="92">
          <cell r="B92" t="str">
            <v>D-ILFO</v>
          </cell>
          <cell r="C92" t="str">
            <v>VAR_fin</v>
          </cell>
          <cell r="D92" t="str">
            <v>BDS</v>
          </cell>
          <cell r="G92">
            <v>2.5536296910440435E-5</v>
          </cell>
          <cell r="H92">
            <v>0.9147804299779575</v>
          </cell>
        </row>
        <row r="93">
          <cell r="B93" t="str">
            <v>HPLNGA</v>
          </cell>
          <cell r="C93" t="str">
            <v>VAR_fout</v>
          </cell>
          <cell r="D93" t="str">
            <v>LTH</v>
          </cell>
          <cell r="E93">
            <v>1.7329034351756449</v>
          </cell>
          <cell r="F93">
            <v>1.4657145158969569</v>
          </cell>
          <cell r="G93">
            <v>0.8158321377751796</v>
          </cell>
          <cell r="H93">
            <v>3.032898443710117</v>
          </cell>
        </row>
        <row r="94">
          <cell r="B94" t="str">
            <v>HPLNGA</v>
          </cell>
          <cell r="C94" t="str">
            <v>VAR_fout</v>
          </cell>
          <cell r="D94" t="str">
            <v>CO2_E</v>
          </cell>
          <cell r="E94">
            <v>114.383732874114</v>
          </cell>
          <cell r="F94">
            <v>96.747397606189494</v>
          </cell>
          <cell r="G94">
            <v>53.850620538434903</v>
          </cell>
          <cell r="H94">
            <v>200.19248526937901</v>
          </cell>
        </row>
        <row r="95">
          <cell r="B95" t="str">
            <v>HPLNGA</v>
          </cell>
          <cell r="C95" t="str">
            <v>VAR_fin</v>
          </cell>
          <cell r="D95" t="str">
            <v>ENGA</v>
          </cell>
          <cell r="E95">
            <v>2.0280803701084138</v>
          </cell>
          <cell r="F95">
            <v>1.7153793901806633</v>
          </cell>
          <cell r="G95">
            <v>0.95479823649707263</v>
          </cell>
          <cell r="H95">
            <v>3.549512150166287</v>
          </cell>
        </row>
        <row r="96">
          <cell r="B96" t="str">
            <v>HPLNGA</v>
          </cell>
          <cell r="C96" t="str">
            <v>VAR_ncap</v>
          </cell>
          <cell r="D96" t="str">
            <v>-</v>
          </cell>
          <cell r="E96">
            <v>2.6704973518119E-6</v>
          </cell>
          <cell r="F96">
            <v>2.5121927914925002E-6</v>
          </cell>
          <cell r="G96">
            <v>4.9519492520980596E-6</v>
          </cell>
          <cell r="H96">
            <v>0.30105132772160298</v>
          </cell>
        </row>
        <row r="97">
          <cell r="B97" t="str">
            <v>HPLNGA</v>
          </cell>
          <cell r="C97" t="str">
            <v>VAR_cap</v>
          </cell>
          <cell r="D97" t="str">
            <v>-</v>
          </cell>
          <cell r="E97">
            <v>0.21985612290369277</v>
          </cell>
          <cell r="F97">
            <v>0.1859421091173763</v>
          </cell>
          <cell r="G97">
            <v>0.18593769922594838</v>
          </cell>
          <cell r="H97">
            <v>0.38469086728176105</v>
          </cell>
        </row>
        <row r="98">
          <cell r="B98" t="str">
            <v>G-INTC-IMP00-AT</v>
          </cell>
          <cell r="C98" t="str">
            <v>VAR_fout</v>
          </cell>
          <cell r="D98" t="str">
            <v>ELC</v>
          </cell>
          <cell r="E98">
            <v>15.013807044343766</v>
          </cell>
          <cell r="F98">
            <v>1.7706776567152544E-2</v>
          </cell>
          <cell r="G98">
            <v>1.3269253792695243E-2</v>
          </cell>
          <cell r="H98">
            <v>1.3016244561304119E-2</v>
          </cell>
        </row>
        <row r="99">
          <cell r="B99" t="str">
            <v>G-INTC-IMP00-AT</v>
          </cell>
          <cell r="C99" t="str">
            <v>VAR_fin</v>
          </cell>
          <cell r="D99" t="str">
            <v>ELC_I-AT</v>
          </cell>
          <cell r="E99">
            <v>15.013807044343766</v>
          </cell>
          <cell r="F99">
            <v>1.7706776567152544E-2</v>
          </cell>
          <cell r="G99">
            <v>1.3269253792695243E-2</v>
          </cell>
          <cell r="H99">
            <v>1.3016244561304119E-2</v>
          </cell>
        </row>
        <row r="100">
          <cell r="B100" t="str">
            <v>G-INTC-IMP00-AT</v>
          </cell>
          <cell r="C100" t="str">
            <v>VAR_ncap</v>
          </cell>
          <cell r="D100" t="str">
            <v>-</v>
          </cell>
          <cell r="E100">
            <v>3.4056106609906201E-7</v>
          </cell>
          <cell r="F100">
            <v>3.0474886525269501E-7</v>
          </cell>
          <cell r="G100">
            <v>3.67470039791932E-7</v>
          </cell>
          <cell r="H100">
            <v>3.9605068224003001E-7</v>
          </cell>
        </row>
        <row r="101">
          <cell r="B101" t="str">
            <v>G-INTC-IMP00-AT</v>
          </cell>
          <cell r="C101" t="str">
            <v>VAR_cap</v>
          </cell>
          <cell r="D101" t="str">
            <v>-</v>
          </cell>
          <cell r="E101">
            <v>0.55967918007963491</v>
          </cell>
          <cell r="F101">
            <v>1.7272357978399544E-3</v>
          </cell>
          <cell r="G101">
            <v>1.7260682117599124E-3</v>
          </cell>
          <cell r="H101">
            <v>1.726214707277407E-3</v>
          </cell>
        </row>
        <row r="102">
          <cell r="B102" t="str">
            <v>CHPWST</v>
          </cell>
          <cell r="C102" t="str">
            <v>VAR_fout</v>
          </cell>
          <cell r="D102" t="str">
            <v>ELC35</v>
          </cell>
          <cell r="E102">
            <v>1.4349603213612419</v>
          </cell>
          <cell r="F102">
            <v>1.2995354027809236</v>
          </cell>
          <cell r="G102">
            <v>1.2158237136281718</v>
          </cell>
          <cell r="H102">
            <v>1.2901764363326835</v>
          </cell>
        </row>
        <row r="103">
          <cell r="B103" t="str">
            <v>CHPWST</v>
          </cell>
          <cell r="C103" t="str">
            <v>VAR_fout</v>
          </cell>
          <cell r="D103" t="str">
            <v>LTH</v>
          </cell>
          <cell r="E103">
            <v>14.461262506045051</v>
          </cell>
          <cell r="F103">
            <v>13.051648122990354</v>
          </cell>
          <cell r="G103">
            <v>12.14799542740662</v>
          </cell>
          <cell r="H103">
            <v>12.779635147773988</v>
          </cell>
        </row>
        <row r="104">
          <cell r="B104" t="str">
            <v>CHPWST</v>
          </cell>
          <cell r="C104" t="str">
            <v>VAR_fout</v>
          </cell>
          <cell r="D104" t="str">
            <v>CO2_E</v>
          </cell>
          <cell r="E104">
            <v>2843.2560177389701</v>
          </cell>
          <cell r="F104">
            <v>2574.9226645630201</v>
          </cell>
          <cell r="G104">
            <v>2409.0548280831399</v>
          </cell>
          <cell r="H104">
            <v>2556.3786412352301</v>
          </cell>
        </row>
        <row r="105">
          <cell r="B105" t="str">
            <v>CHPWST</v>
          </cell>
          <cell r="C105" t="str">
            <v>VAR_fin</v>
          </cell>
          <cell r="D105" t="str">
            <v>EWST</v>
          </cell>
          <cell r="E105">
            <v>30.638534673911305</v>
          </cell>
          <cell r="F105">
            <v>27.747011471584202</v>
          </cell>
          <cell r="G105">
            <v>25.959642543999369</v>
          </cell>
          <cell r="H105">
            <v>27.547183634000319</v>
          </cell>
        </row>
        <row r="106">
          <cell r="B106" t="str">
            <v>CHPWST</v>
          </cell>
          <cell r="C106" t="str">
            <v>VAR_ncap</v>
          </cell>
          <cell r="D106" t="str">
            <v>-</v>
          </cell>
          <cell r="F106">
            <v>2.6400649049387E-8</v>
          </cell>
          <cell r="G106">
            <v>2.63322594213968E-8</v>
          </cell>
          <cell r="H106">
            <v>6.5415622175895802E-8</v>
          </cell>
        </row>
        <row r="107">
          <cell r="B107" t="str">
            <v>CHPWST</v>
          </cell>
          <cell r="C107" t="str">
            <v>VAR_cap</v>
          </cell>
          <cell r="D107" t="str">
            <v>-</v>
          </cell>
          <cell r="E107">
            <v>7.8399999999999997E-2</v>
          </cell>
          <cell r="F107">
            <v>7.1001051873236229E-2</v>
          </cell>
          <cell r="G107">
            <v>7.0489792349326133E-2</v>
          </cell>
          <cell r="H107">
            <v>7.0489665526808631E-2</v>
          </cell>
        </row>
        <row r="108">
          <cell r="B108" t="str">
            <v>RHES-CHPNGA</v>
          </cell>
          <cell r="C108" t="str">
            <v>VAR_fout</v>
          </cell>
          <cell r="D108" t="str">
            <v>CO2_R</v>
          </cell>
          <cell r="E108">
            <v>3.0595427637297998</v>
          </cell>
          <cell r="F108">
            <v>0.100408145082319</v>
          </cell>
          <cell r="G108">
            <v>0.37016360767736001</v>
          </cell>
        </row>
        <row r="109">
          <cell r="B109" t="str">
            <v>RHES-CHPNGA</v>
          </cell>
          <cell r="C109" t="str">
            <v>VAR_fout</v>
          </cell>
          <cell r="D109" t="str">
            <v>RHES_NKEV_GAS_ELC_CHP</v>
          </cell>
          <cell r="E109">
            <v>1.3144636281895751E-2</v>
          </cell>
          <cell r="F109">
            <v>4.7557076918277956E-4</v>
          </cell>
          <cell r="G109">
            <v>1.5902880960848922E-3</v>
          </cell>
        </row>
        <row r="110">
          <cell r="B110" t="str">
            <v>RHES-CHPNGA</v>
          </cell>
          <cell r="C110" t="str">
            <v>VAR_fout</v>
          </cell>
          <cell r="D110" t="str">
            <v>RHES_LTH_CHPNGA</v>
          </cell>
          <cell r="E110">
            <v>3.1644494752712055E-2</v>
          </cell>
          <cell r="F110">
            <v>1.1333178541794939E-3</v>
          </cell>
          <cell r="G110">
            <v>3.7317077810246073E-3</v>
          </cell>
        </row>
        <row r="111">
          <cell r="B111" t="str">
            <v>RHES-CHPNGA</v>
          </cell>
          <cell r="C111" t="str">
            <v>VAR_fin</v>
          </cell>
          <cell r="D111" t="str">
            <v>RNGA</v>
          </cell>
          <cell r="E111">
            <v>5.4247212122868912E-2</v>
          </cell>
          <cell r="F111">
            <v>1.7802862603247963E-3</v>
          </cell>
          <cell r="G111">
            <v>6.5631845332865448E-3</v>
          </cell>
        </row>
        <row r="112">
          <cell r="B112" t="str">
            <v>RHES-CHPNGA</v>
          </cell>
          <cell r="C112" t="str">
            <v>VAR_ncap</v>
          </cell>
          <cell r="D112" t="str">
            <v>-</v>
          </cell>
          <cell r="F112">
            <v>3.0855415609817999E-8</v>
          </cell>
          <cell r="G112">
            <v>2.1080040646845399E-8</v>
          </cell>
        </row>
        <row r="113">
          <cell r="B113" t="str">
            <v>RHES-CHPNGA</v>
          </cell>
          <cell r="C113" t="str">
            <v>VAR_cap</v>
          </cell>
          <cell r="D113" t="str">
            <v>-</v>
          </cell>
          <cell r="E113">
            <v>3.9198137348719379E-3</v>
          </cell>
          <cell r="F113">
            <v>1.4295184957083978E-4</v>
          </cell>
          <cell r="G113">
            <v>1.4148491782633586E-4</v>
          </cell>
          <cell r="H113">
            <v>1.3320384390437263E-4</v>
          </cell>
        </row>
        <row r="114">
          <cell r="B114" t="str">
            <v>RHEM-CHPWOD</v>
          </cell>
          <cell r="C114" t="str">
            <v>VAR_ncap</v>
          </cell>
          <cell r="D114" t="str">
            <v>-</v>
          </cell>
          <cell r="H114">
            <v>1.6126176311836801E-6</v>
          </cell>
        </row>
        <row r="115">
          <cell r="B115" t="str">
            <v>RHEM-CHPWOD</v>
          </cell>
          <cell r="C115" t="str">
            <v>VAR_cap</v>
          </cell>
          <cell r="D115" t="str">
            <v>-</v>
          </cell>
          <cell r="H115">
            <v>1.6126176311836801E-6</v>
          </cell>
        </row>
        <row r="116">
          <cell r="B116" t="str">
            <v>G-INTC-IMP00-FR</v>
          </cell>
          <cell r="C116" t="str">
            <v>VAR_fout</v>
          </cell>
          <cell r="D116" t="str">
            <v>ELC</v>
          </cell>
          <cell r="E116">
            <v>28.948622033497291</v>
          </cell>
          <cell r="F116">
            <v>17.237285963676449</v>
          </cell>
          <cell r="G116">
            <v>21.273359865652033</v>
          </cell>
          <cell r="H116">
            <v>14.83381277140796</v>
          </cell>
        </row>
        <row r="117">
          <cell r="B117" t="str">
            <v>G-INTC-IMP00-FR</v>
          </cell>
          <cell r="C117" t="str">
            <v>VAR_fin</v>
          </cell>
          <cell r="D117" t="str">
            <v>ELC_I-FR</v>
          </cell>
          <cell r="E117">
            <v>28.948622033497291</v>
          </cell>
          <cell r="F117">
            <v>17.237285963676449</v>
          </cell>
          <cell r="G117">
            <v>21.273359865652033</v>
          </cell>
          <cell r="H117">
            <v>14.83381277140796</v>
          </cell>
        </row>
        <row r="118">
          <cell r="B118" t="str">
            <v>G-INTC-IMP00-FR</v>
          </cell>
          <cell r="C118" t="str">
            <v>VAR_ncap</v>
          </cell>
          <cell r="D118" t="str">
            <v>-</v>
          </cell>
          <cell r="E118">
            <v>3.8929475737372402E-7</v>
          </cell>
          <cell r="F118">
            <v>3.3946249396219199E-7</v>
          </cell>
          <cell r="G118">
            <v>3.8057578291724699E-7</v>
          </cell>
          <cell r="H118">
            <v>3.4328868503417899E-7</v>
          </cell>
        </row>
        <row r="119">
          <cell r="B119" t="str">
            <v>G-INTC-IMP00-FR</v>
          </cell>
          <cell r="C119" t="str">
            <v>VAR_cap</v>
          </cell>
          <cell r="D119" t="str">
            <v>-</v>
          </cell>
          <cell r="E119">
            <v>1.6729946424313069</v>
          </cell>
          <cell r="F119">
            <v>1.6729860704439463</v>
          </cell>
          <cell r="G119">
            <v>1.6729857048672518</v>
          </cell>
          <cell r="H119">
            <v>1.6729858224170873</v>
          </cell>
        </row>
        <row r="120">
          <cell r="B120" t="str">
            <v>RHEM-CHPGFC</v>
          </cell>
          <cell r="C120" t="str">
            <v>VAR_ncap</v>
          </cell>
          <cell r="D120" t="str">
            <v>-</v>
          </cell>
          <cell r="H120">
            <v>1.3577499868229899E-6</v>
          </cell>
        </row>
        <row r="121">
          <cell r="B121" t="str">
            <v>RHEM-CHPGFC</v>
          </cell>
          <cell r="C121" t="str">
            <v>VAR_cap</v>
          </cell>
          <cell r="D121" t="str">
            <v>-</v>
          </cell>
          <cell r="H121">
            <v>1.3577499868229899E-6</v>
          </cell>
        </row>
        <row r="122">
          <cell r="B122" t="str">
            <v>EHYD-RUNS10</v>
          </cell>
          <cell r="C122" t="str">
            <v>VAR_fout</v>
          </cell>
          <cell r="D122" t="str">
            <v>ELC35</v>
          </cell>
          <cell r="F122">
            <v>6.3863060552385507E-4</v>
          </cell>
          <cell r="G122">
            <v>9.2945914991168983E-4</v>
          </cell>
          <cell r="H122">
            <v>9.2826103909557844E-4</v>
          </cell>
        </row>
        <row r="123">
          <cell r="B123" t="str">
            <v>EHYD-RUNS10</v>
          </cell>
          <cell r="C123" t="str">
            <v>VAR_fin</v>
          </cell>
          <cell r="D123" t="str">
            <v>HYDR</v>
          </cell>
          <cell r="F123">
            <v>6.3863060552385507E-4</v>
          </cell>
          <cell r="G123">
            <v>9.2945914991168983E-4</v>
          </cell>
          <cell r="H123">
            <v>9.2826103909557844E-4</v>
          </cell>
        </row>
        <row r="124">
          <cell r="B124" t="str">
            <v>EHYD-RUNS10</v>
          </cell>
          <cell r="C124" t="str">
            <v>VAR_ncap</v>
          </cell>
          <cell r="D124" t="str">
            <v>-</v>
          </cell>
          <cell r="F124">
            <v>5.7659516065359498E-5</v>
          </cell>
          <cell r="G124">
            <v>2.5540770425601898E-5</v>
          </cell>
          <cell r="H124">
            <v>3.1875424931155701E-7</v>
          </cell>
        </row>
        <row r="125">
          <cell r="B125" t="str">
            <v>EHYD-RUNS10</v>
          </cell>
          <cell r="C125" t="str">
            <v>VAR_cap</v>
          </cell>
          <cell r="D125" t="str">
            <v>-</v>
          </cell>
          <cell r="F125">
            <v>5.7659516065359498E-5</v>
          </cell>
          <cell r="G125">
            <v>8.3200286490961301E-5</v>
          </cell>
          <cell r="H125">
            <v>8.3519040740272902E-5</v>
          </cell>
        </row>
        <row r="126">
          <cell r="B126" t="str">
            <v>SUP_WSTBIO</v>
          </cell>
          <cell r="C126" t="str">
            <v>VAR_fout</v>
          </cell>
          <cell r="D126" t="str">
            <v>ELC35</v>
          </cell>
          <cell r="E126">
            <v>0.11258825959024969</v>
          </cell>
          <cell r="F126">
            <v>0.1247646776139875</v>
          </cell>
          <cell r="G126">
            <v>0.12058095882365599</v>
          </cell>
          <cell r="H126">
            <v>0.12437518544043411</v>
          </cell>
        </row>
        <row r="127">
          <cell r="B127" t="str">
            <v>SUP_WSTBIO</v>
          </cell>
          <cell r="C127" t="str">
            <v>VAR_fout</v>
          </cell>
          <cell r="D127" t="str">
            <v>BIO</v>
          </cell>
          <cell r="E127">
            <v>5.629412979512491</v>
          </cell>
          <cell r="F127">
            <v>6.2382338806993749</v>
          </cell>
          <cell r="G127">
            <v>6.029047941182804</v>
          </cell>
          <cell r="H127">
            <v>6.2187592720217086</v>
          </cell>
        </row>
        <row r="128">
          <cell r="B128" t="str">
            <v>SUP_WSTBIO</v>
          </cell>
          <cell r="C128" t="str">
            <v>VAR_fin</v>
          </cell>
          <cell r="D128" t="str">
            <v>CWST</v>
          </cell>
          <cell r="E128">
            <v>9.679373517344608</v>
          </cell>
          <cell r="F128">
            <v>10.726197569728241</v>
          </cell>
          <cell r="G128">
            <v>10.366517288582315</v>
          </cell>
          <cell r="H128">
            <v>10.692712371150463</v>
          </cell>
        </row>
        <row r="129">
          <cell r="B129" t="str">
            <v>SUP_WSTBIO</v>
          </cell>
          <cell r="C129" t="str">
            <v>VAR_ncap</v>
          </cell>
          <cell r="D129" t="str">
            <v>-</v>
          </cell>
          <cell r="E129">
            <v>4.0965783086815101E-3</v>
          </cell>
          <cell r="F129">
            <v>2.2999708816926201E-2</v>
          </cell>
          <cell r="G129">
            <v>1.5629909226362601E-7</v>
          </cell>
          <cell r="H129">
            <v>7.2849331956473196E-2</v>
          </cell>
        </row>
        <row r="130">
          <cell r="B130" t="str">
            <v>SUP_WSTBIO</v>
          </cell>
          <cell r="C130" t="str">
            <v>VAR_cap</v>
          </cell>
          <cell r="D130" t="str">
            <v>-</v>
          </cell>
          <cell r="E130">
            <v>0.21266698410449497</v>
          </cell>
          <cell r="F130">
            <v>0.23566663943184035</v>
          </cell>
          <cell r="G130">
            <v>0.23566563443243968</v>
          </cell>
          <cell r="H130">
            <v>0.23493092197010979</v>
          </cell>
        </row>
        <row r="131">
          <cell r="B131" t="str">
            <v>ITOT-CHPNGACCS</v>
          </cell>
          <cell r="C131" t="str">
            <v>VAR_fout</v>
          </cell>
          <cell r="D131" t="str">
            <v>CO2_I</v>
          </cell>
        </row>
        <row r="132">
          <cell r="B132" t="str">
            <v>ITOT-CHPNGACCS</v>
          </cell>
          <cell r="C132" t="str">
            <v>VAR_fin</v>
          </cell>
          <cell r="D132" t="str">
            <v>INGA</v>
          </cell>
        </row>
        <row r="133">
          <cell r="B133" t="str">
            <v>SCOM-ESOLPV</v>
          </cell>
          <cell r="C133" t="str">
            <v>VAR_fout</v>
          </cell>
          <cell r="D133" t="str">
            <v>SCOM_SOL_ELC</v>
          </cell>
          <cell r="E133">
            <v>2.8396236857719668</v>
          </cell>
          <cell r="F133">
            <v>3.2944550867381746</v>
          </cell>
          <cell r="G133">
            <v>9.966605559919822</v>
          </cell>
          <cell r="H133">
            <v>10.737733560188992</v>
          </cell>
        </row>
        <row r="134">
          <cell r="B134" t="str">
            <v>SCOM-ESOLPV</v>
          </cell>
          <cell r="C134" t="str">
            <v>VAR_fin</v>
          </cell>
          <cell r="D134" t="str">
            <v>SOL</v>
          </cell>
          <cell r="E134">
            <v>2.8396236857719668</v>
          </cell>
          <cell r="F134">
            <v>3.2944550867381746</v>
          </cell>
          <cell r="G134">
            <v>9.966605559919822</v>
          </cell>
          <cell r="H134">
            <v>10.737733560188992</v>
          </cell>
        </row>
        <row r="135">
          <cell r="B135" t="str">
            <v>SCOM-ESOLPV</v>
          </cell>
          <cell r="C135" t="str">
            <v>VAR_fin</v>
          </cell>
          <cell r="D135" t="str">
            <v>SOLPVC</v>
          </cell>
          <cell r="E135">
            <v>2.8396236857719699</v>
          </cell>
          <cell r="F135">
            <v>3.2944550867381701</v>
          </cell>
          <cell r="G135">
            <v>9.9666055599198202</v>
          </cell>
          <cell r="H135">
            <v>10.737733560189</v>
          </cell>
        </row>
        <row r="136">
          <cell r="B136" t="str">
            <v>SCOM-ESOLPV</v>
          </cell>
          <cell r="C136" t="str">
            <v>VAR_ncap</v>
          </cell>
          <cell r="D136" t="str">
            <v>-</v>
          </cell>
          <cell r="F136">
            <v>1.6709121408821401E-8</v>
          </cell>
          <cell r="G136">
            <v>2.0047163188085402</v>
          </cell>
          <cell r="H136">
            <v>5.6167260048787296E-7</v>
          </cell>
        </row>
        <row r="137">
          <cell r="B137" t="str">
            <v>SCOM-ESOLPV</v>
          </cell>
          <cell r="C137" t="str">
            <v>VAR_cap</v>
          </cell>
          <cell r="D137" t="str">
            <v>-</v>
          </cell>
          <cell r="E137">
            <v>0.90292899999999998</v>
          </cell>
          <cell r="F137">
            <v>1.1231012782771315</v>
          </cell>
          <cell r="G137">
            <v>3.1799453355176599</v>
          </cell>
          <cell r="H137">
            <v>3.0953760754309401</v>
          </cell>
        </row>
        <row r="138">
          <cell r="B138" t="str">
            <v>D-SCOM_LTH</v>
          </cell>
          <cell r="C138" t="str">
            <v>VAR_fout</v>
          </cell>
          <cell r="D138" t="str">
            <v>SCOM_LTH_DH</v>
          </cell>
          <cell r="E138">
            <v>5.610001351477635</v>
          </cell>
          <cell r="F138">
            <v>6.0767030600791268</v>
          </cell>
          <cell r="G138">
            <v>5.9892066213564963</v>
          </cell>
          <cell r="H138">
            <v>6.9909215167352032</v>
          </cell>
        </row>
        <row r="139">
          <cell r="B139" t="str">
            <v>D-SCOM_LTH</v>
          </cell>
          <cell r="C139" t="str">
            <v>VAR_fin</v>
          </cell>
          <cell r="D139" t="str">
            <v>LTH</v>
          </cell>
          <cell r="E139">
            <v>6.098777202926323</v>
          </cell>
          <cell r="F139">
            <v>6.6044044972610729</v>
          </cell>
          <cell r="G139">
            <v>6.5067447831878287</v>
          </cell>
          <cell r="H139">
            <v>7.5900347548836384</v>
          </cell>
        </row>
        <row r="140">
          <cell r="B140" t="str">
            <v>D-SCOM_LTH</v>
          </cell>
          <cell r="C140" t="str">
            <v>VAR_ncap</v>
          </cell>
          <cell r="D140" t="str">
            <v>-</v>
          </cell>
          <cell r="E140">
            <v>0.84970021883962599</v>
          </cell>
          <cell r="F140">
            <v>1.07578258904549E-8</v>
          </cell>
          <cell r="G140">
            <v>1.23506822674258E-8</v>
          </cell>
          <cell r="H140">
            <v>1.43214777192618E-8</v>
          </cell>
        </row>
        <row r="141">
          <cell r="B141" t="str">
            <v>D-SCOM_LTH</v>
          </cell>
          <cell r="C141" t="str">
            <v>VAR_cap</v>
          </cell>
          <cell r="D141" t="str">
            <v>-</v>
          </cell>
          <cell r="E141">
            <v>0.84970021883962599</v>
          </cell>
          <cell r="F141">
            <v>0.84970022959745195</v>
          </cell>
          <cell r="G141">
            <v>0.84970024194813398</v>
          </cell>
          <cell r="H141">
            <v>0.84970025626961199</v>
          </cell>
        </row>
        <row r="142">
          <cell r="B142" t="str">
            <v>EHYD-RUNS15</v>
          </cell>
          <cell r="C142" t="str">
            <v>VAR_fout</v>
          </cell>
          <cell r="D142" t="str">
            <v>ELC35</v>
          </cell>
          <cell r="F142">
            <v>2.0309991629410788E-4</v>
          </cell>
          <cell r="G142">
            <v>1.7196361801879553E-3</v>
          </cell>
          <cell r="H142">
            <v>1.7444429761836347E-3</v>
          </cell>
        </row>
        <row r="143">
          <cell r="B143" t="str">
            <v>EHYD-RUNS15</v>
          </cell>
          <cell r="C143" t="str">
            <v>VAR_fin</v>
          </cell>
          <cell r="D143" t="str">
            <v>HYDR</v>
          </cell>
          <cell r="F143">
            <v>2.0309991629410788E-4</v>
          </cell>
          <cell r="G143">
            <v>1.7196361801879553E-3</v>
          </cell>
          <cell r="H143">
            <v>1.7444429761836347E-3</v>
          </cell>
        </row>
        <row r="144">
          <cell r="B144" t="str">
            <v>EHYD-RUNS15</v>
          </cell>
          <cell r="C144" t="str">
            <v>VAR_ncap</v>
          </cell>
          <cell r="D144" t="str">
            <v>-</v>
          </cell>
          <cell r="F144">
            <v>1.7052201857517699E-5</v>
          </cell>
          <cell r="G144">
            <v>1.0059690978469501E-4</v>
          </cell>
          <cell r="H144">
            <v>4.4069921577750502E-7</v>
          </cell>
        </row>
        <row r="145">
          <cell r="B145" t="str">
            <v>EHYD-RUNS15</v>
          </cell>
          <cell r="C145" t="str">
            <v>VAR_cap</v>
          </cell>
          <cell r="D145" t="str">
            <v>-</v>
          </cell>
          <cell r="F145">
            <v>1.7052201857517699E-5</v>
          </cell>
          <cell r="G145">
            <v>1.17649111642213E-4</v>
          </cell>
          <cell r="H145">
            <v>1.1808981085799001E-4</v>
          </cell>
        </row>
        <row r="146">
          <cell r="B146" t="str">
            <v>EHYD-RUN10</v>
          </cell>
          <cell r="C146" t="str">
            <v>VAR_fout</v>
          </cell>
          <cell r="D146" t="str">
            <v>ELC13</v>
          </cell>
          <cell r="F146">
            <v>6.9140060598393252E-4</v>
          </cell>
          <cell r="G146">
            <v>1.1926207812643091E-2</v>
          </cell>
          <cell r="H146">
            <v>1.2007907889519939E-2</v>
          </cell>
        </row>
        <row r="147">
          <cell r="B147" t="str">
            <v>EHYD-RUN10</v>
          </cell>
          <cell r="C147" t="str">
            <v>VAR_fin</v>
          </cell>
          <cell r="D147" t="str">
            <v>HYDR</v>
          </cell>
          <cell r="F147">
            <v>6.9140060598393252E-4</v>
          </cell>
          <cell r="G147">
            <v>1.1926207812643091E-2</v>
          </cell>
          <cell r="H147">
            <v>1.2007907889519939E-2</v>
          </cell>
        </row>
        <row r="148">
          <cell r="B148" t="str">
            <v>EHYD-RUN10</v>
          </cell>
          <cell r="C148" t="str">
            <v>VAR_ncap</v>
          </cell>
          <cell r="D148" t="str">
            <v>-</v>
          </cell>
          <cell r="F148">
            <v>5.8938174569623599E-5</v>
          </cell>
          <cell r="G148">
            <v>9.8376387390098296E-4</v>
          </cell>
          <cell r="H148">
            <v>4.7496669405534602E-8</v>
          </cell>
        </row>
        <row r="149">
          <cell r="B149" t="str">
            <v>EHYD-RUN10</v>
          </cell>
          <cell r="C149" t="str">
            <v>VAR_cap</v>
          </cell>
          <cell r="D149" t="str">
            <v>-</v>
          </cell>
          <cell r="F149">
            <v>5.8938174569623599E-5</v>
          </cell>
          <cell r="G149">
            <v>1.0427020484706101E-3</v>
          </cell>
          <cell r="H149">
            <v>1.0427495451400101E-3</v>
          </cell>
        </row>
        <row r="150">
          <cell r="B150" t="str">
            <v>ITOT-CHPWOD</v>
          </cell>
          <cell r="C150" t="str">
            <v>VAR_fout</v>
          </cell>
          <cell r="D150" t="str">
            <v>ITOT_LTH_CHP</v>
          </cell>
          <cell r="E150">
            <v>0.65957904103620457</v>
          </cell>
          <cell r="F150">
            <v>1.5966313296763068</v>
          </cell>
          <cell r="G150">
            <v>3.7306152395417373</v>
          </cell>
          <cell r="H150">
            <v>3.393142652717386</v>
          </cell>
        </row>
        <row r="151">
          <cell r="B151" t="str">
            <v>ITOT-CHPWOD</v>
          </cell>
          <cell r="C151" t="str">
            <v>VAR_fout</v>
          </cell>
          <cell r="D151" t="str">
            <v>ITOT_KEV_WOD_ELC_CHP</v>
          </cell>
          <cell r="E151">
            <v>0.17246474365950104</v>
          </cell>
          <cell r="F151">
            <v>0.4584570069089392</v>
          </cell>
          <cell r="G151">
            <v>1.2561389768441567</v>
          </cell>
          <cell r="H151">
            <v>1.604031072193671</v>
          </cell>
        </row>
        <row r="152">
          <cell r="B152" t="str">
            <v>ITOT-CHPWOD</v>
          </cell>
          <cell r="C152" t="str">
            <v>VAR_fin</v>
          </cell>
          <cell r="D152" t="str">
            <v>IWOD</v>
          </cell>
          <cell r="E152">
            <v>0.87270138427743704</v>
          </cell>
          <cell r="F152">
            <v>2.0302149632354261</v>
          </cell>
          <cell r="G152">
            <v>4.6860382025657925</v>
          </cell>
          <cell r="H152">
            <v>4.7384954561536325</v>
          </cell>
        </row>
        <row r="153">
          <cell r="B153" t="str">
            <v>ITOT-CHPWOD</v>
          </cell>
          <cell r="C153" t="str">
            <v>VAR_ncap</v>
          </cell>
          <cell r="D153" t="str">
            <v>-</v>
          </cell>
          <cell r="F153">
            <v>1.5272198809611E-2</v>
          </cell>
          <cell r="G153">
            <v>2.9493875340350001E-2</v>
          </cell>
          <cell r="H153">
            <v>1.28633152077642E-2</v>
          </cell>
        </row>
        <row r="154">
          <cell r="B154" t="str">
            <v>ITOT-CHPWOD</v>
          </cell>
          <cell r="C154" t="str">
            <v>VAR_cap</v>
          </cell>
          <cell r="D154" t="str">
            <v>-</v>
          </cell>
          <cell r="E154">
            <v>6.4392195429600809E-3</v>
          </cell>
          <cell r="F154">
            <v>1.6951192319200208E-2</v>
          </cell>
          <cell r="G154">
            <v>4.6445000965936109E-2</v>
          </cell>
          <cell r="H154">
            <v>5.9308203443770142E-2</v>
          </cell>
        </row>
        <row r="155">
          <cell r="B155" t="str">
            <v>EHYD-RUN15</v>
          </cell>
          <cell r="C155" t="str">
            <v>VAR_fout</v>
          </cell>
          <cell r="D155" t="str">
            <v>ELC13</v>
          </cell>
          <cell r="F155">
            <v>2.871348613439046E-4</v>
          </cell>
          <cell r="G155">
            <v>2.9375126824924522E-4</v>
          </cell>
          <cell r="H155">
            <v>1.3640179827099682E-3</v>
          </cell>
        </row>
        <row r="156">
          <cell r="B156" t="str">
            <v>EHYD-RUN15</v>
          </cell>
          <cell r="C156" t="str">
            <v>VAR_fin</v>
          </cell>
          <cell r="D156" t="str">
            <v>HYDR</v>
          </cell>
          <cell r="F156">
            <v>2.871348613439046E-4</v>
          </cell>
          <cell r="G156">
            <v>2.9375126824924522E-4</v>
          </cell>
          <cell r="H156">
            <v>1.3640179827099682E-3</v>
          </cell>
        </row>
        <row r="157">
          <cell r="B157" t="str">
            <v>EHYD-RUN15</v>
          </cell>
          <cell r="C157" t="str">
            <v>VAR_ncap</v>
          </cell>
          <cell r="D157" t="str">
            <v>-</v>
          </cell>
          <cell r="F157">
            <v>2.4364274312848101E-5</v>
          </cell>
          <cell r="G157">
            <v>1.0728940648445099E-4</v>
          </cell>
          <cell r="H157">
            <v>8.3807448465708006E-8</v>
          </cell>
        </row>
        <row r="158">
          <cell r="B158" t="str">
            <v>EHYD-RUN15</v>
          </cell>
          <cell r="C158" t="str">
            <v>VAR_cap</v>
          </cell>
          <cell r="D158" t="str">
            <v>-</v>
          </cell>
          <cell r="F158">
            <v>2.4364274312848101E-5</v>
          </cell>
          <cell r="G158">
            <v>2.4364274312848101E-5</v>
          </cell>
          <cell r="H158">
            <v>9.9107341227362797E-5</v>
          </cell>
        </row>
        <row r="159">
          <cell r="B159" t="str">
            <v>SCOM-SWHSTG-CHPWOD</v>
          </cell>
          <cell r="C159" t="str">
            <v>VAR_fout</v>
          </cell>
          <cell r="D159" t="str">
            <v>AUX_SCOM-CHPWOD_OUT</v>
          </cell>
          <cell r="E159">
            <v>7.7059423628024772E-5</v>
          </cell>
          <cell r="F159">
            <v>5.860288335348892E-5</v>
          </cell>
          <cell r="G159">
            <v>5.9858659425336E-5</v>
          </cell>
          <cell r="H159">
            <v>3.103782340572317E-5</v>
          </cell>
        </row>
        <row r="160">
          <cell r="B160" t="str">
            <v>SCOM-SWHSTG-CHPWOD</v>
          </cell>
          <cell r="C160" t="str">
            <v>VAR_fout</v>
          </cell>
          <cell r="D160" t="str">
            <v>SCOM_LTH_CHPWOD</v>
          </cell>
          <cell r="E160">
            <v>7.7059423628024866E-5</v>
          </cell>
          <cell r="F160">
            <v>5.865078353911633E-5</v>
          </cell>
          <cell r="G160">
            <v>5.9935107266236761E-5</v>
          </cell>
          <cell r="H160">
            <v>3.1037823405723116E-5</v>
          </cell>
        </row>
        <row r="161">
          <cell r="B161" t="str">
            <v>SCOM-SWHSTG-CHPWOD</v>
          </cell>
          <cell r="C161" t="str">
            <v>VAR_fin</v>
          </cell>
          <cell r="D161" t="str">
            <v>AUX_SCOM-CHPWOD_IN</v>
          </cell>
          <cell r="E161">
            <v>7.7059423628024866E-5</v>
          </cell>
          <cell r="F161">
            <v>5.865078353911633E-5</v>
          </cell>
          <cell r="G161">
            <v>5.9935107266236761E-5</v>
          </cell>
          <cell r="H161">
            <v>3.1037823405723116E-5</v>
          </cell>
        </row>
        <row r="162">
          <cell r="B162" t="str">
            <v>SCOM-SWHSTG-CHPWOD</v>
          </cell>
          <cell r="C162" t="str">
            <v>VAR_fin</v>
          </cell>
          <cell r="D162" t="str">
            <v>SCOM_LTH_CHPWOD</v>
          </cell>
          <cell r="E162">
            <v>7.7059423628024866E-5</v>
          </cell>
          <cell r="F162">
            <v>5.865078353911633E-5</v>
          </cell>
          <cell r="G162">
            <v>5.9935107266236761E-5</v>
          </cell>
          <cell r="H162">
            <v>3.1037823405723116E-5</v>
          </cell>
        </row>
        <row r="163">
          <cell r="B163" t="str">
            <v>SCOM-SWHSTG-CHPWOD</v>
          </cell>
          <cell r="C163" t="str">
            <v>VAR_ncap</v>
          </cell>
          <cell r="D163" t="str">
            <v>-</v>
          </cell>
          <cell r="E163">
            <v>3.0678854403192899E-4</v>
          </cell>
          <cell r="F163">
            <v>6.6278989466764497E-6</v>
          </cell>
          <cell r="G163">
            <v>6.0630830732826502E-6</v>
          </cell>
          <cell r="H163">
            <v>4.4523412987782101E-6</v>
          </cell>
        </row>
        <row r="164">
          <cell r="B164" t="str">
            <v>SCOM-SWHSTG-CHPWOD</v>
          </cell>
          <cell r="C164" t="str">
            <v>VAR_cap</v>
          </cell>
          <cell r="D164" t="str">
            <v>-</v>
          </cell>
          <cell r="E164">
            <v>3.0678854403192899E-4</v>
          </cell>
          <cell r="F164">
            <v>3.1228893764665409E-4</v>
          </cell>
          <cell r="G164">
            <v>3.1507026034719435E-4</v>
          </cell>
          <cell r="H164">
            <v>3.1143674115511959E-4</v>
          </cell>
        </row>
        <row r="165">
          <cell r="B165" t="str">
            <v>RHNM-ESOLPV</v>
          </cell>
          <cell r="C165" t="str">
            <v>VAR_fout</v>
          </cell>
          <cell r="D165" t="str">
            <v>RHNM_SOL_ELC</v>
          </cell>
          <cell r="F165">
            <v>1.3314422493404562E-5</v>
          </cell>
          <cell r="G165">
            <v>1.7014391940706175</v>
          </cell>
          <cell r="H165">
            <v>1.8831626752346455</v>
          </cell>
        </row>
        <row r="166">
          <cell r="B166" t="str">
            <v>RHNM-ESOLPV</v>
          </cell>
          <cell r="C166" t="str">
            <v>VAR_fin</v>
          </cell>
          <cell r="D166" t="str">
            <v>SOL</v>
          </cell>
          <cell r="F166">
            <v>1.3314422493404562E-5</v>
          </cell>
          <cell r="G166">
            <v>1.7014391940706175</v>
          </cell>
          <cell r="H166">
            <v>1.8831626752346455</v>
          </cell>
        </row>
        <row r="167">
          <cell r="B167" t="str">
            <v>RHNM-ESOLPV</v>
          </cell>
          <cell r="C167" t="str">
            <v>VAR_fin</v>
          </cell>
          <cell r="D167" t="str">
            <v>SOLPVC</v>
          </cell>
          <cell r="F167">
            <v>1.3314422493404601E-5</v>
          </cell>
          <cell r="G167">
            <v>1.7014391940706199</v>
          </cell>
          <cell r="H167">
            <v>1.88316267523464</v>
          </cell>
        </row>
        <row r="168">
          <cell r="B168" t="str">
            <v>RHNM-ESOLPV</v>
          </cell>
          <cell r="C168" t="str">
            <v>VAR_ncap</v>
          </cell>
          <cell r="D168" t="str">
            <v>-</v>
          </cell>
          <cell r="F168">
            <v>4.5705442473713297E-6</v>
          </cell>
          <cell r="G168">
            <v>0.54285696875922096</v>
          </cell>
          <cell r="H168">
            <v>1.3565898967167301E-7</v>
          </cell>
        </row>
        <row r="169">
          <cell r="B169" t="str">
            <v>RHNM-ESOLPV</v>
          </cell>
          <cell r="C169" t="str">
            <v>VAR_cap</v>
          </cell>
          <cell r="D169" t="str">
            <v>-</v>
          </cell>
          <cell r="F169">
            <v>4.5705442473713297E-6</v>
          </cell>
          <cell r="G169">
            <v>0.54286153930346903</v>
          </cell>
          <cell r="H169">
            <v>0.54286167496245796</v>
          </cell>
        </row>
        <row r="170">
          <cell r="B170" t="str">
            <v>CHPNGA</v>
          </cell>
          <cell r="C170" t="str">
            <v>VAR_fout</v>
          </cell>
          <cell r="D170" t="str">
            <v>ELC35</v>
          </cell>
          <cell r="E170">
            <v>0.96588145389344926</v>
          </cell>
          <cell r="F170">
            <v>1.709298336433726E-4</v>
          </cell>
          <cell r="G170">
            <v>7.4197658419084378E-2</v>
          </cell>
          <cell r="H170">
            <v>8.2432140627669778E-3</v>
          </cell>
        </row>
        <row r="171">
          <cell r="B171" t="str">
            <v>CHPNGA</v>
          </cell>
          <cell r="C171" t="str">
            <v>VAR_fout</v>
          </cell>
          <cell r="D171" t="str">
            <v>LTH</v>
          </cell>
          <cell r="E171">
            <v>1.8035525350352892</v>
          </cell>
          <cell r="F171">
            <v>3.2845107055776769E-4</v>
          </cell>
          <cell r="G171">
            <v>0.1486176336031976</v>
          </cell>
          <cell r="H171">
            <v>1.7630024029392188E-2</v>
          </cell>
        </row>
        <row r="172">
          <cell r="B172" t="str">
            <v>CHPNGA</v>
          </cell>
          <cell r="C172" t="str">
            <v>VAR_fout</v>
          </cell>
          <cell r="D172" t="str">
            <v>CO2_E</v>
          </cell>
          <cell r="E172">
            <v>206.98172691568101</v>
          </cell>
          <cell r="F172">
            <v>4.3692024515143597E-2</v>
          </cell>
          <cell r="G172">
            <v>16.433757439693299</v>
          </cell>
          <cell r="H172">
            <v>1.8905983683065899</v>
          </cell>
        </row>
        <row r="173">
          <cell r="B173" t="str">
            <v>CHPNGA</v>
          </cell>
          <cell r="C173" t="str">
            <v>VAR_fin</v>
          </cell>
          <cell r="D173" t="str">
            <v>ENGA</v>
          </cell>
          <cell r="E173">
            <v>3.6698887751007416</v>
          </cell>
          <cell r="F173">
            <v>7.7468128572949534E-4</v>
          </cell>
          <cell r="G173">
            <v>0.29137867800874645</v>
          </cell>
          <cell r="H173">
            <v>3.3521247665010384E-2</v>
          </cell>
        </row>
        <row r="174">
          <cell r="B174" t="str">
            <v>CHPNGA</v>
          </cell>
          <cell r="C174" t="str">
            <v>VAR_ncap</v>
          </cell>
          <cell r="D174" t="str">
            <v>-</v>
          </cell>
          <cell r="F174">
            <v>9.6381445964454604E-8</v>
          </cell>
          <cell r="G174">
            <v>2.7115324089321199E-3</v>
          </cell>
          <cell r="H174">
            <v>5.5185581081762498E-7</v>
          </cell>
        </row>
        <row r="175">
          <cell r="B175" t="str">
            <v>CHPNGA</v>
          </cell>
          <cell r="C175" t="str">
            <v>VAR_cap</v>
          </cell>
          <cell r="D175" t="str">
            <v>-</v>
          </cell>
          <cell r="E175">
            <v>4.7423957056209498E-2</v>
          </cell>
          <cell r="F175">
            <v>5.8279444817566084E-5</v>
          </cell>
          <cell r="G175">
            <v>2.7698857114982767E-3</v>
          </cell>
          <cell r="H175">
            <v>2.7155260560995029E-3</v>
          </cell>
        </row>
        <row r="176">
          <cell r="B176" t="str">
            <v>EHYD-PUM00</v>
          </cell>
          <cell r="C176" t="str">
            <v>VAR_fout</v>
          </cell>
          <cell r="D176" t="str">
            <v>ELC</v>
          </cell>
          <cell r="E176">
            <v>12.841920623724477</v>
          </cell>
          <cell r="F176">
            <v>16.03296266787974</v>
          </cell>
          <cell r="G176">
            <v>2.380323630327839</v>
          </cell>
          <cell r="H176">
            <v>12.618545576707024</v>
          </cell>
        </row>
        <row r="177">
          <cell r="B177" t="str">
            <v>EHYD-PUM00</v>
          </cell>
          <cell r="C177" t="str">
            <v>VAR_fout</v>
          </cell>
          <cell r="D177" t="str">
            <v>AUX_PUMP_OUT</v>
          </cell>
          <cell r="E177">
            <v>12.841920623724477</v>
          </cell>
          <cell r="F177">
            <v>16.03296266787974</v>
          </cell>
          <cell r="G177">
            <v>2.380323630327839</v>
          </cell>
          <cell r="H177">
            <v>12.618545576707024</v>
          </cell>
        </row>
        <row r="178">
          <cell r="B178" t="str">
            <v>EHYD-PUM00</v>
          </cell>
          <cell r="C178" t="str">
            <v>VAR_fin</v>
          </cell>
          <cell r="D178" t="str">
            <v>AUX_PUMP_IN</v>
          </cell>
          <cell r="E178">
            <v>16.052401440315233</v>
          </cell>
          <cell r="F178">
            <v>20.041203937459045</v>
          </cell>
          <cell r="G178">
            <v>2.9754045379112393</v>
          </cell>
          <cell r="H178">
            <v>15.773181863966974</v>
          </cell>
        </row>
        <row r="179">
          <cell r="B179" t="str">
            <v>EHYD-PUM00</v>
          </cell>
          <cell r="C179" t="str">
            <v>VAR_fin</v>
          </cell>
          <cell r="D179" t="str">
            <v>ELC</v>
          </cell>
          <cell r="E179">
            <v>16.052401440315233</v>
          </cell>
          <cell r="F179">
            <v>20.041203937459045</v>
          </cell>
          <cell r="G179">
            <v>2.9754045379112393</v>
          </cell>
          <cell r="H179">
            <v>15.773181863966974</v>
          </cell>
        </row>
        <row r="180">
          <cell r="B180" t="str">
            <v>EHYD-PUM00</v>
          </cell>
          <cell r="C180" t="str">
            <v>VAR_cap</v>
          </cell>
          <cell r="D180" t="str">
            <v>-</v>
          </cell>
          <cell r="E180">
            <v>3.3394499999999998</v>
          </cell>
          <cell r="F180">
            <v>3.97102894612105</v>
          </cell>
          <cell r="G180">
            <v>4.3594499999999998</v>
          </cell>
          <cell r="H180">
            <v>4.3594499999999998</v>
          </cell>
        </row>
        <row r="181">
          <cell r="B181" t="str">
            <v>RHNS-SHSTG-CHPNGA</v>
          </cell>
          <cell r="C181" t="str">
            <v>VAR_fout</v>
          </cell>
          <cell r="D181" t="str">
            <v>RHNS_LTH_CHPNGA</v>
          </cell>
          <cell r="E181">
            <v>1.1799519456541258E-4</v>
          </cell>
          <cell r="F181">
            <v>5.4058264159595514E-5</v>
          </cell>
          <cell r="G181">
            <v>6.2262097532569873E-4</v>
          </cell>
          <cell r="H181">
            <v>5.5751816656440133E-5</v>
          </cell>
        </row>
        <row r="182">
          <cell r="B182" t="str">
            <v>RHNS-SHSTG-CHPNGA</v>
          </cell>
          <cell r="C182" t="str">
            <v>VAR_fout</v>
          </cell>
          <cell r="D182" t="str">
            <v>AUX_RNS-CHPNGA_OUT</v>
          </cell>
          <cell r="E182">
            <v>1.1799519456541277E-4</v>
          </cell>
          <cell r="F182">
            <v>5.4022249326711138E-5</v>
          </cell>
          <cell r="G182">
            <v>6.2197308669372712E-4</v>
          </cell>
          <cell r="H182">
            <v>5.5751816656440133E-5</v>
          </cell>
        </row>
        <row r="183">
          <cell r="B183" t="str">
            <v>RHNS-SHSTG-CHPNGA</v>
          </cell>
          <cell r="C183" t="str">
            <v>VAR_fin</v>
          </cell>
          <cell r="D183" t="str">
            <v>RHNS_LTH_CHPNGA</v>
          </cell>
          <cell r="E183">
            <v>9.3903532154721912E-5</v>
          </cell>
          <cell r="F183">
            <v>7.0004107780826855E-5</v>
          </cell>
          <cell r="G183">
            <v>8.0189541785080545E-4</v>
          </cell>
          <cell r="H183">
            <v>4.2958833550314693E-5</v>
          </cell>
        </row>
        <row r="184">
          <cell r="B184" t="str">
            <v>RHNS-SHSTG-CHPNGA</v>
          </cell>
          <cell r="C184" t="str">
            <v>VAR_fin</v>
          </cell>
          <cell r="D184" t="str">
            <v>AUX_RNS-CHPNGA_IN</v>
          </cell>
          <cell r="E184">
            <v>9.3903532154721912E-5</v>
          </cell>
          <cell r="F184">
            <v>7.0004107780826855E-5</v>
          </cell>
          <cell r="G184">
            <v>8.0189541785080545E-4</v>
          </cell>
          <cell r="H184">
            <v>4.2958833550314693E-5</v>
          </cell>
        </row>
        <row r="185">
          <cell r="B185" t="str">
            <v>RHNS-SHSTG-CHPNGA</v>
          </cell>
          <cell r="C185" t="str">
            <v>VAR_ncap</v>
          </cell>
          <cell r="D185" t="str">
            <v>-</v>
          </cell>
          <cell r="E185">
            <v>4.9947247083001998E-4</v>
          </cell>
          <cell r="F185">
            <v>1.36567173843662E-5</v>
          </cell>
          <cell r="G185">
            <v>7.7824202299579593E-6</v>
          </cell>
          <cell r="H185">
            <v>3.8383394179835402E-6</v>
          </cell>
        </row>
        <row r="186">
          <cell r="B186" t="str">
            <v>RHNS-SHSTG-CHPNGA</v>
          </cell>
          <cell r="C186" t="str">
            <v>VAR_cap</v>
          </cell>
          <cell r="D186" t="str">
            <v>-</v>
          </cell>
          <cell r="E186">
            <v>4.9947247083001998E-4</v>
          </cell>
          <cell r="F186">
            <v>5.1228376382615487E-4</v>
          </cell>
          <cell r="G186">
            <v>5.171154680468843E-4</v>
          </cell>
          <cell r="H186">
            <v>5.0222112339144752E-4</v>
          </cell>
        </row>
        <row r="187">
          <cell r="B187" t="str">
            <v>ITOT-CHPGFC</v>
          </cell>
          <cell r="C187" t="str">
            <v>VAR_fout</v>
          </cell>
          <cell r="D187" t="str">
            <v>ITOT_NKEV_GAS_ELC_CHP</v>
          </cell>
          <cell r="H187">
            <v>3.1198220526869157E-4</v>
          </cell>
        </row>
        <row r="188">
          <cell r="B188" t="str">
            <v>ITOT-CHPGFC</v>
          </cell>
          <cell r="C188" t="str">
            <v>VAR_fout</v>
          </cell>
          <cell r="D188" t="str">
            <v>ITOT_LTH_CHP</v>
          </cell>
          <cell r="H188">
            <v>1.5599110263434578E-4</v>
          </cell>
        </row>
        <row r="189">
          <cell r="B189" t="str">
            <v>ITOT-CHPGFC</v>
          </cell>
          <cell r="C189" t="str">
            <v>VAR_fout</v>
          </cell>
          <cell r="D189" t="str">
            <v>CO2_I</v>
          </cell>
          <cell r="H189">
            <v>3.3838069956065801E-2</v>
          </cell>
        </row>
        <row r="190">
          <cell r="B190" t="str">
            <v>ITOT-CHPGFC</v>
          </cell>
          <cell r="C190" t="str">
            <v>VAR_fin</v>
          </cell>
          <cell r="D190" t="str">
            <v>INGA</v>
          </cell>
          <cell r="H190">
            <v>5.9996577936286791E-4</v>
          </cell>
        </row>
        <row r="191">
          <cell r="B191" t="str">
            <v>ITOT-CHPGFC</v>
          </cell>
          <cell r="C191" t="str">
            <v>VAR_ncap</v>
          </cell>
          <cell r="D191" t="str">
            <v>-</v>
          </cell>
          <cell r="H191">
            <v>3.1801650507618999E-5</v>
          </cell>
        </row>
        <row r="192">
          <cell r="B192" t="str">
            <v>ITOT-CHPGFC</v>
          </cell>
          <cell r="C192" t="str">
            <v>VAR_cap</v>
          </cell>
          <cell r="D192" t="str">
            <v>-</v>
          </cell>
          <cell r="H192">
            <v>3.1801650507618999E-5</v>
          </cell>
        </row>
        <row r="193">
          <cell r="B193" t="str">
            <v>ITOT-SWSTG-CHP</v>
          </cell>
          <cell r="C193" t="str">
            <v>VAR_fout</v>
          </cell>
          <cell r="D193" t="str">
            <v>ITOT_LTH_CHP</v>
          </cell>
          <cell r="E193">
            <v>1.7620195751996055E-4</v>
          </cell>
          <cell r="F193">
            <v>1.6228476594975464E-4</v>
          </cell>
          <cell r="G193">
            <v>2.8051910069384487E-2</v>
          </cell>
          <cell r="H193">
            <v>5.2268777801441832E-3</v>
          </cell>
        </row>
        <row r="194">
          <cell r="B194" t="str">
            <v>ITOT-SWSTG-CHP</v>
          </cell>
          <cell r="C194" t="str">
            <v>VAR_fout</v>
          </cell>
          <cell r="D194" t="str">
            <v>AUX_ITOT-CHP_OUT</v>
          </cell>
          <cell r="E194">
            <v>1.7620195751996023E-4</v>
          </cell>
          <cell r="F194">
            <v>1.6215222773040885E-4</v>
          </cell>
          <cell r="G194">
            <v>2.8016129571847001E-2</v>
          </cell>
          <cell r="H194">
            <v>5.2268777801441936E-3</v>
          </cell>
        </row>
        <row r="195">
          <cell r="B195" t="str">
            <v>ITOT-SWSTG-CHP</v>
          </cell>
          <cell r="C195" t="str">
            <v>VAR_fin</v>
          </cell>
          <cell r="D195" t="str">
            <v>ITOT_LTH_CHP</v>
          </cell>
          <cell r="E195">
            <v>2.0564139452640596E-4</v>
          </cell>
          <cell r="F195">
            <v>1.98169965477784E-4</v>
          </cell>
          <cell r="G195">
            <v>3.3399697085995106E-2</v>
          </cell>
          <cell r="H195">
            <v>6.0095579983505528E-3</v>
          </cell>
        </row>
        <row r="196">
          <cell r="B196" t="str">
            <v>ITOT-SWSTG-CHP</v>
          </cell>
          <cell r="C196" t="str">
            <v>VAR_fin</v>
          </cell>
          <cell r="D196" t="str">
            <v>AUX_ITOT-CHP_IN</v>
          </cell>
          <cell r="E196">
            <v>2.0564139452640596E-4</v>
          </cell>
          <cell r="F196">
            <v>1.98169965477784E-4</v>
          </cell>
          <cell r="G196">
            <v>3.3399697085995106E-2</v>
          </cell>
          <cell r="H196">
            <v>6.0095579983505528E-3</v>
          </cell>
        </row>
        <row r="197">
          <cell r="B197" t="str">
            <v>ITOT-SWSTG-CHP</v>
          </cell>
          <cell r="C197" t="str">
            <v>VAR_ncap</v>
          </cell>
          <cell r="D197" t="str">
            <v>-</v>
          </cell>
          <cell r="E197">
            <v>9.2381114830145301E-4</v>
          </cell>
          <cell r="F197">
            <v>1.0871737572650499E-5</v>
          </cell>
          <cell r="G197">
            <v>1.5295120203E-3</v>
          </cell>
          <cell r="H197">
            <v>5.4138841612233198E-6</v>
          </cell>
        </row>
        <row r="198">
          <cell r="B198" t="str">
            <v>ITOT-SWSTG-CHP</v>
          </cell>
          <cell r="C198" t="str">
            <v>VAR_cap</v>
          </cell>
          <cell r="D198" t="str">
            <v>-</v>
          </cell>
          <cell r="E198">
            <v>9.3412616810327107E-4</v>
          </cell>
          <cell r="F198">
            <v>9.4330108529913593E-4</v>
          </cell>
          <cell r="G198">
            <v>2.4703004074802816E-3</v>
          </cell>
          <cell r="H198">
            <v>2.461210472716665E-3</v>
          </cell>
        </row>
        <row r="199">
          <cell r="B199" t="str">
            <v>D-ELFO</v>
          </cell>
          <cell r="C199" t="str">
            <v>VAR_fout</v>
          </cell>
          <cell r="D199" t="str">
            <v>CO2</v>
          </cell>
          <cell r="E199">
            <v>26.137860936233199</v>
          </cell>
          <cell r="F199">
            <v>16.439531108332002</v>
          </cell>
          <cell r="G199">
            <v>1.3095689327032201</v>
          </cell>
          <cell r="H199">
            <v>0.175338660227215</v>
          </cell>
        </row>
        <row r="200">
          <cell r="B200" t="str">
            <v>D-ELFO</v>
          </cell>
          <cell r="C200" t="str">
            <v>VAR_fout</v>
          </cell>
          <cell r="D200" t="str">
            <v>ELFO</v>
          </cell>
          <cell r="E200">
            <v>0.3487290121798497</v>
          </cell>
          <cell r="F200">
            <v>0.21933475956945367</v>
          </cell>
          <cell r="G200">
            <v>1.747215204018249E-2</v>
          </cell>
          <cell r="H200">
            <v>2.3393527851092318E-3</v>
          </cell>
        </row>
        <row r="201">
          <cell r="B201" t="str">
            <v>D-ELFO</v>
          </cell>
          <cell r="C201" t="str">
            <v>VAR_fin</v>
          </cell>
          <cell r="D201" t="str">
            <v>LFO</v>
          </cell>
          <cell r="E201">
            <v>0.35465211582406025</v>
          </cell>
          <cell r="F201">
            <v>0.22306012358659447</v>
          </cell>
          <cell r="G201">
            <v>1.7768913605199707E-2</v>
          </cell>
          <cell r="H201">
            <v>2.379086298876731E-3</v>
          </cell>
        </row>
        <row r="202">
          <cell r="B202" t="str">
            <v>EHYD-DAM00</v>
          </cell>
          <cell r="C202" t="str">
            <v>VAR_fout</v>
          </cell>
          <cell r="D202" t="str">
            <v>ELC</v>
          </cell>
          <cell r="E202">
            <v>66.745679999995161</v>
          </cell>
          <cell r="F202">
            <v>49.793289548413604</v>
          </cell>
          <cell r="G202">
            <v>69.062284823449332</v>
          </cell>
          <cell r="H202">
            <v>69.66828161323221</v>
          </cell>
        </row>
        <row r="203">
          <cell r="B203" t="str">
            <v>EHYD-DAM00</v>
          </cell>
          <cell r="C203" t="str">
            <v>VAR_fin</v>
          </cell>
          <cell r="D203" t="str">
            <v>HYDD</v>
          </cell>
          <cell r="E203">
            <v>66.745679999995161</v>
          </cell>
          <cell r="F203">
            <v>49.793289548413604</v>
          </cell>
          <cell r="G203">
            <v>69.062284823449332</v>
          </cell>
          <cell r="H203">
            <v>69.66828161323221</v>
          </cell>
        </row>
        <row r="204">
          <cell r="B204" t="str">
            <v>EHYD-DAM00</v>
          </cell>
          <cell r="C204" t="str">
            <v>VAR_cap</v>
          </cell>
          <cell r="D204" t="str">
            <v>-</v>
          </cell>
          <cell r="E204">
            <v>7.3394300010600002</v>
          </cell>
          <cell r="F204">
            <v>7.3394300010600002</v>
          </cell>
          <cell r="G204">
            <v>7.3394300010600002</v>
          </cell>
          <cell r="H204">
            <v>7.3394300010600002</v>
          </cell>
        </row>
        <row r="205">
          <cell r="B205" t="str">
            <v>RHES-SHSTG-CHPWOD</v>
          </cell>
          <cell r="C205" t="str">
            <v>VAR_fout</v>
          </cell>
          <cell r="D205" t="str">
            <v>AUX_RES-CHPWOD_OUT</v>
          </cell>
          <cell r="E205">
            <v>1.1799303866129421E-4</v>
          </cell>
          <cell r="F205">
            <v>6.1370201679629747E-5</v>
          </cell>
          <cell r="G205">
            <v>2.8743736053415435E-5</v>
          </cell>
          <cell r="H205">
            <v>5.5750974433932015E-5</v>
          </cell>
        </row>
        <row r="206">
          <cell r="B206" t="str">
            <v>RHES-SHSTG-CHPWOD</v>
          </cell>
          <cell r="C206" t="str">
            <v>VAR_fout</v>
          </cell>
          <cell r="D206" t="str">
            <v>RHES_LTH_CHPWOD</v>
          </cell>
          <cell r="E206">
            <v>1.1799303866129385E-4</v>
          </cell>
          <cell r="F206">
            <v>6.1411115147416069E-5</v>
          </cell>
          <cell r="G206">
            <v>2.8773677445137697E-5</v>
          </cell>
          <cell r="H206">
            <v>5.5750974433932015E-5</v>
          </cell>
        </row>
        <row r="207">
          <cell r="B207" t="str">
            <v>RHES-SHSTG-CHPWOD</v>
          </cell>
          <cell r="C207" t="str">
            <v>VAR_fin</v>
          </cell>
          <cell r="D207" t="str">
            <v>AUX_RES-CHPWOD_IN</v>
          </cell>
          <cell r="E207">
            <v>9.3900657615845763E-5</v>
          </cell>
          <cell r="F207">
            <v>3.9545900552209913E-5</v>
          </cell>
          <cell r="G207">
            <v>2.3066101969068645E-5</v>
          </cell>
          <cell r="H207">
            <v>4.2957780772146374E-5</v>
          </cell>
        </row>
        <row r="208">
          <cell r="B208" t="str">
            <v>RHES-SHSTG-CHPWOD</v>
          </cell>
          <cell r="C208" t="str">
            <v>VAR_fin</v>
          </cell>
          <cell r="D208" t="str">
            <v>RHES_LTH_CHPWOD</v>
          </cell>
          <cell r="E208">
            <v>9.3900657615845763E-5</v>
          </cell>
          <cell r="F208">
            <v>3.9545900552209913E-5</v>
          </cell>
          <cell r="G208">
            <v>2.3066101969068645E-5</v>
          </cell>
          <cell r="H208">
            <v>4.2957780772146374E-5</v>
          </cell>
        </row>
        <row r="209">
          <cell r="B209" t="str">
            <v>RHES-SHSTG-CHPWOD</v>
          </cell>
          <cell r="C209" t="str">
            <v>VAR_ncap</v>
          </cell>
          <cell r="D209" t="str">
            <v>-</v>
          </cell>
          <cell r="E209">
            <v>3.47630364933572E-4</v>
          </cell>
          <cell r="F209">
            <v>7.7811922613381202E-6</v>
          </cell>
          <cell r="G209">
            <v>7.6676167602887805E-6</v>
          </cell>
          <cell r="H209">
            <v>5.06431369036184E-6</v>
          </cell>
        </row>
        <row r="210">
          <cell r="B210" t="str">
            <v>RHES-SHSTG-CHPWOD</v>
          </cell>
          <cell r="C210" t="str">
            <v>VAR_cap</v>
          </cell>
          <cell r="D210" t="str">
            <v>-</v>
          </cell>
          <cell r="E210">
            <v>3.47630364933572E-4</v>
          </cell>
          <cell r="F210">
            <v>3.5433260237613314E-4</v>
          </cell>
          <cell r="G210">
            <v>3.5875059939528164E-4</v>
          </cell>
          <cell r="H210">
            <v>3.562510653703397E-4</v>
          </cell>
        </row>
        <row r="211">
          <cell r="B211" t="str">
            <v>ESOL-PV_A</v>
          </cell>
          <cell r="C211" t="str">
            <v>VAR_fout</v>
          </cell>
          <cell r="D211" t="str">
            <v>ELC35</v>
          </cell>
          <cell r="H211">
            <v>0.34128036963513902</v>
          </cell>
        </row>
        <row r="212">
          <cell r="B212" t="str">
            <v>ESOL-PV_A</v>
          </cell>
          <cell r="C212" t="str">
            <v>VAR_fin</v>
          </cell>
          <cell r="D212" t="str">
            <v>SOL</v>
          </cell>
          <cell r="H212">
            <v>0.34128036963513902</v>
          </cell>
        </row>
        <row r="213">
          <cell r="B213" t="str">
            <v>ESOL-PV_A</v>
          </cell>
          <cell r="C213" t="str">
            <v>VAR_fin</v>
          </cell>
          <cell r="D213" t="str">
            <v>SOLPVC</v>
          </cell>
          <cell r="H213">
            <v>0.34128036963513902</v>
          </cell>
        </row>
        <row r="214">
          <cell r="B214" t="str">
            <v>ESOL-PV_A</v>
          </cell>
          <cell r="C214" t="str">
            <v>VAR_ncap</v>
          </cell>
          <cell r="D214" t="str">
            <v>-</v>
          </cell>
          <cell r="G214">
            <v>7.5740780559487603E-2</v>
          </cell>
          <cell r="H214">
            <v>6.6973222037978099E-7</v>
          </cell>
        </row>
        <row r="215">
          <cell r="B215" t="str">
            <v>ESOL-PV_A</v>
          </cell>
          <cell r="C215" t="str">
            <v>VAR_cap</v>
          </cell>
          <cell r="D215" t="str">
            <v>-</v>
          </cell>
          <cell r="H215">
            <v>5.2749051384562602E-2</v>
          </cell>
        </row>
        <row r="216">
          <cell r="B216" t="str">
            <v>G-INTC-IND</v>
          </cell>
          <cell r="C216" t="str">
            <v>VAR_fout</v>
          </cell>
          <cell r="D216" t="str">
            <v>ELC35</v>
          </cell>
          <cell r="E216">
            <v>1.4884804063529751E-3</v>
          </cell>
          <cell r="F216">
            <v>5.2969389060648713E-4</v>
          </cell>
          <cell r="G216">
            <v>5.8006133084598514E-4</v>
          </cell>
          <cell r="H216">
            <v>2.4147433993626074E-4</v>
          </cell>
        </row>
        <row r="217">
          <cell r="B217" t="str">
            <v>G-INTC-IND</v>
          </cell>
          <cell r="C217" t="str">
            <v>VAR_fout</v>
          </cell>
          <cell r="D217" t="str">
            <v>ITOT_ELC</v>
          </cell>
          <cell r="E217">
            <v>55.816506089274512</v>
          </cell>
          <cell r="F217">
            <v>56.522737646750905</v>
          </cell>
          <cell r="G217">
            <v>52.721401876948718</v>
          </cell>
          <cell r="H217">
            <v>48.330434695285426</v>
          </cell>
        </row>
        <row r="218">
          <cell r="B218" t="str">
            <v>G-INTC-IND</v>
          </cell>
          <cell r="C218" t="str">
            <v>VAR_fout</v>
          </cell>
          <cell r="D218" t="str">
            <v>ELC13</v>
          </cell>
          <cell r="E218">
            <v>1.4327856059504734E-3</v>
          </cell>
          <cell r="F218">
            <v>3.7540891290442418E-4</v>
          </cell>
          <cell r="G218">
            <v>4.0973465558522774E-4</v>
          </cell>
          <cell r="H218">
            <v>1.8177470176924653E-4</v>
          </cell>
        </row>
        <row r="219">
          <cell r="B219" t="str">
            <v>G-INTC-IND</v>
          </cell>
          <cell r="C219" t="str">
            <v>VAR_fin</v>
          </cell>
          <cell r="D219" t="str">
            <v>ELC3</v>
          </cell>
          <cell r="E219">
            <v>25.749846674564402</v>
          </cell>
          <cell r="F219">
            <v>56.522411337738397</v>
          </cell>
          <cell r="G219">
            <v>52.721072372132326</v>
          </cell>
          <cell r="H219">
            <v>22.143160059862151</v>
          </cell>
        </row>
        <row r="220">
          <cell r="B220" t="str">
            <v>G-INTC-IND</v>
          </cell>
          <cell r="C220" t="str">
            <v>VAR_fin</v>
          </cell>
          <cell r="D220" t="str">
            <v>ELC5</v>
          </cell>
          <cell r="E220">
            <v>30.069563072863843</v>
          </cell>
          <cell r="F220">
            <v>1.2220786466218346E-3</v>
          </cell>
          <cell r="G220">
            <v>1.3078584507215606E-3</v>
          </cell>
          <cell r="H220">
            <v>26.18769265835013</v>
          </cell>
        </row>
        <row r="221">
          <cell r="B221" t="str">
            <v>G-INTC-IND</v>
          </cell>
          <cell r="C221" t="str">
            <v>VAR_ncap</v>
          </cell>
          <cell r="D221" t="str">
            <v>-</v>
          </cell>
          <cell r="E221">
            <v>1.09269234584254E-7</v>
          </cell>
          <cell r="F221">
            <v>9.8857460795931103E-8</v>
          </cell>
          <cell r="G221">
            <v>1.01126171826308E-7</v>
          </cell>
          <cell r="H221">
            <v>1.2240620785812201E-7</v>
          </cell>
        </row>
        <row r="222">
          <cell r="B222" t="str">
            <v>G-INTC-IND</v>
          </cell>
          <cell r="C222" t="str">
            <v>VAR_cap</v>
          </cell>
          <cell r="D222" t="str">
            <v>-</v>
          </cell>
          <cell r="E222">
            <v>4.4927373631622096</v>
          </cell>
          <cell r="F222">
            <v>4.492737398689699</v>
          </cell>
          <cell r="G222">
            <v>4.4927375712889051</v>
          </cell>
          <cell r="H222">
            <v>4.4927377397616679</v>
          </cell>
        </row>
        <row r="223">
          <cell r="B223" t="str">
            <v>ESOL-PV_E</v>
          </cell>
          <cell r="C223" t="str">
            <v>VAR_fout</v>
          </cell>
          <cell r="D223" t="str">
            <v>CELC_E</v>
          </cell>
          <cell r="E223"/>
          <cell r="F223"/>
          <cell r="G223"/>
          <cell r="H223">
            <v>8.6374744128263829E-6</v>
          </cell>
        </row>
        <row r="224">
          <cell r="B224" t="str">
            <v>ESOL-PV_E</v>
          </cell>
          <cell r="C224" t="str">
            <v>VAR_fin</v>
          </cell>
          <cell r="D224" t="str">
            <v>SOL</v>
          </cell>
          <cell r="E224"/>
          <cell r="F224"/>
          <cell r="G224"/>
          <cell r="H224">
            <v>8.6374744128263829E-6</v>
          </cell>
        </row>
        <row r="225">
          <cell r="B225" t="str">
            <v>ESOL-PV_E</v>
          </cell>
          <cell r="C225" t="str">
            <v>VAR_fin</v>
          </cell>
          <cell r="D225" t="str">
            <v>SOLPVC</v>
          </cell>
          <cell r="E225"/>
          <cell r="F225"/>
          <cell r="G225"/>
          <cell r="H225">
            <v>8.6374744128263796E-6</v>
          </cell>
        </row>
        <row r="226">
          <cell r="B226" t="str">
            <v>ESOL-PV_E</v>
          </cell>
          <cell r="C226" t="str">
            <v>VAR_ncap</v>
          </cell>
          <cell r="D226" t="str">
            <v>-</v>
          </cell>
          <cell r="E226"/>
          <cell r="F226"/>
          <cell r="G226"/>
          <cell r="H226">
            <v>2.5305034974046899E-6</v>
          </cell>
        </row>
        <row r="227">
          <cell r="B227" t="str">
            <v>ESOL-PV_E</v>
          </cell>
          <cell r="C227" t="str">
            <v>VAR_cap</v>
          </cell>
          <cell r="D227" t="str">
            <v>-</v>
          </cell>
          <cell r="E227"/>
          <cell r="F227"/>
          <cell r="G227"/>
          <cell r="H227">
            <v>2.5305034974046899E-6</v>
          </cell>
        </row>
        <row r="228">
          <cell r="B228" t="str">
            <v>EWSTINC</v>
          </cell>
          <cell r="C228" t="str">
            <v>VAR_fout</v>
          </cell>
          <cell r="D228" t="str">
            <v>ELC35</v>
          </cell>
          <cell r="E228">
            <v>6.5070001520524157</v>
          </cell>
          <cell r="F228">
            <v>7.3027684791455458</v>
          </cell>
          <cell r="G228">
            <v>8.1988180793970962</v>
          </cell>
          <cell r="H228">
            <v>7.3981388411421944</v>
          </cell>
        </row>
        <row r="229">
          <cell r="B229" t="str">
            <v>EWSTINC</v>
          </cell>
          <cell r="C229" t="str">
            <v>VAR_fout</v>
          </cell>
          <cell r="D229" t="str">
            <v>CO2_E</v>
          </cell>
          <cell r="E229">
            <v>1689.2932358943899</v>
          </cell>
          <cell r="F229">
            <v>1895.8839875287599</v>
          </cell>
          <cell r="G229">
            <v>2128.50892887802</v>
          </cell>
          <cell r="H229">
            <v>1920.64324735065</v>
          </cell>
        </row>
        <row r="230">
          <cell r="B230" t="str">
            <v>EWSTINC</v>
          </cell>
          <cell r="C230" t="str">
            <v>VAR_fin</v>
          </cell>
          <cell r="D230" t="str">
            <v>EWST</v>
          </cell>
          <cell r="E230">
            <v>18.203590904034439</v>
          </cell>
          <cell r="F230">
            <v>20.42978434837023</v>
          </cell>
          <cell r="G230">
            <v>22.936518630151056</v>
          </cell>
          <cell r="H230">
            <v>20.696586717140612</v>
          </cell>
        </row>
        <row r="231">
          <cell r="B231" t="str">
            <v>EWSTINC</v>
          </cell>
          <cell r="C231" t="str">
            <v>VAR_ncap</v>
          </cell>
          <cell r="D231" t="str">
            <v>-</v>
          </cell>
          <cell r="E231"/>
          <cell r="F231">
            <v>4.1905992957292102E-8</v>
          </cell>
          <cell r="G231">
            <v>9.4402605497841098E-8</v>
          </cell>
          <cell r="H231">
            <v>5.4107989895066502E-2</v>
          </cell>
        </row>
        <row r="232">
          <cell r="B232" t="str">
            <v>EWSTINC</v>
          </cell>
          <cell r="C232" t="str">
            <v>VAR_cap</v>
          </cell>
          <cell r="D232" t="str">
            <v>-</v>
          </cell>
          <cell r="E232">
            <v>0.30586268122458643</v>
          </cell>
          <cell r="F232">
            <v>0.30586220918301166</v>
          </cell>
          <cell r="G232">
            <v>0.30586216537556749</v>
          </cell>
          <cell r="H232">
            <v>0.2759923019498291</v>
          </cell>
        </row>
        <row r="233">
          <cell r="B233" t="str">
            <v>D-IBIO</v>
          </cell>
          <cell r="C233" t="str">
            <v>VAR_fout</v>
          </cell>
          <cell r="D233" t="str">
            <v>IBIO</v>
          </cell>
          <cell r="E233">
            <v>0.43672788829695591</v>
          </cell>
          <cell r="F233">
            <v>0.552066785112303</v>
          </cell>
          <cell r="G233">
            <v>1.7181878395373353</v>
          </cell>
          <cell r="H233">
            <v>4.5887008579231034</v>
          </cell>
        </row>
        <row r="234">
          <cell r="B234" t="str">
            <v>D-IBIO</v>
          </cell>
          <cell r="C234" t="str">
            <v>VAR_fin</v>
          </cell>
          <cell r="D234" t="str">
            <v>BIO</v>
          </cell>
          <cell r="E234">
            <v>0.43672788829695591</v>
          </cell>
          <cell r="F234">
            <v>0.552066785112303</v>
          </cell>
          <cell r="G234">
            <v>1.7181878395373353</v>
          </cell>
          <cell r="H234">
            <v>4.5887008579231034</v>
          </cell>
        </row>
        <row r="235">
          <cell r="B235" t="str">
            <v>D-EWOD</v>
          </cell>
          <cell r="C235" t="str">
            <v>VAR_fout</v>
          </cell>
          <cell r="D235" t="str">
            <v>EWOD</v>
          </cell>
          <cell r="E235">
            <v>3.3633999249739217</v>
          </cell>
          <cell r="F235">
            <v>1.9983125686156127</v>
          </cell>
          <cell r="G235">
            <v>1.5287859196233764</v>
          </cell>
          <cell r="H235">
            <v>5.0177672512169078</v>
          </cell>
        </row>
        <row r="236">
          <cell r="B236" t="str">
            <v>D-EWOD</v>
          </cell>
          <cell r="C236" t="str">
            <v>VAR_fin</v>
          </cell>
          <cell r="D236" t="str">
            <v>WOD</v>
          </cell>
          <cell r="E236">
            <v>3.3633999249739217</v>
          </cell>
          <cell r="F236">
            <v>1.9983125686156127</v>
          </cell>
          <cell r="G236">
            <v>1.5287859196233764</v>
          </cell>
          <cell r="H236">
            <v>5.0177672512169078</v>
          </cell>
        </row>
        <row r="237">
          <cell r="B237" t="str">
            <v>HPLWOD</v>
          </cell>
          <cell r="C237" t="str">
            <v>VAR_fout</v>
          </cell>
          <cell r="D237" t="str">
            <v>LTH</v>
          </cell>
          <cell r="E237">
            <v>1.3304362853182492</v>
          </cell>
          <cell r="F237">
            <v>1.2007174356058459</v>
          </cell>
          <cell r="G237">
            <v>1.0294642410766712</v>
          </cell>
          <cell r="H237">
            <v>0.79658032335149787</v>
          </cell>
        </row>
        <row r="238">
          <cell r="B238" t="str">
            <v>HPLWOD</v>
          </cell>
          <cell r="C238" t="str">
            <v>VAR_fin</v>
          </cell>
          <cell r="D238" t="str">
            <v>EWOD</v>
          </cell>
          <cell r="E238">
            <v>1.900623264740356</v>
          </cell>
          <cell r="F238">
            <v>1.7153106222940671</v>
          </cell>
          <cell r="G238">
            <v>1.4706632015381014</v>
          </cell>
          <cell r="H238">
            <v>1.1379718905021399</v>
          </cell>
        </row>
        <row r="239">
          <cell r="B239" t="str">
            <v>HPLWOD</v>
          </cell>
          <cell r="C239" t="str">
            <v>VAR_ncap</v>
          </cell>
          <cell r="D239" t="str">
            <v>-</v>
          </cell>
          <cell r="E239">
            <v>0.16875154296967301</v>
          </cell>
          <cell r="F239">
            <v>1.7612676400940301E-7</v>
          </cell>
          <cell r="G239">
            <v>2.3337619660314501E-7</v>
          </cell>
          <cell r="H239">
            <v>2.5246036703722501E-7</v>
          </cell>
        </row>
        <row r="240">
          <cell r="B240" t="str">
            <v>HPLWOD</v>
          </cell>
          <cell r="C240" t="str">
            <v>VAR_cap</v>
          </cell>
          <cell r="D240" t="str">
            <v>-</v>
          </cell>
          <cell r="E240">
            <v>0.16875154296967301</v>
          </cell>
          <cell r="F240">
            <v>0.16875171909643699</v>
          </cell>
          <cell r="G240">
            <v>0.168751952472633</v>
          </cell>
          <cell r="H240">
            <v>0.168752204933</v>
          </cell>
        </row>
        <row r="241">
          <cell r="B241" t="str">
            <v>ENGA-GTCC</v>
          </cell>
          <cell r="C241" t="str">
            <v>VAR_fout</v>
          </cell>
          <cell r="D241" t="str">
            <v>ELC13</v>
          </cell>
          <cell r="E241"/>
          <cell r="F241"/>
          <cell r="G241"/>
          <cell r="H241"/>
        </row>
        <row r="242">
          <cell r="B242" t="str">
            <v>ENGA-GTCC</v>
          </cell>
          <cell r="C242" t="str">
            <v>VAR_fout</v>
          </cell>
          <cell r="D242" t="str">
            <v>CO2_E</v>
          </cell>
          <cell r="E242"/>
          <cell r="F242"/>
          <cell r="G242"/>
          <cell r="H242"/>
        </row>
        <row r="243">
          <cell r="B243" t="str">
            <v>ENGA-GTCC</v>
          </cell>
          <cell r="C243" t="str">
            <v>VAR_fin</v>
          </cell>
          <cell r="D243" t="str">
            <v>ENGA</v>
          </cell>
          <cell r="E243"/>
          <cell r="F243"/>
          <cell r="G243"/>
          <cell r="H243"/>
        </row>
        <row r="244">
          <cell r="B244" t="str">
            <v>ENGA-GTCC</v>
          </cell>
          <cell r="C244" t="str">
            <v>VAR_fin</v>
          </cell>
          <cell r="D244" t="str">
            <v>GTC</v>
          </cell>
          <cell r="E244"/>
          <cell r="F244"/>
          <cell r="G244"/>
          <cell r="H244"/>
        </row>
        <row r="245">
          <cell r="B245" t="str">
            <v>ENGA-GTCC</v>
          </cell>
          <cell r="C245" t="str">
            <v>VAR_ncap</v>
          </cell>
          <cell r="D245" t="str">
            <v>-</v>
          </cell>
          <cell r="E245"/>
          <cell r="F245"/>
          <cell r="G245"/>
          <cell r="H245"/>
        </row>
        <row r="246">
          <cell r="B246" t="str">
            <v>ENGA-GTCC</v>
          </cell>
          <cell r="C246" t="str">
            <v>VAR_cap</v>
          </cell>
          <cell r="D246" t="str">
            <v>-</v>
          </cell>
          <cell r="E246"/>
          <cell r="F246"/>
          <cell r="G246"/>
          <cell r="H246"/>
        </row>
        <row r="247">
          <cell r="B247" t="str">
            <v>D-SNGA</v>
          </cell>
          <cell r="C247" t="str">
            <v>VAR_fout</v>
          </cell>
          <cell r="D247" t="str">
            <v>CO2</v>
          </cell>
          <cell r="E247">
            <v>1521.83054530101</v>
          </cell>
          <cell r="F247">
            <v>1505.0978421386101</v>
          </cell>
          <cell r="G247">
            <v>1385.92866279088</v>
          </cell>
          <cell r="H247">
            <v>1283.4050313791199</v>
          </cell>
        </row>
        <row r="248">
          <cell r="B248" t="str">
            <v>D-SNGA</v>
          </cell>
          <cell r="C248" t="str">
            <v>VAR_fout</v>
          </cell>
          <cell r="D248" t="str">
            <v>SNGA</v>
          </cell>
          <cell r="E248">
            <v>27.203967279510259</v>
          </cell>
          <cell r="F248">
            <v>28.488315909593684</v>
          </cell>
          <cell r="G248">
            <v>24.958895149710372</v>
          </cell>
          <cell r="H248">
            <v>22.683637796084472</v>
          </cell>
        </row>
        <row r="249">
          <cell r="B249" t="str">
            <v>D-SNGA</v>
          </cell>
          <cell r="C249" t="str">
            <v>VAR_fin</v>
          </cell>
          <cell r="D249" t="str">
            <v>NGA</v>
          </cell>
          <cell r="E249">
            <v>26.982811086897318</v>
          </cell>
          <cell r="F249">
            <v>26.686131952812307</v>
          </cell>
          <cell r="G249">
            <v>24.573203240972994</v>
          </cell>
          <cell r="H249">
            <v>22.755408357785878</v>
          </cell>
        </row>
        <row r="250">
          <cell r="B250" t="str">
            <v>D-SNGA</v>
          </cell>
          <cell r="C250" t="str">
            <v>VAR_fin</v>
          </cell>
          <cell r="D250" t="str">
            <v>BNGA</v>
          </cell>
          <cell r="E250">
            <v>0.30806251935707485</v>
          </cell>
          <cell r="F250">
            <v>1.8931932888170695</v>
          </cell>
          <cell r="G250">
            <v>0.46542608407904179</v>
          </cell>
          <cell r="H250">
            <v>6.9654312507220085E-4</v>
          </cell>
        </row>
        <row r="251">
          <cell r="B251" t="str">
            <v>D-SNGA</v>
          </cell>
          <cell r="C251" t="str">
            <v>VAR_ncap</v>
          </cell>
          <cell r="D251" t="str">
            <v>-</v>
          </cell>
          <cell r="E251">
            <v>7.3970535087961806E-8</v>
          </cell>
          <cell r="F251">
            <v>2.9019836902292399E-8</v>
          </cell>
          <cell r="G251">
            <v>3.4887330160566701E-8</v>
          </cell>
          <cell r="H251">
            <v>4.0834057865580099E-8</v>
          </cell>
        </row>
        <row r="252">
          <cell r="B252" t="str">
            <v>D-SNGA</v>
          </cell>
          <cell r="C252" t="str">
            <v>VAR_cap</v>
          </cell>
          <cell r="D252" t="str">
            <v>-</v>
          </cell>
          <cell r="E252">
            <v>2.2350522755956752</v>
          </cell>
          <cell r="F252">
            <v>2.235052304615512</v>
          </cell>
          <cell r="G252">
            <v>2.2350523395028423</v>
          </cell>
          <cell r="H252">
            <v>2.2350523803369002</v>
          </cell>
        </row>
        <row r="253">
          <cell r="B253" t="str">
            <v>RHES-CHPWOD</v>
          </cell>
          <cell r="C253" t="str">
            <v>VAR_ncap</v>
          </cell>
          <cell r="D253" t="str">
            <v>-</v>
          </cell>
          <cell r="E253"/>
          <cell r="F253"/>
          <cell r="G253"/>
          <cell r="H253">
            <v>7.0753933686512205E-7</v>
          </cell>
        </row>
        <row r="254">
          <cell r="B254" t="str">
            <v>RHES-CHPWOD</v>
          </cell>
          <cell r="C254" t="str">
            <v>VAR_cap</v>
          </cell>
          <cell r="D254" t="str">
            <v>-</v>
          </cell>
          <cell r="E254"/>
          <cell r="F254"/>
          <cell r="G254"/>
          <cell r="H254">
            <v>7.0753933686512205E-7</v>
          </cell>
        </row>
        <row r="255">
          <cell r="B255" t="str">
            <v>G-INTC-RES</v>
          </cell>
          <cell r="C255" t="str">
            <v>VAR_fout</v>
          </cell>
          <cell r="D255" t="str">
            <v>RHNS_ELC</v>
          </cell>
          <cell r="E255">
            <v>11.977455902717512</v>
          </cell>
          <cell r="F255">
            <v>14.567590940380706</v>
          </cell>
          <cell r="G255">
            <v>14.843932283377749</v>
          </cell>
          <cell r="H255">
            <v>14.988113246152022</v>
          </cell>
        </row>
        <row r="256">
          <cell r="B256" t="str">
            <v>G-INTC-RES</v>
          </cell>
          <cell r="C256" t="str">
            <v>VAR_fout</v>
          </cell>
          <cell r="D256" t="str">
            <v>ELC35</v>
          </cell>
          <cell r="E256">
            <v>1.5165193176249483E-3</v>
          </cell>
          <cell r="F256">
            <v>3.6730915117811686E-4</v>
          </cell>
          <cell r="G256">
            <v>3.9214696788507987E-4</v>
          </cell>
          <cell r="H256">
            <v>1.9316410692473814E-4</v>
          </cell>
        </row>
        <row r="257">
          <cell r="B257" t="str">
            <v>G-INTC-RES</v>
          </cell>
          <cell r="C257" t="str">
            <v>VAR_fout</v>
          </cell>
          <cell r="D257" t="str">
            <v>RHES_ELC</v>
          </cell>
          <cell r="E257">
            <v>21.0385045129518</v>
          </cell>
          <cell r="F257">
            <v>17.880559582404739</v>
          </cell>
          <cell r="G257">
            <v>17.502687524898004</v>
          </cell>
          <cell r="H257">
            <v>17.435933973685149</v>
          </cell>
        </row>
        <row r="258">
          <cell r="B258" t="str">
            <v>G-INTC-RES</v>
          </cell>
          <cell r="C258" t="str">
            <v>VAR_fout</v>
          </cell>
          <cell r="D258" t="str">
            <v>RHNM_ELC</v>
          </cell>
          <cell r="E258">
            <v>11.285979801669754</v>
          </cell>
          <cell r="F258">
            <v>14.592621828905049</v>
          </cell>
          <cell r="G258">
            <v>14.079170229606195</v>
          </cell>
          <cell r="H258">
            <v>14.142687024748234</v>
          </cell>
        </row>
        <row r="259">
          <cell r="B259" t="str">
            <v>G-INTC-RES</v>
          </cell>
          <cell r="C259" t="str">
            <v>VAR_fout</v>
          </cell>
          <cell r="D259" t="str">
            <v>RHEM_ELC</v>
          </cell>
          <cell r="E259">
            <v>22.185235826091056</v>
          </cell>
          <cell r="F259">
            <v>18.308631825626591</v>
          </cell>
          <cell r="G259">
            <v>15.560818710806547</v>
          </cell>
          <cell r="H259">
            <v>16.040579193635818</v>
          </cell>
        </row>
        <row r="260">
          <cell r="B260" t="str">
            <v>G-INTC-RES</v>
          </cell>
          <cell r="C260" t="str">
            <v>VAR_fin</v>
          </cell>
          <cell r="D260" t="str">
            <v>ELC5</v>
          </cell>
          <cell r="E260">
            <v>66.488674973573183</v>
          </cell>
          <cell r="F260">
            <v>65.349771486468271</v>
          </cell>
          <cell r="G260">
            <v>61.987000895656372</v>
          </cell>
          <cell r="H260">
            <v>62.607500239714639</v>
          </cell>
        </row>
        <row r="261">
          <cell r="B261" t="str">
            <v>G-INTC-RES</v>
          </cell>
          <cell r="C261" t="str">
            <v>VAR_ncap</v>
          </cell>
          <cell r="D261" t="str">
            <v>-</v>
          </cell>
          <cell r="E261">
            <v>1.34158584172222E-8</v>
          </cell>
          <cell r="F261">
            <v>1.38183413378009E-8</v>
          </cell>
          <cell r="G261">
            <v>1.44284524138578E-8</v>
          </cell>
          <cell r="H261">
            <v>1.7943552185681899E-8</v>
          </cell>
        </row>
        <row r="262">
          <cell r="B262" t="str">
            <v>G-INTC-RES</v>
          </cell>
          <cell r="C262" t="str">
            <v>VAR_cap</v>
          </cell>
          <cell r="D262" t="str">
            <v>-</v>
          </cell>
          <cell r="E262">
            <v>4.3300925142827298</v>
          </cell>
          <cell r="F262">
            <v>4.3300925186447241</v>
          </cell>
          <cell r="G262">
            <v>4.3300925415169296</v>
          </cell>
          <cell r="H262">
            <v>4.3300925658177327</v>
          </cell>
        </row>
        <row r="263">
          <cell r="B263" t="str">
            <v>SCOM-CHPNGA</v>
          </cell>
          <cell r="C263" t="str">
            <v>VAR_fout</v>
          </cell>
          <cell r="D263" t="str">
            <v>CO2_S</v>
          </cell>
          <cell r="E263">
            <v>93.3577712244346</v>
          </cell>
          <cell r="F263">
            <v>98.053322197431498</v>
          </cell>
          <cell r="G263">
            <v>2.3960071960436502</v>
          </cell>
          <cell r="H263"/>
        </row>
        <row r="264">
          <cell r="B264" t="str">
            <v>SCOM-CHPNGA</v>
          </cell>
          <cell r="C264" t="str">
            <v>VAR_fout</v>
          </cell>
          <cell r="D264" t="str">
            <v>SCOM_NKEV_GAS_ELC_CHP</v>
          </cell>
          <cell r="E264">
            <v>0.59440009100289515</v>
          </cell>
          <cell r="F264">
            <v>0.6258699299833278</v>
          </cell>
          <cell r="G264">
            <v>1.5073805788654335E-2</v>
          </cell>
          <cell r="H264"/>
        </row>
        <row r="265">
          <cell r="B265" t="str">
            <v>SCOM-CHPNGA</v>
          </cell>
          <cell r="C265" t="str">
            <v>VAR_fout</v>
          </cell>
          <cell r="D265" t="str">
            <v>SCOM_LTH_CHPNGA</v>
          </cell>
          <cell r="E265">
            <v>0.69257884120802715</v>
          </cell>
          <cell r="F265">
            <v>0.75020246803404356</v>
          </cell>
          <cell r="G265">
            <v>1.8825368978488858E-2</v>
          </cell>
          <cell r="H265"/>
        </row>
        <row r="266">
          <cell r="B266" t="str">
            <v>SCOM-CHPNGA</v>
          </cell>
          <cell r="C266" t="str">
            <v>VAR_fin</v>
          </cell>
          <cell r="D266" t="str">
            <v>SNGA</v>
          </cell>
          <cell r="E266">
            <v>1.655279631638912</v>
          </cell>
          <cell r="F266">
            <v>1.7385340815147439</v>
          </cell>
          <cell r="G266">
            <v>4.2482397092972579E-2</v>
          </cell>
          <cell r="H266"/>
        </row>
        <row r="267">
          <cell r="B267" t="str">
            <v>SCOM-CHPNGA</v>
          </cell>
          <cell r="C267" t="str">
            <v>VAR_ncap</v>
          </cell>
          <cell r="D267" t="str">
            <v>-</v>
          </cell>
          <cell r="E267"/>
          <cell r="F267">
            <v>2.7170740878326799E-2</v>
          </cell>
          <cell r="G267">
            <v>1.33784884002385E-8</v>
          </cell>
          <cell r="H267">
            <v>2.1006864876620199E-8</v>
          </cell>
        </row>
        <row r="268">
          <cell r="B268" t="str">
            <v>SCOM-CHPNGA</v>
          </cell>
          <cell r="C268" t="str">
            <v>VAR_cap</v>
          </cell>
          <cell r="D268" t="str">
            <v>-</v>
          </cell>
          <cell r="E268">
            <v>6.5199883456219868E-2</v>
          </cell>
          <cell r="F268">
            <v>4.7876845561993231E-2</v>
          </cell>
          <cell r="G268">
            <v>8.9914882571760085E-4</v>
          </cell>
          <cell r="H268">
            <v>7.4967982266395394E-5</v>
          </cell>
        </row>
        <row r="269">
          <cell r="B269" t="str">
            <v>D-IPLT</v>
          </cell>
          <cell r="C269" t="str">
            <v>VAR_fout</v>
          </cell>
          <cell r="D269" t="str">
            <v>IPLT</v>
          </cell>
          <cell r="E269">
            <v>0.62578933952296967</v>
          </cell>
          <cell r="F269">
            <v>0.73757443264065503</v>
          </cell>
          <cell r="G269">
            <v>0.73639804823255517</v>
          </cell>
          <cell r="H269">
            <v>0.73433146241348601</v>
          </cell>
        </row>
        <row r="270">
          <cell r="B270" t="str">
            <v>D-IPLT</v>
          </cell>
          <cell r="C270" t="str">
            <v>VAR_fin</v>
          </cell>
          <cell r="D270" t="str">
            <v>PLT</v>
          </cell>
          <cell r="E270">
            <v>0.62578933952296967</v>
          </cell>
          <cell r="F270">
            <v>0.73757443264065503</v>
          </cell>
          <cell r="G270">
            <v>0.73639804823255517</v>
          </cell>
          <cell r="H270">
            <v>0.73433146241348601</v>
          </cell>
        </row>
        <row r="271">
          <cell r="B271" t="str">
            <v>LTH-STG</v>
          </cell>
          <cell r="C271" t="str">
            <v>VAR_fout</v>
          </cell>
          <cell r="D271" t="str">
            <v>AUX_LTH-STG_OUT</v>
          </cell>
          <cell r="E271">
            <v>7.4640809203788616E-5</v>
          </cell>
          <cell r="F271">
            <v>1.2480165630579651E-4</v>
          </cell>
          <cell r="G271">
            <v>1.3797577854514737E-3</v>
          </cell>
          <cell r="H271">
            <v>2.9309867245594834E-4</v>
          </cell>
        </row>
        <row r="272">
          <cell r="B272" t="str">
            <v>LTH-STG</v>
          </cell>
          <cell r="C272" t="str">
            <v>VAR_fout</v>
          </cell>
          <cell r="D272" t="str">
            <v>LTH</v>
          </cell>
          <cell r="E272">
            <v>7.4640809203788372E-5</v>
          </cell>
          <cell r="F272">
            <v>1.2488485741000014E-4</v>
          </cell>
          <cell r="G272">
            <v>1.3811950331446515E-3</v>
          </cell>
          <cell r="H272">
            <v>2.9309867245594834E-4</v>
          </cell>
        </row>
        <row r="273">
          <cell r="B273" t="str">
            <v>LTH-STG</v>
          </cell>
          <cell r="C273" t="str">
            <v>VAR_fin</v>
          </cell>
          <cell r="D273" t="str">
            <v>AUX_LTH-STG_IN</v>
          </cell>
          <cell r="E273">
            <v>1.0001657420504572E-4</v>
          </cell>
          <cell r="F273">
            <v>1.6363571340421737E-4</v>
          </cell>
          <cell r="G273">
            <v>1.7826774733975955E-3</v>
          </cell>
          <cell r="H273">
            <v>3.6502105140890506E-4</v>
          </cell>
        </row>
        <row r="274">
          <cell r="B274" t="str">
            <v>LTH-STG</v>
          </cell>
          <cell r="C274" t="str">
            <v>VAR_fin</v>
          </cell>
          <cell r="D274" t="str">
            <v>LTH</v>
          </cell>
          <cell r="E274">
            <v>1.0001657420504572E-4</v>
          </cell>
          <cell r="F274">
            <v>1.6363571340421737E-4</v>
          </cell>
          <cell r="G274">
            <v>1.7826774733975955E-3</v>
          </cell>
          <cell r="H274">
            <v>3.6502105140890506E-4</v>
          </cell>
        </row>
        <row r="275">
          <cell r="B275" t="str">
            <v>LTH-STG</v>
          </cell>
          <cell r="C275" t="str">
            <v>VAR_ncap</v>
          </cell>
          <cell r="D275" t="str">
            <v>-</v>
          </cell>
          <cell r="E275">
            <v>1.54382082053499E-5</v>
          </cell>
          <cell r="F275">
            <v>9.1469394625827704E-7</v>
          </cell>
          <cell r="G275">
            <v>8.0650277714996204E-7</v>
          </cell>
          <cell r="H275">
            <v>1.1199312165608701E-6</v>
          </cell>
        </row>
        <row r="276">
          <cell r="B276" t="str">
            <v>LTH-STG</v>
          </cell>
          <cell r="C276" t="str">
            <v>VAR_cap</v>
          </cell>
          <cell r="D276" t="str">
            <v>-</v>
          </cell>
          <cell r="E276">
            <v>1.7996955255250284E-4</v>
          </cell>
          <cell r="F276">
            <v>1.5821706071297772E-4</v>
          </cell>
          <cell r="G276">
            <v>1.5412142318236901E-4</v>
          </cell>
          <cell r="H276">
            <v>5.4828523879851904E-5</v>
          </cell>
        </row>
        <row r="277">
          <cell r="B277" t="str">
            <v>ITOT-CHPOIL</v>
          </cell>
          <cell r="C277" t="str">
            <v>VAR_fout</v>
          </cell>
          <cell r="D277" t="str">
            <v>ITOT_LTH_CHP</v>
          </cell>
          <cell r="E277">
            <v>0.9293540184727046</v>
          </cell>
          <cell r="F277">
            <v>2.0719699777675049</v>
          </cell>
          <cell r="G277">
            <v>0.10186488424774717</v>
          </cell>
          <cell r="H277">
            <v>1.3179018489092584</v>
          </cell>
        </row>
        <row r="278">
          <cell r="B278" t="str">
            <v>ITOT-CHPOIL</v>
          </cell>
          <cell r="C278" t="str">
            <v>VAR_fout</v>
          </cell>
          <cell r="D278" t="str">
            <v>ITOT_NKEV_OIL_ELC_CHP</v>
          </cell>
          <cell r="E278">
            <v>7.0502718642756743E-2</v>
          </cell>
          <cell r="F278">
            <v>0.17144535464502705</v>
          </cell>
          <cell r="G278">
            <v>9.7566647758342648E-3</v>
          </cell>
          <cell r="H278">
            <v>0.17117233291840359</v>
          </cell>
        </row>
        <row r="279">
          <cell r="B279" t="str">
            <v>ITOT-CHPOIL</v>
          </cell>
          <cell r="C279" t="str">
            <v>VAR_fout</v>
          </cell>
          <cell r="D279" t="str">
            <v>CO2_I</v>
          </cell>
          <cell r="E279">
            <v>21.539478541644101</v>
          </cell>
          <cell r="F279">
            <v>51.224251441222599</v>
          </cell>
          <cell r="G279">
            <v>2.8874611387739901</v>
          </cell>
          <cell r="H279">
            <v>47.9013170350648</v>
          </cell>
        </row>
        <row r="280">
          <cell r="B280" t="str">
            <v>ITOT-CHPOIL</v>
          </cell>
          <cell r="C280" t="str">
            <v>VAR_fin</v>
          </cell>
          <cell r="D280" t="str">
            <v>ILFO</v>
          </cell>
          <cell r="E280">
            <v>0.29225886759354214</v>
          </cell>
          <cell r="F280">
            <v>0.69503733298809534</v>
          </cell>
          <cell r="G280">
            <v>3.9178577188249603E-2</v>
          </cell>
          <cell r="H280">
            <v>0.64995002761281984</v>
          </cell>
        </row>
        <row r="281">
          <cell r="B281" t="str">
            <v>ITOT-CHPOIL</v>
          </cell>
          <cell r="C281" t="str">
            <v>VAR_ncap</v>
          </cell>
          <cell r="D281" t="str">
            <v>-</v>
          </cell>
          <cell r="E281"/>
          <cell r="F281">
            <v>6.1416293832427804E-3</v>
          </cell>
          <cell r="G281">
            <v>2.39098461257324E-3</v>
          </cell>
          <cell r="H281">
            <v>1.47403717868171E-2</v>
          </cell>
        </row>
        <row r="282">
          <cell r="B282" t="str">
            <v>ITOT-CHPOIL</v>
          </cell>
          <cell r="C282" t="str">
            <v>VAR_cap</v>
          </cell>
          <cell r="D282" t="str">
            <v>-</v>
          </cell>
          <cell r="E282">
            <v>8.3052325815200796E-3</v>
          </cell>
          <cell r="F282">
            <v>7.0743874282106203E-3</v>
          </cell>
          <cell r="G282">
            <v>9.4652080890489324E-3</v>
          </cell>
          <cell r="H282">
            <v>2.4205518852551837E-2</v>
          </cell>
        </row>
        <row r="283">
          <cell r="B283" t="str">
            <v>ENUC_GOE</v>
          </cell>
          <cell r="C283" t="str">
            <v>VAR_fout</v>
          </cell>
          <cell r="D283" t="str">
            <v>ELC</v>
          </cell>
          <cell r="E283">
            <v>29.714400002709503</v>
          </cell>
          <cell r="F283">
            <v>29.714398237795031</v>
          </cell>
          <cell r="G283">
            <v>29.714408035736611</v>
          </cell>
          <cell r="H283">
            <v>29.71440451435582</v>
          </cell>
        </row>
        <row r="284">
          <cell r="B284" t="str">
            <v>ENUC_GOE</v>
          </cell>
          <cell r="C284" t="str">
            <v>VAR_fin</v>
          </cell>
          <cell r="D284" t="str">
            <v>URN</v>
          </cell>
          <cell r="E284">
            <v>89.580575361887639</v>
          </cell>
          <cell r="F284">
            <v>89.580570041165956</v>
          </cell>
          <cell r="G284">
            <v>89.580599579209647</v>
          </cell>
          <cell r="H284">
            <v>89.580588963234931</v>
          </cell>
        </row>
        <row r="285">
          <cell r="B285" t="str">
            <v>ENUC_GOE</v>
          </cell>
          <cell r="C285" t="str">
            <v>VAR_cap</v>
          </cell>
          <cell r="D285" t="str">
            <v>-</v>
          </cell>
          <cell r="E285">
            <v>1.01</v>
          </cell>
          <cell r="F285">
            <v>1.0099999801229458</v>
          </cell>
          <cell r="G285">
            <v>1.0100002370150198</v>
          </cell>
          <cell r="H285">
            <v>1.010000142956041</v>
          </cell>
        </row>
        <row r="286">
          <cell r="B286" t="str">
            <v>D-RNGA</v>
          </cell>
          <cell r="C286" t="str">
            <v>VAR_fout</v>
          </cell>
          <cell r="D286" t="str">
            <v>CO2</v>
          </cell>
          <cell r="E286">
            <v>2650.5234539707799</v>
          </cell>
          <cell r="F286">
            <v>2560.5947498866699</v>
          </cell>
          <cell r="G286">
            <v>2694.9222181602699</v>
          </cell>
          <cell r="H286">
            <v>2464.8626803311599</v>
          </cell>
        </row>
        <row r="287">
          <cell r="B287" t="str">
            <v>D-RNGA</v>
          </cell>
          <cell r="C287" t="str">
            <v>VAR_fout</v>
          </cell>
          <cell r="D287" t="str">
            <v>RNGA</v>
          </cell>
          <cell r="E287">
            <v>47.156834148818611</v>
          </cell>
          <cell r="F287">
            <v>47.60360786550536</v>
          </cell>
          <cell r="G287">
            <v>48.158844776495272</v>
          </cell>
          <cell r="H287">
            <v>43.564764849730594</v>
          </cell>
        </row>
        <row r="288">
          <cell r="B288" t="str">
            <v>D-RNGA</v>
          </cell>
          <cell r="C288" t="str">
            <v>VAR_fin</v>
          </cell>
          <cell r="D288" t="str">
            <v>NGA</v>
          </cell>
          <cell r="E288">
            <v>46.995096701609548</v>
          </cell>
          <cell r="F288">
            <v>45.400616132742293</v>
          </cell>
          <cell r="G288">
            <v>47.782308832628871</v>
          </cell>
          <cell r="H288">
            <v>43.703239012963891</v>
          </cell>
        </row>
        <row r="289">
          <cell r="B289" t="str">
            <v>D-RNGA</v>
          </cell>
          <cell r="C289" t="str">
            <v>VAR_fin</v>
          </cell>
          <cell r="D289" t="str">
            <v>BNGA</v>
          </cell>
          <cell r="E289">
            <v>0.31238559329190579</v>
          </cell>
          <cell r="F289">
            <v>2.3550671509126579</v>
          </cell>
          <cell r="G289">
            <v>0.53038513272785937</v>
          </cell>
          <cell r="H289">
            <v>6.9868790494325697E-4</v>
          </cell>
        </row>
        <row r="290">
          <cell r="B290" t="str">
            <v>D-RNGA</v>
          </cell>
          <cell r="C290" t="str">
            <v>VAR_ncap</v>
          </cell>
          <cell r="D290" t="str">
            <v>-</v>
          </cell>
          <cell r="E290">
            <v>3.5259530789771497E-8</v>
          </cell>
          <cell r="F290">
            <v>1.86958403953388E-8</v>
          </cell>
          <cell r="G290">
            <v>2.39019882737386E-8</v>
          </cell>
          <cell r="H290">
            <v>2.3304964486187301E-8</v>
          </cell>
        </row>
        <row r="291">
          <cell r="B291" t="str">
            <v>D-RNGA</v>
          </cell>
          <cell r="C291" t="str">
            <v>VAR_cap</v>
          </cell>
          <cell r="D291" t="str">
            <v>-</v>
          </cell>
          <cell r="E291">
            <v>3.0972400426554509</v>
          </cell>
          <cell r="F291">
            <v>3.0972400613512914</v>
          </cell>
          <cell r="G291">
            <v>3.0972400852532798</v>
          </cell>
          <cell r="H291">
            <v>3.0972401085582439</v>
          </cell>
        </row>
        <row r="292">
          <cell r="B292" t="str">
            <v>RHES-CHPGFC</v>
          </cell>
          <cell r="C292" t="str">
            <v>VAR_ncap</v>
          </cell>
          <cell r="D292" t="str">
            <v>-</v>
          </cell>
          <cell r="E292"/>
          <cell r="F292"/>
          <cell r="G292"/>
          <cell r="H292">
            <v>3.8507000668095902E-7</v>
          </cell>
        </row>
        <row r="293">
          <cell r="B293" t="str">
            <v>RHES-CHPGFC</v>
          </cell>
          <cell r="C293" t="str">
            <v>VAR_cap</v>
          </cell>
          <cell r="D293" t="str">
            <v>-</v>
          </cell>
          <cell r="E293"/>
          <cell r="F293"/>
          <cell r="G293"/>
          <cell r="H293">
            <v>3.8507000668095902E-7</v>
          </cell>
        </row>
        <row r="294">
          <cell r="B294" t="str">
            <v>G-INTC-TRA</v>
          </cell>
          <cell r="C294" t="str">
            <v>VAR_fout</v>
          </cell>
          <cell r="D294" t="str">
            <v>TRAN_ELC</v>
          </cell>
          <cell r="E294">
            <v>10.817139810564898</v>
          </cell>
          <cell r="F294">
            <v>12.278006900946197</v>
          </cell>
          <cell r="G294">
            <v>15.613560964250466</v>
          </cell>
          <cell r="H294">
            <v>30.158546566690006</v>
          </cell>
        </row>
        <row r="295">
          <cell r="B295" t="str">
            <v>G-INTC-TRA</v>
          </cell>
          <cell r="C295" t="str">
            <v>VAR_fin</v>
          </cell>
          <cell r="D295" t="str">
            <v>ELC3</v>
          </cell>
          <cell r="E295">
            <v>9.9850521328291375</v>
          </cell>
          <cell r="F295">
            <v>12.276834479007315</v>
          </cell>
          <cell r="G295">
            <v>15.612270822025316</v>
          </cell>
          <cell r="H295">
            <v>21.200562437970209</v>
          </cell>
        </row>
        <row r="296">
          <cell r="B296" t="str">
            <v>G-INTC-TRA</v>
          </cell>
          <cell r="C296" t="str">
            <v>VAR_fin</v>
          </cell>
          <cell r="D296" t="str">
            <v>ELC5</v>
          </cell>
          <cell r="E296">
            <v>0.83208767773576109</v>
          </cell>
          <cell r="F296">
            <v>1.172421938888196E-3</v>
          </cell>
          <cell r="G296">
            <v>1.2901422251539497E-3</v>
          </cell>
          <cell r="H296">
            <v>8.9579841287198132</v>
          </cell>
        </row>
        <row r="297">
          <cell r="B297" t="str">
            <v>G-INTC-TRA</v>
          </cell>
          <cell r="C297" t="str">
            <v>VAR_ncap</v>
          </cell>
          <cell r="D297" t="str">
            <v>-</v>
          </cell>
          <cell r="E297">
            <v>1.4498461323340599E-7</v>
          </cell>
          <cell r="F297">
            <v>1.91733123343752E-7</v>
          </cell>
          <cell r="G297">
            <v>7.92634227576744E-7</v>
          </cell>
          <cell r="H297">
            <v>0.27579743256108402</v>
          </cell>
        </row>
        <row r="298">
          <cell r="B298" t="str">
            <v>G-INTC-TRA</v>
          </cell>
          <cell r="C298" t="str">
            <v>VAR_cap</v>
          </cell>
          <cell r="D298" t="str">
            <v>-</v>
          </cell>
          <cell r="E298">
            <v>0.86351880627381705</v>
          </cell>
          <cell r="F298">
            <v>0.86351885341370316</v>
          </cell>
          <cell r="G298">
            <v>0.86351914299155363</v>
          </cell>
          <cell r="H298">
            <v>1.015260743364941</v>
          </cell>
        </row>
        <row r="299">
          <cell r="B299" t="str">
            <v>SCOM-SWHSTG-CHPBIO</v>
          </cell>
          <cell r="C299" t="str">
            <v>VAR_fout</v>
          </cell>
          <cell r="D299" t="str">
            <v>AUX_SCOM-CHPBIO_OUT</v>
          </cell>
          <cell r="E299">
            <v>7.2289605221539968E-6</v>
          </cell>
          <cell r="F299">
            <v>3.9861009271434962E-5</v>
          </cell>
          <cell r="G299">
            <v>7.7754472285045262</v>
          </cell>
          <cell r="H299">
            <v>8.8600997989930423</v>
          </cell>
        </row>
        <row r="300">
          <cell r="B300" t="str">
            <v>SCOM-SWHSTG-CHPBIO</v>
          </cell>
          <cell r="C300" t="str">
            <v>VAR_fout</v>
          </cell>
          <cell r="D300" t="str">
            <v>SCOM_LTH_CHPBIO</v>
          </cell>
          <cell r="E300">
            <v>7.2289605221540104E-6</v>
          </cell>
          <cell r="F300">
            <v>3.989359042843848E-5</v>
          </cell>
          <cell r="G300">
            <v>7.7853775570211425</v>
          </cell>
          <cell r="H300">
            <v>8.8600997989930281</v>
          </cell>
        </row>
        <row r="301">
          <cell r="B301" t="str">
            <v>SCOM-SWHSTG-CHPBIO</v>
          </cell>
          <cell r="C301" t="str">
            <v>VAR_fin</v>
          </cell>
          <cell r="D301" t="str">
            <v>SCOM_LTH_CHPBIO</v>
          </cell>
          <cell r="E301">
            <v>5.9516710150006604E-6</v>
          </cell>
          <cell r="F301">
            <v>5.0018834193744647E-5</v>
          </cell>
          <cell r="G301">
            <v>9.2683003917227573</v>
          </cell>
          <cell r="H301">
            <v>10.184019542658801</v>
          </cell>
        </row>
        <row r="302">
          <cell r="B302" t="str">
            <v>SCOM-SWHSTG-CHPBIO</v>
          </cell>
          <cell r="C302" t="str">
            <v>VAR_fin</v>
          </cell>
          <cell r="D302" t="str">
            <v>AUX_SCOM-CHPBIO_IN</v>
          </cell>
          <cell r="E302">
            <v>5.9516710150006604E-6</v>
          </cell>
          <cell r="F302">
            <v>5.0018834193744647E-5</v>
          </cell>
          <cell r="G302">
            <v>9.2683003917227573</v>
          </cell>
          <cell r="H302">
            <v>10.184019542658801</v>
          </cell>
        </row>
        <row r="303">
          <cell r="B303" t="str">
            <v>SCOM-SWHSTG-CHPBIO</v>
          </cell>
          <cell r="C303" t="str">
            <v>VAR_ncap</v>
          </cell>
          <cell r="D303" t="str">
            <v>-</v>
          </cell>
          <cell r="E303">
            <v>1.0086927136657301E-3</v>
          </cell>
          <cell r="F303">
            <v>1.2317550540642499E-5</v>
          </cell>
          <cell r="G303">
            <v>0.48809804943066698</v>
          </cell>
          <cell r="H303">
            <v>6.6333771112683002E-2</v>
          </cell>
        </row>
        <row r="304">
          <cell r="B304" t="str">
            <v>SCOM-SWHSTG-CHPBIO</v>
          </cell>
          <cell r="C304" t="str">
            <v>VAR_cap</v>
          </cell>
          <cell r="D304" t="str">
            <v>-</v>
          </cell>
          <cell r="E304">
            <v>1.0086927136657301E-3</v>
          </cell>
          <cell r="F304">
            <v>1.0198824055910882E-3</v>
          </cell>
          <cell r="G304">
            <v>0.48911520693684502</v>
          </cell>
          <cell r="H304">
            <v>0.55544508670101345</v>
          </cell>
        </row>
        <row r="305">
          <cell r="B305" t="str">
            <v>SCOM-SWHSTG-CHPHFC</v>
          </cell>
          <cell r="C305" t="str">
            <v>VAR_fout</v>
          </cell>
          <cell r="D305" t="str">
            <v>AUX_SCOM-CHPHFC_OUT</v>
          </cell>
          <cell r="E305">
            <v>7.7059423628025815E-5</v>
          </cell>
          <cell r="F305">
            <v>5.8602883353484434E-5</v>
          </cell>
          <cell r="G305">
            <v>5.9858659425334353E-5</v>
          </cell>
          <cell r="H305">
            <v>3.1037823405765854E-5</v>
          </cell>
        </row>
        <row r="306">
          <cell r="B306" t="str">
            <v>SCOM-SWHSTG-CHPHFC</v>
          </cell>
          <cell r="C306" t="str">
            <v>VAR_fout</v>
          </cell>
          <cell r="D306" t="str">
            <v>SCOM_LTH_CHPHFC</v>
          </cell>
          <cell r="E306">
            <v>7.7059423628025937E-5</v>
          </cell>
          <cell r="F306">
            <v>5.8650783539111857E-5</v>
          </cell>
          <cell r="G306">
            <v>5.9935107266235209E-5</v>
          </cell>
          <cell r="H306">
            <v>3.1037823405765813E-5</v>
          </cell>
        </row>
        <row r="307">
          <cell r="B307" t="str">
            <v>SCOM-SWHSTG-CHPHFC</v>
          </cell>
          <cell r="C307" t="str">
            <v>VAR_fin</v>
          </cell>
          <cell r="D307" t="str">
            <v>SCOM_LTH_CHPHFC</v>
          </cell>
          <cell r="E307">
            <v>7.7059423628025937E-5</v>
          </cell>
          <cell r="F307">
            <v>5.8650783539111857E-5</v>
          </cell>
          <cell r="G307">
            <v>5.9935107266235209E-5</v>
          </cell>
          <cell r="H307">
            <v>3.1037823405765813E-5</v>
          </cell>
        </row>
        <row r="308">
          <cell r="B308" t="str">
            <v>SCOM-SWHSTG-CHPHFC</v>
          </cell>
          <cell r="C308" t="str">
            <v>VAR_fin</v>
          </cell>
          <cell r="D308" t="str">
            <v>AUX_SCOM-CHPHFC_IN</v>
          </cell>
          <cell r="E308">
            <v>7.7059423628025937E-5</v>
          </cell>
          <cell r="F308">
            <v>5.8650783539111857E-5</v>
          </cell>
          <cell r="G308">
            <v>5.9935107266235209E-5</v>
          </cell>
          <cell r="H308">
            <v>3.1037823405765813E-5</v>
          </cell>
        </row>
        <row r="309">
          <cell r="B309" t="str">
            <v>SCOM-SWHSTG-CHPHFC</v>
          </cell>
          <cell r="C309" t="str">
            <v>VAR_ncap</v>
          </cell>
          <cell r="D309" t="str">
            <v>-</v>
          </cell>
          <cell r="E309">
            <v>3.0678912479702701E-4</v>
          </cell>
          <cell r="F309">
            <v>6.6288677636063598E-6</v>
          </cell>
          <cell r="G309">
            <v>6.06457768231968E-6</v>
          </cell>
          <cell r="H309">
            <v>4.4524440014256702E-6</v>
          </cell>
        </row>
        <row r="310">
          <cell r="B310" t="str">
            <v>SCOM-SWHSTG-CHPHFC</v>
          </cell>
          <cell r="C310" t="str">
            <v>VAR_cap</v>
          </cell>
          <cell r="D310" t="str">
            <v>-</v>
          </cell>
          <cell r="E310">
            <v>3.0678912479702701E-4</v>
          </cell>
          <cell r="F310">
            <v>3.1229045942804471E-4</v>
          </cell>
          <cell r="G310">
            <v>3.1507412069900167E-4</v>
          </cell>
          <cell r="H310">
            <v>3.1143862150375675E-4</v>
          </cell>
        </row>
        <row r="311">
          <cell r="B311" t="str">
            <v>D-IHFO</v>
          </cell>
          <cell r="C311" t="str">
            <v>VAR_fout</v>
          </cell>
          <cell r="D311" t="str">
            <v>CO2</v>
          </cell>
          <cell r="E311">
            <v>213.78071862107299</v>
          </cell>
          <cell r="F311">
            <v>212.85953981613699</v>
          </cell>
          <cell r="G311">
            <v>9.1431588964333593E-2</v>
          </cell>
          <cell r="H311">
            <v>1.6727374797476099E-2</v>
          </cell>
        </row>
        <row r="312">
          <cell r="B312" t="str">
            <v>D-IHFO</v>
          </cell>
          <cell r="C312" t="str">
            <v>VAR_fout</v>
          </cell>
          <cell r="D312" t="str">
            <v>IHFO</v>
          </cell>
          <cell r="E312">
            <v>2.7300043049484755</v>
          </cell>
          <cell r="F312">
            <v>2.7182407459178735</v>
          </cell>
          <cell r="G312">
            <v>1.1675918814892839E-3</v>
          </cell>
          <cell r="H312">
            <v>2.1361049538120043E-4</v>
          </cell>
        </row>
        <row r="313">
          <cell r="B313" t="str">
            <v>D-IHFO</v>
          </cell>
          <cell r="C313" t="str">
            <v>VAR_fin</v>
          </cell>
          <cell r="D313" t="str">
            <v>HFO</v>
          </cell>
          <cell r="E313">
            <v>2.7763729691048495</v>
          </cell>
          <cell r="F313">
            <v>2.7644096080017775</v>
          </cell>
          <cell r="G313">
            <v>1.1874232333030327E-3</v>
          </cell>
          <cell r="H313">
            <v>2.1723863373345604E-4</v>
          </cell>
        </row>
        <row r="314">
          <cell r="B314" t="str">
            <v>RHNM-CHPNGA</v>
          </cell>
          <cell r="C314" t="str">
            <v>VAR_fout</v>
          </cell>
          <cell r="D314" t="str">
            <v>CO2_R</v>
          </cell>
          <cell r="E314"/>
          <cell r="F314">
            <v>0.237960765218451</v>
          </cell>
          <cell r="G314">
            <v>0.311509712054099</v>
          </cell>
          <cell r="H314"/>
        </row>
        <row r="315">
          <cell r="B315" t="str">
            <v>RHNM-CHPNGA</v>
          </cell>
          <cell r="C315" t="str">
            <v>VAR_fout</v>
          </cell>
          <cell r="D315" t="str">
            <v>RHNM_NKEV_GAS_ELC_CHP</v>
          </cell>
          <cell r="E315"/>
          <cell r="F315">
            <v>1.2239081781460252E-3</v>
          </cell>
          <cell r="G315">
            <v>1.4166957585220418E-3</v>
          </cell>
          <cell r="H315"/>
        </row>
        <row r="316">
          <cell r="B316" t="str">
            <v>RHNM-CHPNGA</v>
          </cell>
          <cell r="C316" t="str">
            <v>VAR_fout</v>
          </cell>
          <cell r="D316" t="str">
            <v>RHNM_LTH_CHPNGA</v>
          </cell>
          <cell r="E316"/>
          <cell r="F316">
            <v>2.6329500531242556E-3</v>
          </cell>
          <cell r="G316">
            <v>3.0027436536949979E-3</v>
          </cell>
          <cell r="H316"/>
        </row>
        <row r="317">
          <cell r="B317" t="str">
            <v>RHNM-CHPNGA</v>
          </cell>
          <cell r="C317" t="str">
            <v>VAR_fin</v>
          </cell>
          <cell r="D317" t="str">
            <v>RNGA</v>
          </cell>
          <cell r="E317"/>
          <cell r="F317">
            <v>4.2191625038732498E-3</v>
          </cell>
          <cell r="G317">
            <v>5.5232218449308224E-3</v>
          </cell>
          <cell r="H317"/>
        </row>
        <row r="318">
          <cell r="B318" t="str">
            <v>RHNM-CHPNGA</v>
          </cell>
          <cell r="C318" t="str">
            <v>VAR_ncap</v>
          </cell>
          <cell r="D318" t="str">
            <v>-</v>
          </cell>
          <cell r="E318"/>
          <cell r="F318">
            <v>1.04636750250073E-4</v>
          </cell>
          <cell r="G318">
            <v>3.6520530752691399E-7</v>
          </cell>
          <cell r="H318">
            <v>1.5046534010916401E-8</v>
          </cell>
        </row>
        <row r="319">
          <cell r="B319" t="str">
            <v>RHNM-CHPNGA</v>
          </cell>
          <cell r="C319" t="str">
            <v>VAR_cap</v>
          </cell>
          <cell r="D319" t="str">
            <v>-</v>
          </cell>
          <cell r="E319"/>
          <cell r="F319">
            <v>1.04636750250073E-4</v>
          </cell>
          <cell r="G319">
            <v>1.0498728478682516E-4</v>
          </cell>
          <cell r="H319">
            <v>3.6202026287049594E-5</v>
          </cell>
        </row>
        <row r="320">
          <cell r="B320" t="str">
            <v>G-INTC-EXP00-DE</v>
          </cell>
          <cell r="C320" t="str">
            <v>VAR_fout</v>
          </cell>
          <cell r="D320" t="str">
            <v>ELC_E-DE</v>
          </cell>
          <cell r="E320">
            <v>26.492979688082254</v>
          </cell>
          <cell r="F320">
            <v>1.4857839317230039E-4</v>
          </cell>
          <cell r="G320">
            <v>1.7564354264258425E-4</v>
          </cell>
          <cell r="H320">
            <v>1.1159473634113997E-4</v>
          </cell>
        </row>
        <row r="321">
          <cell r="B321" t="str">
            <v>G-INTC-EXP00-DE</v>
          </cell>
          <cell r="C321" t="str">
            <v>VAR_fin</v>
          </cell>
          <cell r="D321" t="str">
            <v>ELC</v>
          </cell>
          <cell r="E321">
            <v>26.492979688082254</v>
          </cell>
          <cell r="F321">
            <v>1.4857839317230039E-4</v>
          </cell>
          <cell r="G321">
            <v>1.7564354264258425E-4</v>
          </cell>
          <cell r="H321">
            <v>1.1159473634113997E-4</v>
          </cell>
        </row>
        <row r="322">
          <cell r="B322" t="str">
            <v>G-INTC-EXP00-DE</v>
          </cell>
          <cell r="C322" t="str">
            <v>VAR_ncap</v>
          </cell>
          <cell r="D322" t="str">
            <v>-</v>
          </cell>
          <cell r="E322">
            <v>2.8331683426569198E-7</v>
          </cell>
          <cell r="F322">
            <v>2.7939123619396001E-7</v>
          </cell>
          <cell r="G322">
            <v>5.5316844171760603E-7</v>
          </cell>
          <cell r="H322">
            <v>6.3656117536500906E-5</v>
          </cell>
        </row>
        <row r="323">
          <cell r="B323" t="str">
            <v>G-INTC-EXP00-DE</v>
          </cell>
          <cell r="C323" t="str">
            <v>VAR_cap</v>
          </cell>
          <cell r="D323" t="str">
            <v>-</v>
          </cell>
          <cell r="E323">
            <v>4.0260663779970862</v>
          </cell>
          <cell r="F323">
            <v>2.7806273857944319E-4</v>
          </cell>
          <cell r="G323">
            <v>2.7734581229932331E-4</v>
          </cell>
          <cell r="H323">
            <v>2.7722620998815728E-4</v>
          </cell>
        </row>
        <row r="324">
          <cell r="B324" t="str">
            <v>CEN-EBAT</v>
          </cell>
          <cell r="C324" t="str">
            <v>VAR_fout</v>
          </cell>
          <cell r="D324" t="str">
            <v>ELC13</v>
          </cell>
          <cell r="E324">
            <v>1.3317454006918146E-3</v>
          </cell>
          <cell r="F324">
            <v>9.9708434125425258E-4</v>
          </cell>
          <cell r="G324">
            <v>1.7309873094720901E-2</v>
          </cell>
          <cell r="H324">
            <v>4.3766006679706572E-2</v>
          </cell>
        </row>
        <row r="325">
          <cell r="B325" t="str">
            <v>CEN-EBAT</v>
          </cell>
          <cell r="C325" t="str">
            <v>VAR_fout</v>
          </cell>
          <cell r="D325" t="str">
            <v>AUX_CEN-EBAT_OUT</v>
          </cell>
          <cell r="E325">
            <v>1.3317454006918112E-3</v>
          </cell>
          <cell r="F325">
            <v>9.970843412542502E-4</v>
          </cell>
          <cell r="G325">
            <v>1.7309873094720866E-2</v>
          </cell>
          <cell r="H325">
            <v>4.3766006679706454E-2</v>
          </cell>
        </row>
        <row r="326">
          <cell r="B326" t="str">
            <v>CEN-EBAT</v>
          </cell>
          <cell r="C326" t="str">
            <v>VAR_fin</v>
          </cell>
          <cell r="D326" t="str">
            <v>AUX_CEN-EBAT_IN</v>
          </cell>
          <cell r="E326">
            <v>1.5438967366048877E-3</v>
          </cell>
          <cell r="F326">
            <v>1.1547766018546127E-3</v>
          </cell>
          <cell r="G326">
            <v>1.996437563908468E-2</v>
          </cell>
          <cell r="H326">
            <v>5.0477852928681892E-2</v>
          </cell>
        </row>
        <row r="327">
          <cell r="B327" t="str">
            <v>CEN-EBAT</v>
          </cell>
          <cell r="C327" t="str">
            <v>VAR_fin</v>
          </cell>
          <cell r="D327" t="str">
            <v>ELC13</v>
          </cell>
          <cell r="E327">
            <v>1.5438967366048877E-3</v>
          </cell>
          <cell r="F327">
            <v>1.1547766018546127E-3</v>
          </cell>
          <cell r="G327">
            <v>1.996437563908468E-2</v>
          </cell>
          <cell r="H327">
            <v>5.0477852928681892E-2</v>
          </cell>
        </row>
        <row r="328">
          <cell r="B328" t="str">
            <v>CEN-EBAT</v>
          </cell>
          <cell r="C328" t="str">
            <v>VAR_ncap</v>
          </cell>
          <cell r="D328" t="str">
            <v>-</v>
          </cell>
          <cell r="E328">
            <v>2.27130938849804E-4</v>
          </cell>
          <cell r="F328">
            <v>2.86598755482789E-7</v>
          </cell>
          <cell r="G328">
            <v>6.0743992761981298E-3</v>
          </cell>
          <cell r="H328">
            <v>2.0257101790822098E-2</v>
          </cell>
        </row>
        <row r="329">
          <cell r="B329" t="str">
            <v>CEN-EBAT</v>
          </cell>
          <cell r="C329" t="str">
            <v>VAR_cap</v>
          </cell>
          <cell r="D329" t="str">
            <v>-</v>
          </cell>
          <cell r="E329">
            <v>2.27130938849804E-4</v>
          </cell>
          <cell r="F329">
            <v>2.2730491745640331E-4</v>
          </cell>
          <cell r="G329">
            <v>6.3016306518305443E-3</v>
          </cell>
          <cell r="H329">
            <v>2.649775207111453E-2</v>
          </cell>
        </row>
        <row r="330">
          <cell r="B330" t="str">
            <v>ESOL-PV</v>
          </cell>
          <cell r="C330" t="str">
            <v>VAR_fout</v>
          </cell>
          <cell r="D330" t="str">
            <v>ELC35</v>
          </cell>
          <cell r="E330"/>
          <cell r="F330"/>
          <cell r="G330">
            <v>0.14080626641931424</v>
          </cell>
          <cell r="H330">
            <v>0.23805325023969984</v>
          </cell>
        </row>
        <row r="331">
          <cell r="B331" t="str">
            <v>ESOL-PV</v>
          </cell>
          <cell r="C331" t="str">
            <v>VAR_fin</v>
          </cell>
          <cell r="D331" t="str">
            <v>SOL</v>
          </cell>
          <cell r="E331"/>
          <cell r="F331"/>
          <cell r="G331">
            <v>0.14080626641931424</v>
          </cell>
          <cell r="H331">
            <v>0.23805325023969984</v>
          </cell>
        </row>
        <row r="332">
          <cell r="B332" t="str">
            <v>ESOL-PV</v>
          </cell>
          <cell r="C332" t="str">
            <v>VAR_fin</v>
          </cell>
          <cell r="D332" t="str">
            <v>SOLPVC</v>
          </cell>
          <cell r="E332"/>
          <cell r="F332"/>
          <cell r="G332">
            <v>0.14080626641931501</v>
          </cell>
          <cell r="H332">
            <v>0.2380532502397</v>
          </cell>
        </row>
        <row r="333">
          <cell r="B333" t="str">
            <v>ESOL-PV</v>
          </cell>
          <cell r="C333" t="str">
            <v>VAR_ncap</v>
          </cell>
          <cell r="D333" t="str">
            <v>-</v>
          </cell>
          <cell r="E333"/>
          <cell r="F333"/>
          <cell r="G333">
            <v>4.49256426329794E-2</v>
          </cell>
          <cell r="H333">
            <v>2.3698365995974802E-2</v>
          </cell>
        </row>
        <row r="334">
          <cell r="B334" t="str">
            <v>ESOL-PV</v>
          </cell>
          <cell r="C334" t="str">
            <v>VAR_cap</v>
          </cell>
          <cell r="D334" t="str">
            <v>-</v>
          </cell>
          <cell r="E334"/>
          <cell r="F334"/>
          <cell r="G334">
            <v>4.49256426329794E-2</v>
          </cell>
          <cell r="H334">
            <v>6.8624008628954195E-2</v>
          </cell>
        </row>
        <row r="335">
          <cell r="B335" t="str">
            <v>RHEM-SHSTG-CHPNGA</v>
          </cell>
          <cell r="C335" t="str">
            <v>VAR_fout</v>
          </cell>
          <cell r="D335" t="str">
            <v>RHEM_LTH_CHPNGA</v>
          </cell>
          <cell r="E335">
            <v>1.8253103130516E-2</v>
          </cell>
          <cell r="F335">
            <v>5.6617298105389478E-5</v>
          </cell>
          <cell r="G335">
            <v>9.7458407663453782E-4</v>
          </cell>
          <cell r="H335">
            <v>5.6697709185050308E-5</v>
          </cell>
        </row>
        <row r="336">
          <cell r="B336" t="str">
            <v>RHEM-SHSTG-CHPNGA</v>
          </cell>
          <cell r="C336" t="str">
            <v>VAR_fout</v>
          </cell>
          <cell r="D336" t="str">
            <v>AUX_REM-CHPNGA_OUT</v>
          </cell>
          <cell r="E336">
            <v>1.8253103130516042E-2</v>
          </cell>
          <cell r="F336">
            <v>5.6579578386465249E-5</v>
          </cell>
          <cell r="G336">
            <v>9.7356994127904036E-4</v>
          </cell>
          <cell r="H336">
            <v>5.6697709185050308E-5</v>
          </cell>
        </row>
        <row r="337">
          <cell r="B337" t="str">
            <v>RHEM-SHSTG-CHPNGA</v>
          </cell>
          <cell r="C337" t="str">
            <v>VAR_fin</v>
          </cell>
          <cell r="D337" t="str">
            <v>AUX_REM-CHPNGA_IN</v>
          </cell>
          <cell r="E337">
            <v>2.4340526394822141E-2</v>
          </cell>
          <cell r="F337">
            <v>7.3447984287102605E-5</v>
          </cell>
          <cell r="G337">
            <v>1.2560413550235987E-3</v>
          </cell>
          <cell r="H337">
            <v>4.3541185413166905E-5</v>
          </cell>
        </row>
        <row r="338">
          <cell r="B338" t="str">
            <v>RHEM-SHSTG-CHPNGA</v>
          </cell>
          <cell r="C338" t="str">
            <v>VAR_fin</v>
          </cell>
          <cell r="D338" t="str">
            <v>RHEM_LTH_CHPNGA</v>
          </cell>
          <cell r="E338">
            <v>2.4340526394822141E-2</v>
          </cell>
          <cell r="F338">
            <v>7.3447984287102605E-5</v>
          </cell>
          <cell r="G338">
            <v>1.2560413550235987E-3</v>
          </cell>
          <cell r="H338">
            <v>4.3541185413166905E-5</v>
          </cell>
        </row>
        <row r="339">
          <cell r="B339" t="str">
            <v>RHEM-SHSTG-CHPNGA</v>
          </cell>
          <cell r="C339" t="str">
            <v>VAR_ncap</v>
          </cell>
          <cell r="D339" t="str">
            <v>-</v>
          </cell>
          <cell r="E339">
            <v>1.3086504583770099E-3</v>
          </cell>
          <cell r="F339">
            <v>1.0536636736510999E-5</v>
          </cell>
          <cell r="G339">
            <v>8.3698053382431607E-6</v>
          </cell>
          <cell r="H339">
            <v>5.8252285214161297E-6</v>
          </cell>
        </row>
        <row r="340">
          <cell r="B340" t="str">
            <v>RHEM-SHSTG-CHPNGA</v>
          </cell>
          <cell r="C340" t="str">
            <v>VAR_cap</v>
          </cell>
          <cell r="D340" t="str">
            <v>-</v>
          </cell>
          <cell r="E340">
            <v>1.3086504583770099E-3</v>
          </cell>
          <cell r="F340">
            <v>1.3160467460018596E-3</v>
          </cell>
          <cell r="G340">
            <v>1.3151469269362304E-3</v>
          </cell>
          <cell r="H340">
            <v>9.8419446916660084E-4</v>
          </cell>
        </row>
        <row r="341">
          <cell r="B341" t="str">
            <v>RHNS-ESOLPV</v>
          </cell>
          <cell r="C341" t="str">
            <v>VAR_fout</v>
          </cell>
          <cell r="D341" t="str">
            <v>RHNS_SOL_ELC</v>
          </cell>
          <cell r="E341"/>
          <cell r="F341">
            <v>1.1743281137920633E-5</v>
          </cell>
          <cell r="G341">
            <v>4.8672404815610981E-4</v>
          </cell>
          <cell r="H341">
            <v>5.3822100543844968E-4</v>
          </cell>
        </row>
        <row r="342">
          <cell r="B342" t="str">
            <v>RHNS-ESOLPV</v>
          </cell>
          <cell r="C342" t="str">
            <v>VAR_fin</v>
          </cell>
          <cell r="D342" t="str">
            <v>SOL</v>
          </cell>
          <cell r="E342"/>
          <cell r="F342">
            <v>1.1743281137920633E-5</v>
          </cell>
          <cell r="G342">
            <v>4.8672404815610981E-4</v>
          </cell>
          <cell r="H342">
            <v>5.3822100543844968E-4</v>
          </cell>
        </row>
        <row r="343">
          <cell r="B343" t="str">
            <v>RHNS-ESOLPV</v>
          </cell>
          <cell r="C343" t="str">
            <v>VAR_fin</v>
          </cell>
          <cell r="D343" t="str">
            <v>SOLPVC</v>
          </cell>
          <cell r="E343"/>
          <cell r="F343">
            <v>1.1743281137920601E-5</v>
          </cell>
          <cell r="G343">
            <v>4.8672404815611002E-4</v>
          </cell>
          <cell r="H343">
            <v>5.3822100543845001E-4</v>
          </cell>
        </row>
        <row r="344">
          <cell r="B344" t="str">
            <v>RHNS-ESOLPV</v>
          </cell>
          <cell r="C344" t="str">
            <v>VAR_ncap</v>
          </cell>
          <cell r="D344" t="str">
            <v>-</v>
          </cell>
          <cell r="E344"/>
          <cell r="F344">
            <v>4.0378501267902797E-6</v>
          </cell>
          <cell r="G344">
            <v>1.5127269804312101E-4</v>
          </cell>
          <cell r="H344">
            <v>1.5859425365217301E-7</v>
          </cell>
        </row>
        <row r="345">
          <cell r="B345" t="str">
            <v>RHNS-ESOLPV</v>
          </cell>
          <cell r="C345" t="str">
            <v>VAR_cap</v>
          </cell>
          <cell r="D345" t="str">
            <v>-</v>
          </cell>
          <cell r="E345"/>
          <cell r="F345">
            <v>4.0378501267902797E-6</v>
          </cell>
          <cell r="G345">
            <v>1.55310548169912E-4</v>
          </cell>
          <cell r="H345">
            <v>1.55469142423564E-4</v>
          </cell>
        </row>
        <row r="346">
          <cell r="B346" t="str">
            <v>RHSA-WHSTG-CHP</v>
          </cell>
          <cell r="C346" t="str">
            <v>VAR_fout</v>
          </cell>
          <cell r="D346" t="str">
            <v>AUX_RHSA-CHP_OUT</v>
          </cell>
          <cell r="E346">
            <v>2.8952910749002997E-2</v>
          </cell>
          <cell r="F346">
            <v>1.1403510190782566E-4</v>
          </cell>
          <cell r="G346">
            <v>1.6872777997250347E-3</v>
          </cell>
          <cell r="H346">
            <v>2.6371066649285858E-4</v>
          </cell>
        </row>
        <row r="347">
          <cell r="B347" t="str">
            <v>RHSA-WHSTG-CHP</v>
          </cell>
          <cell r="C347" t="str">
            <v>VAR_fout</v>
          </cell>
          <cell r="D347" t="str">
            <v>RHSA_LTH</v>
          </cell>
          <cell r="E347">
            <v>2.8952910749002934E-2</v>
          </cell>
          <cell r="F347">
            <v>1.1411112530909736E-4</v>
          </cell>
          <cell r="G347">
            <v>1.6890353807664127E-3</v>
          </cell>
          <cell r="H347">
            <v>2.6371066649285858E-4</v>
          </cell>
        </row>
        <row r="348">
          <cell r="B348" t="str">
            <v>RHSA-WHSTG-CHP</v>
          </cell>
          <cell r="C348" t="str">
            <v>VAR_fin</v>
          </cell>
          <cell r="D348" t="str">
            <v>RHSA_LTH</v>
          </cell>
          <cell r="E348">
            <v>3.8599917036549865E-2</v>
          </cell>
          <cell r="F348">
            <v>1.5223142675082664E-4</v>
          </cell>
          <cell r="G348">
            <v>2.1779140055160945E-3</v>
          </cell>
          <cell r="H348">
            <v>3.2679507119685484E-4</v>
          </cell>
        </row>
        <row r="349">
          <cell r="B349" t="str">
            <v>RHSA-WHSTG-CHP</v>
          </cell>
          <cell r="C349" t="str">
            <v>VAR_fin</v>
          </cell>
          <cell r="D349" t="str">
            <v>AUX_RHSA-CHP_IN</v>
          </cell>
          <cell r="E349">
            <v>3.8599917036549865E-2</v>
          </cell>
          <cell r="F349">
            <v>1.5223142675082664E-4</v>
          </cell>
          <cell r="G349">
            <v>2.1779140055160945E-3</v>
          </cell>
          <cell r="H349">
            <v>3.2679507119685484E-4</v>
          </cell>
        </row>
        <row r="350">
          <cell r="B350" t="str">
            <v>RHSA-WHSTG-CHP</v>
          </cell>
          <cell r="C350" t="str">
            <v>VAR_ncap</v>
          </cell>
          <cell r="D350" t="str">
            <v>-</v>
          </cell>
          <cell r="E350">
            <v>1.15685807031554E-3</v>
          </cell>
          <cell r="F350">
            <v>5.4546898604904504E-6</v>
          </cell>
          <cell r="G350">
            <v>6.16080428553803E-6</v>
          </cell>
          <cell r="H350">
            <v>5.6463886149030602E-6</v>
          </cell>
        </row>
        <row r="351">
          <cell r="B351" t="str">
            <v>RHSA-WHSTG-CHP</v>
          </cell>
          <cell r="C351" t="str">
            <v>VAR_cap</v>
          </cell>
          <cell r="D351" t="str">
            <v>-</v>
          </cell>
          <cell r="E351">
            <v>1.8414727916817564E-3</v>
          </cell>
          <cell r="F351">
            <v>1.8310638713682663E-3</v>
          </cell>
          <cell r="G351">
            <v>1.8151227287820327E-3</v>
          </cell>
          <cell r="H351">
            <v>1.3979918471934318E-3</v>
          </cell>
        </row>
        <row r="352">
          <cell r="B352" t="str">
            <v>G-INTC-SER</v>
          </cell>
          <cell r="C352" t="str">
            <v>VAR_fout</v>
          </cell>
          <cell r="D352" t="str">
            <v>ELC35</v>
          </cell>
          <cell r="E352">
            <v>1.5184449083220069E-3</v>
          </cell>
          <cell r="F352">
            <v>3.6499206680486656E-4</v>
          </cell>
          <cell r="G352">
            <v>3.9208665471226226E-4</v>
          </cell>
          <cell r="H352">
            <v>1.9552930708992207E-4</v>
          </cell>
        </row>
        <row r="353">
          <cell r="B353" t="str">
            <v>G-INTC-SER</v>
          </cell>
          <cell r="C353" t="str">
            <v>VAR_fout</v>
          </cell>
          <cell r="D353" t="str">
            <v>SCOM_ELC</v>
          </cell>
          <cell r="E353">
            <v>57.562602217114488</v>
          </cell>
          <cell r="F353">
            <v>56.853165491362851</v>
          </cell>
          <cell r="G353">
            <v>51.337603003883288</v>
          </cell>
          <cell r="H353">
            <v>51.002594259346374</v>
          </cell>
        </row>
        <row r="354">
          <cell r="B354" t="str">
            <v>G-INTC-SER</v>
          </cell>
          <cell r="C354" t="str">
            <v>VAR_fin</v>
          </cell>
          <cell r="D354" t="str">
            <v>ELC5</v>
          </cell>
          <cell r="E354">
            <v>57.564119401592926</v>
          </cell>
          <cell r="F354">
            <v>56.853530483429644</v>
          </cell>
          <cell r="G354">
            <v>51.337995090538051</v>
          </cell>
          <cell r="H354">
            <v>51.002787579801058</v>
          </cell>
        </row>
        <row r="355">
          <cell r="B355" t="str">
            <v>G-INTC-SER</v>
          </cell>
          <cell r="C355" t="str">
            <v>VAR_ncap</v>
          </cell>
          <cell r="D355" t="str">
            <v>-</v>
          </cell>
          <cell r="E355">
            <v>1.8197450761346901E-8</v>
          </cell>
          <cell r="F355">
            <v>1.9309975296435499E-8</v>
          </cell>
          <cell r="G355">
            <v>2.10500552928682E-8</v>
          </cell>
          <cell r="H355">
            <v>2.4681144045919199E-8</v>
          </cell>
        </row>
        <row r="356">
          <cell r="B356" t="str">
            <v>G-INTC-SER</v>
          </cell>
          <cell r="C356" t="str">
            <v>VAR_cap</v>
          </cell>
          <cell r="D356" t="str">
            <v>-</v>
          </cell>
          <cell r="E356">
            <v>4.3683888589490198</v>
          </cell>
          <cell r="F356">
            <v>4.368388864865687</v>
          </cell>
          <cell r="G356">
            <v>4.3683888964564463</v>
          </cell>
          <cell r="H356">
            <v>4.3683889310858035</v>
          </cell>
        </row>
        <row r="357">
          <cell r="B357" t="str">
            <v>CHPWOD</v>
          </cell>
          <cell r="C357" t="str">
            <v>VAR_fout</v>
          </cell>
          <cell r="D357" t="str">
            <v>ELC35</v>
          </cell>
          <cell r="E357">
            <v>0.35678446084797527</v>
          </cell>
          <cell r="F357">
            <v>7.0788979913009337E-2</v>
          </cell>
          <cell r="G357">
            <v>1.502460900527931E-2</v>
          </cell>
          <cell r="H357">
            <v>1.0672510993133972</v>
          </cell>
        </row>
        <row r="358">
          <cell r="B358" t="str">
            <v>CHPWOD</v>
          </cell>
          <cell r="C358" t="str">
            <v>VAR_fout</v>
          </cell>
          <cell r="D358" t="str">
            <v>LTH</v>
          </cell>
          <cell r="E358">
            <v>0.93305727586550913</v>
          </cell>
          <cell r="F358">
            <v>0.18512625970858784</v>
          </cell>
          <cell r="G358">
            <v>3.9292128127137456E-2</v>
          </cell>
          <cell r="H358">
            <v>2.7910587838469172</v>
          </cell>
        </row>
        <row r="359">
          <cell r="B359" t="str">
            <v>CHPWOD</v>
          </cell>
          <cell r="C359" t="str">
            <v>VAR_fin</v>
          </cell>
          <cell r="D359" t="str">
            <v>EWOD</v>
          </cell>
          <cell r="E359">
            <v>1.4627766602335668</v>
          </cell>
          <cell r="F359">
            <v>0.28300194632154602</v>
          </cell>
          <cell r="G359">
            <v>5.8122718085274631E-2</v>
          </cell>
          <cell r="H359">
            <v>3.8797998513057581</v>
          </cell>
        </row>
        <row r="360">
          <cell r="B360" t="str">
            <v>CHPWOD</v>
          </cell>
          <cell r="C360" t="str">
            <v>VAR_ncap</v>
          </cell>
          <cell r="D360" t="str">
            <v>-</v>
          </cell>
          <cell r="E360"/>
          <cell r="F360">
            <v>3.53339480790937E-8</v>
          </cell>
          <cell r="G360">
            <v>3.0943961463134699E-7</v>
          </cell>
          <cell r="H360">
            <v>3.70711202822653E-2</v>
          </cell>
        </row>
        <row r="361">
          <cell r="B361" t="str">
            <v>CHPWOD</v>
          </cell>
          <cell r="C361" t="str">
            <v>VAR_cap</v>
          </cell>
          <cell r="D361" t="str">
            <v>-</v>
          </cell>
          <cell r="E361">
            <v>1.3313684453287199E-2</v>
          </cell>
          <cell r="F361">
            <v>2.7511037404386804E-3</v>
          </cell>
          <cell r="G361">
            <v>2.7438266746095188E-3</v>
          </cell>
          <cell r="H361">
            <v>3.9814622617166791E-2</v>
          </cell>
        </row>
        <row r="362">
          <cell r="B362" t="str">
            <v>G-INTC1</v>
          </cell>
          <cell r="C362" t="str">
            <v>VAR_fout</v>
          </cell>
          <cell r="D362" t="str">
            <v>ELC13</v>
          </cell>
          <cell r="E362">
            <v>124.97806052228616</v>
          </cell>
          <cell r="F362">
            <v>139.58453337949717</v>
          </cell>
          <cell r="G362">
            <v>117.64501816036594</v>
          </cell>
          <cell r="H362">
            <v>126.59670013614759</v>
          </cell>
        </row>
        <row r="363">
          <cell r="B363" t="str">
            <v>G-INTC1</v>
          </cell>
          <cell r="C363" t="str">
            <v>VAR_fin</v>
          </cell>
          <cell r="D363" t="str">
            <v>ELC</v>
          </cell>
          <cell r="E363">
            <v>126.29420914882554</v>
          </cell>
          <cell r="F363">
            <v>143.20254143921545</v>
          </cell>
          <cell r="G363">
            <v>120.43235827872448</v>
          </cell>
          <cell r="H363">
            <v>129.12894924566857</v>
          </cell>
        </row>
        <row r="364">
          <cell r="B364" t="str">
            <v>G-INTC1</v>
          </cell>
          <cell r="C364" t="str">
            <v>VAR_ncap</v>
          </cell>
          <cell r="D364" t="str">
            <v>-</v>
          </cell>
          <cell r="E364">
            <v>3.4543969238640099E-8</v>
          </cell>
          <cell r="F364">
            <v>3.32938594811558E-8</v>
          </cell>
          <cell r="G364">
            <v>3.87292064072825E-8</v>
          </cell>
          <cell r="H364">
            <v>4.6703925876598803E-8</v>
          </cell>
        </row>
        <row r="365">
          <cell r="B365" t="str">
            <v>G-INTC1</v>
          </cell>
          <cell r="C365" t="str">
            <v>VAR_cap</v>
          </cell>
          <cell r="D365" t="str">
            <v>-</v>
          </cell>
          <cell r="E365">
            <v>15.305609183965201</v>
          </cell>
          <cell r="F365">
            <v>15.305609183965201</v>
          </cell>
          <cell r="G365">
            <v>15.305609183965201</v>
          </cell>
          <cell r="H365">
            <v>15.305609216538381</v>
          </cell>
        </row>
        <row r="366">
          <cell r="B366" t="str">
            <v>EHYD-RUNS00</v>
          </cell>
          <cell r="C366" t="str">
            <v>VAR_fout</v>
          </cell>
          <cell r="D366" t="str">
            <v>ELC35</v>
          </cell>
          <cell r="E366">
            <v>12.240000000000178</v>
          </cell>
          <cell r="F366">
            <v>12.242622031021167</v>
          </cell>
          <cell r="G366">
            <v>12.247230639030366</v>
          </cell>
          <cell r="H366">
            <v>12.255391898598907</v>
          </cell>
        </row>
        <row r="367">
          <cell r="B367" t="str">
            <v>EHYD-RUNS00</v>
          </cell>
          <cell r="C367" t="str">
            <v>VAR_fin</v>
          </cell>
          <cell r="D367" t="str">
            <v>HYDR</v>
          </cell>
          <cell r="E367">
            <v>12.240000000000178</v>
          </cell>
          <cell r="F367">
            <v>12.242622031021167</v>
          </cell>
          <cell r="G367">
            <v>12.247230639030366</v>
          </cell>
          <cell r="H367">
            <v>12.255391898598907</v>
          </cell>
        </row>
        <row r="368">
          <cell r="B368" t="str">
            <v>EHYD-RUNS00</v>
          </cell>
          <cell r="C368" t="str">
            <v>VAR_cap</v>
          </cell>
          <cell r="D368" t="str">
            <v>-</v>
          </cell>
          <cell r="E368">
            <v>0.85785999999999896</v>
          </cell>
          <cell r="F368">
            <v>0.88297936593724102</v>
          </cell>
          <cell r="G368">
            <v>0.89707999999999899</v>
          </cell>
          <cell r="H368">
            <v>0.89707999999999899</v>
          </cell>
        </row>
        <row r="369">
          <cell r="B369" t="str">
            <v>RHNS-SHSTG-CHPWOD</v>
          </cell>
          <cell r="C369" t="str">
            <v>VAR_fout</v>
          </cell>
          <cell r="D369" t="str">
            <v>AUX_RNS-CHPWOD_OUT</v>
          </cell>
          <cell r="E369">
            <v>1.1799303760170252E-4</v>
          </cell>
          <cell r="F369">
            <v>6.1370195649767387E-5</v>
          </cell>
          <cell r="G369">
            <v>2.8742800828776323E-5</v>
          </cell>
          <cell r="H369">
            <v>5.5750972450468986E-5</v>
          </cell>
        </row>
        <row r="370">
          <cell r="B370" t="str">
            <v>RHNS-SHSTG-CHPWOD</v>
          </cell>
          <cell r="C370" t="str">
            <v>VAR_fout</v>
          </cell>
          <cell r="D370" t="str">
            <v>RHNS_LTH_CHPWOD</v>
          </cell>
          <cell r="E370">
            <v>1.1799303760170217E-4</v>
          </cell>
          <cell r="F370">
            <v>6.1411109113533745E-5</v>
          </cell>
          <cell r="G370">
            <v>2.877274124630628E-5</v>
          </cell>
          <cell r="H370">
            <v>5.5750972450468986E-5</v>
          </cell>
        </row>
        <row r="371">
          <cell r="B371" t="str">
            <v>RHNS-SHSTG-CHPWOD</v>
          </cell>
          <cell r="C371" t="str">
            <v>VAR_fin</v>
          </cell>
          <cell r="D371" t="str">
            <v>AUX_RNS-CHPWOD_IN</v>
          </cell>
          <cell r="E371">
            <v>9.3900656203069549E-5</v>
          </cell>
          <cell r="F371">
            <v>3.9545892612999528E-5</v>
          </cell>
          <cell r="G371">
            <v>2.3065352031159757E-5</v>
          </cell>
          <cell r="H371">
            <v>4.2957778292832372E-5</v>
          </cell>
        </row>
        <row r="372">
          <cell r="B372" t="str">
            <v>RHNS-SHSTG-CHPWOD</v>
          </cell>
          <cell r="C372" t="str">
            <v>VAR_fin</v>
          </cell>
          <cell r="D372" t="str">
            <v>RHNS_LTH_CHPWOD</v>
          </cell>
          <cell r="E372">
            <v>9.3900656203069549E-5</v>
          </cell>
          <cell r="F372">
            <v>3.9545892612999528E-5</v>
          </cell>
          <cell r="G372">
            <v>2.3065352031159757E-5</v>
          </cell>
          <cell r="H372">
            <v>4.2957778292832372E-5</v>
          </cell>
        </row>
        <row r="373">
          <cell r="B373" t="str">
            <v>RHNS-SHSTG-CHPWOD</v>
          </cell>
          <cell r="C373" t="str">
            <v>VAR_ncap</v>
          </cell>
          <cell r="D373" t="str">
            <v>-</v>
          </cell>
          <cell r="E373">
            <v>3.4762903967912399E-4</v>
          </cell>
          <cell r="F373">
            <v>7.7810624549077198E-6</v>
          </cell>
          <cell r="G373">
            <v>7.6674317514386302E-6</v>
          </cell>
          <cell r="H373">
            <v>5.0643434344286399E-6</v>
          </cell>
        </row>
        <row r="374">
          <cell r="B374" t="str">
            <v>RHNS-SHSTG-CHPWOD</v>
          </cell>
          <cell r="C374" t="str">
            <v>VAR_cap</v>
          </cell>
          <cell r="D374" t="str">
            <v>-</v>
          </cell>
          <cell r="E374">
            <v>3.4762903967912399E-4</v>
          </cell>
          <cell r="F374">
            <v>3.5433112524572709E-4</v>
          </cell>
          <cell r="G374">
            <v>3.5874892035701926E-4</v>
          </cell>
          <cell r="H374">
            <v>3.5624939737311884E-4</v>
          </cell>
        </row>
        <row r="375">
          <cell r="B375" t="str">
            <v>HPLOIL</v>
          </cell>
          <cell r="C375" t="str">
            <v>VAR_fout</v>
          </cell>
          <cell r="D375" t="str">
            <v>LTH</v>
          </cell>
          <cell r="E375">
            <v>0.18406930057918613</v>
          </cell>
          <cell r="F375">
            <v>0.18582287704850181</v>
          </cell>
          <cell r="G375">
            <v>4.1569472738406187E-4</v>
          </cell>
          <cell r="H375">
            <v>2.707221857956106E-4</v>
          </cell>
        </row>
        <row r="376">
          <cell r="B376" t="str">
            <v>HPLOIL</v>
          </cell>
          <cell r="C376" t="str">
            <v>VAR_fout</v>
          </cell>
          <cell r="D376" t="str">
            <v>CO2_E</v>
          </cell>
          <cell r="E376">
            <v>15.876678439795</v>
          </cell>
          <cell r="F376">
            <v>16.027931091026499</v>
          </cell>
          <cell r="G376">
            <v>3.58552539452704E-2</v>
          </cell>
          <cell r="H376">
            <v>2.3350819918752801E-2</v>
          </cell>
        </row>
        <row r="377">
          <cell r="B377" t="str">
            <v>HPLOIL</v>
          </cell>
          <cell r="C377" t="str">
            <v>VAR_fin</v>
          </cell>
          <cell r="D377" t="str">
            <v>ELFO</v>
          </cell>
          <cell r="E377">
            <v>0.21542304531607956</v>
          </cell>
          <cell r="F377">
            <v>0.21747532009533904</v>
          </cell>
          <cell r="G377">
            <v>4.8650276723569011E-4</v>
          </cell>
          <cell r="H377">
            <v>3.1683609116353893E-4</v>
          </cell>
        </row>
        <row r="378">
          <cell r="B378" t="str">
            <v>HPLOIL</v>
          </cell>
          <cell r="C378" t="str">
            <v>VAR_ncap</v>
          </cell>
          <cell r="D378" t="str">
            <v>-</v>
          </cell>
          <cell r="E378">
            <v>2.5861309018487502E-6</v>
          </cell>
          <cell r="F378">
            <v>1.65945186923258E-6</v>
          </cell>
          <cell r="G378">
            <v>1.3189636344887399E-6</v>
          </cell>
          <cell r="H378">
            <v>2.3240795868066898E-6</v>
          </cell>
        </row>
        <row r="379">
          <cell r="B379" t="str">
            <v>HPLOIL</v>
          </cell>
          <cell r="C379" t="str">
            <v>VAR_cap</v>
          </cell>
          <cell r="D379" t="str">
            <v>-</v>
          </cell>
          <cell r="E379">
            <v>2.3930093201793852E-2</v>
          </cell>
          <cell r="F379">
            <v>2.359890207582848E-2</v>
          </cell>
          <cell r="G379">
            <v>8.715021885704749E-4</v>
          </cell>
          <cell r="H379">
            <v>3.7242337502657596E-4</v>
          </cell>
        </row>
        <row r="380">
          <cell r="B380" t="str">
            <v>V2G</v>
          </cell>
          <cell r="C380" t="str">
            <v>VAR_fout</v>
          </cell>
          <cell r="D380" t="str">
            <v>ELC35</v>
          </cell>
          <cell r="E380"/>
          <cell r="F380"/>
          <cell r="G380"/>
          <cell r="H380">
            <v>4.0559774601468066E-3</v>
          </cell>
        </row>
        <row r="381">
          <cell r="B381" t="str">
            <v>V2G</v>
          </cell>
          <cell r="C381" t="str">
            <v>VAR_fin</v>
          </cell>
          <cell r="D381" t="str">
            <v>T-ELC-Bus_c_BatSTGout_S1</v>
          </cell>
          <cell r="E381"/>
          <cell r="F381"/>
          <cell r="G381"/>
          <cell r="H381">
            <v>1.1051524539554566E-4</v>
          </cell>
        </row>
        <row r="382">
          <cell r="B382" t="str">
            <v>V2G</v>
          </cell>
          <cell r="C382" t="str">
            <v>VAR_fin</v>
          </cell>
          <cell r="D382" t="str">
            <v>T-ELC-Bus_c_BatSTGout_S2</v>
          </cell>
          <cell r="E382"/>
          <cell r="F382"/>
          <cell r="G382"/>
          <cell r="H382">
            <v>1.0523264640754656E-4</v>
          </cell>
        </row>
        <row r="383">
          <cell r="B383" t="str">
            <v>V2G</v>
          </cell>
          <cell r="C383" t="str">
            <v>VAR_fin</v>
          </cell>
          <cell r="D383" t="str">
            <v>T-ELC-Bus_c_BatSTGout_S3</v>
          </cell>
          <cell r="E383"/>
          <cell r="F383"/>
          <cell r="G383"/>
          <cell r="H383">
            <v>7.0027794583910589E-5</v>
          </cell>
        </row>
        <row r="384">
          <cell r="B384" t="str">
            <v>V2G</v>
          </cell>
          <cell r="C384" t="str">
            <v>VAR_fin</v>
          </cell>
          <cell r="D384" t="str">
            <v>T-ELC-Bus_c_BatSTGout_S4</v>
          </cell>
          <cell r="E384"/>
          <cell r="F384"/>
          <cell r="G384"/>
          <cell r="H384">
            <v>9.8551287386395835E-5</v>
          </cell>
        </row>
        <row r="385">
          <cell r="B385" t="str">
            <v>V2G</v>
          </cell>
          <cell r="C385" t="str">
            <v>VAR_fin</v>
          </cell>
          <cell r="D385" t="str">
            <v>T-ELC-car-BatSTGOut_S1</v>
          </cell>
          <cell r="E385"/>
          <cell r="F385"/>
          <cell r="G385"/>
          <cell r="H385">
            <v>3.5653101350887592E-4</v>
          </cell>
        </row>
        <row r="386">
          <cell r="B386" t="str">
            <v>V2G</v>
          </cell>
          <cell r="C386" t="str">
            <v>VAR_fin</v>
          </cell>
          <cell r="D386" t="str">
            <v>T-ELC-car-BatSTGOut_S2</v>
          </cell>
          <cell r="E386"/>
          <cell r="F386"/>
          <cell r="G386"/>
          <cell r="H386">
            <v>1.4412154505481E-4</v>
          </cell>
        </row>
        <row r="387">
          <cell r="B387" t="str">
            <v>V2G</v>
          </cell>
          <cell r="C387" t="str">
            <v>VAR_fin</v>
          </cell>
          <cell r="D387" t="str">
            <v>T-ELC-car-BatSTGOut_S3</v>
          </cell>
          <cell r="E387"/>
          <cell r="F387"/>
          <cell r="G387"/>
          <cell r="H387">
            <v>1.7087188353178754E-4</v>
          </cell>
        </row>
        <row r="388">
          <cell r="B388" t="str">
            <v>V2G</v>
          </cell>
          <cell r="C388" t="str">
            <v>VAR_fin</v>
          </cell>
          <cell r="D388" t="str">
            <v>T-ELC-car-BatSTGOut_S4</v>
          </cell>
          <cell r="E388"/>
          <cell r="F388"/>
          <cell r="G388"/>
          <cell r="H388">
            <v>1.3862433180768306E-4</v>
          </cell>
        </row>
        <row r="389">
          <cell r="B389" t="str">
            <v>V2G</v>
          </cell>
          <cell r="C389" t="str">
            <v>VAR_fin</v>
          </cell>
          <cell r="D389" t="str">
            <v>T-ELC-car-PlgSTGOut_S1</v>
          </cell>
          <cell r="E389"/>
          <cell r="F389"/>
          <cell r="G389"/>
          <cell r="H389">
            <v>1.641341130912228E-4</v>
          </cell>
        </row>
        <row r="390">
          <cell r="B390" t="str">
            <v>V2G</v>
          </cell>
          <cell r="C390" t="str">
            <v>VAR_fin</v>
          </cell>
          <cell r="D390" t="str">
            <v>T-ELC-car-PlgSTGOut_S2</v>
          </cell>
          <cell r="E390"/>
          <cell r="F390"/>
          <cell r="G390"/>
          <cell r="H390">
            <v>3.3146198355678729E-5</v>
          </cell>
        </row>
        <row r="391">
          <cell r="B391" t="str">
            <v>V2G</v>
          </cell>
          <cell r="C391" t="str">
            <v>VAR_fin</v>
          </cell>
          <cell r="D391" t="str">
            <v>T-ELC-car-PlgSTGOut_S3</v>
          </cell>
          <cell r="E391"/>
          <cell r="F391"/>
          <cell r="G391"/>
          <cell r="H391">
            <v>1.4315134062945986E-4</v>
          </cell>
        </row>
        <row r="392">
          <cell r="B392" t="str">
            <v>V2G</v>
          </cell>
          <cell r="C392" t="str">
            <v>VAR_fin</v>
          </cell>
          <cell r="D392" t="str">
            <v>T-ELC-TWSTGout_S1</v>
          </cell>
          <cell r="E392"/>
          <cell r="F392"/>
          <cell r="G392"/>
          <cell r="H392">
            <v>3.3367212887668658E-4</v>
          </cell>
        </row>
        <row r="393">
          <cell r="B393" t="str">
            <v>V2G</v>
          </cell>
          <cell r="C393" t="str">
            <v>VAR_fin</v>
          </cell>
          <cell r="D393" t="str">
            <v>T-ELC-car-PlgSTGOut_S4</v>
          </cell>
          <cell r="E393"/>
          <cell r="F393"/>
          <cell r="G393"/>
          <cell r="H393">
            <v>3.2210423011573359E-5</v>
          </cell>
        </row>
        <row r="394">
          <cell r="B394" t="str">
            <v>V2G</v>
          </cell>
          <cell r="C394" t="str">
            <v>VAR_fin</v>
          </cell>
          <cell r="D394" t="str">
            <v>T-ELC-TWSTGout_S2</v>
          </cell>
          <cell r="E394"/>
          <cell r="F394"/>
          <cell r="G394"/>
          <cell r="H394">
            <v>4.811290159065512E-4</v>
          </cell>
        </row>
        <row r="395">
          <cell r="B395" t="str">
            <v>V2G</v>
          </cell>
          <cell r="C395" t="str">
            <v>VAR_fin</v>
          </cell>
          <cell r="D395" t="str">
            <v>T-ELC-TWSTGout_S3</v>
          </cell>
          <cell r="E395"/>
          <cell r="F395"/>
          <cell r="G395"/>
          <cell r="H395">
            <v>6.1519210636479824E-4</v>
          </cell>
        </row>
        <row r="396">
          <cell r="B396" t="str">
            <v>V2G</v>
          </cell>
          <cell r="C396" t="str">
            <v>VAR_fin</v>
          </cell>
          <cell r="D396" t="str">
            <v>T-ELC-TWSTGout_S4</v>
          </cell>
          <cell r="E396"/>
          <cell r="F396"/>
          <cell r="G396"/>
          <cell r="H396">
            <v>6.7767259032902431E-4</v>
          </cell>
        </row>
        <row r="397">
          <cell r="B397" t="str">
            <v>V2G</v>
          </cell>
          <cell r="C397" t="str">
            <v>VAR_fin</v>
          </cell>
          <cell r="D397" t="str">
            <v>T-ELC-Bus_u_BatSTGout_S1</v>
          </cell>
          <cell r="E397"/>
          <cell r="F397"/>
          <cell r="G397"/>
          <cell r="H397">
            <v>3.1366742089048324E-5</v>
          </cell>
        </row>
        <row r="398">
          <cell r="B398" t="str">
            <v>V2G</v>
          </cell>
          <cell r="C398" t="str">
            <v>VAR_fin</v>
          </cell>
          <cell r="D398" t="str">
            <v>T-ELC-Bus_u_BatSTGout_S2</v>
          </cell>
          <cell r="E398"/>
          <cell r="F398"/>
          <cell r="G398"/>
          <cell r="H398">
            <v>2.7144698591220553E-5</v>
          </cell>
        </row>
        <row r="399">
          <cell r="B399" t="str">
            <v>V2G</v>
          </cell>
          <cell r="C399" t="str">
            <v>VAR_fin</v>
          </cell>
          <cell r="D399" t="str">
            <v>T-ELC-Bus_u_BatSTGout_S3</v>
          </cell>
          <cell r="E399"/>
          <cell r="F399"/>
          <cell r="G399"/>
          <cell r="H399">
            <v>1.6319923972217568E-5</v>
          </cell>
        </row>
        <row r="400">
          <cell r="B400" t="str">
            <v>V2G</v>
          </cell>
          <cell r="C400" t="str">
            <v>VAR_fin</v>
          </cell>
          <cell r="D400" t="str">
            <v>T-ELC-Bus_u_BatSTGout_S4</v>
          </cell>
          <cell r="E400"/>
          <cell r="F400"/>
          <cell r="G400"/>
          <cell r="H400">
            <v>4.4370224915129209E-5</v>
          </cell>
        </row>
        <row r="401">
          <cell r="B401" t="str">
            <v>V2G</v>
          </cell>
          <cell r="C401" t="str">
            <v>VAR_fin</v>
          </cell>
          <cell r="D401" t="str">
            <v>T-ELC-LGV_BatSTGout</v>
          </cell>
          <cell r="E401"/>
          <cell r="F401"/>
          <cell r="G401"/>
          <cell r="H401">
            <v>1.1838371020137065E-4</v>
          </cell>
        </row>
        <row r="402">
          <cell r="B402" t="str">
            <v>V2G</v>
          </cell>
          <cell r="C402" t="str">
            <v>VAR_fin</v>
          </cell>
          <cell r="D402" t="str">
            <v>T-ELC-HGV_BatSTGout</v>
          </cell>
          <cell r="E402"/>
          <cell r="F402"/>
          <cell r="G402"/>
          <cell r="H402">
            <v>1.7355249151725357E-4</v>
          </cell>
        </row>
        <row r="403">
          <cell r="B403" t="str">
            <v>V2G</v>
          </cell>
          <cell r="C403" t="str">
            <v>VAR_ncap</v>
          </cell>
          <cell r="D403" t="str">
            <v>-</v>
          </cell>
          <cell r="E403"/>
          <cell r="F403"/>
          <cell r="G403"/>
          <cell r="H403">
            <v>1.1084331294218301E-3</v>
          </cell>
        </row>
        <row r="404">
          <cell r="B404" t="str">
            <v>V2G</v>
          </cell>
          <cell r="C404" t="str">
            <v>VAR_cap</v>
          </cell>
          <cell r="D404" t="str">
            <v>-</v>
          </cell>
          <cell r="E404"/>
          <cell r="F404"/>
          <cell r="G404"/>
          <cell r="H404">
            <v>1.1084331294218301E-3</v>
          </cell>
        </row>
        <row r="405">
          <cell r="B405" t="str">
            <v>D-EBIO</v>
          </cell>
          <cell r="C405" t="str">
            <v>VAR_fout</v>
          </cell>
          <cell r="D405" t="str">
            <v>EBIO</v>
          </cell>
          <cell r="E405">
            <v>1.1839529493940701</v>
          </cell>
          <cell r="F405">
            <v>1.1839506438818965</v>
          </cell>
          <cell r="G405">
            <v>1.1839511575705857</v>
          </cell>
          <cell r="H405">
            <v>1.1839500793150159</v>
          </cell>
        </row>
        <row r="406">
          <cell r="B406" t="str">
            <v>D-EBIO</v>
          </cell>
          <cell r="C406" t="str">
            <v>VAR_fin</v>
          </cell>
          <cell r="D406" t="str">
            <v>BIO</v>
          </cell>
          <cell r="E406">
            <v>1.1839529493940701</v>
          </cell>
          <cell r="F406">
            <v>1.1839506438818965</v>
          </cell>
          <cell r="G406">
            <v>1.1839511575705857</v>
          </cell>
          <cell r="H406">
            <v>1.1839500793150159</v>
          </cell>
        </row>
        <row r="407">
          <cell r="B407" t="str">
            <v>G-INTC3</v>
          </cell>
          <cell r="C407" t="str">
            <v>VAR_fout</v>
          </cell>
          <cell r="D407" t="str">
            <v>ELC35</v>
          </cell>
          <cell r="E407">
            <v>200.69348662003287</v>
          </cell>
          <cell r="F407">
            <v>106.06340351271602</v>
          </cell>
          <cell r="G407">
            <v>95.445607760401572</v>
          </cell>
          <cell r="H407">
            <v>128.89909591422884</v>
          </cell>
        </row>
        <row r="408">
          <cell r="B408" t="str">
            <v>G-INTC3</v>
          </cell>
          <cell r="C408" t="str">
            <v>VAR_fout</v>
          </cell>
          <cell r="D408" t="str">
            <v>ELC3</v>
          </cell>
          <cell r="E408">
            <v>35.73489880739352</v>
          </cell>
          <cell r="F408">
            <v>68.799245816745653</v>
          </cell>
          <cell r="G408">
            <v>68.333343194157564</v>
          </cell>
          <cell r="H408">
            <v>43.343722497832381</v>
          </cell>
        </row>
        <row r="409">
          <cell r="B409" t="str">
            <v>G-INTC3</v>
          </cell>
          <cell r="C409" t="str">
            <v>VAR_fout</v>
          </cell>
          <cell r="D409" t="str">
            <v>ELC</v>
          </cell>
          <cell r="E409">
            <v>9.0091488007805458E-3</v>
          </cell>
          <cell r="F409">
            <v>7.6910961423516644E-4</v>
          </cell>
          <cell r="G409">
            <v>7.9399509916922863E-4</v>
          </cell>
          <cell r="H409">
            <v>4.5427967411985968E-4</v>
          </cell>
        </row>
        <row r="410">
          <cell r="B410" t="str">
            <v>G-INTC3</v>
          </cell>
          <cell r="C410" t="str">
            <v>VAR_fin</v>
          </cell>
          <cell r="D410" t="str">
            <v>ELC13</v>
          </cell>
          <cell r="E410">
            <v>241.39049112067568</v>
          </cell>
          <cell r="F410">
            <v>183.10421594764327</v>
          </cell>
          <cell r="G410">
            <v>170.93467877542363</v>
          </cell>
          <cell r="H410">
            <v>178.7888218096592</v>
          </cell>
        </row>
        <row r="411">
          <cell r="B411" t="str">
            <v>G-INTC3</v>
          </cell>
          <cell r="C411" t="str">
            <v>VAR_ncap</v>
          </cell>
          <cell r="D411" t="str">
            <v>-</v>
          </cell>
          <cell r="E411">
            <v>4.3546204814062002E-8</v>
          </cell>
          <cell r="F411">
            <v>4.5905488700441597E-8</v>
          </cell>
          <cell r="G411">
            <v>5.3532056693292699E-8</v>
          </cell>
          <cell r="H411">
            <v>6.36834461295135E-8</v>
          </cell>
        </row>
        <row r="412">
          <cell r="B412" t="str">
            <v>G-INTC3</v>
          </cell>
          <cell r="C412" t="str">
            <v>VAR_cap</v>
          </cell>
          <cell r="D412" t="str">
            <v>-</v>
          </cell>
          <cell r="E412">
            <v>13.914190167241101</v>
          </cell>
          <cell r="F412">
            <v>13.914190167241101</v>
          </cell>
          <cell r="G412">
            <v>13.914190167241101</v>
          </cell>
          <cell r="H412">
            <v>13.914190209906533</v>
          </cell>
        </row>
        <row r="413">
          <cell r="B413" t="str">
            <v>HPLBIO</v>
          </cell>
          <cell r="C413" t="str">
            <v>VAR_fout</v>
          </cell>
          <cell r="D413" t="str">
            <v>LTH</v>
          </cell>
          <cell r="E413">
            <v>0.90177654254630846</v>
          </cell>
          <cell r="F413">
            <v>0.9017747865163952</v>
          </cell>
          <cell r="G413">
            <v>0.90177517777553207</v>
          </cell>
          <cell r="H413">
            <v>0.90177435650507365</v>
          </cell>
        </row>
        <row r="414">
          <cell r="B414" t="str">
            <v>HPLBIO</v>
          </cell>
          <cell r="C414" t="str">
            <v>VAR_fin</v>
          </cell>
          <cell r="D414" t="str">
            <v>EBIO</v>
          </cell>
          <cell r="E414">
            <v>1.1839529493940701</v>
          </cell>
          <cell r="F414">
            <v>1.1839506438818965</v>
          </cell>
          <cell r="G414">
            <v>1.1839511575705857</v>
          </cell>
          <cell r="H414">
            <v>1.1839500793150159</v>
          </cell>
        </row>
        <row r="415">
          <cell r="B415" t="str">
            <v>HPLBIO</v>
          </cell>
          <cell r="C415" t="str">
            <v>VAR_ncap</v>
          </cell>
          <cell r="D415" t="str">
            <v>-</v>
          </cell>
          <cell r="E415">
            <v>4.6337657065505201E-6</v>
          </cell>
          <cell r="F415">
            <v>2.6585792803008598E-6</v>
          </cell>
          <cell r="G415">
            <v>2.67870091985487E-6</v>
          </cell>
          <cell r="H415">
            <v>6.29255578642927E-2</v>
          </cell>
        </row>
        <row r="416">
          <cell r="B416" t="str">
            <v>HPLBIO</v>
          </cell>
          <cell r="C416" t="str">
            <v>VAR_cap</v>
          </cell>
          <cell r="D416" t="str">
            <v>-</v>
          </cell>
          <cell r="E416">
            <v>0.11438383249417781</v>
          </cell>
          <cell r="F416">
            <v>0.11438467955717166</v>
          </cell>
          <cell r="G416">
            <v>0.11438566103990261</v>
          </cell>
          <cell r="H416">
            <v>0.11438079118931745</v>
          </cell>
        </row>
        <row r="417">
          <cell r="B417" t="str">
            <v>CHPGFC</v>
          </cell>
          <cell r="C417" t="str">
            <v>VAR_fout</v>
          </cell>
          <cell r="D417" t="str">
            <v>ELC35</v>
          </cell>
          <cell r="E417"/>
          <cell r="F417"/>
          <cell r="G417"/>
          <cell r="H417"/>
        </row>
        <row r="418">
          <cell r="B418" t="str">
            <v>CHPGFC</v>
          </cell>
          <cell r="C418" t="str">
            <v>VAR_fout</v>
          </cell>
          <cell r="D418" t="str">
            <v>LTH</v>
          </cell>
          <cell r="E418"/>
          <cell r="F418"/>
          <cell r="G418"/>
          <cell r="H418"/>
        </row>
        <row r="419">
          <cell r="B419" t="str">
            <v>CHPGFC</v>
          </cell>
          <cell r="C419" t="str">
            <v>VAR_fout</v>
          </cell>
          <cell r="D419" t="str">
            <v>CO2_E</v>
          </cell>
          <cell r="E419"/>
          <cell r="F419"/>
          <cell r="G419"/>
          <cell r="H419"/>
        </row>
        <row r="420">
          <cell r="B420" t="str">
            <v>CHPGFC</v>
          </cell>
          <cell r="C420" t="str">
            <v>VAR_fin</v>
          </cell>
          <cell r="D420" t="str">
            <v>ENGA</v>
          </cell>
          <cell r="E420"/>
          <cell r="F420"/>
          <cell r="G420"/>
          <cell r="H420"/>
        </row>
        <row r="421">
          <cell r="B421" t="str">
            <v>CHPGFC</v>
          </cell>
          <cell r="C421" t="str">
            <v>VAR_ncap</v>
          </cell>
          <cell r="D421" t="str">
            <v>-</v>
          </cell>
          <cell r="E421"/>
          <cell r="F421"/>
          <cell r="G421"/>
          <cell r="H421"/>
        </row>
        <row r="422">
          <cell r="B422" t="str">
            <v>CHPGFC</v>
          </cell>
          <cell r="C422" t="str">
            <v>VAR_cap</v>
          </cell>
          <cell r="D422" t="str">
            <v>-</v>
          </cell>
          <cell r="E422"/>
          <cell r="F422"/>
          <cell r="G422"/>
          <cell r="H422"/>
        </row>
        <row r="423">
          <cell r="B423" t="str">
            <v>G-INTC5</v>
          </cell>
          <cell r="C423" t="str">
            <v>VAR_fout</v>
          </cell>
          <cell r="D423" t="str">
            <v>ELC5</v>
          </cell>
          <cell r="E423">
            <v>153.58478019636047</v>
          </cell>
          <cell r="F423">
            <v>120.4074715264242</v>
          </cell>
          <cell r="G423">
            <v>110.96085920490232</v>
          </cell>
          <cell r="H423">
            <v>146.02299531068891</v>
          </cell>
        </row>
        <row r="424">
          <cell r="B424" t="str">
            <v>G-INTC5</v>
          </cell>
          <cell r="C424" t="str">
            <v>VAR_fout</v>
          </cell>
          <cell r="D424" t="str">
            <v>ELC13</v>
          </cell>
          <cell r="E424">
            <v>62.059323967491402</v>
          </cell>
          <cell r="F424">
            <v>6.5212331934322754E-4</v>
          </cell>
          <cell r="G424">
            <v>6.7761147484318945E-4</v>
          </cell>
          <cell r="H424">
            <v>4.1219052811294416E-4</v>
          </cell>
        </row>
        <row r="425">
          <cell r="B425" t="str">
            <v>G-INTC5</v>
          </cell>
          <cell r="C425" t="str">
            <v>VAR_fin</v>
          </cell>
          <cell r="D425" t="str">
            <v>ELC35</v>
          </cell>
          <cell r="E425">
            <v>222.45495737397943</v>
          </cell>
          <cell r="F425">
            <v>126.10260435033409</v>
          </cell>
          <cell r="G425">
            <v>115.95699551600775</v>
          </cell>
          <cell r="H425">
            <v>152.04724409378801</v>
          </cell>
        </row>
        <row r="426">
          <cell r="B426" t="str">
            <v>G-INTC5</v>
          </cell>
          <cell r="C426" t="str">
            <v>VAR_ncap</v>
          </cell>
          <cell r="D426" t="str">
            <v>-</v>
          </cell>
          <cell r="E426">
            <v>1.98947192413411E-7</v>
          </cell>
          <cell r="F426">
            <v>2.1353907013816101E-7</v>
          </cell>
          <cell r="G426">
            <v>2.4072371992204798E-7</v>
          </cell>
          <cell r="H426">
            <v>2.78448329956233E-7</v>
          </cell>
        </row>
        <row r="427">
          <cell r="B427" t="str">
            <v>G-INTC5</v>
          </cell>
          <cell r="C427" t="str">
            <v>VAR_cap</v>
          </cell>
          <cell r="D427" t="str">
            <v>-</v>
          </cell>
          <cell r="E427">
            <v>12.649263788401001</v>
          </cell>
          <cell r="F427">
            <v>12.649263788401001</v>
          </cell>
          <cell r="G427">
            <v>12.649263788401001</v>
          </cell>
          <cell r="H427">
            <v>12.649263984878132</v>
          </cell>
        </row>
        <row r="428">
          <cell r="B428" t="str">
            <v>D-SLFO</v>
          </cell>
          <cell r="C428" t="str">
            <v>VAR_fout</v>
          </cell>
          <cell r="D428" t="str">
            <v>CO2</v>
          </cell>
          <cell r="E428">
            <v>2267.7886430973299</v>
          </cell>
          <cell r="F428">
            <v>1978.75493190877</v>
          </cell>
          <cell r="G428">
            <v>2028.0269831825201</v>
          </cell>
          <cell r="H428">
            <v>1465.8414138988501</v>
          </cell>
        </row>
        <row r="429">
          <cell r="B429" t="str">
            <v>D-SLFO</v>
          </cell>
          <cell r="C429" t="str">
            <v>VAR_fout</v>
          </cell>
          <cell r="D429" t="str">
            <v>SLFO</v>
          </cell>
          <cell r="E429">
            <v>30.256634055456193</v>
          </cell>
          <cell r="F429">
            <v>26.400372028683567</v>
          </cell>
          <cell r="G429">
            <v>27.057776964062349</v>
          </cell>
          <cell r="H429">
            <v>19.557191665279888</v>
          </cell>
        </row>
        <row r="430">
          <cell r="B430" t="str">
            <v>D-SLFO</v>
          </cell>
          <cell r="C430" t="str">
            <v>VAR_fin</v>
          </cell>
          <cell r="D430" t="str">
            <v>LFO</v>
          </cell>
          <cell r="E430">
            <v>30.770537898199827</v>
          </cell>
          <cell r="F430">
            <v>26.848777909209947</v>
          </cell>
          <cell r="G430">
            <v>27.517326773168527</v>
          </cell>
          <cell r="H430">
            <v>19.889300052901671</v>
          </cell>
        </row>
        <row r="431">
          <cell r="B431" t="str">
            <v>D-SLFO</v>
          </cell>
          <cell r="C431" t="str">
            <v>VAR_fin</v>
          </cell>
          <cell r="D431" t="str">
            <v>BDS</v>
          </cell>
          <cell r="E431"/>
          <cell r="F431"/>
          <cell r="G431">
            <v>2.1748458666761112E-5</v>
          </cell>
          <cell r="H431">
            <v>6.7070901476700952E-5</v>
          </cell>
        </row>
        <row r="432">
          <cell r="B432" t="str">
            <v>D-RCOA</v>
          </cell>
          <cell r="C432" t="str">
            <v>VAR_fout</v>
          </cell>
          <cell r="D432" t="str">
            <v>CO2</v>
          </cell>
          <cell r="E432">
            <v>9.2700810955579893</v>
          </cell>
          <cell r="F432">
            <v>9.27005946500765</v>
          </cell>
          <cell r="G432">
            <v>2.4985699249556999</v>
          </cell>
          <cell r="H432">
            <v>0.561906252020832</v>
          </cell>
        </row>
        <row r="433">
          <cell r="B433" t="str">
            <v>D-RCOA</v>
          </cell>
          <cell r="C433" t="str">
            <v>VAR_fout</v>
          </cell>
          <cell r="D433" t="str">
            <v>RCOA</v>
          </cell>
          <cell r="E433">
            <v>0.10000087481723838</v>
          </cell>
          <cell r="F433">
            <v>0.10000064147796808</v>
          </cell>
          <cell r="G433">
            <v>2.6953289373847958E-2</v>
          </cell>
          <cell r="H433">
            <v>6.0615561167295905E-3</v>
          </cell>
        </row>
        <row r="434">
          <cell r="B434" t="str">
            <v>D-RCOA</v>
          </cell>
          <cell r="C434" t="str">
            <v>VAR_fin</v>
          </cell>
          <cell r="D434" t="str">
            <v>COA</v>
          </cell>
          <cell r="E434">
            <v>0.10000087481723838</v>
          </cell>
          <cell r="F434">
            <v>0.10000064147796808</v>
          </cell>
          <cell r="G434">
            <v>2.6953289373847958E-2</v>
          </cell>
          <cell r="H434">
            <v>6.0615561167295905E-3</v>
          </cell>
        </row>
        <row r="435">
          <cell r="B435" t="str">
            <v>EHYD-RUN00</v>
          </cell>
          <cell r="C435" t="str">
            <v>VAR_fout</v>
          </cell>
          <cell r="D435" t="str">
            <v>ELC13</v>
          </cell>
          <cell r="E435">
            <v>54.392400218261734</v>
          </cell>
          <cell r="F435">
            <v>43.519558202916741</v>
          </cell>
          <cell r="G435">
            <v>53.287421031564058</v>
          </cell>
          <cell r="H435">
            <v>52.194289399075402</v>
          </cell>
        </row>
        <row r="436">
          <cell r="B436" t="str">
            <v>EHYD-RUN00</v>
          </cell>
          <cell r="C436" t="str">
            <v>VAR_fin</v>
          </cell>
          <cell r="D436" t="str">
            <v>HYDR</v>
          </cell>
          <cell r="E436">
            <v>54.392400218261734</v>
          </cell>
          <cell r="F436">
            <v>43.519558202916741</v>
          </cell>
          <cell r="G436">
            <v>53.287421031564058</v>
          </cell>
          <cell r="H436">
            <v>52.194289399075402</v>
          </cell>
        </row>
        <row r="437">
          <cell r="B437" t="str">
            <v>EHYD-RUN00</v>
          </cell>
          <cell r="C437" t="str">
            <v>VAR_cap</v>
          </cell>
          <cell r="D437" t="str">
            <v>-</v>
          </cell>
          <cell r="E437">
            <v>3.86687</v>
          </cell>
          <cell r="F437">
            <v>3.9240852000672399</v>
          </cell>
          <cell r="G437">
            <v>3.9610124303882599</v>
          </cell>
          <cell r="H437">
            <v>3.9647700000000001</v>
          </cell>
        </row>
        <row r="438">
          <cell r="B438" t="str">
            <v>HPLELCHP</v>
          </cell>
          <cell r="C438" t="str">
            <v>VAR_fout</v>
          </cell>
          <cell r="D438" t="str">
            <v>LTH</v>
          </cell>
          <cell r="E438"/>
          <cell r="F438">
            <v>4.5023057005928955</v>
          </cell>
          <cell r="G438">
            <v>4.638730214684279</v>
          </cell>
          <cell r="H438">
            <v>4.8753521612184842</v>
          </cell>
        </row>
        <row r="439">
          <cell r="B439" t="str">
            <v>HPLELCHP</v>
          </cell>
          <cell r="C439" t="str">
            <v>VAR_fin</v>
          </cell>
          <cell r="D439" t="str">
            <v>ELC35</v>
          </cell>
          <cell r="E439"/>
          <cell r="F439">
            <v>1.5007685668642978</v>
          </cell>
          <cell r="G439">
            <v>1.5462434048947613</v>
          </cell>
          <cell r="H439">
            <v>1.6251173870728275</v>
          </cell>
        </row>
        <row r="440">
          <cell r="B440" t="str">
            <v>HPLELCHP</v>
          </cell>
          <cell r="C440" t="str">
            <v>VAR_fin</v>
          </cell>
          <cell r="D440" t="str">
            <v>WWTPCC</v>
          </cell>
          <cell r="E440"/>
          <cell r="F440">
            <v>9.0046114011857803</v>
          </cell>
          <cell r="G440">
            <v>9.2774604293685599</v>
          </cell>
          <cell r="H440">
            <v>9.7507043224369596</v>
          </cell>
        </row>
        <row r="441">
          <cell r="B441" t="str">
            <v>HPLELCHP</v>
          </cell>
          <cell r="C441" t="str">
            <v>VAR_ncap</v>
          </cell>
          <cell r="D441" t="str">
            <v>-</v>
          </cell>
          <cell r="E441"/>
          <cell r="F441">
            <v>0.27724657699817001</v>
          </cell>
          <cell r="G441">
            <v>8.40115811988623E-3</v>
          </cell>
          <cell r="H441">
            <v>1.45576780549146E-2</v>
          </cell>
        </row>
        <row r="442">
          <cell r="B442" t="str">
            <v>HPLELCHP</v>
          </cell>
          <cell r="C442" t="str">
            <v>VAR_cap</v>
          </cell>
          <cell r="D442" t="str">
            <v>-</v>
          </cell>
          <cell r="E442"/>
          <cell r="F442">
            <v>0.27724657699817001</v>
          </cell>
          <cell r="G442">
            <v>0.2856476504218376</v>
          </cell>
          <cell r="H442">
            <v>0.30020517396631474</v>
          </cell>
        </row>
        <row r="443">
          <cell r="B443" t="str">
            <v>D-ITOT_LTH</v>
          </cell>
          <cell r="C443" t="str">
            <v>VAR_fout</v>
          </cell>
          <cell r="D443" t="str">
            <v>ITOT_LTH_DH</v>
          </cell>
          <cell r="E443">
            <v>7.1200029729715606</v>
          </cell>
          <cell r="F443">
            <v>7.6289070574065185</v>
          </cell>
          <cell r="G443">
            <v>7.6289065666842193</v>
          </cell>
          <cell r="H443">
            <v>7.6289148403193145</v>
          </cell>
        </row>
        <row r="444">
          <cell r="B444" t="str">
            <v>D-ITOT_LTH</v>
          </cell>
          <cell r="C444" t="str">
            <v>VAR_fin</v>
          </cell>
          <cell r="D444" t="str">
            <v>LTH</v>
          </cell>
          <cell r="E444">
            <v>7.7403389225368366</v>
          </cell>
          <cell r="F444">
            <v>8.2914020285312908</v>
          </cell>
          <cell r="G444">
            <v>8.2881341624104916</v>
          </cell>
          <cell r="H444">
            <v>8.2827033090642388</v>
          </cell>
        </row>
        <row r="445">
          <cell r="B445" t="str">
            <v>D-ITOT_LTH</v>
          </cell>
          <cell r="C445" t="str">
            <v>VAR_ncap</v>
          </cell>
          <cell r="D445" t="str">
            <v>-</v>
          </cell>
          <cell r="E445">
            <v>0.79547235099867997</v>
          </cell>
          <cell r="F445">
            <v>1.09713184330323E-8</v>
          </cell>
          <cell r="G445">
            <v>1.25058691654534E-8</v>
          </cell>
          <cell r="H445">
            <v>1.43675958981846E-8</v>
          </cell>
        </row>
        <row r="446">
          <cell r="B446" t="str">
            <v>D-ITOT_LTH</v>
          </cell>
          <cell r="C446" t="str">
            <v>VAR_cap</v>
          </cell>
          <cell r="D446" t="str">
            <v>-</v>
          </cell>
          <cell r="E446">
            <v>0.79547235099867997</v>
          </cell>
          <cell r="F446">
            <v>0.79547236196999904</v>
          </cell>
          <cell r="G446">
            <v>0.79547237447586805</v>
          </cell>
          <cell r="H446">
            <v>0.79547238884346405</v>
          </cell>
        </row>
        <row r="447">
          <cell r="B447" t="str">
            <v>RHEM-ESOLPV</v>
          </cell>
          <cell r="C447" t="str">
            <v>VAR_fout</v>
          </cell>
          <cell r="D447" t="str">
            <v>RHEM_SOL_ELC</v>
          </cell>
          <cell r="E447">
            <v>0.86248322578584768</v>
          </cell>
          <cell r="F447">
            <v>1.2875826188714128</v>
          </cell>
          <cell r="G447">
            <v>1.7886877499229259</v>
          </cell>
          <cell r="H447">
            <v>1.9390571077468997</v>
          </cell>
        </row>
        <row r="448">
          <cell r="B448" t="str">
            <v>RHEM-ESOLPV</v>
          </cell>
          <cell r="C448" t="str">
            <v>VAR_fin</v>
          </cell>
          <cell r="D448" t="str">
            <v>SOL</v>
          </cell>
          <cell r="E448">
            <v>0.86248322578584768</v>
          </cell>
          <cell r="F448">
            <v>1.2875826188714128</v>
          </cell>
          <cell r="G448">
            <v>1.7886877499229259</v>
          </cell>
          <cell r="H448">
            <v>1.9390571077468997</v>
          </cell>
        </row>
        <row r="449">
          <cell r="B449" t="str">
            <v>RHEM-ESOLPV</v>
          </cell>
          <cell r="C449" t="str">
            <v>VAR_fin</v>
          </cell>
          <cell r="D449" t="str">
            <v>SOLPVC</v>
          </cell>
          <cell r="E449">
            <v>0.86248322578584802</v>
          </cell>
          <cell r="F449">
            <v>1.2875826188714099</v>
          </cell>
          <cell r="G449">
            <v>1.7886877499229299</v>
          </cell>
          <cell r="H449">
            <v>1.9390571077469001</v>
          </cell>
        </row>
        <row r="450">
          <cell r="B450" t="str">
            <v>RHEM-ESOLPV</v>
          </cell>
          <cell r="C450" t="str">
            <v>VAR_ncap</v>
          </cell>
          <cell r="D450" t="str">
            <v>-</v>
          </cell>
          <cell r="F450">
            <v>1.55357477661244E-8</v>
          </cell>
          <cell r="G450">
            <v>8.7551058195450004E-2</v>
          </cell>
          <cell r="H450">
            <v>1.3597844911402701E-7</v>
          </cell>
        </row>
        <row r="451">
          <cell r="B451" t="str">
            <v>RHEM-ESOLPV</v>
          </cell>
          <cell r="C451" t="str">
            <v>VAR_cap</v>
          </cell>
          <cell r="D451" t="str">
            <v>-</v>
          </cell>
          <cell r="E451">
            <v>0.27424799999999999</v>
          </cell>
          <cell r="F451">
            <v>0.43894533301216077</v>
          </cell>
          <cell r="G451">
            <v>0.57069907373119777</v>
          </cell>
          <cell r="H451">
            <v>0.55897442196912894</v>
          </cell>
        </row>
        <row r="452">
          <cell r="B452" t="str">
            <v>HPLNUC</v>
          </cell>
          <cell r="C452" t="str">
            <v>VAR_fout</v>
          </cell>
          <cell r="D452" t="str">
            <v>LTH</v>
          </cell>
          <cell r="E452">
            <v>1.4500078789959512</v>
          </cell>
          <cell r="F452">
            <v>3.8019175344714666</v>
          </cell>
          <cell r="G452">
            <v>3.8014850482265414</v>
          </cell>
          <cell r="H452">
            <v>1.0696417797971158</v>
          </cell>
        </row>
        <row r="453">
          <cell r="B453" t="str">
            <v>HPLNUC</v>
          </cell>
          <cell r="C453" t="str">
            <v>VAR_fin</v>
          </cell>
          <cell r="D453" t="str">
            <v>URN</v>
          </cell>
          <cell r="E453">
            <v>1.4500078789959512</v>
          </cell>
          <cell r="F453">
            <v>3.8019175344714666</v>
          </cell>
          <cell r="G453">
            <v>3.8014850482265414</v>
          </cell>
          <cell r="H453">
            <v>1.0696417797971158</v>
          </cell>
        </row>
        <row r="454">
          <cell r="B454" t="str">
            <v>HPLNUC</v>
          </cell>
          <cell r="C454" t="str">
            <v>VAR_cap</v>
          </cell>
          <cell r="D454" t="str">
            <v>-</v>
          </cell>
          <cell r="E454">
            <v>0.120558721922211</v>
          </cell>
          <cell r="F454">
            <v>0.120558721922211</v>
          </cell>
          <cell r="G454">
            <v>0.120558721922211</v>
          </cell>
          <cell r="H454">
            <v>0.11197225056919</v>
          </cell>
        </row>
        <row r="455">
          <cell r="B455" t="str">
            <v>ITOT-CHPWODCCS</v>
          </cell>
          <cell r="C455" t="str">
            <v>VAR_fin</v>
          </cell>
          <cell r="D455" t="str">
            <v>IWOD</v>
          </cell>
        </row>
        <row r="456">
          <cell r="B456" t="str">
            <v>SUP_WODBIO</v>
          </cell>
          <cell r="C456" t="str">
            <v>VAR_fout</v>
          </cell>
          <cell r="D456" t="str">
            <v>ELC35</v>
          </cell>
          <cell r="G456">
            <v>1.4339096448499721E-6</v>
          </cell>
          <cell r="H456">
            <v>1.7068374573268985E-6</v>
          </cell>
        </row>
        <row r="457">
          <cell r="B457" t="str">
            <v>SUP_WODBIO</v>
          </cell>
          <cell r="C457" t="str">
            <v>VAR_fout</v>
          </cell>
          <cell r="D457" t="str">
            <v>BIO</v>
          </cell>
          <cell r="F457">
            <v>2.9924828619671559E-5</v>
          </cell>
          <cell r="G457">
            <v>6.4414245245076102E-5</v>
          </cell>
          <cell r="H457">
            <v>7.3680301321450307E-5</v>
          </cell>
        </row>
        <row r="458">
          <cell r="B458" t="str">
            <v>SUP_WODBIO</v>
          </cell>
          <cell r="C458" t="str">
            <v>VAR_fout</v>
          </cell>
          <cell r="D458" t="str">
            <v>LTH</v>
          </cell>
          <cell r="F458">
            <v>3.590979434360588E-6</v>
          </cell>
          <cell r="G458">
            <v>7.7297094294091306E-6</v>
          </cell>
          <cell r="H458">
            <v>8.8416361585740396E-6</v>
          </cell>
        </row>
        <row r="459">
          <cell r="B459" t="str">
            <v>SUP_WODBIO</v>
          </cell>
          <cell r="C459" t="str">
            <v>VAR_fin</v>
          </cell>
          <cell r="D459" t="str">
            <v>CWOD</v>
          </cell>
          <cell r="F459">
            <v>4.0398518636556609E-5</v>
          </cell>
          <cell r="G459">
            <v>8.6959231080852741E-5</v>
          </cell>
          <cell r="H459">
            <v>9.9468406783957908E-5</v>
          </cell>
        </row>
        <row r="460">
          <cell r="B460" t="str">
            <v>SUP_WODBIO</v>
          </cell>
          <cell r="C460" t="str">
            <v>VAR_ncap</v>
          </cell>
          <cell r="D460" t="str">
            <v>-</v>
          </cell>
          <cell r="E460">
            <v>1.6515617230208301E-7</v>
          </cell>
          <cell r="F460">
            <v>7.71765422465545E-6</v>
          </cell>
          <cell r="G460">
            <v>3.9428735470364901E-7</v>
          </cell>
          <cell r="H460">
            <v>6.9886470906497696E-8</v>
          </cell>
        </row>
        <row r="461">
          <cell r="B461" t="str">
            <v>SUP_WODBIO</v>
          </cell>
          <cell r="C461" t="str">
            <v>VAR_cap</v>
          </cell>
          <cell r="D461" t="str">
            <v>-</v>
          </cell>
          <cell r="E461">
            <v>1.6515617230208301E-7</v>
          </cell>
          <cell r="F461">
            <v>7.8620719559958749E-6</v>
          </cell>
          <cell r="G461">
            <v>8.2172281192520185E-6</v>
          </cell>
          <cell r="H461">
            <v>8.2274337796552596E-6</v>
          </cell>
        </row>
        <row r="462">
          <cell r="B462" t="str">
            <v>D-RLFO</v>
          </cell>
          <cell r="C462" t="str">
            <v>VAR_fout</v>
          </cell>
          <cell r="D462" t="str">
            <v>CO2</v>
          </cell>
          <cell r="E462">
            <v>4514.4829169642198</v>
          </cell>
          <cell r="F462">
            <v>3846.5261273986298</v>
          </cell>
          <cell r="G462">
            <v>3821.8849419166399</v>
          </cell>
          <cell r="H462">
            <v>2498.3393055747301</v>
          </cell>
        </row>
        <row r="463">
          <cell r="B463" t="str">
            <v>D-RLFO</v>
          </cell>
          <cell r="C463" t="str">
            <v>VAR_fout</v>
          </cell>
          <cell r="D463" t="str">
            <v>RLFO</v>
          </cell>
          <cell r="E463">
            <v>60.23182891578346</v>
          </cell>
          <cell r="F463">
            <v>51.320008932797357</v>
          </cell>
          <cell r="G463">
            <v>50.991269920340663</v>
          </cell>
          <cell r="H463">
            <v>33.332686750772716</v>
          </cell>
        </row>
        <row r="464">
          <cell r="B464" t="str">
            <v>D-RLFO</v>
          </cell>
          <cell r="C464" t="str">
            <v>VAR_fin</v>
          </cell>
          <cell r="D464" t="str">
            <v>LFO</v>
          </cell>
          <cell r="E464">
            <v>61.2548564038565</v>
          </cell>
          <cell r="F464">
            <v>52.19167065669776</v>
          </cell>
          <cell r="G464">
            <v>51.857326213251604</v>
          </cell>
          <cell r="H464">
            <v>33.898769410783331</v>
          </cell>
        </row>
        <row r="465">
          <cell r="B465" t="str">
            <v>D-RLFO</v>
          </cell>
          <cell r="C465" t="str">
            <v>VAR_fin</v>
          </cell>
          <cell r="D465" t="str">
            <v>BDS</v>
          </cell>
          <cell r="G465">
            <v>2.1821238439786504E-5</v>
          </cell>
          <cell r="H465">
            <v>6.7404143322154079E-5</v>
          </cell>
        </row>
        <row r="466">
          <cell r="B466" t="str">
            <v>G-INTC-EXP00-IT</v>
          </cell>
          <cell r="C466" t="str">
            <v>VAR_fout</v>
          </cell>
          <cell r="D466" t="str">
            <v>ELC_E-IT</v>
          </cell>
          <cell r="E466">
            <v>71.694107838372162</v>
          </cell>
          <cell r="F466">
            <v>35.622263313325391</v>
          </cell>
          <cell r="G466">
            <v>74.624743058039513</v>
          </cell>
          <cell r="H466">
            <v>58.784561387023906</v>
          </cell>
        </row>
        <row r="467">
          <cell r="B467" t="str">
            <v>G-INTC-EXP00-IT</v>
          </cell>
          <cell r="C467" t="str">
            <v>VAR_fin</v>
          </cell>
          <cell r="D467" t="str">
            <v>ELC</v>
          </cell>
          <cell r="E467">
            <v>71.694107838372162</v>
          </cell>
          <cell r="F467">
            <v>35.622263313325391</v>
          </cell>
          <cell r="G467">
            <v>74.624743058039513</v>
          </cell>
          <cell r="H467">
            <v>58.784561387023906</v>
          </cell>
        </row>
        <row r="468">
          <cell r="B468" t="str">
            <v>G-INTC-EXP00-IT</v>
          </cell>
          <cell r="C468" t="str">
            <v>VAR_ncap</v>
          </cell>
          <cell r="D468" t="str">
            <v>-</v>
          </cell>
          <cell r="E468">
            <v>5.2207733098571498E-7</v>
          </cell>
          <cell r="F468">
            <v>5.1639205991254198E-7</v>
          </cell>
          <cell r="G468">
            <v>5.4649593477165003E-7</v>
          </cell>
          <cell r="H468">
            <v>3.47177529565047E-7</v>
          </cell>
        </row>
        <row r="469">
          <cell r="B469" t="str">
            <v>G-INTC-EXP00-IT</v>
          </cell>
          <cell r="C469" t="str">
            <v>VAR_cap</v>
          </cell>
          <cell r="D469" t="str">
            <v>-</v>
          </cell>
          <cell r="E469">
            <v>3.7499996988687019</v>
          </cell>
          <cell r="F469">
            <v>3.7499994650241257</v>
          </cell>
          <cell r="G469">
            <v>3.7499993314718489</v>
          </cell>
          <cell r="H469">
            <v>3.7499997645168621</v>
          </cell>
        </row>
        <row r="470">
          <cell r="B470" t="str">
            <v>EWOD-CCS</v>
          </cell>
          <cell r="C470" t="str">
            <v>VAR_fin</v>
          </cell>
          <cell r="D470" t="str">
            <v>EWOD</v>
          </cell>
        </row>
        <row r="471">
          <cell r="B471" t="str">
            <v>EOIL-ENG</v>
          </cell>
          <cell r="C471" t="str">
            <v>VAR_fout</v>
          </cell>
          <cell r="D471" t="str">
            <v>ELC35</v>
          </cell>
          <cell r="E471">
            <v>3.960103094555574E-2</v>
          </cell>
          <cell r="F471">
            <v>4.0467292091570133E-5</v>
          </cell>
          <cell r="G471">
            <v>3.9569265600404883E-3</v>
          </cell>
          <cell r="H471">
            <v>2.3315827825481447E-4</v>
          </cell>
        </row>
        <row r="472">
          <cell r="B472" t="str">
            <v>EOIL-ENG</v>
          </cell>
          <cell r="C472" t="str">
            <v>VAR_fout</v>
          </cell>
          <cell r="D472" t="str">
            <v>CO2_E</v>
          </cell>
          <cell r="E472">
            <v>8.4791523402534708</v>
          </cell>
          <cell r="F472">
            <v>5.7823826757825499E-2</v>
          </cell>
          <cell r="G472">
            <v>0.89445883935720405</v>
          </cell>
          <cell r="H472">
            <v>5.8989171990648598E-2</v>
          </cell>
        </row>
        <row r="473">
          <cell r="B473" t="str">
            <v>EOIL-ENG</v>
          </cell>
          <cell r="C473" t="str">
            <v>VAR_fin</v>
          </cell>
          <cell r="D473" t="str">
            <v>ELFO</v>
          </cell>
          <cell r="E473">
            <v>0.1150495568555423</v>
          </cell>
          <cell r="F473">
            <v>7.8458380946845867E-4</v>
          </cell>
          <cell r="G473">
            <v>1.2136483573367761E-2</v>
          </cell>
          <cell r="H473">
            <v>8.0039582076863705E-4</v>
          </cell>
        </row>
        <row r="474">
          <cell r="B474" t="str">
            <v>EOIL-ENG</v>
          </cell>
          <cell r="C474" t="str">
            <v>VAR_ncap</v>
          </cell>
          <cell r="D474" t="str">
            <v>-</v>
          </cell>
          <cell r="F474">
            <v>2.1604719164306202E-6</v>
          </cell>
          <cell r="G474">
            <v>4.1756510618392801E-5</v>
          </cell>
          <cell r="H474">
            <v>8.0179569884006908E-3</v>
          </cell>
        </row>
        <row r="475">
          <cell r="B475" t="str">
            <v>EOIL-ENG</v>
          </cell>
          <cell r="C475" t="str">
            <v>VAR_cap</v>
          </cell>
          <cell r="D475" t="str">
            <v>-</v>
          </cell>
          <cell r="E475">
            <v>1.7740408038023209E-2</v>
          </cell>
          <cell r="F475">
            <v>1.7709049015198347E-2</v>
          </cell>
          <cell r="G475">
            <v>1.069946053958622E-2</v>
          </cell>
          <cell r="H475">
            <v>1.5061168316146473E-2</v>
          </cell>
        </row>
        <row r="476">
          <cell r="B476" t="str">
            <v>D-SWOD</v>
          </cell>
          <cell r="C476" t="str">
            <v>VAR_fout</v>
          </cell>
          <cell r="D476" t="str">
            <v>SWOD</v>
          </cell>
          <cell r="E476">
            <v>8.5743688934399689</v>
          </cell>
          <cell r="F476">
            <v>9.5565744194355364</v>
          </cell>
          <cell r="G476">
            <v>9.1019400082607795</v>
          </cell>
          <cell r="H476">
            <v>9.2582715634484316</v>
          </cell>
        </row>
        <row r="477">
          <cell r="B477" t="str">
            <v>D-SWOD</v>
          </cell>
          <cell r="C477" t="str">
            <v>VAR_fin</v>
          </cell>
          <cell r="D477" t="str">
            <v>WOD</v>
          </cell>
          <cell r="E477">
            <v>8.5743688934399689</v>
          </cell>
          <cell r="F477">
            <v>9.5565744194355364</v>
          </cell>
          <cell r="G477">
            <v>9.1019400082607795</v>
          </cell>
          <cell r="H477">
            <v>9.2582715634484316</v>
          </cell>
        </row>
        <row r="478">
          <cell r="B478" t="str">
            <v>SCOM-CHPWOD</v>
          </cell>
          <cell r="C478" t="str">
            <v>VAR_ncap</v>
          </cell>
          <cell r="D478" t="str">
            <v>-</v>
          </cell>
          <cell r="H478">
            <v>3.4333028508195999E-6</v>
          </cell>
        </row>
        <row r="479">
          <cell r="B479" t="str">
            <v>SCOM-CHPWOD</v>
          </cell>
          <cell r="C479" t="str">
            <v>VAR_cap</v>
          </cell>
          <cell r="D479" t="str">
            <v>-</v>
          </cell>
          <cell r="H479">
            <v>3.4333028508195999E-6</v>
          </cell>
        </row>
        <row r="480">
          <cell r="B480" t="str">
            <v>ENUC_BMGL</v>
          </cell>
          <cell r="C480" t="str">
            <v>VAR_fout</v>
          </cell>
          <cell r="D480" t="str">
            <v>ELC</v>
          </cell>
          <cell r="E480">
            <v>32.820800000020185</v>
          </cell>
          <cell r="F480">
            <v>32.82079891914772</v>
          </cell>
          <cell r="G480">
            <v>32.820798193109368</v>
          </cell>
          <cell r="H480">
            <v>32.820799725090701</v>
          </cell>
        </row>
        <row r="481">
          <cell r="B481" t="str">
            <v>ENUC_BMGL</v>
          </cell>
          <cell r="C481" t="str">
            <v>VAR_fin</v>
          </cell>
          <cell r="D481" t="str">
            <v>URN</v>
          </cell>
          <cell r="E481">
            <v>98.945499406723968</v>
          </cell>
          <cell r="F481">
            <v>98.945496148196739</v>
          </cell>
          <cell r="G481">
            <v>98.945493959395023</v>
          </cell>
          <cell r="H481">
            <v>98.945498577888657</v>
          </cell>
        </row>
        <row r="482">
          <cell r="B482" t="str">
            <v>ENUC_BMGL</v>
          </cell>
          <cell r="C482" t="str">
            <v>VAR_cap</v>
          </cell>
          <cell r="D482" t="str">
            <v>-</v>
          </cell>
          <cell r="E482">
            <v>1.2199999897604308</v>
          </cell>
          <cell r="F482">
            <v>1.2199999791773115</v>
          </cell>
          <cell r="G482">
            <v>1.2199999741078325</v>
          </cell>
          <cell r="H482">
            <v>1.219999989702937</v>
          </cell>
        </row>
        <row r="483">
          <cell r="B483" t="str">
            <v>ENGA-GTOC</v>
          </cell>
          <cell r="C483" t="str">
            <v>VAR_fout</v>
          </cell>
          <cell r="D483" t="str">
            <v>ELC13</v>
          </cell>
        </row>
        <row r="484">
          <cell r="B484" t="str">
            <v>ENGA-GTOC</v>
          </cell>
          <cell r="C484" t="str">
            <v>VAR_fout</v>
          </cell>
          <cell r="D484" t="str">
            <v>CO2_E</v>
          </cell>
        </row>
        <row r="485">
          <cell r="B485" t="str">
            <v>ENGA-GTOC</v>
          </cell>
          <cell r="C485" t="str">
            <v>VAR_fin</v>
          </cell>
          <cell r="D485" t="str">
            <v>ENGA</v>
          </cell>
        </row>
        <row r="486">
          <cell r="B486" t="str">
            <v>ENGA-GTOC</v>
          </cell>
          <cell r="C486" t="str">
            <v>VAR_fin</v>
          </cell>
          <cell r="D486" t="str">
            <v>GTC</v>
          </cell>
        </row>
        <row r="487">
          <cell r="B487" t="str">
            <v>ENGA-GTOC</v>
          </cell>
          <cell r="C487" t="str">
            <v>VAR_ncap</v>
          </cell>
          <cell r="D487" t="str">
            <v>-</v>
          </cell>
        </row>
        <row r="488">
          <cell r="B488" t="str">
            <v>ENGA-GTOC</v>
          </cell>
          <cell r="C488" t="str">
            <v>VAR_cap</v>
          </cell>
          <cell r="D488" t="str">
            <v>-</v>
          </cell>
        </row>
        <row r="489">
          <cell r="B489" t="str">
            <v>D-RWOD</v>
          </cell>
          <cell r="C489" t="str">
            <v>VAR_fout</v>
          </cell>
          <cell r="D489" t="str">
            <v>RWOD</v>
          </cell>
          <cell r="E489">
            <v>13.722996182627357</v>
          </cell>
          <cell r="F489">
            <v>13.882341117139855</v>
          </cell>
          <cell r="G489">
            <v>16.367566608176794</v>
          </cell>
          <cell r="H489">
            <v>15.497554640874373</v>
          </cell>
        </row>
        <row r="490">
          <cell r="B490" t="str">
            <v>D-RWOD</v>
          </cell>
          <cell r="C490" t="str">
            <v>VAR_fin</v>
          </cell>
          <cell r="D490" t="str">
            <v>WOD</v>
          </cell>
          <cell r="E490">
            <v>13.722996182627357</v>
          </cell>
          <cell r="F490">
            <v>13.882341117139855</v>
          </cell>
          <cell r="G490">
            <v>16.367566608176794</v>
          </cell>
          <cell r="H490">
            <v>15.497554640874373</v>
          </cell>
        </row>
        <row r="491">
          <cell r="B491" t="str">
            <v>SCOM-CHPGFC</v>
          </cell>
          <cell r="C491" t="str">
            <v>VAR_ncap</v>
          </cell>
          <cell r="D491" t="str">
            <v>-</v>
          </cell>
          <cell r="H491">
            <v>1.37250391558667E-6</v>
          </cell>
        </row>
        <row r="492">
          <cell r="B492" t="str">
            <v>SCOM-CHPGFC</v>
          </cell>
          <cell r="C492" t="str">
            <v>VAR_cap</v>
          </cell>
          <cell r="D492" t="str">
            <v>-</v>
          </cell>
          <cell r="H492">
            <v>1.37250391558667E-6</v>
          </cell>
        </row>
        <row r="493">
          <cell r="B493" t="str">
            <v>CHPOIL</v>
          </cell>
          <cell r="C493" t="str">
            <v>VAR_fout</v>
          </cell>
          <cell r="D493" t="str">
            <v>ELC35</v>
          </cell>
          <cell r="E493">
            <v>1.8009909297917062E-3</v>
          </cell>
          <cell r="F493">
            <v>4.2907107324721099E-5</v>
          </cell>
          <cell r="G493">
            <v>4.742982662441835E-4</v>
          </cell>
          <cell r="H493">
            <v>1.2521024452642618E-4</v>
          </cell>
        </row>
        <row r="494">
          <cell r="B494" t="str">
            <v>CHPOIL</v>
          </cell>
          <cell r="C494" t="str">
            <v>VAR_fout</v>
          </cell>
          <cell r="D494" t="str">
            <v>LTH</v>
          </cell>
          <cell r="E494">
            <v>9.262239067500188E-3</v>
          </cell>
          <cell r="F494">
            <v>2.2066512338427986E-4</v>
          </cell>
          <cell r="G494">
            <v>2.4392482263986548E-3</v>
          </cell>
          <cell r="H494">
            <v>6.4393840042161995E-4</v>
          </cell>
        </row>
        <row r="495">
          <cell r="B495" t="str">
            <v>CHPOIL</v>
          </cell>
          <cell r="C495" t="str">
            <v>VAR_fout</v>
          </cell>
          <cell r="D495" t="str">
            <v>CO2_E</v>
          </cell>
          <cell r="E495">
            <v>1.3454974176064101</v>
          </cell>
          <cell r="F495">
            <v>7.9424341237520193E-2</v>
          </cell>
          <cell r="G495">
            <v>0.358192838708632</v>
          </cell>
          <cell r="H495">
            <v>9.1507613497885595E-2</v>
          </cell>
        </row>
        <row r="496">
          <cell r="B496" t="str">
            <v>CHPOIL</v>
          </cell>
          <cell r="C496" t="str">
            <v>VAR_fin</v>
          </cell>
          <cell r="D496" t="str">
            <v>ELFO</v>
          </cell>
          <cell r="E496">
            <v>1.8256410008228072E-2</v>
          </cell>
          <cell r="F496">
            <v>1.0776708444711011E-3</v>
          </cell>
          <cell r="G496">
            <v>4.8601470652460208E-3</v>
          </cell>
          <cell r="H496">
            <v>1.2416229782616767E-3</v>
          </cell>
        </row>
        <row r="497">
          <cell r="B497" t="str">
            <v>CHPOIL</v>
          </cell>
          <cell r="C497" t="str">
            <v>VAR_ncap</v>
          </cell>
          <cell r="D497" t="str">
            <v>-</v>
          </cell>
          <cell r="F497">
            <v>4.01678452575365E-7</v>
          </cell>
          <cell r="G497">
            <v>4.3055743559194101E-7</v>
          </cell>
          <cell r="H497">
            <v>5.0150988235647799E-7</v>
          </cell>
        </row>
        <row r="498">
          <cell r="B498" t="str">
            <v>CHPOIL</v>
          </cell>
          <cell r="C498" t="str">
            <v>VAR_cap</v>
          </cell>
          <cell r="D498" t="str">
            <v>-</v>
          </cell>
          <cell r="E498">
            <v>1.3779547072016105E-3</v>
          </cell>
          <cell r="F498">
            <v>3.0197636330717668E-4</v>
          </cell>
          <cell r="G498">
            <v>2.832903513590463E-4</v>
          </cell>
          <cell r="H498">
            <v>2.0645003532958339E-4</v>
          </cell>
        </row>
        <row r="499">
          <cell r="B499" t="str">
            <v>ITOT-ESOLPV</v>
          </cell>
          <cell r="C499" t="str">
            <v>VAR_fout</v>
          </cell>
          <cell r="D499" t="str">
            <v>ITOT_SOL_ELC</v>
          </cell>
          <cell r="E499">
            <v>3.517953999707534</v>
          </cell>
          <cell r="F499">
            <v>4.8486222706482938</v>
          </cell>
          <cell r="G499">
            <v>11.161492733716585</v>
          </cell>
          <cell r="H499">
            <v>19.477109007315924</v>
          </cell>
        </row>
        <row r="500">
          <cell r="B500" t="str">
            <v>ITOT-ESOLPV</v>
          </cell>
          <cell r="C500" t="str">
            <v>VAR_fin</v>
          </cell>
          <cell r="D500" t="str">
            <v>SOL</v>
          </cell>
          <cell r="E500">
            <v>3.517953999707534</v>
          </cell>
          <cell r="F500">
            <v>4.8486222706482938</v>
          </cell>
          <cell r="G500">
            <v>11.161492733716585</v>
          </cell>
          <cell r="H500">
            <v>19.477109007315924</v>
          </cell>
        </row>
        <row r="501">
          <cell r="B501" t="str">
            <v>ITOT-ESOLPV</v>
          </cell>
          <cell r="C501" t="str">
            <v>VAR_fin</v>
          </cell>
          <cell r="D501" t="str">
            <v>SOLPVC</v>
          </cell>
          <cell r="E501">
            <v>3.51795399970753</v>
          </cell>
          <cell r="F501">
            <v>4.8486222706482902</v>
          </cell>
          <cell r="G501">
            <v>11.161492733716599</v>
          </cell>
          <cell r="H501">
            <v>19.477109007315899</v>
          </cell>
        </row>
        <row r="502">
          <cell r="B502" t="str">
            <v>ITOT-ESOLPV</v>
          </cell>
          <cell r="C502" t="str">
            <v>VAR_ncap</v>
          </cell>
          <cell r="D502" t="str">
            <v>-</v>
          </cell>
          <cell r="F502">
            <v>1.78587344204381E-8</v>
          </cell>
          <cell r="G502">
            <v>1.7679648698347199</v>
          </cell>
          <cell r="H502">
            <v>2.1224130459936799</v>
          </cell>
        </row>
        <row r="503">
          <cell r="B503" t="str">
            <v>ITOT-ESOLPV</v>
          </cell>
          <cell r="C503" t="str">
            <v>VAR_cap</v>
          </cell>
          <cell r="D503" t="str">
            <v>-</v>
          </cell>
          <cell r="E503">
            <v>1.1186210000000001</v>
          </cell>
          <cell r="F503">
            <v>1.6529270324457845</v>
          </cell>
          <cell r="G503">
            <v>3.5611858876934601</v>
          </cell>
          <cell r="H503">
            <v>5.6146830368830303</v>
          </cell>
        </row>
        <row r="504">
          <cell r="B504" t="str">
            <v>RHNS-CHPNGA</v>
          </cell>
          <cell r="C504" t="str">
            <v>VAR_fout</v>
          </cell>
          <cell r="D504" t="str">
            <v>CO2_R</v>
          </cell>
          <cell r="F504">
            <v>8.0318402226472296E-2</v>
          </cell>
          <cell r="G504">
            <v>0.125045556235415</v>
          </cell>
        </row>
        <row r="505">
          <cell r="B505" t="str">
            <v>RHNS-CHPNGA</v>
          </cell>
          <cell r="C505" t="str">
            <v>VAR_fout</v>
          </cell>
          <cell r="D505" t="str">
            <v>RHNS_LTH_CHPNGA</v>
          </cell>
          <cell r="F505">
            <v>9.0757549573672964E-4</v>
          </cell>
          <cell r="G505">
            <v>9.5452959077737144E-4</v>
          </cell>
        </row>
        <row r="506">
          <cell r="B506" t="str">
            <v>RHNS-CHPNGA</v>
          </cell>
          <cell r="C506" t="str">
            <v>VAR_fout</v>
          </cell>
          <cell r="D506" t="str">
            <v>RHNS_NKEV_GAS_ELC_CHP</v>
          </cell>
          <cell r="F506">
            <v>3.8084318093748192E-4</v>
          </cell>
          <cell r="G506">
            <v>4.0677811196600429E-4</v>
          </cell>
        </row>
        <row r="507">
          <cell r="B507" t="str">
            <v>RHNS-CHPNGA</v>
          </cell>
          <cell r="C507" t="str">
            <v>VAR_fin</v>
          </cell>
          <cell r="D507" t="str">
            <v>RNGA</v>
          </cell>
          <cell r="F507">
            <v>1.4240851458594379E-3</v>
          </cell>
          <cell r="G507">
            <v>2.217119791408068E-3</v>
          </cell>
        </row>
        <row r="508">
          <cell r="B508" t="str">
            <v>RHNS-CHPNGA</v>
          </cell>
          <cell r="C508" t="str">
            <v>VAR_ncap</v>
          </cell>
          <cell r="D508" t="str">
            <v>-</v>
          </cell>
          <cell r="F508">
            <v>3.6120853892342E-5</v>
          </cell>
          <cell r="G508">
            <v>7.3288394503681605E-8</v>
          </cell>
        </row>
        <row r="509">
          <cell r="B509" t="str">
            <v>RHNS-CHPNGA</v>
          </cell>
          <cell r="C509" t="str">
            <v>VAR_cap</v>
          </cell>
          <cell r="D509" t="str">
            <v>-</v>
          </cell>
          <cell r="F509">
            <v>3.6120853892342E-5</v>
          </cell>
          <cell r="G509">
            <v>3.6194142286845703E-5</v>
          </cell>
          <cell r="H509">
            <v>3.6150894245276533E-5</v>
          </cell>
        </row>
        <row r="510">
          <cell r="B510" t="str">
            <v>ENUC_BEZ</v>
          </cell>
          <cell r="C510" t="str">
            <v>VAR_fout</v>
          </cell>
          <cell r="D510" t="str">
            <v>ELC</v>
          </cell>
          <cell r="E510">
            <v>20.22480014624665</v>
          </cell>
          <cell r="F510">
            <v>20.224798173763752</v>
          </cell>
          <cell r="G510">
            <v>13.566718274301659</v>
          </cell>
          <cell r="H510">
            <v>7.3992088913719263</v>
          </cell>
        </row>
        <row r="511">
          <cell r="B511" t="str">
            <v>ENUC_BEZ</v>
          </cell>
          <cell r="C511" t="str">
            <v>VAR_fin</v>
          </cell>
          <cell r="D511" t="str">
            <v>URN</v>
          </cell>
          <cell r="E511">
            <v>60.97209546599499</v>
          </cell>
          <cell r="F511">
            <v>60.972089519512672</v>
          </cell>
          <cell r="G511">
            <v>40.899847504030362</v>
          </cell>
          <cell r="H511">
            <v>22.306537895816589</v>
          </cell>
        </row>
        <row r="512">
          <cell r="B512" t="str">
            <v>ENUC_BEZ</v>
          </cell>
          <cell r="C512" t="str">
            <v>VAR_cap</v>
          </cell>
          <cell r="D512" t="str">
            <v>-</v>
          </cell>
          <cell r="E512">
            <v>0.72999998993306581</v>
          </cell>
          <cell r="F512">
            <v>0.72999994983773575</v>
          </cell>
          <cell r="G512">
            <v>0.48968283846205068</v>
          </cell>
          <cell r="H512">
            <v>0.26706928500520011</v>
          </cell>
        </row>
        <row r="513">
          <cell r="B513" t="str">
            <v>RHNM-CHPWOD</v>
          </cell>
          <cell r="C513" t="str">
            <v>VAR_ncap</v>
          </cell>
          <cell r="D513" t="str">
            <v>-</v>
          </cell>
          <cell r="H513">
            <v>1.61261763117056E-6</v>
          </cell>
        </row>
        <row r="514">
          <cell r="B514" t="str">
            <v>RHNM-CHPWOD</v>
          </cell>
          <cell r="C514" t="str">
            <v>VAR_cap</v>
          </cell>
          <cell r="D514" t="str">
            <v>-</v>
          </cell>
          <cell r="H514">
            <v>1.61261763117056E-6</v>
          </cell>
        </row>
        <row r="515">
          <cell r="B515" t="str">
            <v>RHNM-SHSTG-CHPNGA</v>
          </cell>
          <cell r="C515" t="str">
            <v>VAR_fout</v>
          </cell>
          <cell r="D515" t="str">
            <v>AUX_RNM-CHPNGA_OUT</v>
          </cell>
          <cell r="E515">
            <v>1.2413692714280199E-4</v>
          </cell>
          <cell r="F515">
            <v>1.0972031489961841E-4</v>
          </cell>
          <cell r="G515">
            <v>1.0042327077803368E-3</v>
          </cell>
          <cell r="H515">
            <v>5.6697895541992569E-5</v>
          </cell>
        </row>
        <row r="516">
          <cell r="B516" t="str">
            <v>RHNM-SHSTG-CHPNGA</v>
          </cell>
          <cell r="C516" t="str">
            <v>VAR_fout</v>
          </cell>
          <cell r="D516" t="str">
            <v>RHNM_LTH_CHPNGA</v>
          </cell>
          <cell r="E516">
            <v>1.2413692714280172E-4</v>
          </cell>
          <cell r="F516">
            <v>1.0979346177621804E-4</v>
          </cell>
          <cell r="G516">
            <v>1.0052787835176072E-3</v>
          </cell>
          <cell r="H516">
            <v>5.6697895541992569E-5</v>
          </cell>
        </row>
        <row r="517">
          <cell r="B517" t="str">
            <v>RHNM-SHSTG-CHPNGA</v>
          </cell>
          <cell r="C517" t="str">
            <v>VAR_fin</v>
          </cell>
          <cell r="D517" t="str">
            <v>AUX_RNM-CHPNGA_IN</v>
          </cell>
          <cell r="E517">
            <v>9.8789207157220352E-5</v>
          </cell>
          <cell r="F517">
            <v>1.4284807293989414E-4</v>
          </cell>
          <cell r="G517">
            <v>1.295647428420916E-3</v>
          </cell>
          <cell r="H517">
            <v>4.3541418359527646E-5</v>
          </cell>
        </row>
        <row r="518">
          <cell r="B518" t="str">
            <v>RHNM-SHSTG-CHPNGA</v>
          </cell>
          <cell r="C518" t="str">
            <v>VAR_fin</v>
          </cell>
          <cell r="D518" t="str">
            <v>RHNM_LTH_CHPNGA</v>
          </cell>
          <cell r="E518">
            <v>9.8789207157220352E-5</v>
          </cell>
          <cell r="F518">
            <v>1.4284807293989414E-4</v>
          </cell>
          <cell r="G518">
            <v>1.295647428420916E-3</v>
          </cell>
          <cell r="H518">
            <v>4.3541418359527646E-5</v>
          </cell>
        </row>
        <row r="519">
          <cell r="B519" t="str">
            <v>RHNM-SHSTG-CHPNGA</v>
          </cell>
          <cell r="C519" t="str">
            <v>VAR_ncap</v>
          </cell>
          <cell r="D519" t="str">
            <v>-</v>
          </cell>
          <cell r="E519">
            <v>7.9756344533812699E-4</v>
          </cell>
          <cell r="F519">
            <v>2.2046612900130799E-5</v>
          </cell>
          <cell r="G519">
            <v>1.2795798554823601E-5</v>
          </cell>
          <cell r="H519">
            <v>6.3769236330443502E-6</v>
          </cell>
        </row>
        <row r="520">
          <cell r="B520" t="str">
            <v>RHNM-SHSTG-CHPNGA</v>
          </cell>
          <cell r="C520" t="str">
            <v>VAR_cap</v>
          </cell>
          <cell r="D520" t="str">
            <v>-</v>
          </cell>
          <cell r="E520">
            <v>7.9756344533812699E-4</v>
          </cell>
          <cell r="F520">
            <v>8.1825222805033491E-4</v>
          </cell>
          <cell r="G520">
            <v>8.2643545618979746E-4</v>
          </cell>
          <cell r="H520">
            <v>8.0237530208415459E-4</v>
          </cell>
        </row>
        <row r="521">
          <cell r="B521" t="str">
            <v>CT_CWODBDS</v>
          </cell>
          <cell r="C521" t="str">
            <v>VAR_fout</v>
          </cell>
          <cell r="D521" t="str">
            <v>BDS</v>
          </cell>
          <cell r="E521">
            <v>0.64505964940675253</v>
          </cell>
          <cell r="F521">
            <v>0.63725221790630937</v>
          </cell>
          <cell r="G521">
            <v>1.2038229470264161</v>
          </cell>
          <cell r="H521">
            <v>4.0322246870264504E-5</v>
          </cell>
        </row>
        <row r="522">
          <cell r="B522" t="str">
            <v>CT_CWODBDS</v>
          </cell>
          <cell r="C522" t="str">
            <v>VAR_fout</v>
          </cell>
          <cell r="D522" t="str">
            <v>LTH</v>
          </cell>
          <cell r="E522">
            <v>0.251573263268633</v>
          </cell>
          <cell r="F522">
            <v>0.24852836498346009</v>
          </cell>
          <cell r="G522">
            <v>0.46949094934030172</v>
          </cell>
          <cell r="H522">
            <v>1.5725676279403134E-5</v>
          </cell>
        </row>
        <row r="523">
          <cell r="B523" t="str">
            <v>CT_CWODBDS</v>
          </cell>
          <cell r="C523" t="str">
            <v>VAR_fin</v>
          </cell>
          <cell r="D523" t="str">
            <v>CWOD</v>
          </cell>
          <cell r="E523">
            <v>1.8380974709845401</v>
          </cell>
          <cell r="F523">
            <v>1.8158501949240275</v>
          </cell>
          <cell r="G523">
            <v>3.4302934875517743</v>
          </cell>
          <cell r="H523">
            <v>1.1489824245681863E-4</v>
          </cell>
        </row>
        <row r="524">
          <cell r="B524" t="str">
            <v>CT_CWODBDS</v>
          </cell>
          <cell r="C524" t="str">
            <v>VAR_fin</v>
          </cell>
          <cell r="D524" t="str">
            <v>CELC</v>
          </cell>
          <cell r="E524">
            <v>4.4831645633769304E-2</v>
          </cell>
          <cell r="F524">
            <v>4.4289029144488491E-2</v>
          </cell>
          <cell r="G524">
            <v>8.3665694818335967E-2</v>
          </cell>
          <cell r="H524">
            <v>2.8023961574833818E-6</v>
          </cell>
        </row>
        <row r="525">
          <cell r="B525" t="str">
            <v>CT_CWODBDS</v>
          </cell>
          <cell r="C525" t="str">
            <v>VAR_ncap</v>
          </cell>
          <cell r="D525" t="str">
            <v>-</v>
          </cell>
          <cell r="E525">
            <v>1.09919795965141E-7</v>
          </cell>
          <cell r="F525">
            <v>1.21079487461607E-7</v>
          </cell>
          <cell r="G525">
            <v>1.15720917114841E-5</v>
          </cell>
          <cell r="H525">
            <v>3.6016592608504697E-8</v>
          </cell>
        </row>
        <row r="526">
          <cell r="B526" t="str">
            <v>CT_CWODBDS</v>
          </cell>
          <cell r="C526" t="str">
            <v>VAR_cap</v>
          </cell>
          <cell r="D526" t="str">
            <v>-</v>
          </cell>
          <cell r="E526">
            <v>6.2412360827987817E-2</v>
          </cell>
          <cell r="F526">
            <v>6.2412466331608733E-2</v>
          </cell>
          <cell r="G526">
            <v>6.2424026286440948E-2</v>
          </cell>
          <cell r="H526">
            <v>1.4085897002517889E-5</v>
          </cell>
        </row>
        <row r="527">
          <cell r="B527" t="str">
            <v>RHNS-EBAT</v>
          </cell>
          <cell r="C527" t="str">
            <v>VAR_fout</v>
          </cell>
          <cell r="D527" t="str">
            <v>RHNS_ELC</v>
          </cell>
          <cell r="E527">
            <v>3.9346720291701169E-4</v>
          </cell>
          <cell r="F527">
            <v>3.9099006674601385E-4</v>
          </cell>
          <cell r="G527">
            <v>0.10002961539695707</v>
          </cell>
          <cell r="H527">
            <v>4.3960727774019395E-2</v>
          </cell>
        </row>
        <row r="528">
          <cell r="B528" t="str">
            <v>RHNS-EBAT</v>
          </cell>
          <cell r="C528" t="str">
            <v>VAR_fout</v>
          </cell>
          <cell r="D528" t="str">
            <v>AUX_RHNS-EBAT_OUT</v>
          </cell>
          <cell r="E528">
            <v>3.9346720291701229E-4</v>
          </cell>
          <cell r="F528">
            <v>3.9099006674601445E-4</v>
          </cell>
          <cell r="G528">
            <v>0.10002961539695712</v>
          </cell>
          <cell r="H528">
            <v>4.396072777401943E-2</v>
          </cell>
        </row>
        <row r="529">
          <cell r="B529" t="str">
            <v>RHNS-EBAT</v>
          </cell>
          <cell r="C529" t="str">
            <v>VAR_fin</v>
          </cell>
          <cell r="D529" t="str">
            <v>RHNS_ELC</v>
          </cell>
          <cell r="E529">
            <v>4.3842482999617577E-4</v>
          </cell>
          <cell r="F529">
            <v>4.3499640420584836E-4</v>
          </cell>
          <cell r="G529">
            <v>0.11061955703024512</v>
          </cell>
          <cell r="H529">
            <v>4.8614938660434016E-2</v>
          </cell>
        </row>
        <row r="530">
          <cell r="B530" t="str">
            <v>RHNS-EBAT</v>
          </cell>
          <cell r="C530" t="str">
            <v>VAR_fin</v>
          </cell>
          <cell r="D530" t="str">
            <v>AUX_RHNS-EBAT_IN</v>
          </cell>
          <cell r="E530">
            <v>4.3842482999617577E-4</v>
          </cell>
          <cell r="F530">
            <v>4.3499640420584836E-4</v>
          </cell>
          <cell r="G530">
            <v>0.11061955703024512</v>
          </cell>
          <cell r="H530">
            <v>4.8614938660434016E-2</v>
          </cell>
        </row>
        <row r="531">
          <cell r="B531" t="str">
            <v>RHNS-EBAT</v>
          </cell>
          <cell r="C531" t="str">
            <v>VAR_ncap</v>
          </cell>
          <cell r="D531" t="str">
            <v>-</v>
          </cell>
          <cell r="E531">
            <v>1.57429689037005E-4</v>
          </cell>
          <cell r="F531">
            <v>2.5855731421293498E-7</v>
          </cell>
          <cell r="G531">
            <v>6.3851579306892003E-2</v>
          </cell>
          <cell r="H531">
            <v>3.4935568315669103E-4</v>
          </cell>
        </row>
        <row r="532">
          <cell r="B532" t="str">
            <v>RHNS-EBAT</v>
          </cell>
          <cell r="C532" t="str">
            <v>VAR_cap</v>
          </cell>
          <cell r="D532" t="str">
            <v>-</v>
          </cell>
          <cell r="E532">
            <v>1.6016931408439149E-4</v>
          </cell>
          <cell r="F532">
            <v>1.6036037861958679E-4</v>
          </cell>
          <cell r="G532">
            <v>6.4011810827934848E-2</v>
          </cell>
          <cell r="H532">
            <v>6.4316186851070836E-2</v>
          </cell>
        </row>
        <row r="533">
          <cell r="B533" t="str">
            <v>G-INTC-EXP00-AT</v>
          </cell>
          <cell r="C533" t="str">
            <v>VAR_fout</v>
          </cell>
          <cell r="D533" t="str">
            <v>ELC_E-AT</v>
          </cell>
          <cell r="E533">
            <v>6.2295572283639959</v>
          </cell>
          <cell r="F533">
            <v>2.1183212872880283E-4</v>
          </cell>
          <cell r="G533">
            <v>2.8078314982271364E-4</v>
          </cell>
          <cell r="H533">
            <v>4.9032527210814143E-5</v>
          </cell>
        </row>
        <row r="534">
          <cell r="B534" t="str">
            <v>G-INTC-EXP00-AT</v>
          </cell>
          <cell r="C534" t="str">
            <v>VAR_fin</v>
          </cell>
          <cell r="D534" t="str">
            <v>ELC</v>
          </cell>
          <cell r="E534">
            <v>6.2295572283639959</v>
          </cell>
          <cell r="F534">
            <v>2.1183212872880283E-4</v>
          </cell>
          <cell r="G534">
            <v>2.8078314982271364E-4</v>
          </cell>
          <cell r="H534">
            <v>4.9032527210814143E-5</v>
          </cell>
        </row>
        <row r="535">
          <cell r="B535" t="str">
            <v>G-INTC-EXP00-AT</v>
          </cell>
          <cell r="C535" t="str">
            <v>VAR_ncap</v>
          </cell>
          <cell r="D535" t="str">
            <v>-</v>
          </cell>
          <cell r="E535">
            <v>9.8403073034703401E-8</v>
          </cell>
          <cell r="F535">
            <v>9.1382368841880501E-8</v>
          </cell>
          <cell r="G535">
            <v>1.1446944097544499E-7</v>
          </cell>
          <cell r="H535">
            <v>1.2599836106297801E-7</v>
          </cell>
        </row>
        <row r="536">
          <cell r="B536" t="str">
            <v>G-INTC-EXP00-AT</v>
          </cell>
          <cell r="C536" t="str">
            <v>VAR_cap</v>
          </cell>
          <cell r="D536" t="str">
            <v>-</v>
          </cell>
          <cell r="E536">
            <v>0.23416071955727891</v>
          </cell>
          <cell r="F536">
            <v>1.3780590624001832E-4</v>
          </cell>
          <cell r="G536">
            <v>1.3667993005994639E-4</v>
          </cell>
          <cell r="H536">
            <v>1.3622862821871529E-4</v>
          </cell>
        </row>
        <row r="537">
          <cell r="B537" t="str">
            <v>G-INTC-IMP00-DE</v>
          </cell>
          <cell r="C537" t="str">
            <v>VAR_fout</v>
          </cell>
          <cell r="D537" t="str">
            <v>ELC</v>
          </cell>
          <cell r="E537">
            <v>46.398476122575623</v>
          </cell>
          <cell r="F537">
            <v>33.019061856164996</v>
          </cell>
          <cell r="G537">
            <v>29.165457970151063</v>
          </cell>
          <cell r="H537">
            <v>35.902209239879461</v>
          </cell>
        </row>
        <row r="538">
          <cell r="B538" t="str">
            <v>G-INTC-IMP00-DE</v>
          </cell>
          <cell r="C538" t="str">
            <v>VAR_fin</v>
          </cell>
          <cell r="D538" t="str">
            <v>ELC_I-DE</v>
          </cell>
          <cell r="E538">
            <v>46.398476122575623</v>
          </cell>
          <cell r="F538">
            <v>33.019061856164996</v>
          </cell>
          <cell r="G538">
            <v>29.165457970151063</v>
          </cell>
          <cell r="H538">
            <v>35.902209239879461</v>
          </cell>
        </row>
        <row r="539">
          <cell r="B539" t="str">
            <v>G-INTC-IMP00-DE</v>
          </cell>
          <cell r="C539" t="str">
            <v>VAR_ncap</v>
          </cell>
          <cell r="D539" t="str">
            <v>-</v>
          </cell>
          <cell r="E539">
            <v>3.4602536022424402E-7</v>
          </cell>
          <cell r="F539">
            <v>3.3427905192243799E-7</v>
          </cell>
          <cell r="G539">
            <v>3.9125673213298902E-7</v>
          </cell>
          <cell r="H539">
            <v>3.5218812305047099E-7</v>
          </cell>
        </row>
        <row r="540">
          <cell r="B540" t="str">
            <v>G-INTC-IMP00-DE</v>
          </cell>
          <cell r="C540" t="str">
            <v>VAR_cap</v>
          </cell>
          <cell r="D540" t="str">
            <v>-</v>
          </cell>
          <cell r="E540">
            <v>2.4000041106986103</v>
          </cell>
          <cell r="F540">
            <v>2.4000007255119602</v>
          </cell>
          <cell r="G540">
            <v>2.4000001817186805</v>
          </cell>
          <cell r="H540">
            <v>2.4000000846250193</v>
          </cell>
        </row>
        <row r="541">
          <cell r="B541" t="str">
            <v>RHEM-SHSTG-CHPWOD</v>
          </cell>
          <cell r="C541" t="str">
            <v>VAR_fout</v>
          </cell>
          <cell r="D541" t="str">
            <v>AUX_REM-CHPWOD_OUT</v>
          </cell>
          <cell r="E541">
            <v>1.2413415840300998E-4</v>
          </cell>
          <cell r="F541">
            <v>6.140171953979361E-5</v>
          </cell>
          <cell r="G541">
            <v>2.923160094020461E-5</v>
          </cell>
          <cell r="H541">
            <v>5.6697917028341856E-5</v>
          </cell>
        </row>
        <row r="542">
          <cell r="B542" t="str">
            <v>RHEM-SHSTG-CHPWOD</v>
          </cell>
          <cell r="C542" t="str">
            <v>VAR_fout</v>
          </cell>
          <cell r="D542" t="str">
            <v>RHEM_LTH_CHPWOD</v>
          </cell>
          <cell r="E542">
            <v>1.2413415840300976E-4</v>
          </cell>
          <cell r="F542">
            <v>6.1442654019486652E-5</v>
          </cell>
          <cell r="G542">
            <v>2.9262050524517288E-5</v>
          </cell>
          <cell r="H542">
            <v>5.6697917028341856E-5</v>
          </cell>
        </row>
        <row r="543">
          <cell r="B543" t="str">
            <v>RHEM-SHSTG-CHPWOD</v>
          </cell>
          <cell r="C543" t="str">
            <v>VAR_fin</v>
          </cell>
          <cell r="D543" t="str">
            <v>AUX_REM-CHPWOD_IN</v>
          </cell>
          <cell r="E543">
            <v>9.8785515504157032E-5</v>
          </cell>
          <cell r="F543">
            <v>3.9556838093923124E-5</v>
          </cell>
          <cell r="G543">
            <v>2.3456675904064987E-5</v>
          </cell>
          <cell r="H543">
            <v>4.3541445217504589E-5</v>
          </cell>
        </row>
        <row r="544">
          <cell r="B544" t="str">
            <v>RHEM-SHSTG-CHPWOD</v>
          </cell>
          <cell r="C544" t="str">
            <v>VAR_fin</v>
          </cell>
          <cell r="D544" t="str">
            <v>RHEM_LTH_CHPWOD</v>
          </cell>
          <cell r="E544">
            <v>9.8785515504157032E-5</v>
          </cell>
          <cell r="F544">
            <v>3.9556838093923124E-5</v>
          </cell>
          <cell r="G544">
            <v>2.3456675904064987E-5</v>
          </cell>
          <cell r="H544">
            <v>4.3541445217504589E-5</v>
          </cell>
        </row>
        <row r="545">
          <cell r="B545" t="str">
            <v>RHEM-SHSTG-CHPWOD</v>
          </cell>
          <cell r="C545" t="str">
            <v>VAR_ncap</v>
          </cell>
          <cell r="D545" t="str">
            <v>-</v>
          </cell>
          <cell r="E545">
            <v>5.5446540649888802E-4</v>
          </cell>
          <cell r="F545">
            <v>1.25738862311045E-5</v>
          </cell>
          <cell r="G545">
            <v>1.2459877057783899E-5</v>
          </cell>
          <cell r="H545">
            <v>8.4168623507931996E-6</v>
          </cell>
        </row>
        <row r="546">
          <cell r="B546" t="str">
            <v>RHEM-SHSTG-CHPWOD</v>
          </cell>
          <cell r="C546" t="str">
            <v>VAR_cap</v>
          </cell>
          <cell r="D546" t="str">
            <v>-</v>
          </cell>
          <cell r="E546">
            <v>5.5446540649888802E-4</v>
          </cell>
          <cell r="F546">
            <v>5.6532014487014151E-4</v>
          </cell>
          <cell r="G546">
            <v>5.7247413960764338E-4</v>
          </cell>
          <cell r="H546">
            <v>5.685153264825784E-4</v>
          </cell>
        </row>
        <row r="547">
          <cell r="B547" t="str">
            <v>RHNM-CHPGFC</v>
          </cell>
          <cell r="C547" t="str">
            <v>VAR_ncap</v>
          </cell>
          <cell r="D547" t="str">
            <v>-</v>
          </cell>
          <cell r="H547">
            <v>1.35763735471753E-6</v>
          </cell>
        </row>
        <row r="548">
          <cell r="B548" t="str">
            <v>RHNM-CHPGFC</v>
          </cell>
          <cell r="C548" t="str">
            <v>VAR_cap</v>
          </cell>
          <cell r="D548" t="str">
            <v>-</v>
          </cell>
          <cell r="H548">
            <v>1.35763735471753E-6</v>
          </cell>
        </row>
        <row r="549">
          <cell r="B549" t="str">
            <v>G-INTC-EXP00-FR</v>
          </cell>
          <cell r="C549" t="str">
            <v>VAR_fout</v>
          </cell>
          <cell r="D549" t="str">
            <v>ELC_E-FR</v>
          </cell>
          <cell r="E549">
            <v>12.75336069494074</v>
          </cell>
          <cell r="F549">
            <v>2.1015038260549732E-4</v>
          </cell>
          <cell r="G549">
            <v>2.2830026798602564E-4</v>
          </cell>
          <cell r="H549">
            <v>1.070566004915412E-4</v>
          </cell>
        </row>
        <row r="550">
          <cell r="B550" t="str">
            <v>G-INTC-EXP00-FR</v>
          </cell>
          <cell r="C550" t="str">
            <v>VAR_fin</v>
          </cell>
          <cell r="D550" t="str">
            <v>ELC</v>
          </cell>
          <cell r="E550">
            <v>12.75336069494074</v>
          </cell>
          <cell r="F550">
            <v>2.1015038260549732E-4</v>
          </cell>
          <cell r="G550">
            <v>2.2830026798602564E-4</v>
          </cell>
          <cell r="H550">
            <v>1.070566004915412E-4</v>
          </cell>
        </row>
        <row r="551">
          <cell r="B551" t="str">
            <v>G-INTC-EXP00-FR</v>
          </cell>
          <cell r="C551" t="str">
            <v>VAR_ncap</v>
          </cell>
          <cell r="D551" t="str">
            <v>-</v>
          </cell>
          <cell r="E551">
            <v>3.4912599983539302E-7</v>
          </cell>
          <cell r="F551">
            <v>3.2013598874188599E-7</v>
          </cell>
          <cell r="G551">
            <v>4.7148083185326799E-7</v>
          </cell>
          <cell r="H551">
            <v>1.0951546663173599E-6</v>
          </cell>
        </row>
        <row r="552">
          <cell r="B552" t="str">
            <v>G-INTC-EXP00-FR</v>
          </cell>
          <cell r="C552" t="str">
            <v>VAR_cap</v>
          </cell>
          <cell r="D552" t="str">
            <v>-</v>
          </cell>
          <cell r="E552">
            <v>1.2999985719166771</v>
          </cell>
          <cell r="F552">
            <v>8.0148607922003734E-4</v>
          </cell>
          <cell r="G552">
            <v>8.0089365000013402E-4</v>
          </cell>
          <cell r="H552">
            <v>8.0116472459179633E-4</v>
          </cell>
        </row>
        <row r="553">
          <cell r="B553" t="str">
            <v>RHNM-EBAT</v>
          </cell>
          <cell r="C553" t="str">
            <v>VAR_fout</v>
          </cell>
          <cell r="D553" t="str">
            <v>RHNM_ELC</v>
          </cell>
          <cell r="E553">
            <v>3.8593472667009394E-4</v>
          </cell>
          <cell r="F553">
            <v>3.8347932338379158E-4</v>
          </cell>
          <cell r="G553">
            <v>3.0692772839285318E-2</v>
          </cell>
          <cell r="H553">
            <v>1.5902121565544453E-2</v>
          </cell>
        </row>
        <row r="554">
          <cell r="B554" t="str">
            <v>RHNM-EBAT</v>
          </cell>
          <cell r="C554" t="str">
            <v>VAR_fout</v>
          </cell>
          <cell r="D554" t="str">
            <v>AUX_RHNM-EBAT_OUT</v>
          </cell>
          <cell r="E554">
            <v>3.8593472667009432E-4</v>
          </cell>
          <cell r="F554">
            <v>3.8347932338379212E-4</v>
          </cell>
          <cell r="G554">
            <v>3.069277283928535E-2</v>
          </cell>
          <cell r="H554">
            <v>1.5902121565544471E-2</v>
          </cell>
        </row>
        <row r="555">
          <cell r="B555" t="str">
            <v>RHNM-EBAT</v>
          </cell>
          <cell r="C555" t="str">
            <v>VAR_fin</v>
          </cell>
          <cell r="D555" t="str">
            <v>RHNM_ELC</v>
          </cell>
          <cell r="E555">
            <v>4.3009492968527435E-4</v>
          </cell>
          <cell r="F555">
            <v>4.2669053752705929E-4</v>
          </cell>
          <cell r="G555">
            <v>3.3942241912874663E-2</v>
          </cell>
          <cell r="H555">
            <v>1.758588942396945E-2</v>
          </cell>
        </row>
        <row r="556">
          <cell r="B556" t="str">
            <v>RHNM-EBAT</v>
          </cell>
          <cell r="C556" t="str">
            <v>VAR_fin</v>
          </cell>
          <cell r="D556" t="str">
            <v>AUX_RHNM-EBAT_IN</v>
          </cell>
          <cell r="E556">
            <v>4.3009492968527435E-4</v>
          </cell>
          <cell r="F556">
            <v>4.2669053752705929E-4</v>
          </cell>
          <cell r="G556">
            <v>3.3942241912874663E-2</v>
          </cell>
          <cell r="H556">
            <v>1.758588942396945E-2</v>
          </cell>
        </row>
        <row r="557">
          <cell r="B557" t="str">
            <v>RHNM-EBAT</v>
          </cell>
          <cell r="C557" t="str">
            <v>VAR_ncap</v>
          </cell>
          <cell r="D557" t="str">
            <v>-</v>
          </cell>
          <cell r="E557">
            <v>1.54348678830845E-4</v>
          </cell>
          <cell r="F557">
            <v>2.5441500246921999E-7</v>
          </cell>
          <cell r="G557">
            <v>1.8959765863210701E-2</v>
          </cell>
          <cell r="H557">
            <v>6.0507953755530703E-4</v>
          </cell>
        </row>
        <row r="558">
          <cell r="B558" t="str">
            <v>RHNM-EBAT</v>
          </cell>
          <cell r="C558" t="str">
            <v>VAR_cap</v>
          </cell>
          <cell r="D558" t="str">
            <v>-</v>
          </cell>
          <cell r="E558">
            <v>1.5708831694842486E-4</v>
          </cell>
          <cell r="F558">
            <v>1.5727617501320527E-4</v>
          </cell>
          <cell r="G558">
            <v>1.9116908431794463E-2</v>
          </cell>
          <cell r="H558">
            <v>1.9677837466830165E-2</v>
          </cell>
        </row>
        <row r="559">
          <cell r="B559" t="str">
            <v>ITOT-CHPWST</v>
          </cell>
          <cell r="C559" t="str">
            <v>VAR_fout</v>
          </cell>
          <cell r="D559" t="str">
            <v>ITOT_LTH_CHP</v>
          </cell>
          <cell r="E559">
            <v>1.9348222656546448</v>
          </cell>
          <cell r="F559">
            <v>1.8587705616024293</v>
          </cell>
          <cell r="G559">
            <v>2.2411526409390576E-3</v>
          </cell>
          <cell r="H559">
            <v>1.7782842889798008E-3</v>
          </cell>
        </row>
        <row r="560">
          <cell r="B560" t="str">
            <v>ITOT-CHPWST</v>
          </cell>
          <cell r="C560" t="str">
            <v>VAR_fout</v>
          </cell>
          <cell r="D560" t="str">
            <v>ITOT_KEV_WST_ELC_CHP</v>
          </cell>
          <cell r="E560">
            <v>0.23004508076834598</v>
          </cell>
          <cell r="F560">
            <v>0.23015798149413452</v>
          </cell>
          <cell r="G560">
            <v>2.958919532228629E-4</v>
          </cell>
          <cell r="H560">
            <v>2.6392534957786484E-4</v>
          </cell>
        </row>
        <row r="561">
          <cell r="B561" t="str">
            <v>ITOT-CHPWST</v>
          </cell>
          <cell r="C561" t="str">
            <v>VAR_fout</v>
          </cell>
          <cell r="D561" t="str">
            <v>CO2_I</v>
          </cell>
          <cell r="E561">
            <v>344.47015461566298</v>
          </cell>
          <cell r="F561">
            <v>344.64526755139298</v>
          </cell>
          <cell r="G561">
            <v>0.44307889057025202</v>
          </cell>
          <cell r="H561">
            <v>0.39521098769539098</v>
          </cell>
        </row>
        <row r="562">
          <cell r="B562" t="str">
            <v>ITOT-CHPWST</v>
          </cell>
          <cell r="C562" t="str">
            <v>VAR_fin</v>
          </cell>
          <cell r="D562" t="str">
            <v>IWST</v>
          </cell>
          <cell r="E562">
            <v>3.7119628730136038</v>
          </cell>
          <cell r="F562">
            <v>3.7138498658555261</v>
          </cell>
          <cell r="G562">
            <v>4.7745570104552994E-3</v>
          </cell>
          <cell r="H562">
            <v>4.2587390915451656E-3</v>
          </cell>
        </row>
        <row r="563">
          <cell r="B563" t="str">
            <v>ITOT-CHPWST</v>
          </cell>
          <cell r="C563" t="str">
            <v>VAR_ncap</v>
          </cell>
          <cell r="D563" t="str">
            <v>-</v>
          </cell>
          <cell r="F563">
            <v>1.6698904853676301E-8</v>
          </cell>
          <cell r="G563">
            <v>1.21387107098253E-8</v>
          </cell>
          <cell r="H563">
            <v>2.4048645689022301E-8</v>
          </cell>
        </row>
        <row r="564">
          <cell r="B564" t="str">
            <v>ITOT-CHPWST</v>
          </cell>
          <cell r="C564" t="str">
            <v>VAR_cap</v>
          </cell>
          <cell r="D564" t="str">
            <v>-</v>
          </cell>
          <cell r="E564">
            <v>3.8830585659036999E-2</v>
          </cell>
          <cell r="F564">
            <v>9.3641992011918584E-3</v>
          </cell>
          <cell r="G564">
            <v>7.9480693156566695E-5</v>
          </cell>
          <cell r="H564">
            <v>7.7955582672952634E-5</v>
          </cell>
        </row>
        <row r="565">
          <cell r="B565" t="str">
            <v>CAES-EBAT</v>
          </cell>
          <cell r="C565" t="str">
            <v>VAR_fout</v>
          </cell>
          <cell r="D565" t="str">
            <v>ELC13</v>
          </cell>
          <cell r="E565">
            <v>9.4514589055027284E-2</v>
          </cell>
          <cell r="F565">
            <v>4.0065384849682327E-3</v>
          </cell>
          <cell r="G565">
            <v>1.9592865137364069E-2</v>
          </cell>
          <cell r="H565">
            <v>2.1973018464116881E-2</v>
          </cell>
        </row>
        <row r="566">
          <cell r="B566" t="str">
            <v>CAES-EBAT</v>
          </cell>
          <cell r="C566" t="str">
            <v>VAR_fout</v>
          </cell>
          <cell r="D566" t="str">
            <v>AUX_CAES_OUT</v>
          </cell>
          <cell r="E566">
            <v>9.4514589055027201E-2</v>
          </cell>
          <cell r="F566">
            <v>4.0065384849682275E-3</v>
          </cell>
          <cell r="G566">
            <v>1.9592865137364055E-2</v>
          </cell>
          <cell r="H566">
            <v>2.197301846411685E-2</v>
          </cell>
        </row>
        <row r="567">
          <cell r="B567" t="str">
            <v>CAES-EBAT</v>
          </cell>
          <cell r="C567" t="str">
            <v>VAR_fin</v>
          </cell>
          <cell r="D567" t="str">
            <v>ELC13</v>
          </cell>
          <cell r="E567">
            <v>0.13502546585350092</v>
          </cell>
          <cell r="F567">
            <v>5.7261980877209738E-3</v>
          </cell>
          <cell r="G567">
            <v>2.7989845055682534E-2</v>
          </cell>
          <cell r="H567">
            <v>3.1390657413825677E-2</v>
          </cell>
        </row>
        <row r="568">
          <cell r="B568" t="str">
            <v>CAES-EBAT</v>
          </cell>
          <cell r="C568" t="str">
            <v>VAR_fin</v>
          </cell>
          <cell r="D568" t="str">
            <v>AUX_CAES_IN</v>
          </cell>
          <cell r="E568">
            <v>0.13502546585350092</v>
          </cell>
          <cell r="F568">
            <v>5.7261980877209738E-3</v>
          </cell>
          <cell r="G568">
            <v>2.7989845055682534E-2</v>
          </cell>
          <cell r="H568">
            <v>3.1390657413825677E-2</v>
          </cell>
        </row>
        <row r="569">
          <cell r="B569" t="str">
            <v>CAES-EBAT</v>
          </cell>
          <cell r="C569" t="str">
            <v>VAR_ncap</v>
          </cell>
          <cell r="D569" t="str">
            <v>-</v>
          </cell>
          <cell r="F569">
            <v>8.4795812707926096E-8</v>
          </cell>
          <cell r="G569">
            <v>8.6838575934311005E-8</v>
          </cell>
          <cell r="H569">
            <v>8.4290698011414404E-8</v>
          </cell>
        </row>
        <row r="570">
          <cell r="B570" t="str">
            <v>CAES-EBAT</v>
          </cell>
          <cell r="C570" t="str">
            <v>VAR_cap</v>
          </cell>
          <cell r="D570" t="str">
            <v>-</v>
          </cell>
          <cell r="E570">
            <v>0.1</v>
          </cell>
          <cell r="F570">
            <v>9.9997017632778851E-2</v>
          </cell>
          <cell r="G570">
            <v>9.9996845895696837E-2</v>
          </cell>
          <cell r="H570">
            <v>9.9996756667802403E-2</v>
          </cell>
        </row>
        <row r="571">
          <cell r="B571" t="str">
            <v>HPLSOL</v>
          </cell>
          <cell r="C571" t="str">
            <v>VAR_fout</v>
          </cell>
          <cell r="D571" t="str">
            <v>LTH</v>
          </cell>
          <cell r="H571">
            <v>1.2934234108348537E-5</v>
          </cell>
        </row>
        <row r="572">
          <cell r="B572" t="str">
            <v>HPLSOL</v>
          </cell>
          <cell r="C572" t="str">
            <v>VAR_fin</v>
          </cell>
          <cell r="D572" t="str">
            <v>SOL</v>
          </cell>
          <cell r="H572">
            <v>1.2934234108348537E-5</v>
          </cell>
        </row>
        <row r="573">
          <cell r="B573" t="str">
            <v>HPLSOL</v>
          </cell>
          <cell r="C573" t="str">
            <v>VAR_fin</v>
          </cell>
          <cell r="D573" t="str">
            <v>SOLPVC</v>
          </cell>
          <cell r="H573">
            <v>1.2934234108348499E-5</v>
          </cell>
        </row>
        <row r="574">
          <cell r="B574" t="str">
            <v>HPLSOL</v>
          </cell>
          <cell r="C574" t="str">
            <v>VAR_ncap</v>
          </cell>
          <cell r="D574" t="str">
            <v>-</v>
          </cell>
          <cell r="H574">
            <v>2.8192976651413301E-6</v>
          </cell>
        </row>
        <row r="575">
          <cell r="B575" t="str">
            <v>HPLSOL</v>
          </cell>
          <cell r="C575" t="str">
            <v>VAR_cap</v>
          </cell>
          <cell r="D575" t="str">
            <v>-</v>
          </cell>
          <cell r="H575">
            <v>2.8192976651413301E-6</v>
          </cell>
        </row>
        <row r="576">
          <cell r="B576" t="str">
            <v>RHEM-CHPNGA</v>
          </cell>
          <cell r="C576" t="str">
            <v>VAR_fout</v>
          </cell>
          <cell r="D576" t="str">
            <v>CO2_R</v>
          </cell>
          <cell r="E576">
            <v>5.6783029565253296</v>
          </cell>
          <cell r="F576">
            <v>5.81116854488644E-2</v>
          </cell>
          <cell r="G576">
            <v>0.25951010159096799</v>
          </cell>
        </row>
        <row r="577">
          <cell r="B577" t="str">
            <v>RHEM-CHPNGA</v>
          </cell>
          <cell r="C577" t="str">
            <v>VAR_fout</v>
          </cell>
          <cell r="D577" t="str">
            <v>RHEM_LTH_CHPNGA</v>
          </cell>
          <cell r="E577">
            <v>6.0151544793016945E-2</v>
          </cell>
          <cell r="F577">
            <v>6.2850090963443477E-4</v>
          </cell>
          <cell r="G577">
            <v>2.4243990765797745E-3</v>
          </cell>
        </row>
        <row r="578">
          <cell r="B578" t="str">
            <v>RHEM-CHPNGA</v>
          </cell>
          <cell r="C578" t="str">
            <v>VAR_fout</v>
          </cell>
          <cell r="D578" t="str">
            <v>RHEM_NKEV_GAS_ELC_CHP</v>
          </cell>
          <cell r="E578">
            <v>2.7688806333293497E-2</v>
          </cell>
          <cell r="F578">
            <v>2.9215419501066363E-4</v>
          </cell>
          <cell r="G578">
            <v>1.1438325361303701E-3</v>
          </cell>
        </row>
        <row r="579">
          <cell r="B579" t="str">
            <v>RHEM-CHPNGA</v>
          </cell>
          <cell r="C579" t="str">
            <v>VAR_fin</v>
          </cell>
          <cell r="D579" t="str">
            <v>RNGA</v>
          </cell>
          <cell r="E579">
            <v>0.10067913043484628</v>
          </cell>
          <cell r="F579">
            <v>1.0303490327812838E-3</v>
          </cell>
          <cell r="G579">
            <v>4.6012429360100743E-3</v>
          </cell>
        </row>
        <row r="580">
          <cell r="B580" t="str">
            <v>RHEM-CHPNGA</v>
          </cell>
          <cell r="C580" t="str">
            <v>VAR_ncap</v>
          </cell>
          <cell r="D580" t="str">
            <v>-</v>
          </cell>
          <cell r="G580">
            <v>5.7620062105743298E-8</v>
          </cell>
          <cell r="H580">
            <v>1.9469885628786499E-8</v>
          </cell>
        </row>
        <row r="581">
          <cell r="B581" t="str">
            <v>RHEM-CHPNGA</v>
          </cell>
          <cell r="C581" t="str">
            <v>VAR_cap</v>
          </cell>
          <cell r="D581" t="str">
            <v>-</v>
          </cell>
          <cell r="E581">
            <v>8.3678803772576013E-3</v>
          </cell>
          <cell r="F581">
            <v>8.748166668818072E-5</v>
          </cell>
          <cell r="G581">
            <v>8.7575852803755891E-5</v>
          </cell>
          <cell r="H581">
            <v>3.9439230264774749E-5</v>
          </cell>
        </row>
        <row r="582">
          <cell r="B582" t="str">
            <v>D-DH2</v>
          </cell>
          <cell r="C582" t="str">
            <v>VAR_fout</v>
          </cell>
          <cell r="D582" t="str">
            <v>H2</v>
          </cell>
          <cell r="H582">
            <v>6.136138856852121E-6</v>
          </cell>
        </row>
        <row r="583">
          <cell r="B583" t="str">
            <v>D-DH2</v>
          </cell>
          <cell r="C583" t="str">
            <v>VAR_fin</v>
          </cell>
          <cell r="D583" t="str">
            <v>H2_E</v>
          </cell>
          <cell r="H583">
            <v>6.1981200574263848E-6</v>
          </cell>
        </row>
        <row r="584">
          <cell r="B584" t="str">
            <v>D-DH2</v>
          </cell>
          <cell r="C584" t="str">
            <v>VAR_ncap</v>
          </cell>
          <cell r="D584" t="str">
            <v>-</v>
          </cell>
          <cell r="H584">
            <v>1.10415325401401E-5</v>
          </cell>
        </row>
        <row r="585">
          <cell r="B585" t="str">
            <v>D-DH2</v>
          </cell>
          <cell r="C585" t="str">
            <v>VAR_cap</v>
          </cell>
          <cell r="D585" t="str">
            <v>-</v>
          </cell>
          <cell r="H585">
            <v>1.10415325401401E-5</v>
          </cell>
        </row>
        <row r="586">
          <cell r="B586" t="str">
            <v>D-SBIO</v>
          </cell>
          <cell r="C586" t="str">
            <v>VAR_fout</v>
          </cell>
          <cell r="D586" t="str">
            <v>SBIO</v>
          </cell>
          <cell r="E586">
            <v>4.0476745403392496</v>
          </cell>
          <cell r="F586">
            <v>4.5832723595517715</v>
          </cell>
          <cell r="G586">
            <v>3.0423987923177669</v>
          </cell>
          <cell r="H586">
            <v>3.0321071621897415</v>
          </cell>
        </row>
        <row r="587">
          <cell r="B587" t="str">
            <v>D-SBIO</v>
          </cell>
          <cell r="C587" t="str">
            <v>VAR_fin</v>
          </cell>
          <cell r="D587" t="str">
            <v>BIO</v>
          </cell>
          <cell r="E587">
            <v>4.0476745403392496</v>
          </cell>
          <cell r="F587">
            <v>4.5832723595517715</v>
          </cell>
          <cell r="G587">
            <v>3.0423987923177669</v>
          </cell>
          <cell r="H587">
            <v>3.0321071621897415</v>
          </cell>
        </row>
        <row r="588">
          <cell r="B588" t="str">
            <v>SCOM-CHPBIO</v>
          </cell>
          <cell r="C588" t="str">
            <v>VAR_fout</v>
          </cell>
          <cell r="D588" t="str">
            <v>SCOM_LTH_CHPBIO</v>
          </cell>
          <cell r="E588">
            <v>1.4243128743059836</v>
          </cell>
          <cell r="F588">
            <v>1.578325399859821</v>
          </cell>
          <cell r="G588">
            <v>1.4829228347016219</v>
          </cell>
          <cell r="H588">
            <v>1.323919743665777</v>
          </cell>
        </row>
        <row r="589">
          <cell r="B589" t="str">
            <v>SCOM-CHPBIO</v>
          </cell>
          <cell r="C589" t="str">
            <v>VAR_fout</v>
          </cell>
          <cell r="D589" t="str">
            <v>SCOM_KEV_BIO_ELC_CHP</v>
          </cell>
          <cell r="E589">
            <v>0.9593676447766335</v>
          </cell>
          <cell r="F589">
            <v>1.1059448075564708</v>
          </cell>
          <cell r="G589">
            <v>1.1059444382561738</v>
          </cell>
          <cell r="H589">
            <v>1.1059445509953427</v>
          </cell>
        </row>
        <row r="590">
          <cell r="B590" t="str">
            <v>SCOM-CHPBIO</v>
          </cell>
          <cell r="C590" t="str">
            <v>VAR_fin</v>
          </cell>
          <cell r="D590" t="str">
            <v>SBIO</v>
          </cell>
          <cell r="E590">
            <v>2.6453956633088667</v>
          </cell>
          <cell r="F590">
            <v>3.0460464587742369</v>
          </cell>
          <cell r="G590">
            <v>3.0423987923177669</v>
          </cell>
          <cell r="H590">
            <v>3.0321071621897415</v>
          </cell>
        </row>
        <row r="591">
          <cell r="B591" t="str">
            <v>SCOM-CHPBIO</v>
          </cell>
          <cell r="C591" t="str">
            <v>VAR_ncap</v>
          </cell>
          <cell r="D591" t="str">
            <v>-</v>
          </cell>
          <cell r="F591">
            <v>2.6187181431673302E-2</v>
          </cell>
          <cell r="G591">
            <v>6.5661032912017201E-3</v>
          </cell>
          <cell r="H591">
            <v>1.22210139226939E-2</v>
          </cell>
        </row>
        <row r="592">
          <cell r="B592" t="str">
            <v>SCOM-CHPBIO</v>
          </cell>
          <cell r="C592" t="str">
            <v>VAR_cap</v>
          </cell>
          <cell r="D592" t="str">
            <v>-</v>
          </cell>
          <cell r="E592">
            <v>7.35127E-2</v>
          </cell>
          <cell r="F592">
            <v>8.4744615041142016E-2</v>
          </cell>
          <cell r="G592">
            <v>8.4744519225760401E-2</v>
          </cell>
          <cell r="H592">
            <v>8.4744682181003228E-2</v>
          </cell>
        </row>
        <row r="593">
          <cell r="B593" t="str">
            <v>RHES-EBAT</v>
          </cell>
          <cell r="C593" t="str">
            <v>VAR_fout</v>
          </cell>
          <cell r="D593" t="str">
            <v>RHES_ELC</v>
          </cell>
          <cell r="E593">
            <v>3.9332436511193577E-4</v>
          </cell>
          <cell r="F593">
            <v>3.9083830042280378E-4</v>
          </cell>
          <cell r="G593">
            <v>0.10012757548160803</v>
          </cell>
          <cell r="H593">
            <v>4.4005664594403089E-2</v>
          </cell>
        </row>
        <row r="594">
          <cell r="B594" t="str">
            <v>RHES-EBAT</v>
          </cell>
          <cell r="C594" t="str">
            <v>VAR_fout</v>
          </cell>
          <cell r="D594" t="str">
            <v>AUX_RHES-EBAT_OUT</v>
          </cell>
          <cell r="E594">
            <v>3.9332436511193625E-4</v>
          </cell>
          <cell r="F594">
            <v>3.9083830042280422E-4</v>
          </cell>
          <cell r="G594">
            <v>0.10012757548160808</v>
          </cell>
          <cell r="H594">
            <v>4.4005664594403228E-2</v>
          </cell>
        </row>
        <row r="595">
          <cell r="B595" t="str">
            <v>RHES-EBAT</v>
          </cell>
          <cell r="C595" t="str">
            <v>VAR_fin</v>
          </cell>
          <cell r="D595" t="str">
            <v>RHES_ELC</v>
          </cell>
          <cell r="E595">
            <v>4.3826687069594778E-4</v>
          </cell>
          <cell r="F595">
            <v>4.3482857117173865E-4</v>
          </cell>
          <cell r="G595">
            <v>0.11072788770561816</v>
          </cell>
          <cell r="H595">
            <v>4.8664632810037363E-2</v>
          </cell>
        </row>
        <row r="596">
          <cell r="B596" t="str">
            <v>RHES-EBAT</v>
          </cell>
          <cell r="C596" t="str">
            <v>VAR_fin</v>
          </cell>
          <cell r="D596" t="str">
            <v>AUX_RHES-EBAT_IN</v>
          </cell>
          <cell r="E596">
            <v>4.3826687069594778E-4</v>
          </cell>
          <cell r="F596">
            <v>4.3482857117173865E-4</v>
          </cell>
          <cell r="G596">
            <v>0.11072788770561816</v>
          </cell>
          <cell r="H596">
            <v>4.8664632810037363E-2</v>
          </cell>
        </row>
        <row r="597">
          <cell r="B597" t="str">
            <v>RHES-EBAT</v>
          </cell>
          <cell r="C597" t="str">
            <v>VAR_ncap</v>
          </cell>
          <cell r="D597" t="str">
            <v>-</v>
          </cell>
          <cell r="E597">
            <v>1.5736756676826801E-4</v>
          </cell>
          <cell r="F597">
            <v>2.5835476910791202E-7</v>
          </cell>
          <cell r="G597">
            <v>6.3914036747989303E-2</v>
          </cell>
          <cell r="H597">
            <v>3.4868385624301E-4</v>
          </cell>
        </row>
        <row r="598">
          <cell r="B598" t="str">
            <v>RHES-EBAT</v>
          </cell>
          <cell r="C598" t="str">
            <v>VAR_cap</v>
          </cell>
          <cell r="D598" t="str">
            <v>-</v>
          </cell>
          <cell r="E598">
            <v>1.6010714999957048E-4</v>
          </cell>
          <cell r="F598">
            <v>1.6029791263337463E-4</v>
          </cell>
          <cell r="G598">
            <v>6.4074205808699686E-2</v>
          </cell>
          <cell r="H598">
            <v>6.4377926737987992E-2</v>
          </cell>
        </row>
        <row r="599">
          <cell r="B599" t="str">
            <v>D-INGA</v>
          </cell>
          <cell r="C599" t="str">
            <v>VAR_fout</v>
          </cell>
          <cell r="D599" t="str">
            <v>CO2</v>
          </cell>
          <cell r="E599">
            <v>2101.5527816373201</v>
          </cell>
          <cell r="F599">
            <v>1848.2740845886999</v>
          </cell>
          <cell r="G599">
            <v>1887.2180135369499</v>
          </cell>
          <cell r="H599">
            <v>1779.59971786542</v>
          </cell>
        </row>
        <row r="600">
          <cell r="B600" t="str">
            <v>D-INGA</v>
          </cell>
          <cell r="C600" t="str">
            <v>VAR_fout</v>
          </cell>
          <cell r="D600" t="str">
            <v>INGA</v>
          </cell>
          <cell r="E600">
            <v>37.470322598049435</v>
          </cell>
          <cell r="F600">
            <v>32.66647810036698</v>
          </cell>
          <cell r="G600">
            <v>36.33265157194711</v>
          </cell>
          <cell r="H600">
            <v>34.939394332226712</v>
          </cell>
        </row>
        <row r="601">
          <cell r="B601" t="str">
            <v>D-INGA</v>
          </cell>
          <cell r="C601" t="str">
            <v>VAR_fin</v>
          </cell>
          <cell r="D601" t="str">
            <v>NGA</v>
          </cell>
          <cell r="E601">
            <v>37.261574142505708</v>
          </cell>
          <cell r="F601">
            <v>32.770817102636464</v>
          </cell>
          <cell r="G601">
            <v>33.461312296754379</v>
          </cell>
          <cell r="H601">
            <v>31.55318648697542</v>
          </cell>
        </row>
        <row r="602">
          <cell r="B602" t="str">
            <v>D-INGA</v>
          </cell>
          <cell r="C602" t="str">
            <v>VAR_fin</v>
          </cell>
          <cell r="D602" t="str">
            <v>BNGA</v>
          </cell>
          <cell r="E602">
            <v>0.32845188208644693</v>
          </cell>
          <cell r="F602">
            <v>1.9078613225042518E-5</v>
          </cell>
          <cell r="G602">
            <v>2.9874082755907003</v>
          </cell>
          <cell r="H602">
            <v>3.4978296326195717</v>
          </cell>
        </row>
        <row r="603">
          <cell r="B603" t="str">
            <v>D-INGA</v>
          </cell>
          <cell r="C603" t="str">
            <v>VAR_ncap</v>
          </cell>
          <cell r="D603" t="str">
            <v>-</v>
          </cell>
          <cell r="E603">
            <v>1.19799952748988E-7</v>
          </cell>
          <cell r="F603">
            <v>8.1807591519007195E-8</v>
          </cell>
          <cell r="G603">
            <v>9.5191238806530596E-8</v>
          </cell>
          <cell r="H603">
            <v>1.11872064592827E-7</v>
          </cell>
        </row>
        <row r="604">
          <cell r="B604" t="str">
            <v>D-INGA</v>
          </cell>
          <cell r="C604" t="str">
            <v>VAR_cap</v>
          </cell>
          <cell r="D604" t="str">
            <v>-</v>
          </cell>
          <cell r="E604">
            <v>1.9844834900660528</v>
          </cell>
          <cell r="F604">
            <v>1.9844835718736442</v>
          </cell>
          <cell r="G604">
            <v>1.9844836670648831</v>
          </cell>
          <cell r="H604">
            <v>1.9844837789369476</v>
          </cell>
        </row>
        <row r="605">
          <cell r="B605" t="str">
            <v>EWIND</v>
          </cell>
          <cell r="C605" t="str">
            <v>VAR_fout</v>
          </cell>
          <cell r="D605" t="str">
            <v>ELC35</v>
          </cell>
          <cell r="E605">
            <v>0.52400000000000047</v>
          </cell>
          <cell r="F605">
            <v>0.54529210298713582</v>
          </cell>
          <cell r="G605">
            <v>0.50316470132068525</v>
          </cell>
          <cell r="H605">
            <v>2.0502622389415159</v>
          </cell>
        </row>
        <row r="606">
          <cell r="B606" t="str">
            <v>EWIND</v>
          </cell>
          <cell r="C606" t="str">
            <v>VAR_fin</v>
          </cell>
          <cell r="D606" t="str">
            <v>WND</v>
          </cell>
          <cell r="E606">
            <v>0.52400000000000047</v>
          </cell>
          <cell r="F606">
            <v>0.54529210298713582</v>
          </cell>
          <cell r="G606">
            <v>0.50316470132068525</v>
          </cell>
          <cell r="H606">
            <v>2.0502622389415159</v>
          </cell>
        </row>
        <row r="607">
          <cell r="B607" t="str">
            <v>EWIND</v>
          </cell>
          <cell r="C607" t="str">
            <v>VAR_ncap</v>
          </cell>
          <cell r="D607" t="str">
            <v>-</v>
          </cell>
          <cell r="F607">
            <v>7.1321272539257904E-3</v>
          </cell>
          <cell r="G607">
            <v>0.402134121651257</v>
          </cell>
          <cell r="H607">
            <v>2.75956300363124E-5</v>
          </cell>
        </row>
        <row r="608">
          <cell r="B608" t="str">
            <v>EWIND</v>
          </cell>
          <cell r="C608" t="str">
            <v>VAR_cap</v>
          </cell>
          <cell r="D608" t="str">
            <v>-</v>
          </cell>
          <cell r="E608">
            <v>8.7120000000000003E-2</v>
          </cell>
          <cell r="F608">
            <v>9.0660015290532983E-2</v>
          </cell>
          <cell r="G608">
            <v>8.3655932784461984E-2</v>
          </cell>
          <cell r="H608">
            <v>0.34087568043792532</v>
          </cell>
        </row>
        <row r="609">
          <cell r="B609" t="str">
            <v>EGEO</v>
          </cell>
          <cell r="C609" t="str">
            <v>VAR_fout</v>
          </cell>
          <cell r="D609" t="str">
            <v>ELC35</v>
          </cell>
        </row>
        <row r="610">
          <cell r="B610" t="str">
            <v>EGEO</v>
          </cell>
          <cell r="C610" t="str">
            <v>VAR_fin</v>
          </cell>
          <cell r="D610" t="str">
            <v>GEO</v>
          </cell>
        </row>
        <row r="611">
          <cell r="B611" t="str">
            <v>EGEO</v>
          </cell>
          <cell r="C611" t="str">
            <v>VAR_ncap</v>
          </cell>
          <cell r="D611" t="str">
            <v>-</v>
          </cell>
        </row>
        <row r="612">
          <cell r="B612" t="str">
            <v>EGEO</v>
          </cell>
          <cell r="C612" t="str">
            <v>VAR_cap</v>
          </cell>
          <cell r="D612" t="str">
            <v>-</v>
          </cell>
        </row>
        <row r="613">
          <cell r="B613" t="str">
            <v>D-SPLT</v>
          </cell>
          <cell r="C613" t="str">
            <v>VAR_fout</v>
          </cell>
          <cell r="D613" t="str">
            <v>SPLT</v>
          </cell>
          <cell r="E613">
            <v>2.0856350343101524</v>
          </cell>
          <cell r="F613">
            <v>2.4000923132040493</v>
          </cell>
          <cell r="G613">
            <v>0.63650852920184731</v>
          </cell>
          <cell r="H613">
            <v>1.0634489422894986</v>
          </cell>
        </row>
        <row r="614">
          <cell r="B614" t="str">
            <v>D-SPLT</v>
          </cell>
          <cell r="C614" t="str">
            <v>VAR_fin</v>
          </cell>
          <cell r="D614" t="str">
            <v>PLT</v>
          </cell>
          <cell r="E614">
            <v>2.0856350343101524</v>
          </cell>
          <cell r="F614">
            <v>2.4000923132040493</v>
          </cell>
          <cell r="G614">
            <v>0.63650852920184731</v>
          </cell>
          <cell r="H614">
            <v>1.0634489422894986</v>
          </cell>
        </row>
        <row r="615">
          <cell r="B615" t="str">
            <v>RHES-ESOLPV</v>
          </cell>
          <cell r="C615" t="str">
            <v>VAR_fout</v>
          </cell>
          <cell r="D615" t="str">
            <v>RHES_SOL_ELC</v>
          </cell>
          <cell r="E615">
            <v>2.1349390887346629</v>
          </cell>
          <cell r="F615">
            <v>3.3906651816362334</v>
          </cell>
          <cell r="G615">
            <v>4.0404850366692546</v>
          </cell>
          <cell r="H615">
            <v>4.3440882705540531</v>
          </cell>
        </row>
        <row r="616">
          <cell r="B616" t="str">
            <v>RHES-ESOLPV</v>
          </cell>
          <cell r="C616" t="str">
            <v>VAR_fin</v>
          </cell>
          <cell r="D616" t="str">
            <v>SOL</v>
          </cell>
          <cell r="E616">
            <v>2.1349390887346629</v>
          </cell>
          <cell r="F616">
            <v>3.3906651816362334</v>
          </cell>
          <cell r="G616">
            <v>4.0404850366692546</v>
          </cell>
          <cell r="H616">
            <v>4.3440882705540531</v>
          </cell>
        </row>
        <row r="617">
          <cell r="B617" t="str">
            <v>RHES-ESOLPV</v>
          </cell>
          <cell r="C617" t="str">
            <v>VAR_fin</v>
          </cell>
          <cell r="D617" t="str">
            <v>SOLPVC</v>
          </cell>
          <cell r="E617">
            <v>2.1349390887346602</v>
          </cell>
          <cell r="F617">
            <v>3.3906651816362299</v>
          </cell>
          <cell r="G617">
            <v>4.04048503666926</v>
          </cell>
          <cell r="H617">
            <v>4.3440882705540496</v>
          </cell>
        </row>
        <row r="618">
          <cell r="B618" t="str">
            <v>RHES-ESOLPV</v>
          </cell>
          <cell r="C618" t="str">
            <v>VAR_ncap</v>
          </cell>
          <cell r="D618" t="str">
            <v>-</v>
          </cell>
          <cell r="F618">
            <v>1.0973096549037801E-8</v>
          </cell>
          <cell r="G618">
            <v>9.0753202715686496E-8</v>
          </cell>
          <cell r="H618">
            <v>6.6988452037617E-8</v>
          </cell>
        </row>
        <row r="619">
          <cell r="B619" t="str">
            <v>RHES-ESOLPV</v>
          </cell>
          <cell r="C619" t="str">
            <v>VAR_cap</v>
          </cell>
          <cell r="D619" t="str">
            <v>-</v>
          </cell>
          <cell r="E619">
            <v>0.67885700000000004</v>
          </cell>
          <cell r="F619">
            <v>1.1558999286512466</v>
          </cell>
          <cell r="G619">
            <v>1.2891571017262993</v>
          </cell>
          <cell r="H619">
            <v>1.2522743337711313</v>
          </cell>
        </row>
        <row r="620">
          <cell r="B620" t="str">
            <v>EHYD-DAM10</v>
          </cell>
          <cell r="C620" t="str">
            <v>VAR_fout</v>
          </cell>
          <cell r="D620" t="str">
            <v>ELC</v>
          </cell>
          <cell r="F620">
            <v>4.2372620162886322E-3</v>
          </cell>
          <cell r="G620">
            <v>3.433266218237143E-2</v>
          </cell>
          <cell r="H620">
            <v>0.71487898877743516</v>
          </cell>
        </row>
        <row r="621">
          <cell r="B621" t="str">
            <v>EHYD-DAM10</v>
          </cell>
          <cell r="C621" t="str">
            <v>VAR_fin</v>
          </cell>
          <cell r="D621" t="str">
            <v>HYDD</v>
          </cell>
          <cell r="F621">
            <v>4.2372620162886322E-3</v>
          </cell>
          <cell r="G621">
            <v>3.433266218237143E-2</v>
          </cell>
          <cell r="H621">
            <v>0.71487898877743516</v>
          </cell>
        </row>
        <row r="622">
          <cell r="B622" t="str">
            <v>EHYD-DAM10</v>
          </cell>
          <cell r="C622" t="str">
            <v>VAR_ncap</v>
          </cell>
          <cell r="D622" t="str">
            <v>-</v>
          </cell>
          <cell r="F622">
            <v>5.4276550211552804E-4</v>
          </cell>
          <cell r="G622">
            <v>3.1770225693740499E-3</v>
          </cell>
          <cell r="H622">
            <v>7.1529794224110904E-2</v>
          </cell>
        </row>
        <row r="623">
          <cell r="B623" t="str">
            <v>EHYD-DAM10</v>
          </cell>
          <cell r="C623" t="str">
            <v>VAR_cap</v>
          </cell>
          <cell r="D623" t="str">
            <v>-</v>
          </cell>
          <cell r="F623">
            <v>5.4276550211552804E-4</v>
          </cell>
          <cell r="G623">
            <v>3.7197880714895798E-3</v>
          </cell>
          <cell r="H623">
            <v>7.5249582295600498E-2</v>
          </cell>
        </row>
        <row r="624">
          <cell r="B624" t="str">
            <v>DH-EBAT</v>
          </cell>
          <cell r="C624" t="str">
            <v>VAR_fout</v>
          </cell>
          <cell r="D624" t="str">
            <v>ELC35</v>
          </cell>
          <cell r="E624">
            <v>1.196373329620501E-3</v>
          </cell>
          <cell r="F624">
            <v>9.1410815747314776E-4</v>
          </cell>
          <cell r="G624">
            <v>1.6591688888070725E-2</v>
          </cell>
          <cell r="H624">
            <v>3.3233102588472271E-2</v>
          </cell>
        </row>
        <row r="625">
          <cell r="B625" t="str">
            <v>DH-EBAT</v>
          </cell>
          <cell r="C625" t="str">
            <v>VAR_fout</v>
          </cell>
          <cell r="D625" t="str">
            <v>AUX_DH-EBAT_OUT</v>
          </cell>
          <cell r="E625">
            <v>1.1963733296205005E-3</v>
          </cell>
          <cell r="F625">
            <v>9.1410815747314743E-4</v>
          </cell>
          <cell r="G625">
            <v>1.6591688888070718E-2</v>
          </cell>
          <cell r="H625">
            <v>3.3233102588472264E-2</v>
          </cell>
        </row>
        <row r="626">
          <cell r="B626" t="str">
            <v>DH-EBAT</v>
          </cell>
          <cell r="C626" t="str">
            <v>VAR_fin</v>
          </cell>
          <cell r="D626" t="str">
            <v>ELC35</v>
          </cell>
          <cell r="E626">
            <v>1.3378216471674805E-3</v>
          </cell>
          <cell r="F626">
            <v>1.0223605512423516E-3</v>
          </cell>
          <cell r="G626">
            <v>1.8553665626403881E-2</v>
          </cell>
          <cell r="H626">
            <v>3.716286138491675E-2</v>
          </cell>
        </row>
        <row r="627">
          <cell r="B627" t="str">
            <v>DH-EBAT</v>
          </cell>
          <cell r="C627" t="str">
            <v>VAR_fin</v>
          </cell>
          <cell r="D627" t="str">
            <v>AUX_DH-EBAT_IN</v>
          </cell>
          <cell r="E627">
            <v>1.3378216471674805E-3</v>
          </cell>
          <cell r="F627">
            <v>1.0223605512423516E-3</v>
          </cell>
          <cell r="G627">
            <v>1.8553665626403881E-2</v>
          </cell>
          <cell r="H627">
            <v>3.716286138491675E-2</v>
          </cell>
        </row>
        <row r="628">
          <cell r="B628" t="str">
            <v>DH-EBAT</v>
          </cell>
          <cell r="C628" t="str">
            <v>VAR_ncap</v>
          </cell>
          <cell r="D628" t="str">
            <v>-</v>
          </cell>
          <cell r="E628">
            <v>1.6545657109003699E-4</v>
          </cell>
          <cell r="F628">
            <v>2.1387204600278399E-7</v>
          </cell>
          <cell r="G628">
            <v>3.7181924230773101E-3</v>
          </cell>
          <cell r="H628">
            <v>1.05546537276884E-2</v>
          </cell>
        </row>
        <row r="629">
          <cell r="B629" t="str">
            <v>DH-EBAT</v>
          </cell>
          <cell r="C629" t="str">
            <v>VAR_cap</v>
          </cell>
          <cell r="D629" t="str">
            <v>-</v>
          </cell>
          <cell r="E629">
            <v>1.6545657109003699E-4</v>
          </cell>
          <cell r="F629">
            <v>1.6558970330380008E-4</v>
          </cell>
          <cell r="G629">
            <v>3.8837261403423477E-3</v>
          </cell>
          <cell r="H629">
            <v>1.4393967474372917E-2</v>
          </cell>
        </row>
        <row r="630">
          <cell r="B630" t="str">
            <v>RHEM-EBAT</v>
          </cell>
          <cell r="C630" t="str">
            <v>VAR_fout</v>
          </cell>
          <cell r="D630" t="str">
            <v>RHEM_ELC</v>
          </cell>
          <cell r="E630">
            <v>3.8581740167781221E-4</v>
          </cell>
          <cell r="F630">
            <v>3.8335728782668119E-4</v>
          </cell>
          <cell r="G630">
            <v>3.0705136611842331E-2</v>
          </cell>
          <cell r="H630">
            <v>1.5903998871292398E-2</v>
          </cell>
        </row>
        <row r="631">
          <cell r="B631" t="str">
            <v>RHEM-EBAT</v>
          </cell>
          <cell r="C631" t="str">
            <v>VAR_fout</v>
          </cell>
          <cell r="D631" t="str">
            <v>AUX_RHEM-EBAT_OUT</v>
          </cell>
          <cell r="E631">
            <v>3.8581740167781254E-4</v>
          </cell>
          <cell r="F631">
            <v>3.8335728782668151E-4</v>
          </cell>
          <cell r="G631">
            <v>3.0705136611842355E-2</v>
          </cell>
          <cell r="H631">
            <v>1.5903998871292412E-2</v>
          </cell>
        </row>
        <row r="632">
          <cell r="B632" t="str">
            <v>RHEM-EBAT</v>
          </cell>
          <cell r="C632" t="str">
            <v>VAR_fin</v>
          </cell>
          <cell r="D632" t="str">
            <v>RHEM_ELC</v>
          </cell>
          <cell r="E632">
            <v>4.2996518410657762E-4</v>
          </cell>
          <cell r="F632">
            <v>4.2655558270054608E-4</v>
          </cell>
          <cell r="G632">
            <v>3.3955914673893375E-2</v>
          </cell>
          <cell r="H632">
            <v>1.7587965817615066E-2</v>
          </cell>
        </row>
        <row r="633">
          <cell r="B633" t="str">
            <v>RHEM-EBAT</v>
          </cell>
          <cell r="C633" t="str">
            <v>VAR_fin</v>
          </cell>
          <cell r="D633" t="str">
            <v>AUX_RHEM-EBAT_IN</v>
          </cell>
          <cell r="E633">
            <v>4.2996518410657762E-4</v>
          </cell>
          <cell r="F633">
            <v>4.2655558270054608E-4</v>
          </cell>
          <cell r="G633">
            <v>3.3955914673893375E-2</v>
          </cell>
          <cell r="H633">
            <v>1.7587965817615066E-2</v>
          </cell>
        </row>
        <row r="634">
          <cell r="B634" t="str">
            <v>RHEM-EBAT</v>
          </cell>
          <cell r="C634" t="str">
            <v>VAR_ncap</v>
          </cell>
          <cell r="D634" t="str">
            <v>-</v>
          </cell>
          <cell r="E634">
            <v>1.54298794784558E-4</v>
          </cell>
          <cell r="F634">
            <v>2.5438220146987201E-7</v>
          </cell>
          <cell r="G634">
            <v>1.89676028555372E-2</v>
          </cell>
          <cell r="H634">
            <v>6.0095820305844795E-4</v>
          </cell>
        </row>
        <row r="635">
          <cell r="B635" t="str">
            <v>RHEM-EBAT</v>
          </cell>
          <cell r="C635" t="str">
            <v>VAR_cap</v>
          </cell>
          <cell r="D635" t="str">
            <v>-</v>
          </cell>
          <cell r="E635">
            <v>1.5703837832155697E-4</v>
          </cell>
          <cell r="F635">
            <v>1.5722617112284314E-4</v>
          </cell>
          <cell r="G635">
            <v>1.9124695399701214E-2</v>
          </cell>
          <cell r="H635">
            <v>1.9681516588991647E-2</v>
          </cell>
        </row>
        <row r="636">
          <cell r="B636" t="str">
            <v>HPLGEO</v>
          </cell>
          <cell r="C636" t="str">
            <v>VAR_fout</v>
          </cell>
          <cell r="D636" t="str">
            <v>LTH</v>
          </cell>
        </row>
        <row r="637">
          <cell r="B637" t="str">
            <v>HPLGEO</v>
          </cell>
          <cell r="C637" t="str">
            <v>VAR_fin</v>
          </cell>
          <cell r="D637" t="str">
            <v>GEO</v>
          </cell>
        </row>
        <row r="638">
          <cell r="B638" t="str">
            <v>HPLGEO</v>
          </cell>
          <cell r="C638" t="str">
            <v>VAR_ncap</v>
          </cell>
          <cell r="D638" t="str">
            <v>-</v>
          </cell>
        </row>
        <row r="639">
          <cell r="B639" t="str">
            <v>HPLGEO</v>
          </cell>
          <cell r="C639" t="str">
            <v>VAR_cap</v>
          </cell>
          <cell r="D639" t="str">
            <v>-</v>
          </cell>
        </row>
        <row r="640">
          <cell r="B640" t="str">
            <v>EHYD-PUM15</v>
          </cell>
          <cell r="C640" t="str">
            <v>VAR_fout</v>
          </cell>
          <cell r="D640" t="str">
            <v>ELC</v>
          </cell>
          <cell r="F640">
            <v>5.6056900474438362E-4</v>
          </cell>
          <cell r="G640">
            <v>5.5699836063077964E-4</v>
          </cell>
          <cell r="H640">
            <v>7.8757327218375315E-4</v>
          </cell>
        </row>
        <row r="641">
          <cell r="B641" t="str">
            <v>EHYD-PUM15</v>
          </cell>
          <cell r="C641" t="str">
            <v>VAR_fout</v>
          </cell>
          <cell r="D641" t="str">
            <v>AUX_PUMP_OUT</v>
          </cell>
          <cell r="F641">
            <v>5.6056900474438362E-4</v>
          </cell>
          <cell r="G641">
            <v>5.5699836063077964E-4</v>
          </cell>
          <cell r="H641">
            <v>7.8757327218375315E-4</v>
          </cell>
        </row>
        <row r="642">
          <cell r="B642" t="str">
            <v>EHYD-PUM15</v>
          </cell>
          <cell r="C642" t="str">
            <v>VAR_fin</v>
          </cell>
          <cell r="D642" t="str">
            <v>AUX_PUMP_IN</v>
          </cell>
          <cell r="F642">
            <v>7.0143772420668959E-4</v>
          </cell>
          <cell r="G642">
            <v>6.9661879795761121E-4</v>
          </cell>
          <cell r="H642">
            <v>9.8444223051623054E-4</v>
          </cell>
        </row>
        <row r="643">
          <cell r="B643" t="str">
            <v>EHYD-PUM15</v>
          </cell>
          <cell r="C643" t="str">
            <v>VAR_fin</v>
          </cell>
          <cell r="D643" t="str">
            <v>ELC</v>
          </cell>
          <cell r="F643">
            <v>7.0143772420668959E-4</v>
          </cell>
          <cell r="G643">
            <v>6.9661879795761121E-4</v>
          </cell>
          <cell r="H643">
            <v>9.8444223051623054E-4</v>
          </cell>
        </row>
        <row r="644">
          <cell r="B644" t="str">
            <v>EHYD-PUM15</v>
          </cell>
          <cell r="C644" t="str">
            <v>VAR_ncap</v>
          </cell>
          <cell r="D644" t="str">
            <v>-</v>
          </cell>
          <cell r="F644">
            <v>6.6830760326266799E-5</v>
          </cell>
          <cell r="G644">
            <v>4.69113536203915E-8</v>
          </cell>
          <cell r="H644">
            <v>4.7674089535733098E-8</v>
          </cell>
        </row>
        <row r="645">
          <cell r="B645" t="str">
            <v>EHYD-PUM15</v>
          </cell>
          <cell r="C645" t="str">
            <v>VAR_cap</v>
          </cell>
          <cell r="D645" t="str">
            <v>-</v>
          </cell>
          <cell r="F645">
            <v>6.6830760326266799E-5</v>
          </cell>
          <cell r="G645">
            <v>6.6830760326266799E-5</v>
          </cell>
          <cell r="H645">
            <v>6.6830760326266799E-5</v>
          </cell>
        </row>
        <row r="646">
          <cell r="B646" t="str">
            <v>D-EWST</v>
          </cell>
          <cell r="C646" t="str">
            <v>VAR_fout</v>
          </cell>
          <cell r="D646" t="str">
            <v>CO2</v>
          </cell>
          <cell r="E646">
            <v>2266.2746268166802</v>
          </cell>
          <cell r="F646">
            <v>2235.40324946291</v>
          </cell>
          <cell r="G646">
            <v>2268.78181648185</v>
          </cell>
          <cell r="H646">
            <v>2238.5109540887001</v>
          </cell>
        </row>
        <row r="647">
          <cell r="B647" t="str">
            <v>D-EWST</v>
          </cell>
          <cell r="C647" t="str">
            <v>VAR_fout</v>
          </cell>
          <cell r="D647" t="str">
            <v>EWST</v>
          </cell>
          <cell r="E647">
            <v>48.842125577945751</v>
          </cell>
          <cell r="F647">
            <v>48.176795819954449</v>
          </cell>
          <cell r="G647">
            <v>48.896161174150429</v>
          </cell>
          <cell r="H647">
            <v>48.243770351140967</v>
          </cell>
        </row>
        <row r="648">
          <cell r="B648" t="str">
            <v>D-EWST</v>
          </cell>
          <cell r="C648" t="str">
            <v>VAR_fin</v>
          </cell>
          <cell r="D648" t="str">
            <v>WSTNREN</v>
          </cell>
          <cell r="E648">
            <v>24.421062788972879</v>
          </cell>
          <cell r="F648">
            <v>24.088397084729657</v>
          </cell>
          <cell r="G648">
            <v>24.448079918985442</v>
          </cell>
          <cell r="H648">
            <v>24.121885281128193</v>
          </cell>
        </row>
        <row r="649">
          <cell r="B649" t="str">
            <v>D-EWST</v>
          </cell>
          <cell r="C649" t="str">
            <v>VAR_fin</v>
          </cell>
          <cell r="D649" t="str">
            <v>WSTREN</v>
          </cell>
          <cell r="E649">
            <v>24.421062788972879</v>
          </cell>
          <cell r="F649">
            <v>24.088397084729657</v>
          </cell>
          <cell r="G649">
            <v>24.448079918985442</v>
          </cell>
          <cell r="H649">
            <v>24.121885281128193</v>
          </cell>
        </row>
        <row r="650">
          <cell r="B650"/>
          <cell r="C650"/>
          <cell r="D650"/>
        </row>
        <row r="651">
          <cell r="B651"/>
          <cell r="C651"/>
          <cell r="D651"/>
        </row>
        <row r="652">
          <cell r="B652"/>
          <cell r="C652"/>
          <cell r="D652"/>
        </row>
        <row r="653">
          <cell r="B653"/>
          <cell r="C653"/>
          <cell r="D653"/>
        </row>
        <row r="654">
          <cell r="B654"/>
          <cell r="C654"/>
          <cell r="D654"/>
        </row>
        <row r="655">
          <cell r="B655"/>
          <cell r="C655"/>
          <cell r="D655"/>
        </row>
        <row r="656">
          <cell r="B656"/>
          <cell r="C656"/>
          <cell r="D656"/>
        </row>
        <row r="657">
          <cell r="B657"/>
          <cell r="C657"/>
          <cell r="D657"/>
        </row>
        <row r="658">
          <cell r="B658"/>
          <cell r="C658"/>
          <cell r="D658"/>
        </row>
        <row r="659">
          <cell r="B659"/>
          <cell r="C659"/>
          <cell r="D659"/>
        </row>
        <row r="660">
          <cell r="B660"/>
          <cell r="C660"/>
          <cell r="D660"/>
        </row>
        <row r="661">
          <cell r="B661"/>
          <cell r="C661"/>
          <cell r="D661"/>
        </row>
        <row r="662">
          <cell r="B662"/>
          <cell r="C662"/>
          <cell r="D662"/>
        </row>
        <row r="663">
          <cell r="B663"/>
          <cell r="C663"/>
          <cell r="D663"/>
        </row>
        <row r="664">
          <cell r="B664"/>
          <cell r="C664"/>
          <cell r="D664"/>
        </row>
        <row r="665">
          <cell r="B665"/>
          <cell r="C665"/>
          <cell r="D665"/>
        </row>
        <row r="666">
          <cell r="B666"/>
          <cell r="C666"/>
          <cell r="D666"/>
        </row>
        <row r="667">
          <cell r="B667"/>
          <cell r="C667"/>
          <cell r="D667"/>
        </row>
        <row r="668">
          <cell r="B668"/>
          <cell r="C668"/>
          <cell r="D668"/>
        </row>
        <row r="669">
          <cell r="B669"/>
          <cell r="C669"/>
          <cell r="D669"/>
        </row>
        <row r="670">
          <cell r="B670"/>
          <cell r="C670"/>
          <cell r="D670"/>
        </row>
        <row r="671">
          <cell r="B671"/>
          <cell r="C671"/>
          <cell r="D671"/>
        </row>
        <row r="672">
          <cell r="B672"/>
          <cell r="C672"/>
          <cell r="D672"/>
        </row>
        <row r="673">
          <cell r="B673"/>
          <cell r="C673"/>
          <cell r="D673"/>
        </row>
        <row r="674">
          <cell r="B674"/>
          <cell r="C674"/>
          <cell r="D674"/>
        </row>
        <row r="675">
          <cell r="B675"/>
          <cell r="C675"/>
          <cell r="D675"/>
        </row>
        <row r="676">
          <cell r="B676"/>
          <cell r="C676"/>
          <cell r="D676"/>
        </row>
        <row r="677">
          <cell r="B677"/>
          <cell r="C677"/>
          <cell r="D677"/>
        </row>
        <row r="678">
          <cell r="B678"/>
          <cell r="C678"/>
          <cell r="D678"/>
        </row>
        <row r="679">
          <cell r="B679"/>
          <cell r="C679"/>
          <cell r="D679"/>
        </row>
        <row r="680">
          <cell r="B680"/>
          <cell r="C680"/>
          <cell r="D680"/>
        </row>
        <row r="681">
          <cell r="B681"/>
          <cell r="C681"/>
          <cell r="D681"/>
        </row>
        <row r="682">
          <cell r="B682"/>
          <cell r="C682"/>
          <cell r="D682"/>
        </row>
        <row r="683">
          <cell r="B683"/>
          <cell r="C683"/>
          <cell r="D683"/>
        </row>
        <row r="684">
          <cell r="B684"/>
          <cell r="C684"/>
          <cell r="D684"/>
        </row>
        <row r="685">
          <cell r="B685"/>
          <cell r="C685"/>
          <cell r="D685"/>
        </row>
        <row r="686">
          <cell r="B686"/>
          <cell r="C686"/>
          <cell r="D686"/>
        </row>
        <row r="687">
          <cell r="B687"/>
          <cell r="C687"/>
          <cell r="D687"/>
        </row>
        <row r="688">
          <cell r="B688"/>
          <cell r="C688"/>
          <cell r="D688"/>
        </row>
        <row r="689">
          <cell r="B689"/>
          <cell r="C689"/>
          <cell r="D689"/>
        </row>
        <row r="690">
          <cell r="B690"/>
          <cell r="C690"/>
          <cell r="D690"/>
        </row>
        <row r="691">
          <cell r="B691"/>
          <cell r="C691"/>
          <cell r="D691"/>
        </row>
        <row r="692">
          <cell r="B692"/>
          <cell r="C692"/>
          <cell r="D692"/>
        </row>
        <row r="693">
          <cell r="B693"/>
          <cell r="C693"/>
          <cell r="D693"/>
        </row>
        <row r="694">
          <cell r="B694"/>
          <cell r="C694"/>
          <cell r="D694"/>
        </row>
        <row r="695">
          <cell r="B695"/>
          <cell r="C695"/>
          <cell r="D695"/>
        </row>
        <row r="696">
          <cell r="B696"/>
          <cell r="C696"/>
          <cell r="D696"/>
        </row>
        <row r="697">
          <cell r="B697"/>
          <cell r="C697"/>
          <cell r="D697"/>
        </row>
        <row r="698">
          <cell r="B698"/>
          <cell r="C698"/>
          <cell r="D698"/>
        </row>
        <row r="699">
          <cell r="B699"/>
          <cell r="C699"/>
          <cell r="D699"/>
        </row>
        <row r="700">
          <cell r="B700"/>
          <cell r="C700"/>
          <cell r="D700"/>
        </row>
        <row r="701">
          <cell r="B701"/>
          <cell r="C701"/>
          <cell r="D701"/>
        </row>
        <row r="702">
          <cell r="B702"/>
          <cell r="C702"/>
          <cell r="D702"/>
        </row>
        <row r="703">
          <cell r="B703"/>
          <cell r="C703"/>
          <cell r="D703"/>
        </row>
        <row r="704">
          <cell r="B704"/>
          <cell r="C704"/>
          <cell r="D704"/>
        </row>
        <row r="705">
          <cell r="B705"/>
          <cell r="C705"/>
          <cell r="D705"/>
        </row>
        <row r="706">
          <cell r="B706"/>
          <cell r="C706"/>
          <cell r="D706"/>
        </row>
        <row r="707">
          <cell r="B707"/>
          <cell r="C707"/>
          <cell r="D707"/>
        </row>
        <row r="708">
          <cell r="B708"/>
          <cell r="C708"/>
          <cell r="D708"/>
        </row>
        <row r="709">
          <cell r="B709"/>
          <cell r="C709"/>
          <cell r="D709"/>
        </row>
        <row r="710">
          <cell r="B710"/>
          <cell r="C710"/>
          <cell r="D710"/>
        </row>
        <row r="711">
          <cell r="B711"/>
          <cell r="C711"/>
          <cell r="D711"/>
        </row>
        <row r="712">
          <cell r="B712"/>
          <cell r="C712"/>
          <cell r="D712"/>
        </row>
        <row r="713">
          <cell r="B713"/>
          <cell r="C713"/>
          <cell r="D713"/>
        </row>
        <row r="714">
          <cell r="B714"/>
          <cell r="C714"/>
          <cell r="D714"/>
        </row>
        <row r="715">
          <cell r="B715"/>
          <cell r="C715"/>
          <cell r="D715"/>
        </row>
        <row r="716">
          <cell r="B716"/>
          <cell r="C716"/>
          <cell r="D716"/>
        </row>
        <row r="717">
          <cell r="B717"/>
          <cell r="C717"/>
          <cell r="D717"/>
        </row>
        <row r="718">
          <cell r="B718"/>
          <cell r="C718"/>
          <cell r="D718"/>
        </row>
        <row r="719">
          <cell r="B719"/>
          <cell r="C719"/>
          <cell r="D719"/>
        </row>
        <row r="720">
          <cell r="B720"/>
          <cell r="C720"/>
          <cell r="D720"/>
        </row>
        <row r="721">
          <cell r="B721"/>
          <cell r="C721"/>
          <cell r="D721"/>
        </row>
        <row r="722">
          <cell r="B722"/>
          <cell r="C722"/>
          <cell r="D722"/>
        </row>
        <row r="723">
          <cell r="B723"/>
          <cell r="C723"/>
          <cell r="D723"/>
        </row>
        <row r="724">
          <cell r="B724"/>
          <cell r="C724"/>
          <cell r="D724"/>
        </row>
        <row r="725">
          <cell r="B725"/>
          <cell r="C725"/>
          <cell r="D725"/>
        </row>
        <row r="726">
          <cell r="B726"/>
          <cell r="C726"/>
          <cell r="D726"/>
        </row>
        <row r="727">
          <cell r="B727"/>
          <cell r="C727"/>
          <cell r="D727"/>
        </row>
        <row r="728">
          <cell r="B728"/>
          <cell r="C728"/>
          <cell r="D728"/>
        </row>
        <row r="729">
          <cell r="B729"/>
          <cell r="C729"/>
          <cell r="D729"/>
        </row>
        <row r="730">
          <cell r="B730"/>
          <cell r="C730"/>
          <cell r="D730"/>
        </row>
        <row r="731">
          <cell r="B731"/>
          <cell r="C731"/>
          <cell r="D731"/>
        </row>
        <row r="732">
          <cell r="B732"/>
          <cell r="C732"/>
          <cell r="D732"/>
        </row>
        <row r="733">
          <cell r="B733"/>
          <cell r="C733"/>
          <cell r="D733"/>
        </row>
        <row r="734">
          <cell r="B734"/>
          <cell r="C734"/>
          <cell r="D734"/>
        </row>
        <row r="735">
          <cell r="B735"/>
          <cell r="C735"/>
          <cell r="D735"/>
        </row>
        <row r="736">
          <cell r="B736"/>
          <cell r="C736"/>
          <cell r="D736"/>
        </row>
        <row r="737">
          <cell r="B737"/>
          <cell r="C737"/>
          <cell r="D737"/>
        </row>
        <row r="738">
          <cell r="B738"/>
          <cell r="C738"/>
          <cell r="D738"/>
        </row>
        <row r="739">
          <cell r="B739"/>
          <cell r="C739"/>
          <cell r="D739"/>
        </row>
        <row r="740">
          <cell r="B740"/>
          <cell r="C740"/>
          <cell r="D740"/>
        </row>
        <row r="741">
          <cell r="B741"/>
          <cell r="C741"/>
          <cell r="D741"/>
        </row>
        <row r="742">
          <cell r="B742"/>
          <cell r="C742"/>
          <cell r="D742"/>
        </row>
        <row r="743">
          <cell r="B743"/>
          <cell r="C743"/>
          <cell r="D743"/>
        </row>
        <row r="744">
          <cell r="B744"/>
          <cell r="C744"/>
          <cell r="D744"/>
        </row>
        <row r="745">
          <cell r="B745"/>
          <cell r="C745"/>
          <cell r="D745"/>
        </row>
        <row r="746">
          <cell r="B746"/>
          <cell r="C746"/>
          <cell r="D746"/>
        </row>
        <row r="747">
          <cell r="B747"/>
          <cell r="C747"/>
          <cell r="D747"/>
        </row>
        <row r="748">
          <cell r="B748"/>
          <cell r="C748"/>
          <cell r="D748"/>
        </row>
        <row r="749">
          <cell r="B749"/>
          <cell r="C749"/>
          <cell r="D749"/>
        </row>
        <row r="750">
          <cell r="B750"/>
          <cell r="C750"/>
          <cell r="D750"/>
        </row>
        <row r="751">
          <cell r="B751"/>
          <cell r="C751"/>
          <cell r="D751"/>
        </row>
        <row r="752">
          <cell r="B752"/>
          <cell r="C752"/>
          <cell r="D752"/>
        </row>
        <row r="753">
          <cell r="B753"/>
          <cell r="C753"/>
          <cell r="D753"/>
        </row>
        <row r="754">
          <cell r="B754"/>
          <cell r="C754"/>
          <cell r="D754"/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/>
        </row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IMPBDS1</v>
          </cell>
          <cell r="C4" t="str">
            <v>BDS1</v>
          </cell>
          <cell r="G4">
            <v>5.0592856291484898</v>
          </cell>
        </row>
        <row r="5">
          <cell r="A5" t="str">
            <v>EXPELC_DE</v>
          </cell>
          <cell r="C5" t="str">
            <v>ELC_E-DE</v>
          </cell>
          <cell r="D5">
            <v>26.492979688082254</v>
          </cell>
          <cell r="E5">
            <v>1.4857839317230039E-4</v>
          </cell>
          <cell r="F5">
            <v>1.7564354264258425E-4</v>
          </cell>
          <cell r="G5">
            <v>1.1159473634113997E-4</v>
          </cell>
        </row>
        <row r="6">
          <cell r="A6" t="str">
            <v>IMPDSL</v>
          </cell>
          <cell r="C6" t="str">
            <v>DSL</v>
          </cell>
          <cell r="D6">
            <v>117.52488736368969</v>
          </cell>
          <cell r="E6">
            <v>112.68583504147009</v>
          </cell>
          <cell r="F6">
            <v>95.748445720999754</v>
          </cell>
          <cell r="G6">
            <v>69.136065180247627</v>
          </cell>
        </row>
        <row r="7">
          <cell r="A7" t="str">
            <v>IMPH2</v>
          </cell>
          <cell r="C7" t="str">
            <v>H2</v>
          </cell>
        </row>
        <row r="8">
          <cell r="A8" t="str">
            <v>IMPELC_AT</v>
          </cell>
          <cell r="C8" t="str">
            <v>ELC_I-AT</v>
          </cell>
          <cell r="D8">
            <v>15.013807044343766</v>
          </cell>
          <cell r="E8">
            <v>1.7706776567152544E-2</v>
          </cell>
          <cell r="F8">
            <v>1.3269253792695243E-2</v>
          </cell>
          <cell r="G8">
            <v>1.3016244561304119E-2</v>
          </cell>
        </row>
        <row r="9">
          <cell r="A9" t="str">
            <v>IMPELC_AT</v>
          </cell>
          <cell r="C9" t="str">
            <v>ELCS</v>
          </cell>
          <cell r="D9">
            <v>15.013807044343766</v>
          </cell>
          <cell r="E9">
            <v>1.7706776567152544E-2</v>
          </cell>
          <cell r="F9">
            <v>1.3269253792695243E-2</v>
          </cell>
          <cell r="G9">
            <v>1.3016244561304119E-2</v>
          </cell>
        </row>
        <row r="10">
          <cell r="A10" t="str">
            <v>IMPELC_FR</v>
          </cell>
          <cell r="C10" t="str">
            <v>ELC_I-FR</v>
          </cell>
          <cell r="D10">
            <v>28.948622033497291</v>
          </cell>
          <cell r="E10">
            <v>17.237285963676449</v>
          </cell>
          <cell r="F10">
            <v>21.273359865652033</v>
          </cell>
          <cell r="G10">
            <v>14.83381277140796</v>
          </cell>
        </row>
        <row r="11">
          <cell r="A11" t="str">
            <v>IMPELC_FR</v>
          </cell>
          <cell r="C11" t="str">
            <v>ELCS</v>
          </cell>
          <cell r="D11">
            <v>28.948622033497291</v>
          </cell>
          <cell r="E11">
            <v>17.237285963676449</v>
          </cell>
          <cell r="F11">
            <v>21.273359865652033</v>
          </cell>
          <cell r="G11">
            <v>14.83381277140796</v>
          </cell>
        </row>
        <row r="12">
          <cell r="A12" t="str">
            <v>RNWHYDR1</v>
          </cell>
          <cell r="C12" t="str">
            <v>HYDR</v>
          </cell>
          <cell r="D12">
            <v>66.632400218261907</v>
          </cell>
          <cell r="E12">
            <v>55.764000499927093</v>
          </cell>
          <cell r="F12">
            <v>65.549520725005422</v>
          </cell>
          <cell r="G12">
            <v>64.46572592756182</v>
          </cell>
        </row>
        <row r="13">
          <cell r="A13" t="str">
            <v>EXPELC_IT</v>
          </cell>
          <cell r="C13" t="str">
            <v>ELC_E-IT</v>
          </cell>
          <cell r="D13">
            <v>71.694107838372162</v>
          </cell>
          <cell r="E13">
            <v>35.622263313325391</v>
          </cell>
          <cell r="F13">
            <v>74.624743058039513</v>
          </cell>
          <cell r="G13">
            <v>58.784561387023906</v>
          </cell>
        </row>
        <row r="14">
          <cell r="A14" t="str">
            <v>IMPLNG</v>
          </cell>
          <cell r="C14" t="str">
            <v>LBIO</v>
          </cell>
          <cell r="G14">
            <v>2.1353980508719332</v>
          </cell>
        </row>
        <row r="15">
          <cell r="A15" t="str">
            <v>IMPLNG</v>
          </cell>
          <cell r="C15" t="str">
            <v>LNGA</v>
          </cell>
          <cell r="G15">
            <v>2.991600098631315E-4</v>
          </cell>
        </row>
        <row r="16">
          <cell r="A16" t="str">
            <v>IMPURN1</v>
          </cell>
          <cell r="C16" t="str">
            <v>URN</v>
          </cell>
          <cell r="D16">
            <v>250.94817811360252</v>
          </cell>
          <cell r="E16">
            <v>253.30007324334682</v>
          </cell>
          <cell r="F16">
            <v>233.22742609086151</v>
          </cell>
          <cell r="G16">
            <v>211.90228197968187</v>
          </cell>
        </row>
        <row r="17">
          <cell r="A17" t="str">
            <v>EXPELC_AT</v>
          </cell>
          <cell r="C17" t="str">
            <v>ELC_E-AT</v>
          </cell>
          <cell r="D17">
            <v>6.2295572283639959</v>
          </cell>
          <cell r="E17">
            <v>2.1183212872880283E-4</v>
          </cell>
          <cell r="F17">
            <v>2.8078314982271364E-4</v>
          </cell>
          <cell r="G17">
            <v>4.9032527210814143E-5</v>
          </cell>
        </row>
        <row r="18">
          <cell r="A18" t="str">
            <v>EXPELC_FR</v>
          </cell>
          <cell r="C18" t="str">
            <v>ELC_E-FR</v>
          </cell>
          <cell r="D18">
            <v>12.75336069494074</v>
          </cell>
          <cell r="E18">
            <v>2.1015038260549732E-4</v>
          </cell>
          <cell r="F18">
            <v>2.2830026798602564E-4</v>
          </cell>
          <cell r="G18">
            <v>1.070566004915412E-4</v>
          </cell>
        </row>
        <row r="19">
          <cell r="A19" t="str">
            <v>RNWWND1</v>
          </cell>
          <cell r="C19" t="str">
            <v>WND</v>
          </cell>
          <cell r="D19">
            <v>0.52283121459596538</v>
          </cell>
          <cell r="E19">
            <v>0.54411725945951983</v>
          </cell>
          <cell r="F19">
            <v>0.50198286329264596</v>
          </cell>
          <cell r="G19">
            <v>0.87512506994260775</v>
          </cell>
        </row>
        <row r="20">
          <cell r="A20" t="str">
            <v>RNWWND2</v>
          </cell>
          <cell r="C20" t="str">
            <v>WND</v>
          </cell>
          <cell r="D20">
            <v>4.2237230491833403E-4</v>
          </cell>
          <cell r="E20">
            <v>4.2287196731371438E-4</v>
          </cell>
          <cell r="F20">
            <v>4.256195422612394E-4</v>
          </cell>
          <cell r="G20">
            <v>1.1739558354251554</v>
          </cell>
        </row>
        <row r="21">
          <cell r="A21" t="str">
            <v>RNWMNR1</v>
          </cell>
          <cell r="C21" t="str">
            <v>MNR</v>
          </cell>
          <cell r="D21">
            <v>3.798085649147819</v>
          </cell>
          <cell r="E21">
            <v>12.115548025655132</v>
          </cell>
          <cell r="F21">
            <v>12.540331484817028</v>
          </cell>
          <cell r="G21">
            <v>12.540425793035288</v>
          </cell>
        </row>
        <row r="22">
          <cell r="A22" t="str">
            <v>RNWWND3</v>
          </cell>
          <cell r="C22" t="str">
            <v>WND</v>
          </cell>
          <cell r="D22">
            <v>3.4851638694287476E-4</v>
          </cell>
          <cell r="E22">
            <v>3.4879169632749907E-4</v>
          </cell>
          <cell r="F22">
            <v>3.5105984963236812E-4</v>
          </cell>
          <cell r="G22">
            <v>7.6134553092082192E-4</v>
          </cell>
        </row>
        <row r="23">
          <cell r="A23" t="str">
            <v>RNWMNR2</v>
          </cell>
          <cell r="C23" t="str">
            <v>MNR</v>
          </cell>
        </row>
        <row r="24">
          <cell r="A24" t="str">
            <v>RNWWND4</v>
          </cell>
          <cell r="C24" t="str">
            <v>WND</v>
          </cell>
          <cell r="D24">
            <v>2.4149010665449353E-4</v>
          </cell>
          <cell r="E24">
            <v>2.4146903847931141E-4</v>
          </cell>
          <cell r="F24">
            <v>2.4283156173250415E-4</v>
          </cell>
          <cell r="G24">
            <v>2.567797271145957E-4</v>
          </cell>
        </row>
        <row r="25">
          <cell r="A25" t="str">
            <v>RNWMNR3</v>
          </cell>
          <cell r="C25" t="str">
            <v>MNR</v>
          </cell>
        </row>
        <row r="26">
          <cell r="A26" t="str">
            <v>IMPLFO1</v>
          </cell>
          <cell r="C26" t="str">
            <v>LFO</v>
          </cell>
          <cell r="D26">
            <v>101.72708482972673</v>
          </cell>
          <cell r="E26">
            <v>88.213218937770236</v>
          </cell>
          <cell r="F26">
            <v>87.829415595172208</v>
          </cell>
          <cell r="G26">
            <v>60.373687305546881</v>
          </cell>
        </row>
        <row r="27">
          <cell r="A27" t="str">
            <v>RNWWND5</v>
          </cell>
          <cell r="C27" t="str">
            <v>WND</v>
          </cell>
          <cell r="D27">
            <v>1.628303623161372E-4</v>
          </cell>
          <cell r="E27">
            <v>1.6257636036512714E-4</v>
          </cell>
          <cell r="F27">
            <v>1.6319403081297039E-4</v>
          </cell>
          <cell r="G27">
            <v>1.6795991392973281E-4</v>
          </cell>
        </row>
        <row r="28">
          <cell r="A28" t="str">
            <v>IMPBNGA</v>
          </cell>
          <cell r="C28" t="str">
            <v>BIO</v>
          </cell>
          <cell r="E28">
            <v>0.51650073746935232</v>
          </cell>
          <cell r="F28">
            <v>3.9635571493592869E-2</v>
          </cell>
          <cell r="G28">
            <v>0.57473722861775944</v>
          </cell>
        </row>
        <row r="29">
          <cell r="A29" t="str">
            <v>RNWGEO1</v>
          </cell>
          <cell r="C29" t="str">
            <v>GEO</v>
          </cell>
        </row>
        <row r="30">
          <cell r="A30" t="str">
            <v>RNWGEO2</v>
          </cell>
          <cell r="C30" t="str">
            <v>GEO</v>
          </cell>
        </row>
        <row r="31">
          <cell r="A31" t="str">
            <v>IMPKERintl</v>
          </cell>
          <cell r="C31" t="str">
            <v>KERintl</v>
          </cell>
          <cell r="D31">
            <v>29.5369183009729</v>
          </cell>
          <cell r="E31">
            <v>58.4954363179924</v>
          </cell>
          <cell r="F31">
            <v>80.687923691864597</v>
          </cell>
          <cell r="G31">
            <v>79.262141529241504</v>
          </cell>
        </row>
        <row r="32">
          <cell r="A32" t="str">
            <v>RNWGEO3</v>
          </cell>
          <cell r="C32" t="str">
            <v>GEO</v>
          </cell>
        </row>
        <row r="33">
          <cell r="A33" t="str">
            <v>RNWGEO4</v>
          </cell>
          <cell r="C33" t="str">
            <v>GEO</v>
          </cell>
        </row>
        <row r="34">
          <cell r="A34" t="str">
            <v>RNWGEO5</v>
          </cell>
          <cell r="C34" t="str">
            <v>GEO</v>
          </cell>
        </row>
        <row r="35">
          <cell r="A35" t="str">
            <v>IMPGSL</v>
          </cell>
          <cell r="C35" t="str">
            <v>GSL</v>
          </cell>
          <cell r="D35">
            <v>80.538262271559617</v>
          </cell>
          <cell r="E35">
            <v>74.701288745619181</v>
          </cell>
          <cell r="F35">
            <v>71.058841507539654</v>
          </cell>
          <cell r="G35">
            <v>42.843897482028098</v>
          </cell>
        </row>
        <row r="36">
          <cell r="A36" t="str">
            <v>RNWWOD1</v>
          </cell>
          <cell r="C36" t="str">
            <v>WOD</v>
          </cell>
          <cell r="D36">
            <v>11.111878213818668</v>
          </cell>
          <cell r="E36">
            <v>11.952883852329043</v>
          </cell>
          <cell r="F36">
            <v>13.214393722284331</v>
          </cell>
          <cell r="G36">
            <v>15.316910326063205</v>
          </cell>
        </row>
        <row r="37">
          <cell r="A37" t="str">
            <v>RNWWOD2</v>
          </cell>
          <cell r="C37" t="str">
            <v>WOD</v>
          </cell>
          <cell r="D37">
            <v>7.511671348406523</v>
          </cell>
          <cell r="E37">
            <v>7.5431417282590161</v>
          </cell>
          <cell r="F37">
            <v>7.5903487008532862</v>
          </cell>
          <cell r="G37">
            <v>7.6690271540081607</v>
          </cell>
        </row>
        <row r="38">
          <cell r="A38" t="str">
            <v>RNWWOD3</v>
          </cell>
          <cell r="C38" t="str">
            <v>WOD</v>
          </cell>
          <cell r="D38">
            <v>3.1682451864176526</v>
          </cell>
          <cell r="E38">
            <v>3.4956727093226689</v>
          </cell>
          <cell r="F38">
            <v>3.9868152394287297</v>
          </cell>
          <cell r="G38">
            <v>4.8053865474766759</v>
          </cell>
        </row>
        <row r="39">
          <cell r="A39" t="str">
            <v>RNWWOD4</v>
          </cell>
          <cell r="C39" t="str">
            <v>WOD</v>
          </cell>
          <cell r="D39">
            <v>13.65649337906256</v>
          </cell>
          <cell r="E39">
            <v>14.899046000131491</v>
          </cell>
          <cell r="F39">
            <v>16.762873973260337</v>
          </cell>
          <cell r="G39">
            <v>19.869257064352745</v>
          </cell>
        </row>
        <row r="40">
          <cell r="A40" t="str">
            <v>RNWWOD5</v>
          </cell>
          <cell r="C40" t="str">
            <v>WOD</v>
          </cell>
          <cell r="D40">
            <v>9.5241472149026762</v>
          </cell>
          <cell r="E40">
            <v>10.299726631021091</v>
          </cell>
          <cell r="F40">
            <v>6.6360864105676791</v>
          </cell>
          <cell r="G40">
            <v>0.52993858342075495</v>
          </cell>
        </row>
        <row r="41">
          <cell r="A41" t="str">
            <v>RNNWWST1</v>
          </cell>
          <cell r="C41" t="str">
            <v>WSTNREN</v>
          </cell>
          <cell r="D41">
            <v>35.931071219635335</v>
          </cell>
          <cell r="E41">
            <v>35.882383983203951</v>
          </cell>
          <cell r="F41">
            <v>35.489472801443291</v>
          </cell>
          <cell r="G41">
            <v>35.039964672616627</v>
          </cell>
        </row>
        <row r="42">
          <cell r="A42" t="str">
            <v>RNWSOL1</v>
          </cell>
          <cell r="C42" t="str">
            <v>SOL</v>
          </cell>
          <cell r="D42">
            <v>12.556465000061728</v>
          </cell>
          <cell r="E42">
            <v>16.522192758234073</v>
          </cell>
          <cell r="F42">
            <v>30.34331457243988</v>
          </cell>
          <cell r="G42">
            <v>40.766964163093263</v>
          </cell>
        </row>
        <row r="43">
          <cell r="A43" t="str">
            <v>IMPHFO1</v>
          </cell>
          <cell r="C43" t="str">
            <v>HFO</v>
          </cell>
          <cell r="D43">
            <v>2.7763729691048495</v>
          </cell>
          <cell r="E43">
            <v>2.7644096080017775</v>
          </cell>
          <cell r="F43">
            <v>1.1874232333030327E-3</v>
          </cell>
          <cell r="G43">
            <v>2.1723863373345604E-4</v>
          </cell>
        </row>
        <row r="44">
          <cell r="A44" t="str">
            <v>RNWHYDD1</v>
          </cell>
          <cell r="C44" t="str">
            <v>HYDD</v>
          </cell>
          <cell r="D44">
            <v>66.745679999995161</v>
          </cell>
          <cell r="E44">
            <v>49.798799902568796</v>
          </cell>
          <cell r="F44">
            <v>69.098091987387875</v>
          </cell>
          <cell r="G44">
            <v>70.38465783897324</v>
          </cell>
        </row>
        <row r="45">
          <cell r="A45" t="str">
            <v>IMPKER</v>
          </cell>
          <cell r="C45" t="str">
            <v>KER</v>
          </cell>
          <cell r="D45">
            <v>1.1089892146883049</v>
          </cell>
          <cell r="E45">
            <v>1.4052035590182419</v>
          </cell>
          <cell r="F45">
            <v>1.8484572389636504</v>
          </cell>
          <cell r="G45">
            <v>2.5718155868009052</v>
          </cell>
        </row>
        <row r="46">
          <cell r="A46" t="str">
            <v>IMPBDS</v>
          </cell>
          <cell r="C46" t="str">
            <v>BDS</v>
          </cell>
          <cell r="D46">
            <v>2.370970244669214</v>
          </cell>
          <cell r="E46">
            <v>2.3780127404933968</v>
          </cell>
          <cell r="F46">
            <v>3.2956764444540254</v>
          </cell>
          <cell r="G46">
            <v>4.1637311895584634</v>
          </cell>
        </row>
        <row r="47">
          <cell r="A47" t="str">
            <v>IMPCOA1</v>
          </cell>
          <cell r="C47" t="str">
            <v>COA</v>
          </cell>
          <cell r="D47">
            <v>3.6600053352139246</v>
          </cell>
          <cell r="E47">
            <v>3.5647180569304484</v>
          </cell>
          <cell r="F47">
            <v>3.3672800381153882</v>
          </cell>
          <cell r="G47">
            <v>6.2984430927136275E-3</v>
          </cell>
        </row>
        <row r="48">
          <cell r="A48" t="str">
            <v>IMPETH</v>
          </cell>
          <cell r="C48" t="str">
            <v>ETH</v>
          </cell>
          <cell r="D48">
            <v>4.4341506418825913</v>
          </cell>
          <cell r="E48">
            <v>4.3259844240819616</v>
          </cell>
          <cell r="F48">
            <v>3.8851868700954437</v>
          </cell>
          <cell r="G48">
            <v>2.4820303883816024</v>
          </cell>
        </row>
        <row r="49">
          <cell r="A49" t="str">
            <v>IMPELC_DE</v>
          </cell>
          <cell r="C49" t="str">
            <v>ELC_I-DE</v>
          </cell>
          <cell r="D49">
            <v>46.398476122575623</v>
          </cell>
          <cell r="E49">
            <v>33.019061856164996</v>
          </cell>
          <cell r="F49">
            <v>29.165457970151063</v>
          </cell>
          <cell r="G49">
            <v>35.902209239879461</v>
          </cell>
        </row>
        <row r="50">
          <cell r="A50" t="str">
            <v>IMPELC_DE</v>
          </cell>
          <cell r="C50" t="str">
            <v>ELCS</v>
          </cell>
          <cell r="D50">
            <v>46.398476122575623</v>
          </cell>
          <cell r="E50">
            <v>33.019061856164996</v>
          </cell>
          <cell r="F50">
            <v>29.165457970151063</v>
          </cell>
          <cell r="G50">
            <v>35.902209239879461</v>
          </cell>
        </row>
        <row r="51">
          <cell r="A51" t="str">
            <v>RNWWST1</v>
          </cell>
          <cell r="C51" t="str">
            <v>WSTREN</v>
          </cell>
          <cell r="D51">
            <v>34.100436306317484</v>
          </cell>
          <cell r="E51">
            <v>34.814594654457927</v>
          </cell>
          <cell r="F51">
            <v>34.814597207567772</v>
          </cell>
          <cell r="G51">
            <v>34.814595316449584</v>
          </cell>
        </row>
        <row r="52">
          <cell r="A52" t="str">
            <v>IMPNGA1</v>
          </cell>
          <cell r="C52" t="str">
            <v>NGA</v>
          </cell>
          <cell r="D52">
            <v>117.04779675687243</v>
          </cell>
          <cell r="E52">
            <v>106.71999995850206</v>
          </cell>
          <cell r="F52">
            <v>107.15776278528217</v>
          </cell>
          <cell r="G52">
            <v>101.03240281673969</v>
          </cell>
        </row>
        <row r="53">
          <cell r="A53" t="str">
            <v>IMPELC_IT</v>
          </cell>
          <cell r="C53" t="str">
            <v>ELC_I-IT</v>
          </cell>
          <cell r="D53">
            <v>6.7990987403794056</v>
          </cell>
          <cell r="E53">
            <v>1.3674047949247017E-4</v>
          </cell>
          <cell r="F53">
            <v>1.1145174263870686E-4</v>
          </cell>
          <cell r="G53">
            <v>4.8196316443690645E-5</v>
          </cell>
        </row>
        <row r="54">
          <cell r="A54" t="str">
            <v>IMPELC_IT</v>
          </cell>
          <cell r="C54" t="str">
            <v>ELCS</v>
          </cell>
          <cell r="D54">
            <v>6.7990987403794056</v>
          </cell>
          <cell r="E54">
            <v>1.3674047949247017E-4</v>
          </cell>
          <cell r="F54">
            <v>1.1145174263870686E-4</v>
          </cell>
          <cell r="G54">
            <v>4.8196316443690645E-5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D4">
            <v>3.2682136058828681</v>
          </cell>
          <cell r="E4">
            <v>3.831986286663092</v>
          </cell>
          <cell r="F4">
            <v>0.6412147215463202</v>
          </cell>
          <cell r="G4">
            <v>1.0213163885204479</v>
          </cell>
          <cell r="H4">
            <v>1.2524005879511799</v>
          </cell>
          <cell r="I4">
            <v>1.4566923492872343</v>
          </cell>
          <cell r="J4">
            <v>1.8205271010142816</v>
          </cell>
          <cell r="K4"/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D5">
            <v>3.2682136058828681</v>
          </cell>
          <cell r="E5">
            <v>3.831986286663092</v>
          </cell>
          <cell r="F5">
            <v>0.6412147215463202</v>
          </cell>
          <cell r="G5">
            <v>1.0213163885204479</v>
          </cell>
          <cell r="H5">
            <v>1.2524005879511799</v>
          </cell>
          <cell r="I5">
            <v>1.4566923492872343</v>
          </cell>
          <cell r="J5">
            <v>1.8205271010142816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D6"/>
          <cell r="E6">
            <v>1.7919429476030734E-4</v>
          </cell>
          <cell r="F6">
            <v>4.4826376199749928E-5</v>
          </cell>
          <cell r="G6">
            <v>9.3801141418472004E-5</v>
          </cell>
          <cell r="H6">
            <v>1.0149815897352907E-4</v>
          </cell>
          <cell r="I6">
            <v>4.4299340820384566E-5</v>
          </cell>
          <cell r="J6">
            <v>1.1685762607468847E-4</v>
          </cell>
          <cell r="K6"/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D7"/>
          <cell r="E7">
            <v>1.7937348905506763E-4</v>
          </cell>
          <cell r="F7">
            <v>4.4871202575949658E-5</v>
          </cell>
          <cell r="G7">
            <v>9.3894942559890495E-5</v>
          </cell>
          <cell r="H7">
            <v>1.0159965713250257E-4</v>
          </cell>
          <cell r="I7">
            <v>4.4343640161204962E-5</v>
          </cell>
          <cell r="J7">
            <v>1.1697448370076314E-4</v>
          </cell>
          <cell r="K7"/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D8"/>
          <cell r="E8">
            <v>1.7071249684668668E-4</v>
          </cell>
          <cell r="F8">
            <v>4.254626782747684E-5</v>
          </cell>
          <cell r="G8">
            <v>9.333145319845571E-5</v>
          </cell>
          <cell r="H8">
            <v>1.0302920160324715E-4</v>
          </cell>
          <cell r="I8">
            <v>4.5380039954218932E-5</v>
          </cell>
          <cell r="J8">
            <v>1.18652506058415E-4</v>
          </cell>
          <cell r="K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D9">
            <v>2.56695211053438E-5</v>
          </cell>
          <cell r="E9">
            <v>4.1322237014588301E-7</v>
          </cell>
          <cell r="F9">
            <v>3.3220373778608702E-5</v>
          </cell>
          <cell r="G9">
            <v>9.5626745984001408E-7</v>
          </cell>
          <cell r="H9">
            <v>1.03100765946009E-7</v>
          </cell>
          <cell r="I9">
            <v>5.7950866125556103E-6</v>
          </cell>
          <cell r="J9">
            <v>1.5493209820825E-5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D10">
            <v>2.56695211053438E-5</v>
          </cell>
          <cell r="E10">
            <v>2.6082743475489702E-5</v>
          </cell>
          <cell r="F10">
            <v>5.9303117254098301E-5</v>
          </cell>
          <cell r="G10">
            <v>6.02593847139384E-5</v>
          </cell>
          <cell r="H10">
            <v>4.1148446741300203E-5</v>
          </cell>
          <cell r="I10">
            <v>1.2435361457060399E-5</v>
          </cell>
          <cell r="J10">
            <v>1.9742509521864599E-5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D11"/>
          <cell r="E11">
            <v>3.4996431372097902E-4</v>
          </cell>
          <cell r="F11">
            <v>7.7801405904950904</v>
          </cell>
          <cell r="G11">
            <v>11.8878124540537</v>
          </cell>
          <cell r="H11">
            <v>13.6569642070192</v>
          </cell>
          <cell r="I11">
            <v>13.4099060228283</v>
          </cell>
          <cell r="J11"/>
          <cell r="K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D12"/>
          <cell r="E12">
            <v>4.253862926843647E-6</v>
          </cell>
          <cell r="F12">
            <v>0.10025209251906422</v>
          </cell>
          <cell r="G12">
            <v>0.15318521005235772</v>
          </cell>
          <cell r="H12">
            <v>0.17598464297460636</v>
          </cell>
          <cell r="I12">
            <v>0.17280377020481755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D13"/>
          <cell r="E13">
            <v>4.7484981508952306E-6</v>
          </cell>
          <cell r="F13">
            <v>0.10556500122788452</v>
          </cell>
          <cell r="G13">
            <v>0.16130003329787995</v>
          </cell>
          <cell r="H13">
            <v>0.1853048060653901</v>
          </cell>
          <cell r="I13">
            <v>0.18195259189726254</v>
          </cell>
          <cell r="J13"/>
          <cell r="K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D14"/>
          <cell r="E14">
            <v>6.2268206746530002E-6</v>
          </cell>
          <cell r="F14">
            <v>7.5731238954487606E-2</v>
          </cell>
          <cell r="G14"/>
          <cell r="H14"/>
          <cell r="I14"/>
          <cell r="J14"/>
          <cell r="K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D15"/>
          <cell r="E15">
            <v>6.2268206746530002E-6</v>
          </cell>
          <cell r="F15">
            <v>7.5735011591361007E-2</v>
          </cell>
          <cell r="G15">
            <v>7.5732669558016469E-2</v>
          </cell>
          <cell r="H15">
            <v>7.5731148377863294E-2</v>
          </cell>
          <cell r="I15">
            <v>1.3413657705564739E-2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D16"/>
          <cell r="E16"/>
          <cell r="F16">
            <v>4.8678653274158297</v>
          </cell>
          <cell r="G16">
            <v>15.501856414916899</v>
          </cell>
          <cell r="H16">
            <v>22.105468204683401</v>
          </cell>
          <cell r="I16">
            <v>27.444693819281898</v>
          </cell>
          <cell r="J16">
            <v>36.209687644258601</v>
          </cell>
          <cell r="K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D17"/>
          <cell r="E17"/>
          <cell r="F17">
            <v>0.16671678845698856</v>
          </cell>
          <cell r="G17">
            <v>0.53867245409103259</v>
          </cell>
          <cell r="H17">
            <v>0.77493700091216766</v>
          </cell>
          <cell r="I17">
            <v>0.96906012807947828</v>
          </cell>
          <cell r="J17">
            <v>1.2928152851427086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D18"/>
          <cell r="E18"/>
          <cell r="F18">
            <v>8.6309668925812572E-2</v>
          </cell>
          <cell r="G18">
            <v>0.27485561019356247</v>
          </cell>
          <cell r="H18">
            <v>0.39194092561495392</v>
          </cell>
          <cell r="I18">
            <v>0.48660804644116756</v>
          </cell>
          <cell r="J18">
            <v>0.64201573837337866</v>
          </cell>
          <cell r="K18"/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D19"/>
          <cell r="E19"/>
          <cell r="F19">
            <v>0.16671678845698856</v>
          </cell>
          <cell r="G19">
            <v>0.53867245409103259</v>
          </cell>
          <cell r="H19">
            <v>0.77493700091216766</v>
          </cell>
          <cell r="I19">
            <v>0.96906012807947828</v>
          </cell>
          <cell r="J19">
            <v>1.2928152851427086</v>
          </cell>
          <cell r="K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D20"/>
          <cell r="E20">
            <v>1.01663644355515E-7</v>
          </cell>
          <cell r="F20">
            <v>1.2153241701597201E-2</v>
          </cell>
          <cell r="G20">
            <v>2.7090066452201699E-2</v>
          </cell>
          <cell r="H20">
            <v>1.7217329119080999E-2</v>
          </cell>
          <cell r="I20">
            <v>3.29404516706868E-2</v>
          </cell>
          <cell r="J20">
            <v>6.3657603413373606E-2</v>
          </cell>
          <cell r="K20"/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D21"/>
          <cell r="E21">
            <v>1.01663644355515E-7</v>
          </cell>
          <cell r="F21">
            <v>1.2153314409452125E-2</v>
          </cell>
          <cell r="G21">
            <v>3.9243374748104284E-2</v>
          </cell>
          <cell r="H21">
            <v>5.6460589656184119E-2</v>
          </cell>
          <cell r="I21">
            <v>7.0812453342661341E-2</v>
          </cell>
          <cell r="J21">
            <v>9.4846399388874778E-2</v>
          </cell>
          <cell r="K21"/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D22">
            <v>0.46151963789818995</v>
          </cell>
          <cell r="E22">
            <v>0.54457578943301721</v>
          </cell>
          <cell r="F22">
            <v>0.54462772317199415</v>
          </cell>
          <cell r="G22">
            <v>0.54462916795666838</v>
          </cell>
          <cell r="H22">
            <v>0.54463246916269659</v>
          </cell>
          <cell r="I22">
            <v>0.54463436577242219</v>
          </cell>
          <cell r="J22">
            <v>0.54463673968999615</v>
          </cell>
          <cell r="K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D23">
            <v>0.46151963789818995</v>
          </cell>
          <cell r="E23">
            <v>0.54457578943301721</v>
          </cell>
          <cell r="F23">
            <v>0.54462772317199415</v>
          </cell>
          <cell r="G23">
            <v>0.54462916795666838</v>
          </cell>
          <cell r="H23">
            <v>0.54463246916269659</v>
          </cell>
          <cell r="I23">
            <v>0.54463436577242219</v>
          </cell>
          <cell r="J23">
            <v>0.54463673968999615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D24">
            <v>0.62578933952296967</v>
          </cell>
          <cell r="E24">
            <v>0.73757443264065503</v>
          </cell>
          <cell r="F24">
            <v>0.73639804823255517</v>
          </cell>
          <cell r="G24">
            <v>0.73433146241348601</v>
          </cell>
          <cell r="H24">
            <v>0.73227895013471855</v>
          </cell>
          <cell r="I24">
            <v>0.73023602114738217</v>
          </cell>
          <cell r="J24">
            <v>0.72618231958666135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D25"/>
          <cell r="E25">
            <v>8.1169115802483104E-3</v>
          </cell>
          <cell r="F25">
            <v>6.1354817551694997E-6</v>
          </cell>
          <cell r="G25">
            <v>2.06595145332969E-6</v>
          </cell>
          <cell r="H25">
            <v>2.8975443303957502E-2</v>
          </cell>
          <cell r="I25">
            <v>1.2206694837542701E-2</v>
          </cell>
          <cell r="J25">
            <v>1.9584899929464401E-2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D26">
            <v>2.9860759506449799E-2</v>
          </cell>
          <cell r="E26">
            <v>3.7977316746688361E-2</v>
          </cell>
          <cell r="F26">
            <v>3.7975553659435418E-2</v>
          </cell>
          <cell r="G26">
            <v>3.7971415541529441E-2</v>
          </cell>
          <cell r="H26">
            <v>4.0877520868022217E-2</v>
          </cell>
          <cell r="I26">
            <v>4.1182385710519243E-2</v>
          </cell>
          <cell r="J26">
            <v>4.0698926802670309E-2</v>
          </cell>
        </row>
        <row r="27">
          <cell r="A27" t="str">
            <v>RHSA-WHWODBR</v>
          </cell>
          <cell r="B27" t="str">
            <v>VAR_fout</v>
          </cell>
          <cell r="C27" t="str">
            <v>RHSA-WHWOD</v>
          </cell>
          <cell r="D27">
            <v>0.52047236388696438</v>
          </cell>
          <cell r="E27">
            <v>0.59724161463805969</v>
          </cell>
          <cell r="F27">
            <v>1.1580832203962335</v>
          </cell>
          <cell r="G27">
            <v>1.2375042662603155</v>
          </cell>
          <cell r="H27">
            <v>1.2375626572971945</v>
          </cell>
          <cell r="I27">
            <v>1.2541072773074793</v>
          </cell>
          <cell r="J27">
            <v>1.224352696437397</v>
          </cell>
        </row>
        <row r="28">
          <cell r="A28" t="str">
            <v>RHSA-WHWODBR</v>
          </cell>
          <cell r="B28" t="str">
            <v>VAR_fin</v>
          </cell>
          <cell r="C28" t="str">
            <v>RWOD</v>
          </cell>
          <cell r="D28">
            <v>1.0409447277739288</v>
          </cell>
          <cell r="E28">
            <v>1.1944832292761201</v>
          </cell>
          <cell r="F28">
            <v>2.6419679210415565</v>
          </cell>
          <cell r="G28">
            <v>2.740496697579919</v>
          </cell>
          <cell r="H28">
            <v>2.6859656260834277</v>
          </cell>
          <cell r="I28">
            <v>2.676209611122133</v>
          </cell>
          <cell r="J28">
            <v>2.5183578445421455</v>
          </cell>
          <cell r="K28"/>
        </row>
        <row r="29">
          <cell r="A29" t="str">
            <v>RHSA-WHWODBR</v>
          </cell>
          <cell r="B29" t="str">
            <v>VAR_ncap</v>
          </cell>
          <cell r="C29" t="str">
            <v>-</v>
          </cell>
          <cell r="D29"/>
          <cell r="E29">
            <v>5.1141681915983003E-3</v>
          </cell>
          <cell r="F29">
            <v>3.6248745382499503E-2</v>
          </cell>
          <cell r="G29">
            <v>7.9021595161018199E-3</v>
          </cell>
          <cell r="H29">
            <v>2.8661922383494898E-2</v>
          </cell>
          <cell r="I29">
            <v>4.5242433042290697E-2</v>
          </cell>
          <cell r="J29">
            <v>3.8728200861137298E-2</v>
          </cell>
          <cell r="K29"/>
        </row>
        <row r="30">
          <cell r="A30" t="str">
            <v>RHSA-WHWODBR</v>
          </cell>
          <cell r="B30" t="str">
            <v>VAR_cap</v>
          </cell>
          <cell r="C30" t="str">
            <v>-</v>
          </cell>
          <cell r="D30">
            <v>3.5322010722483803E-2</v>
          </cell>
          <cell r="E30">
            <v>4.0436141262843277E-2</v>
          </cell>
          <cell r="F30">
            <v>7.6684795814723108E-2</v>
          </cell>
          <cell r="G30">
            <v>8.458689794639683E-2</v>
          </cell>
          <cell r="H30">
            <v>8.4592908901840985E-2</v>
          </cell>
          <cell r="I30">
            <v>8.5721714986847733E-2</v>
          </cell>
          <cell r="J30">
            <v>8.3685932094973867E-2</v>
          </cell>
          <cell r="K30"/>
        </row>
        <row r="31">
          <cell r="A31" t="str">
            <v>RHES-SHWODBR</v>
          </cell>
          <cell r="B31" t="str">
            <v>VAR_fout</v>
          </cell>
          <cell r="C31" t="str">
            <v>RHES-SHWOD</v>
          </cell>
          <cell r="D31">
            <v>4.3871567479864861</v>
          </cell>
          <cell r="E31">
            <v>5.0342723942962087</v>
          </cell>
          <cell r="F31">
            <v>5.0868804259228391</v>
          </cell>
          <cell r="G31">
            <v>4.4611680555909725</v>
          </cell>
          <cell r="H31">
            <v>3.7206945036009476</v>
          </cell>
          <cell r="I31">
            <v>3.1087193495060159</v>
          </cell>
          <cell r="J31">
            <v>1.9779523289477134</v>
          </cell>
          <cell r="K31"/>
        </row>
        <row r="32">
          <cell r="A32" t="str">
            <v>RHES-SHWODBR</v>
          </cell>
          <cell r="B32" t="str">
            <v>VAR_fin</v>
          </cell>
          <cell r="C32" t="str">
            <v>RWOD</v>
          </cell>
          <cell r="D32">
            <v>6.0932732610923424</v>
          </cell>
          <cell r="E32">
            <v>6.9920449920780667</v>
          </cell>
          <cell r="F32">
            <v>7.1011162747486489</v>
          </cell>
          <cell r="G32">
            <v>6.1215851474393848</v>
          </cell>
          <cell r="H32">
            <v>5.0582222502637304</v>
          </cell>
          <cell r="I32">
            <v>4.20163843981556</v>
          </cell>
          <cell r="J32">
            <v>2.6404280427384315</v>
          </cell>
          <cell r="K32"/>
        </row>
        <row r="33">
          <cell r="A33" t="str">
            <v>RHES-SHWODBR</v>
          </cell>
          <cell r="B33" t="str">
            <v>VAR_ncap</v>
          </cell>
          <cell r="C33" t="str">
            <v>-</v>
          </cell>
          <cell r="D33"/>
          <cell r="E33">
            <v>5.2284715580908199E-2</v>
          </cell>
          <cell r="F33">
            <v>4.2489580898946097E-3</v>
          </cell>
          <cell r="G33">
            <v>4.5365793881392701E-8</v>
          </cell>
          <cell r="H33">
            <v>0.17764504713911899</v>
          </cell>
          <cell r="I33">
            <v>7.2837373185161203E-2</v>
          </cell>
          <cell r="J33">
            <v>3.1794501688174798E-2</v>
          </cell>
          <cell r="K33"/>
        </row>
        <row r="34">
          <cell r="A34" t="str">
            <v>RHES-SHWODBR</v>
          </cell>
          <cell r="B34" t="str">
            <v>VAR_cap</v>
          </cell>
          <cell r="C34" t="str">
            <v>-</v>
          </cell>
          <cell r="D34">
            <v>0.354428052062076</v>
          </cell>
          <cell r="E34">
            <v>0.40671274684314668</v>
          </cell>
          <cell r="F34">
            <v>0.41096168562543595</v>
          </cell>
          <cell r="G34">
            <v>0.41096086878580984</v>
          </cell>
          <cell r="H34">
            <v>0.30059693045751457</v>
          </cell>
          <cell r="I34">
            <v>0.25123494950208658</v>
          </cell>
          <cell r="J34">
            <v>0.15979789735989375</v>
          </cell>
        </row>
        <row r="35">
          <cell r="A35" t="str">
            <v>SCOM-SHWODBR</v>
          </cell>
          <cell r="B35" t="str">
            <v>VAR_fout</v>
          </cell>
          <cell r="C35" t="str">
            <v>SCOM-SHWOD</v>
          </cell>
          <cell r="D35">
            <v>6.1735456032767795</v>
          </cell>
          <cell r="E35">
            <v>6.8807335819935878</v>
          </cell>
          <cell r="F35">
            <v>6.1542998136493985</v>
          </cell>
          <cell r="G35">
            <v>6.278426986203284</v>
          </cell>
          <cell r="H35">
            <v>5.847975928820528</v>
          </cell>
          <cell r="I35">
            <v>5.3552813856706338</v>
          </cell>
          <cell r="J35">
            <v>4.6876371345869075</v>
          </cell>
        </row>
        <row r="36">
          <cell r="A36" t="str">
            <v>SCOM-SHWODBR</v>
          </cell>
          <cell r="B36" t="str">
            <v>VAR_fin</v>
          </cell>
          <cell r="C36" t="str">
            <v>SWOD</v>
          </cell>
          <cell r="D36">
            <v>8.5743688934399689</v>
          </cell>
          <cell r="E36">
            <v>9.5565744194355364</v>
          </cell>
          <cell r="F36">
            <v>9.1019400082607795</v>
          </cell>
          <cell r="G36">
            <v>9.2582715634484316</v>
          </cell>
          <cell r="H36">
            <v>8.6235213636323707</v>
          </cell>
          <cell r="I36">
            <v>7.8969858972910796</v>
          </cell>
          <cell r="J36">
            <v>6.8754691685169362</v>
          </cell>
        </row>
        <row r="37">
          <cell r="A37" t="str">
            <v>SCOM-SHWODBR</v>
          </cell>
          <cell r="B37" t="str">
            <v>VAR_ncap</v>
          </cell>
          <cell r="C37" t="str">
            <v>-</v>
          </cell>
          <cell r="D37">
            <v>2.2592731323993799E-6</v>
          </cell>
          <cell r="E37">
            <v>5.3454184076323803E-2</v>
          </cell>
          <cell r="F37">
            <v>1.3444210638145101E-7</v>
          </cell>
          <cell r="G37">
            <v>2.5011479181795502E-7</v>
          </cell>
          <cell r="H37">
            <v>0.30067351180847002</v>
          </cell>
          <cell r="I37">
            <v>0.115099328970836</v>
          </cell>
          <cell r="J37">
            <v>0.15358057726405699</v>
          </cell>
          <cell r="K37"/>
        </row>
        <row r="38">
          <cell r="A38" t="str">
            <v>SCOM-SHWODBR</v>
          </cell>
          <cell r="B38" t="str">
            <v>VAR_cap</v>
          </cell>
          <cell r="C38" t="str">
            <v>-</v>
          </cell>
          <cell r="D38">
            <v>0.4784225370902444</v>
          </cell>
          <cell r="E38">
            <v>0.53187668218903705</v>
          </cell>
          <cell r="F38">
            <v>0.5318656365771931</v>
          </cell>
          <cell r="G38">
            <v>0.53186371282515876</v>
          </cell>
          <cell r="H38">
            <v>0.45212797975893421</v>
          </cell>
          <cell r="I38">
            <v>0.41577280206912343</v>
          </cell>
          <cell r="J38">
            <v>0.36429515075102387</v>
          </cell>
          <cell r="K38"/>
        </row>
        <row r="39">
          <cell r="A39" t="str">
            <v>ITOT-SWHLTHCHP</v>
          </cell>
          <cell r="B39" t="str">
            <v>VAR_fout</v>
          </cell>
          <cell r="C39" t="str">
            <v>ITOT-SWH</v>
          </cell>
          <cell r="D39">
            <v>5.1850560883247825</v>
          </cell>
          <cell r="E39">
            <v>5.5675584428525999</v>
          </cell>
          <cell r="F39">
            <v>5.8792076071780022</v>
          </cell>
          <cell r="G39">
            <v>7.202313811396686</v>
          </cell>
          <cell r="H39">
            <v>6.777591749172303</v>
          </cell>
          <cell r="I39">
            <v>6.2502302324517771</v>
          </cell>
          <cell r="J39">
            <v>8.262877400202818</v>
          </cell>
        </row>
        <row r="40">
          <cell r="A40" t="str">
            <v>ITOT-SWHLTHCHP</v>
          </cell>
          <cell r="B40" t="str">
            <v>VAR_fin</v>
          </cell>
          <cell r="C40" t="str">
            <v>ITOTLTHCHPC</v>
          </cell>
          <cell r="D40">
            <v>5.1850560883247825</v>
          </cell>
          <cell r="E40">
            <v>5.5675584428525999</v>
          </cell>
          <cell r="F40">
            <v>5.8792076071780022</v>
          </cell>
          <cell r="G40">
            <v>7.202313811396686</v>
          </cell>
          <cell r="H40">
            <v>6.777591749172303</v>
          </cell>
          <cell r="I40">
            <v>6.2502302324517771</v>
          </cell>
          <cell r="J40">
            <v>8.262877400202818</v>
          </cell>
        </row>
        <row r="41">
          <cell r="A41" t="str">
            <v>ITOT-SWHLTHCHP</v>
          </cell>
          <cell r="B41" t="str">
            <v>VAR_fin</v>
          </cell>
          <cell r="C41" t="str">
            <v>ITOT_LTH_CHP_ON</v>
          </cell>
          <cell r="D41">
            <v>5.6086416703184279</v>
          </cell>
          <cell r="E41">
            <v>6.009520424732866</v>
          </cell>
          <cell r="F41">
            <v>6.3256293005247866</v>
          </cell>
          <cell r="G41">
            <v>7.7081473272432977</v>
          </cell>
          <cell r="H41">
            <v>7.2153696897560815</v>
          </cell>
          <cell r="I41">
            <v>6.6190623928932943</v>
          </cell>
          <cell r="J41">
            <v>8.697765684424029</v>
          </cell>
          <cell r="K41"/>
        </row>
        <row r="42">
          <cell r="A42" t="str">
            <v>ITOT-SWHLTHCHP</v>
          </cell>
          <cell r="B42" t="str">
            <v>VAR_ncap</v>
          </cell>
          <cell r="C42" t="str">
            <v>-</v>
          </cell>
          <cell r="D42"/>
          <cell r="E42">
            <v>1.2505352387426401E-2</v>
          </cell>
          <cell r="F42">
            <v>3.3483943918128499E-2</v>
          </cell>
          <cell r="G42">
            <v>8.4349477095289699E-2</v>
          </cell>
          <cell r="H42">
            <v>0.23760591342496301</v>
          </cell>
          <cell r="I42">
            <v>9.7848670819077596E-2</v>
          </cell>
          <cell r="J42">
            <v>0.31823946356101701</v>
          </cell>
          <cell r="K42"/>
        </row>
        <row r="43">
          <cell r="A43" t="str">
            <v>ITOT-SWHLTHCHP</v>
          </cell>
          <cell r="B43" t="str">
            <v>VAR_cap</v>
          </cell>
          <cell r="C43" t="str">
            <v>-</v>
          </cell>
          <cell r="D43">
            <v>0.62661755442165901</v>
          </cell>
          <cell r="E43">
            <v>0.33506438310545944</v>
          </cell>
          <cell r="F43">
            <v>0.35751059360567683</v>
          </cell>
          <cell r="G43">
            <v>0.430089262268952</v>
          </cell>
          <cell r="H43">
            <v>0.40625307020422796</v>
          </cell>
          <cell r="I43">
            <v>0.37542067334381862</v>
          </cell>
          <cell r="J43">
            <v>0.47804020522711371</v>
          </cell>
          <cell r="K43"/>
        </row>
        <row r="44">
          <cell r="A44" t="str">
            <v>RHSA-WHSTG-NGAHP</v>
          </cell>
          <cell r="B44" t="str">
            <v>VAR_fout</v>
          </cell>
          <cell r="C44" t="str">
            <v>RHSA-WHANGAH</v>
          </cell>
          <cell r="D44"/>
          <cell r="E44"/>
          <cell r="F44">
            <v>5.0295957743017872E-2</v>
          </cell>
          <cell r="G44">
            <v>0.12239121368852991</v>
          </cell>
          <cell r="H44">
            <v>0.18989953866662448</v>
          </cell>
          <cell r="I44">
            <v>0.24038117946792187</v>
          </cell>
          <cell r="J44">
            <v>0.36739235393667508</v>
          </cell>
          <cell r="K44"/>
        </row>
        <row r="45">
          <cell r="A45" t="str">
            <v>RHSA-WHSTG-NGAHP</v>
          </cell>
          <cell r="B45" t="str">
            <v>VAR_fout</v>
          </cell>
          <cell r="C45" t="str">
            <v>AUX_RHSA-WHSTG-NGAHP_OUT</v>
          </cell>
          <cell r="D45"/>
          <cell r="E45"/>
          <cell r="F45">
            <v>5.0346253700760894E-2</v>
          </cell>
          <cell r="G45">
            <v>0.12251360490221842</v>
          </cell>
          <cell r="H45">
            <v>0.19008943820529109</v>
          </cell>
          <cell r="I45">
            <v>0.24062156064738982</v>
          </cell>
          <cell r="J45">
            <v>0.36775974629061148</v>
          </cell>
          <cell r="K45"/>
        </row>
        <row r="46">
          <cell r="A46" t="str">
            <v>RHSA-WHSTG-NGAHP</v>
          </cell>
          <cell r="B46" t="str">
            <v>VAR_fin</v>
          </cell>
          <cell r="C46" t="str">
            <v>RHSA-WHANGAH</v>
          </cell>
          <cell r="D46"/>
          <cell r="E46"/>
          <cell r="F46">
            <v>5.0301508837103763E-2</v>
          </cell>
          <cell r="G46">
            <v>0.12239606799319122</v>
          </cell>
          <cell r="H46">
            <v>0.18990260713959786</v>
          </cell>
          <cell r="I46">
            <v>0.2403825972230357</v>
          </cell>
          <cell r="J46">
            <v>0.36739496564399154</v>
          </cell>
          <cell r="K46"/>
        </row>
        <row r="47">
          <cell r="A47" t="str">
            <v>RHSA-WHSTG-NGAHP</v>
          </cell>
          <cell r="B47" t="str">
            <v>VAR_ncap</v>
          </cell>
          <cell r="C47" t="str">
            <v>-</v>
          </cell>
          <cell r="D47">
            <v>3.3505869058260701E-6</v>
          </cell>
          <cell r="E47">
            <v>4.78148997185937E-6</v>
          </cell>
          <cell r="F47">
            <v>1.39912095283206E-2</v>
          </cell>
          <cell r="G47">
            <v>2.01539288345189E-2</v>
          </cell>
          <cell r="H47">
            <v>1.84376038514605E-2</v>
          </cell>
          <cell r="I47">
            <v>3.2831334569701998E-2</v>
          </cell>
          <cell r="J47">
            <v>6.6379367387114002E-2</v>
          </cell>
          <cell r="K47"/>
        </row>
        <row r="48">
          <cell r="A48" t="str">
            <v>RHSA-WHSTG-NGAHP</v>
          </cell>
          <cell r="B48" t="str">
            <v>VAR_cap</v>
          </cell>
          <cell r="C48" t="str">
            <v>-</v>
          </cell>
          <cell r="D48">
            <v>3.3549267458865743E-6</v>
          </cell>
          <cell r="E48">
            <v>8.0065956795294361E-7</v>
          </cell>
          <cell r="F48">
            <v>1.3991113115926929E-2</v>
          </cell>
          <cell r="G48">
            <v>3.4143452649047244E-2</v>
          </cell>
          <cell r="H48">
            <v>5.2566804750835368E-2</v>
          </cell>
          <cell r="I48">
            <v>6.7489020491580815E-2</v>
          </cell>
          <cell r="J48">
            <v>9.799053999551241E-2</v>
          </cell>
          <cell r="K48"/>
        </row>
        <row r="49">
          <cell r="A49" t="str">
            <v>D-RES_LTH</v>
          </cell>
          <cell r="B49" t="str">
            <v>VAR_fout</v>
          </cell>
          <cell r="C49" t="str">
            <v>RHNS_LTH_DH</v>
          </cell>
          <cell r="D49"/>
          <cell r="E49">
            <v>5.4466912307558943E-2</v>
          </cell>
          <cell r="F49">
            <v>4.5359512516003819E-3</v>
          </cell>
          <cell r="G49">
            <v>7.2450137821379679E-3</v>
          </cell>
          <cell r="H49">
            <v>9.4539097022121737E-3</v>
          </cell>
          <cell r="I49">
            <v>1.1406278450731302E-2</v>
          </cell>
          <cell r="J49">
            <v>1.4097829013283216E-2</v>
          </cell>
          <cell r="K49"/>
        </row>
        <row r="50">
          <cell r="A50" t="str">
            <v>D-RES_LTH</v>
          </cell>
          <cell r="B50" t="str">
            <v>VAR_fout</v>
          </cell>
          <cell r="C50" t="str">
            <v>RHEM_LTH_DH</v>
          </cell>
          <cell r="D50">
            <v>3.4405829122846385</v>
          </cell>
          <cell r="E50">
            <v>3.8270025880469305</v>
          </cell>
          <cell r="F50">
            <v>4.9258931786716271</v>
          </cell>
          <cell r="G50">
            <v>5.4323626322235707</v>
          </cell>
          <cell r="H50">
            <v>5.5901889014560489</v>
          </cell>
          <cell r="I50">
            <v>5.6305479889259704</v>
          </cell>
          <cell r="J50">
            <v>5.6986089483702225</v>
          </cell>
          <cell r="K50"/>
        </row>
        <row r="51">
          <cell r="A51" t="str">
            <v>D-RES_LTH</v>
          </cell>
          <cell r="B51" t="str">
            <v>VAR_fout</v>
          </cell>
          <cell r="C51" t="str">
            <v>RHES_LTH_DH</v>
          </cell>
          <cell r="D51">
            <v>3.1851518058627155</v>
          </cell>
          <cell r="E51">
            <v>3.5391915500075863</v>
          </cell>
          <cell r="F51">
            <v>1.5971885108083126</v>
          </cell>
          <cell r="G51">
            <v>1.7867662230163122</v>
          </cell>
          <cell r="H51">
            <v>1.8590885583086525</v>
          </cell>
          <cell r="I51">
            <v>1.8812030572676064</v>
          </cell>
          <cell r="J51">
            <v>1.9165479048903815</v>
          </cell>
          <cell r="K51"/>
        </row>
        <row r="52">
          <cell r="A52" t="str">
            <v>D-RES_LTH</v>
          </cell>
          <cell r="B52" t="str">
            <v>VAR_fout</v>
          </cell>
          <cell r="C52" t="str">
            <v>RHSA_LTH</v>
          </cell>
          <cell r="D52">
            <v>1.7142689463467711</v>
          </cell>
          <cell r="E52">
            <v>1.895533180833366</v>
          </cell>
          <cell r="F52">
            <v>1.7514153011695983</v>
          </cell>
          <cell r="G52">
            <v>2.1164551236835485</v>
          </cell>
          <cell r="H52">
            <v>2.3500199803539115</v>
          </cell>
          <cell r="I52">
            <v>2.5309036955748465</v>
          </cell>
          <cell r="J52">
            <v>2.8560561445934995</v>
          </cell>
          <cell r="K52"/>
        </row>
        <row r="53">
          <cell r="A53" t="str">
            <v>D-RES_LTH</v>
          </cell>
          <cell r="B53" t="str">
            <v>VAR_fout</v>
          </cell>
          <cell r="C53" t="str">
            <v>RHNM_LTH_DH</v>
          </cell>
          <cell r="D53"/>
          <cell r="E53">
            <v>0.35009850779942164</v>
          </cell>
          <cell r="F53">
            <v>6.6180697507705305E-2</v>
          </cell>
          <cell r="G53">
            <v>0.12353563890355469</v>
          </cell>
          <cell r="H53">
            <v>0.16560937014621432</v>
          </cell>
          <cell r="I53">
            <v>0.19653607561390915</v>
          </cell>
          <cell r="J53">
            <v>0.24846956070336904</v>
          </cell>
          <cell r="K53"/>
        </row>
        <row r="54">
          <cell r="A54" t="str">
            <v>D-RES_LTH</v>
          </cell>
          <cell r="B54" t="str">
            <v>VAR_fin</v>
          </cell>
          <cell r="C54" t="str">
            <v>LTH</v>
          </cell>
          <cell r="D54">
            <v>9.2187320999557674</v>
          </cell>
          <cell r="E54">
            <v>10.684707090469541</v>
          </cell>
          <cell r="F54">
            <v>9.2039326064743285</v>
          </cell>
          <cell r="G54">
            <v>10.401934169042013</v>
          </cell>
          <cell r="H54">
            <v>10.919853453282487</v>
          </cell>
          <cell r="I54">
            <v>11.18117421644761</v>
          </cell>
          <cell r="J54">
            <v>11.623080342694877</v>
          </cell>
          <cell r="K54"/>
        </row>
        <row r="55">
          <cell r="A55" t="str">
            <v>D-RES_LTH</v>
          </cell>
          <cell r="B55" t="str">
            <v>VAR_ncap</v>
          </cell>
          <cell r="C55" t="str">
            <v>-</v>
          </cell>
          <cell r="D55">
            <v>0.62767177786702899</v>
          </cell>
          <cell r="E55">
            <v>7.4321961206517696E-8</v>
          </cell>
          <cell r="F55">
            <v>1.49507302811985E-8</v>
          </cell>
          <cell r="G55">
            <v>1.7260486465908401E-8</v>
          </cell>
          <cell r="H55">
            <v>4.5910029588283299E-8</v>
          </cell>
          <cell r="I55">
            <v>2.4823711604341701E-8</v>
          </cell>
          <cell r="J55">
            <v>3.0742008709306297E-8</v>
          </cell>
          <cell r="K55"/>
        </row>
        <row r="56">
          <cell r="A56" t="str">
            <v>D-RES_LTH</v>
          </cell>
          <cell r="B56" t="str">
            <v>VAR_cap</v>
          </cell>
          <cell r="C56" t="str">
            <v>-</v>
          </cell>
          <cell r="D56">
            <v>0.62767177786702899</v>
          </cell>
          <cell r="E56">
            <v>0.62767185218899002</v>
          </cell>
          <cell r="F56">
            <v>0.62767186713972101</v>
          </cell>
          <cell r="G56">
            <v>0.62767188440020705</v>
          </cell>
          <cell r="H56">
            <v>0.62767193031023705</v>
          </cell>
          <cell r="I56">
            <v>0.62767195513394802</v>
          </cell>
          <cell r="J56">
            <v>0.62767198587595696</v>
          </cell>
          <cell r="K56"/>
        </row>
        <row r="57">
          <cell r="A57" t="str">
            <v>D-RHEM_NKEV_GAS_ELC_CHP</v>
          </cell>
          <cell r="B57" t="str">
            <v>VAR_fout</v>
          </cell>
          <cell r="C57" t="str">
            <v>ELC5</v>
          </cell>
          <cell r="D57">
            <v>9.196345513473996E-4</v>
          </cell>
          <cell r="E57">
            <v>1.1055055984359073E-4</v>
          </cell>
          <cell r="F57">
            <v>2.4211656162362229E-4</v>
          </cell>
          <cell r="G57"/>
          <cell r="H57"/>
          <cell r="I57"/>
          <cell r="J57"/>
          <cell r="K57"/>
        </row>
        <row r="58">
          <cell r="A58" t="str">
            <v>D-RHEM_NKEV_GAS_ELC_CHP</v>
          </cell>
          <cell r="B58" t="str">
            <v>VAR_fout</v>
          </cell>
          <cell r="C58" t="str">
            <v>RHEM_ELC</v>
          </cell>
          <cell r="D58">
            <v>2.6769171781946096E-2</v>
          </cell>
          <cell r="E58">
            <v>1.816036351670726E-4</v>
          </cell>
          <cell r="F58">
            <v>9.0474648251276206E-4</v>
          </cell>
          <cell r="G58"/>
          <cell r="H58"/>
          <cell r="I58"/>
          <cell r="J58"/>
          <cell r="K58"/>
        </row>
        <row r="59">
          <cell r="A59" t="str">
            <v>D-RHEM_NKEV_GAS_ELC_CHP</v>
          </cell>
          <cell r="B59" t="str">
            <v>VAR_fin</v>
          </cell>
          <cell r="C59" t="str">
            <v>RHEM_NKEV_GAS_ELC_CHP</v>
          </cell>
          <cell r="D59">
            <v>2.7688806333293497E-2</v>
          </cell>
          <cell r="E59">
            <v>2.9215419501066363E-4</v>
          </cell>
          <cell r="F59">
            <v>1.1438325361303701E-3</v>
          </cell>
          <cell r="G59"/>
          <cell r="H59"/>
          <cell r="I59"/>
          <cell r="J59"/>
          <cell r="K59"/>
        </row>
        <row r="60">
          <cell r="A60" t="str">
            <v>SCOM-SHDEM</v>
          </cell>
          <cell r="B60" t="str">
            <v>VAR_fout</v>
          </cell>
          <cell r="C60" t="str">
            <v>SCOM-SHD</v>
          </cell>
          <cell r="D60">
            <v>73.238323008307631</v>
          </cell>
          <cell r="E60">
            <v>78.573895297104016</v>
          </cell>
          <cell r="F60">
            <v>63.32186930303039</v>
          </cell>
          <cell r="G60">
            <v>62.691415516888007</v>
          </cell>
          <cell r="H60">
            <v>61.924947903240984</v>
          </cell>
          <cell r="I60">
            <v>61.439067258140682</v>
          </cell>
          <cell r="J60">
            <v>60.762646428551115</v>
          </cell>
          <cell r="K60"/>
        </row>
        <row r="61">
          <cell r="A61" t="str">
            <v>SCOM-SHDEM</v>
          </cell>
          <cell r="B61" t="str">
            <v>VAR_fin</v>
          </cell>
          <cell r="C61" t="str">
            <v>SCOM-SHCON</v>
          </cell>
          <cell r="D61"/>
          <cell r="E61">
            <v>6.9643117502211025</v>
          </cell>
          <cell r="F61">
            <v>2.2375721213979114</v>
          </cell>
          <cell r="G61">
            <v>4.0645233314683562</v>
          </cell>
          <cell r="H61">
            <v>5.848198487102513</v>
          </cell>
          <cell r="I61">
            <v>7.5761961855670528</v>
          </cell>
          <cell r="J61">
            <v>10.77033721353205</v>
          </cell>
          <cell r="K61"/>
        </row>
        <row r="62">
          <cell r="A62" t="str">
            <v>SCOM-SHDEM</v>
          </cell>
          <cell r="B62" t="str">
            <v>VAR_fin</v>
          </cell>
          <cell r="C62" t="str">
            <v>SCOM-SHWOD</v>
          </cell>
          <cell r="D62">
            <v>6.1735456032767795</v>
          </cell>
          <cell r="E62">
            <v>6.8807335819935878</v>
          </cell>
          <cell r="F62">
            <v>6.1542998136493985</v>
          </cell>
          <cell r="G62">
            <v>6.278426986203284</v>
          </cell>
          <cell r="H62">
            <v>5.847975928820528</v>
          </cell>
          <cell r="I62">
            <v>5.3552813856706338</v>
          </cell>
          <cell r="J62">
            <v>4.6876371345869075</v>
          </cell>
          <cell r="K62"/>
        </row>
        <row r="63">
          <cell r="A63" t="str">
            <v>SCOM-SHDEM</v>
          </cell>
          <cell r="B63" t="str">
            <v>VAR_fin</v>
          </cell>
          <cell r="C63" t="str">
            <v>SCOM-SHLTHD</v>
          </cell>
          <cell r="D63">
            <v>5.5539013379628575</v>
          </cell>
          <cell r="E63">
            <v>6.0159360294783326</v>
          </cell>
          <cell r="F63">
            <v>4.9302573283011286</v>
          </cell>
          <cell r="G63">
            <v>5.7793794550250759</v>
          </cell>
          <cell r="H63">
            <v>6.3102879088108068</v>
          </cell>
          <cell r="I63">
            <v>6.5940741786273085</v>
          </cell>
          <cell r="J63">
            <v>7.0167788630511243</v>
          </cell>
        </row>
        <row r="64">
          <cell r="A64" t="str">
            <v>SCOM-SHDEM</v>
          </cell>
          <cell r="B64" t="str">
            <v>VAR_fin</v>
          </cell>
          <cell r="C64" t="str">
            <v>SCOM-SHELCB</v>
          </cell>
          <cell r="D64">
            <v>2.3940351455857805</v>
          </cell>
          <cell r="E64">
            <v>0.59039894695929485</v>
          </cell>
          <cell r="F64">
            <v>0.5219521305293664</v>
          </cell>
          <cell r="G64">
            <v>0.35445021966888868</v>
          </cell>
          <cell r="H64">
            <v>0.28976560138349122</v>
          </cell>
          <cell r="I64">
            <v>0.2629539495967923</v>
          </cell>
          <cell r="J64">
            <v>0.19422983681730177</v>
          </cell>
        </row>
        <row r="65">
          <cell r="A65" t="str">
            <v>SCOM-SHDEM</v>
          </cell>
          <cell r="B65" t="str">
            <v>VAR_fin</v>
          </cell>
          <cell r="C65" t="str">
            <v>SCOM-SHBIO</v>
          </cell>
          <cell r="D65">
            <v>1.2230676365458992</v>
          </cell>
          <cell r="E65">
            <v>1.340768430658166</v>
          </cell>
          <cell r="F65"/>
          <cell r="G65"/>
          <cell r="H65"/>
          <cell r="I65"/>
          <cell r="J65"/>
        </row>
        <row r="66">
          <cell r="A66" t="str">
            <v>SCOM-SHDEM</v>
          </cell>
          <cell r="B66" t="str">
            <v>VAR_fin</v>
          </cell>
          <cell r="C66" t="str">
            <v>SCOM-SHELCH</v>
          </cell>
          <cell r="D66">
            <v>4.2612058605305716</v>
          </cell>
          <cell r="E66">
            <v>4.6176488190817642</v>
          </cell>
          <cell r="F66">
            <v>4.7664866592192805</v>
          </cell>
          <cell r="G66">
            <v>7.5118309453455074</v>
          </cell>
          <cell r="H66">
            <v>9.6814508112805449</v>
          </cell>
          <cell r="I66">
            <v>11.70659027330287</v>
          </cell>
          <cell r="J66">
            <v>15.908563263409155</v>
          </cell>
        </row>
        <row r="67">
          <cell r="A67" t="str">
            <v>SCOM-SHDEM</v>
          </cell>
          <cell r="B67" t="str">
            <v>VAR_fin</v>
          </cell>
          <cell r="C67" t="str">
            <v>SCOM-SHPLT</v>
          </cell>
          <cell r="D67">
            <v>1.8770715308791384</v>
          </cell>
          <cell r="E67">
            <v>2.1600830818836454</v>
          </cell>
          <cell r="F67">
            <v>0.42489618913846366</v>
          </cell>
          <cell r="G67">
            <v>0.71393835559870633</v>
          </cell>
          <cell r="H67">
            <v>0.86669651353355481</v>
          </cell>
          <cell r="I67">
            <v>1.016197433970635</v>
          </cell>
          <cell r="J67">
            <v>1.2444736950603308</v>
          </cell>
          <cell r="K67"/>
        </row>
        <row r="68">
          <cell r="A68" t="str">
            <v>SCOM-SHDEM</v>
          </cell>
          <cell r="B68" t="str">
            <v>VAR_fin</v>
          </cell>
          <cell r="C68" t="str">
            <v>SCOM-SHLTHC-NGA</v>
          </cell>
          <cell r="D68">
            <v>0.68564988224864121</v>
          </cell>
          <cell r="E68">
            <v>0.74269006352711142</v>
          </cell>
          <cell r="F68"/>
          <cell r="G68"/>
          <cell r="H68"/>
          <cell r="I68"/>
          <cell r="J68"/>
          <cell r="K68"/>
        </row>
        <row r="69">
          <cell r="A69" t="str">
            <v>SCOM-SHDEM</v>
          </cell>
          <cell r="B69" t="str">
            <v>VAR_fin</v>
          </cell>
          <cell r="C69" t="str">
            <v>SCOM-SHSOL</v>
          </cell>
          <cell r="D69">
            <v>0.62699568661739113</v>
          </cell>
          <cell r="E69">
            <v>0.68733276789378839</v>
          </cell>
          <cell r="F69">
            <v>0.52378889740605694</v>
          </cell>
          <cell r="G69">
            <v>0.61029129070357924</v>
          </cell>
          <cell r="H69">
            <v>0.6811462631577706</v>
          </cell>
          <cell r="I69">
            <v>0.73462670777425731</v>
          </cell>
          <cell r="J69">
            <v>0.87740711448009412</v>
          </cell>
        </row>
        <row r="70">
          <cell r="A70" t="str">
            <v>SCOM-SHDEM</v>
          </cell>
          <cell r="B70" t="str">
            <v>VAR_fin</v>
          </cell>
          <cell r="C70" t="str">
            <v>SCOM-SHNGA</v>
          </cell>
          <cell r="D70">
            <v>24.189714900644145</v>
          </cell>
          <cell r="E70">
            <v>25.326921092542829</v>
          </cell>
          <cell r="F70">
            <v>20.5470425238986</v>
          </cell>
          <cell r="G70">
            <v>18.075175015545405</v>
          </cell>
          <cell r="H70">
            <v>15.165487718011574</v>
          </cell>
          <cell r="I70">
            <v>12.201580113342146</v>
          </cell>
          <cell r="J70">
            <v>7.1474588807986725</v>
          </cell>
        </row>
        <row r="71">
          <cell r="A71" t="str">
            <v>SCOM-SHDEM</v>
          </cell>
          <cell r="B71" t="str">
            <v>VAR_fin</v>
          </cell>
          <cell r="C71" t="str">
            <v>SCOM-SHNGAH</v>
          </cell>
          <cell r="D71"/>
          <cell r="E71"/>
          <cell r="F71">
            <v>1.7216898379338046</v>
          </cell>
          <cell r="G71">
            <v>3.4536848846833119</v>
          </cell>
          <cell r="H71">
            <v>4.8093591031730591</v>
          </cell>
          <cell r="I71">
            <v>6.0106614780927075</v>
          </cell>
          <cell r="J71">
            <v>8.657827585770951</v>
          </cell>
          <cell r="K71"/>
        </row>
        <row r="72">
          <cell r="A72" t="str">
            <v>SCOM-SHDEM</v>
          </cell>
          <cell r="B72" t="str">
            <v>VAR_fin</v>
          </cell>
          <cell r="C72" t="str">
            <v>SCOM-SHLTHC-BIO</v>
          </cell>
          <cell r="D72">
            <v>1.4100657951492237</v>
          </cell>
          <cell r="E72">
            <v>1.5273703708853485</v>
          </cell>
          <cell r="F72"/>
          <cell r="G72"/>
          <cell r="H72"/>
          <cell r="I72"/>
          <cell r="J72"/>
          <cell r="K72"/>
        </row>
        <row r="73">
          <cell r="A73" t="str">
            <v>SCOM-SHDEM</v>
          </cell>
          <cell r="B73" t="str">
            <v>VAR_fin</v>
          </cell>
          <cell r="C73" t="str">
            <v>SCOM-SHLFO</v>
          </cell>
          <cell r="D73">
            <v>24.843069628867219</v>
          </cell>
          <cell r="E73">
            <v>21.719700361978994</v>
          </cell>
          <cell r="F73">
            <v>21.493883801556422</v>
          </cell>
          <cell r="G73">
            <v>15.849715032645875</v>
          </cell>
          <cell r="H73">
            <v>12.424579567967138</v>
          </cell>
          <cell r="I73">
            <v>9.9809055521962939</v>
          </cell>
          <cell r="J73">
            <v>4.257932260676152</v>
          </cell>
        </row>
        <row r="74">
          <cell r="A74" t="str">
            <v>ITOT-SWHSTG-NGAHP</v>
          </cell>
          <cell r="B74" t="str">
            <v>VAR_fout</v>
          </cell>
          <cell r="C74" t="str">
            <v>ITOT-SWHANGAH</v>
          </cell>
          <cell r="D74">
            <v>1.4256633915039996E-4</v>
          </cell>
          <cell r="E74">
            <v>2.8920954220061249E-4</v>
          </cell>
          <cell r="F74">
            <v>7.7779401673134586E-4</v>
          </cell>
          <cell r="G74">
            <v>2.7335049651786697E-4</v>
          </cell>
          <cell r="H74">
            <v>4.6509791059307147E-4</v>
          </cell>
          <cell r="I74">
            <v>4.1132264512535948E-4</v>
          </cell>
          <cell r="J74">
            <v>3.957362632826208E-4</v>
          </cell>
        </row>
        <row r="75">
          <cell r="A75" t="str">
            <v>ITOT-SWHSTG-NGAHP</v>
          </cell>
          <cell r="B75" t="str">
            <v>VAR_fin</v>
          </cell>
          <cell r="C75" t="str">
            <v>ITOT-SWHANGAH</v>
          </cell>
          <cell r="D75">
            <v>1.4256633915039996E-4</v>
          </cell>
          <cell r="E75">
            <v>2.8920954220061249E-4</v>
          </cell>
          <cell r="F75">
            <v>1.0029031256116431E-3</v>
          </cell>
          <cell r="G75">
            <v>3.3107276632187327E-4</v>
          </cell>
          <cell r="H75">
            <v>5.594677710067861E-4</v>
          </cell>
          <cell r="I75">
            <v>4.7876489988219465E-4</v>
          </cell>
          <cell r="J75">
            <v>4.3632035316120549E-4</v>
          </cell>
        </row>
        <row r="76">
          <cell r="A76" t="str">
            <v>ITOT-SWHSTG-NGAHP</v>
          </cell>
          <cell r="B76" t="str">
            <v>VAR_ncap</v>
          </cell>
          <cell r="C76" t="str">
            <v>-</v>
          </cell>
          <cell r="D76">
            <v>6.64752965709478E-4</v>
          </cell>
          <cell r="E76">
            <v>1.3422030144057499E-6</v>
          </cell>
          <cell r="F76">
            <v>3.0701420674660398E-4</v>
          </cell>
          <cell r="G76">
            <v>3.3827436858911199E-6</v>
          </cell>
          <cell r="H76">
            <v>1.7102351712489299E-5</v>
          </cell>
          <cell r="I76">
            <v>1.78003930815901E-3</v>
          </cell>
          <cell r="J76">
            <v>4.2544360207149499E-5</v>
          </cell>
          <cell r="K76"/>
        </row>
        <row r="77">
          <cell r="A77" t="str">
            <v>ITOT-SWHSTG-NGAHP</v>
          </cell>
          <cell r="B77" t="str">
            <v>VAR_cap</v>
          </cell>
          <cell r="C77" t="str">
            <v>-</v>
          </cell>
          <cell r="D77">
            <v>6.64752965709478E-4</v>
          </cell>
          <cell r="E77">
            <v>8.9990521862850104E-6</v>
          </cell>
          <cell r="F77">
            <v>3.4865922106686389E-4</v>
          </cell>
          <cell r="G77">
            <v>3.5500177498992409E-4</v>
          </cell>
          <cell r="H77">
            <v>1.73571775671779E-4</v>
          </cell>
          <cell r="I77">
            <v>1.8286794131466809E-3</v>
          </cell>
          <cell r="J77">
            <v>1.3260047424802572E-3</v>
          </cell>
          <cell r="K77"/>
        </row>
        <row r="78">
          <cell r="A78" t="str">
            <v>ITOT-STG-ELCSPEC</v>
          </cell>
          <cell r="B78" t="str">
            <v>VAR_fout</v>
          </cell>
          <cell r="C78" t="str">
            <v>ITOT-ELS</v>
          </cell>
          <cell r="D78"/>
          <cell r="E78">
            <v>9.2378388415737984E-3</v>
          </cell>
          <cell r="F78">
            <v>1.1437600574970912E-2</v>
          </cell>
          <cell r="G78">
            <v>1.1739374101317288E-2</v>
          </cell>
          <cell r="H78">
            <v>1.2855634825315657E-2</v>
          </cell>
          <cell r="I78">
            <v>1.3660938461289327E-2</v>
          </cell>
          <cell r="J78">
            <v>1.4840683693806939E-2</v>
          </cell>
          <cell r="K78"/>
        </row>
        <row r="79">
          <cell r="A79" t="str">
            <v>ITOT-STG-ELCSPEC</v>
          </cell>
          <cell r="B79" t="str">
            <v>VAR_fin</v>
          </cell>
          <cell r="C79" t="str">
            <v>ITOT-ELS</v>
          </cell>
          <cell r="D79"/>
          <cell r="E79">
            <v>9.238552406369633E-3</v>
          </cell>
          <cell r="F79">
            <v>1.1438341317811051E-2</v>
          </cell>
          <cell r="G79">
            <v>1.1739998190013185E-2</v>
          </cell>
          <cell r="H79">
            <v>1.2856443848101164E-2</v>
          </cell>
          <cell r="I79">
            <v>1.3661407597908336E-2</v>
          </cell>
          <cell r="J79">
            <v>1.4841208277524432E-2</v>
          </cell>
          <cell r="K79"/>
        </row>
        <row r="80">
          <cell r="A80" t="str">
            <v>ITOT-STG-ELCSPEC</v>
          </cell>
          <cell r="B80" t="str">
            <v>VAR_ncap</v>
          </cell>
          <cell r="C80" t="str">
            <v>-</v>
          </cell>
          <cell r="D80"/>
          <cell r="E80">
            <v>3.4727404439931599E-4</v>
          </cell>
          <cell r="F80">
            <v>7.4353795359258202E-5</v>
          </cell>
          <cell r="G80">
            <v>3.9289460247231E-6</v>
          </cell>
          <cell r="H80">
            <v>5.1526517391875201E-5</v>
          </cell>
          <cell r="I80">
            <v>1.9091545521227E-4</v>
          </cell>
          <cell r="J80">
            <v>3.0613933714593799E-4</v>
          </cell>
          <cell r="K80"/>
        </row>
        <row r="81">
          <cell r="A81" t="str">
            <v>ITOT-STG-ELCSPEC</v>
          </cell>
          <cell r="B81" t="str">
            <v>VAR_cap</v>
          </cell>
          <cell r="C81" t="str">
            <v>-</v>
          </cell>
          <cell r="D81"/>
          <cell r="E81">
            <v>3.4727404439931599E-4</v>
          </cell>
          <cell r="F81">
            <v>4.2150769053043936E-4</v>
          </cell>
          <cell r="G81">
            <v>4.2515188583663161E-4</v>
          </cell>
          <cell r="H81">
            <v>4.7602977064729472E-4</v>
          </cell>
          <cell r="I81">
            <v>4.9921428040443762E-4</v>
          </cell>
          <cell r="J81">
            <v>5.3858507960488785E-4</v>
          </cell>
          <cell r="K81"/>
        </row>
        <row r="82">
          <cell r="A82" t="str">
            <v>D-RHES_LTH_CHPNGA</v>
          </cell>
          <cell r="B82" t="str">
            <v>VAR_fout</v>
          </cell>
          <cell r="C82" t="str">
            <v>RHSA_LTH</v>
          </cell>
          <cell r="D82">
            <v>2.2271197306144213E-4</v>
          </cell>
          <cell r="E82">
            <v>1.4964097788791568E-5</v>
          </cell>
          <cell r="F82">
            <v>2.137448277752094E-3</v>
          </cell>
          <cell r="G82">
            <v>6.9649838890457014E-6</v>
          </cell>
          <cell r="H82">
            <v>8.3474859697492883E-6</v>
          </cell>
          <cell r="I82">
            <v>8.7280716578861272E-6</v>
          </cell>
          <cell r="J82">
            <v>5.3466825856922375E-6</v>
          </cell>
        </row>
        <row r="83">
          <cell r="A83" t="str">
            <v>D-RHES_LTH_CHPNGA</v>
          </cell>
          <cell r="B83" t="str">
            <v>VAR_fout</v>
          </cell>
          <cell r="C83" t="str">
            <v>RHES_LTH_CHPNGA_ON</v>
          </cell>
          <cell r="D83">
            <v>3.0841761600516309E-2</v>
          </cell>
          <cell r="E83">
            <v>1.101436487479665E-3</v>
          </cell>
          <cell r="F83">
            <v>1.2952203806956147E-3</v>
          </cell>
          <cell r="G83">
            <v>5.2857199744126235E-6</v>
          </cell>
          <cell r="H83">
            <v>2.6237813931570534E-6</v>
          </cell>
          <cell r="I83">
            <v>1.2059841859112714E-6</v>
          </cell>
          <cell r="J83">
            <v>2.5156048864803836E-6</v>
          </cell>
          <cell r="K83"/>
        </row>
        <row r="84">
          <cell r="A84" t="str">
            <v>D-RHES_LTH_CHPNGA</v>
          </cell>
          <cell r="B84" t="str">
            <v>VAR_fin</v>
          </cell>
          <cell r="C84" t="str">
            <v>RHES_LTH_CHPNGA</v>
          </cell>
          <cell r="D84">
            <v>3.1064473573577736E-2</v>
          </cell>
          <cell r="E84">
            <v>1.1165756534413729E-3</v>
          </cell>
          <cell r="F84">
            <v>3.4337700611001155E-3</v>
          </cell>
          <cell r="G84">
            <v>1.2793073629318558E-5</v>
          </cell>
          <cell r="H84">
            <v>1.1772690332377066E-5</v>
          </cell>
          <cell r="I84">
            <v>1.0730762693066545E-5</v>
          </cell>
          <cell r="J84">
            <v>8.8835501526111889E-6</v>
          </cell>
          <cell r="K84"/>
        </row>
        <row r="85">
          <cell r="A85" t="str">
            <v>D-ICOA</v>
          </cell>
          <cell r="B85" t="str">
            <v>VAR_fout</v>
          </cell>
          <cell r="C85" t="str">
            <v>ICOA</v>
          </cell>
          <cell r="D85">
            <v>3.5600044603966894</v>
          </cell>
          <cell r="E85">
            <v>3.464717415452482</v>
          </cell>
          <cell r="F85">
            <v>3.3403267487415373</v>
          </cell>
          <cell r="G85">
            <v>2.3688697598404625E-4</v>
          </cell>
          <cell r="H85">
            <v>3.8368021485818611E-4</v>
          </cell>
          <cell r="I85">
            <v>2.1683557334939852E-4</v>
          </cell>
          <cell r="J85">
            <v>1.1214242634192372E-4</v>
          </cell>
          <cell r="K85"/>
        </row>
        <row r="86">
          <cell r="A86" t="str">
            <v>D-ICOA</v>
          </cell>
          <cell r="B86" t="str">
            <v>VAR_fout</v>
          </cell>
          <cell r="C86" t="str">
            <v>CO2</v>
          </cell>
          <cell r="D86">
            <v>330.012413478773</v>
          </cell>
          <cell r="E86">
            <v>321.17930441244499</v>
          </cell>
          <cell r="F86">
            <v>309.64828960834097</v>
          </cell>
          <cell r="G86">
            <v>2.1959422673721099E-2</v>
          </cell>
          <cell r="H86">
            <v>3.5567155917353897E-2</v>
          </cell>
          <cell r="I86">
            <v>2.0100657649489199E-2</v>
          </cell>
          <cell r="J86">
            <v>1.0395602921896299E-2</v>
          </cell>
          <cell r="K86"/>
        </row>
        <row r="87">
          <cell r="A87" t="str">
            <v>D-ICOA</v>
          </cell>
          <cell r="B87" t="str">
            <v>VAR_fin</v>
          </cell>
          <cell r="C87" t="str">
            <v>COA</v>
          </cell>
          <cell r="D87">
            <v>3.5600044603966894</v>
          </cell>
          <cell r="E87">
            <v>3.464717415452482</v>
          </cell>
          <cell r="F87">
            <v>3.3403267487415373</v>
          </cell>
          <cell r="G87">
            <v>2.3688697598404625E-4</v>
          </cell>
          <cell r="H87">
            <v>3.8368021485818611E-4</v>
          </cell>
          <cell r="I87">
            <v>2.1683557334939852E-4</v>
          </cell>
          <cell r="J87">
            <v>1.1214242634192372E-4</v>
          </cell>
          <cell r="K87"/>
        </row>
        <row r="88">
          <cell r="A88" t="str">
            <v>RHEM-SHCONBR1</v>
          </cell>
          <cell r="B88" t="str">
            <v>VAR_fout</v>
          </cell>
          <cell r="C88" t="str">
            <v>RHEM-SHCON</v>
          </cell>
          <cell r="D88">
            <v>1.6048432291072049E-3</v>
          </cell>
          <cell r="E88">
            <v>0.78036665242266723</v>
          </cell>
          <cell r="F88">
            <v>0.49388663245048103</v>
          </cell>
          <cell r="G88">
            <v>1.4759898357436323</v>
          </cell>
          <cell r="H88">
            <v>2.6302383532752849</v>
          </cell>
          <cell r="I88">
            <v>2.903597085736414</v>
          </cell>
          <cell r="J88">
            <v>4.2470245803526039</v>
          </cell>
          <cell r="K88"/>
        </row>
        <row r="89">
          <cell r="A89" t="str">
            <v>RHEM-SHCONBR1</v>
          </cell>
          <cell r="B89" t="str">
            <v>VAR_fin</v>
          </cell>
          <cell r="C89" t="str">
            <v>CON</v>
          </cell>
          <cell r="D89">
            <v>1.6048432291072049E-3</v>
          </cell>
          <cell r="E89">
            <v>0.78036665242266723</v>
          </cell>
          <cell r="F89">
            <v>0.49388663245048103</v>
          </cell>
          <cell r="G89">
            <v>1.4759898357436323</v>
          </cell>
          <cell r="H89">
            <v>2.6302383532752849</v>
          </cell>
          <cell r="I89">
            <v>2.903597085736414</v>
          </cell>
          <cell r="J89">
            <v>4.2470245803526039</v>
          </cell>
          <cell r="K89"/>
        </row>
        <row r="90">
          <cell r="A90" t="str">
            <v>RHEM-SHCONBR1</v>
          </cell>
          <cell r="B90" t="str">
            <v>VAR_ncap</v>
          </cell>
          <cell r="C90" t="str">
            <v>-</v>
          </cell>
          <cell r="D90">
            <v>2.7551607302980199E-2</v>
          </cell>
          <cell r="E90">
            <v>2.7551607310575901E-2</v>
          </cell>
          <cell r="F90">
            <v>3.2210218448786999E-8</v>
          </cell>
          <cell r="G90">
            <v>4.9124727203380097E-2</v>
          </cell>
          <cell r="H90">
            <v>8.1505013721341599E-2</v>
          </cell>
          <cell r="I90">
            <v>1.9301388853758299E-2</v>
          </cell>
          <cell r="J90">
            <v>0.120221777299369</v>
          </cell>
          <cell r="K90"/>
        </row>
        <row r="91">
          <cell r="A91" t="str">
            <v>RHEM-SHCONBR1</v>
          </cell>
          <cell r="B91" t="str">
            <v>VAR_cap</v>
          </cell>
          <cell r="C91" t="str">
            <v>-</v>
          </cell>
          <cell r="D91">
            <v>2.7551607302980199E-2</v>
          </cell>
          <cell r="E91">
            <v>5.5103214613556099E-2</v>
          </cell>
          <cell r="F91">
            <v>5.5102897731261223E-2</v>
          </cell>
          <cell r="G91">
            <v>0.10422791708309757</v>
          </cell>
          <cell r="H91">
            <v>0.18573291502297126</v>
          </cell>
          <cell r="I91">
            <v>0.20503431664711327</v>
          </cell>
          <cell r="J91">
            <v>0.2998978079019966</v>
          </cell>
          <cell r="K91"/>
        </row>
        <row r="92">
          <cell r="A92" t="str">
            <v>RHEM-SHELCBR</v>
          </cell>
          <cell r="B92" t="str">
            <v>VAR_fout</v>
          </cell>
          <cell r="C92" t="str">
            <v>RHEM-SHAELCB</v>
          </cell>
          <cell r="D92">
            <v>4.6280308661791976</v>
          </cell>
          <cell r="E92">
            <v>3.1710353749138496</v>
          </cell>
          <cell r="F92">
            <v>3.7647497278787995E-2</v>
          </cell>
          <cell r="G92">
            <v>1.3278936855841771E-2</v>
          </cell>
          <cell r="H92">
            <v>5.077530058973349E-3</v>
          </cell>
          <cell r="I92">
            <v>4.7030613825699615E-3</v>
          </cell>
          <cell r="J92">
            <v>3.8960966935872236E-3</v>
          </cell>
          <cell r="K92"/>
        </row>
        <row r="93">
          <cell r="A93" t="str">
            <v>RHEM-SHELCBR</v>
          </cell>
          <cell r="B93" t="str">
            <v>VAR_fin</v>
          </cell>
          <cell r="C93" t="str">
            <v>RHEM_ELC</v>
          </cell>
          <cell r="D93">
            <v>4.8716114380833666</v>
          </cell>
          <cell r="E93">
            <v>3.3379319735935251</v>
          </cell>
          <cell r="F93">
            <v>4.0944231472060097E-2</v>
          </cell>
          <cell r="G93">
            <v>1.430430251121104E-2</v>
          </cell>
          <cell r="H93">
            <v>5.3882622239706099E-3</v>
          </cell>
          <cell r="I93">
            <v>4.990876999326042E-3</v>
          </cell>
          <cell r="J93">
            <v>4.1126042621961439E-3</v>
          </cell>
        </row>
        <row r="94">
          <cell r="A94" t="str">
            <v>RHEM-SHELCBR</v>
          </cell>
          <cell r="B94" t="str">
            <v>VAR_ncap</v>
          </cell>
          <cell r="C94" t="str">
            <v>-</v>
          </cell>
          <cell r="D94">
            <v>1.5114314835148299E-7</v>
          </cell>
          <cell r="E94">
            <v>6.9677880587804905E-8</v>
          </cell>
          <cell r="F94">
            <v>6.4902713184242597E-8</v>
          </cell>
          <cell r="G94">
            <v>1.13608761234298E-7</v>
          </cell>
          <cell r="H94">
            <v>1.25017194481417E-5</v>
          </cell>
          <cell r="I94">
            <v>3.9690051914445502E-4</v>
          </cell>
          <cell r="J94">
            <v>1.72280985569949E-5</v>
          </cell>
        </row>
        <row r="95">
          <cell r="A95" t="str">
            <v>RHEM-SHELCBR</v>
          </cell>
          <cell r="B95" t="str">
            <v>VAR_cap</v>
          </cell>
          <cell r="C95" t="str">
            <v>-</v>
          </cell>
          <cell r="D95">
            <v>0.32680129509148731</v>
          </cell>
          <cell r="E95">
            <v>0.32680011609231058</v>
          </cell>
          <cell r="F95">
            <v>4.8147986071820914E-3</v>
          </cell>
          <cell r="G95">
            <v>1.7166955106412973E-3</v>
          </cell>
          <cell r="H95">
            <v>4.5718859011384394E-4</v>
          </cell>
          <cell r="I95">
            <v>4.0918096592963601E-4</v>
          </cell>
          <cell r="J95">
            <v>3.1000680608787932E-4</v>
          </cell>
          <cell r="K95"/>
        </row>
        <row r="96">
          <cell r="A96" t="str">
            <v>RHNM-SHLTHCHPNGA</v>
          </cell>
          <cell r="B96" t="str">
            <v>VAR_fout</v>
          </cell>
          <cell r="C96" t="str">
            <v>RHNM-SHLTHC-NGA</v>
          </cell>
          <cell r="D96"/>
          <cell r="E96">
            <v>2.5546787577114009E-3</v>
          </cell>
          <cell r="F96"/>
          <cell r="G96"/>
          <cell r="H96"/>
          <cell r="I96"/>
          <cell r="J96"/>
          <cell r="K96"/>
        </row>
        <row r="97">
          <cell r="A97" t="str">
            <v>RHNM-SHLTHCHPNGA</v>
          </cell>
          <cell r="B97" t="str">
            <v>VAR_fin</v>
          </cell>
          <cell r="C97" t="str">
            <v>RHNMLTHCHPC</v>
          </cell>
          <cell r="D97"/>
          <cell r="E97">
            <v>2.5546787577114009E-3</v>
          </cell>
          <cell r="F97"/>
          <cell r="G97"/>
          <cell r="H97"/>
          <cell r="I97"/>
          <cell r="J97"/>
          <cell r="K97"/>
        </row>
        <row r="98">
          <cell r="A98" t="str">
            <v>RHNM-SHLTHCHPNGA</v>
          </cell>
          <cell r="B98" t="str">
            <v>VAR_fin</v>
          </cell>
          <cell r="C98" t="str">
            <v>RHNM_LTH_CHPNGA_ON</v>
          </cell>
          <cell r="D98"/>
          <cell r="E98">
            <v>2.5804835936478776E-3</v>
          </cell>
          <cell r="F98"/>
          <cell r="G98"/>
          <cell r="H98"/>
          <cell r="I98"/>
          <cell r="J98"/>
        </row>
        <row r="99">
          <cell r="A99" t="str">
            <v>RHNM-SHLTHCHPNGA</v>
          </cell>
          <cell r="B99" t="str">
            <v>VAR_ncap</v>
          </cell>
          <cell r="C99" t="str">
            <v>-</v>
          </cell>
          <cell r="D99"/>
          <cell r="E99">
            <v>2.2511178423635501E-4</v>
          </cell>
          <cell r="F99">
            <v>1.2514495119350601E-4</v>
          </cell>
          <cell r="G99">
            <v>3.2808681040362798E-5</v>
          </cell>
          <cell r="H99">
            <v>3.7414535651512801E-5</v>
          </cell>
          <cell r="I99">
            <v>1.5795805797287599E-5</v>
          </cell>
          <cell r="J99">
            <v>3.8292930801806198E-6</v>
          </cell>
        </row>
        <row r="100">
          <cell r="A100" t="str">
            <v>RHNM-SHLTHCHPNGA</v>
          </cell>
          <cell r="B100" t="str">
            <v>VAR_cap</v>
          </cell>
          <cell r="C100" t="str">
            <v>-</v>
          </cell>
          <cell r="D100"/>
          <cell r="E100">
            <v>2.2511178423635501E-4</v>
          </cell>
          <cell r="F100">
            <v>1.7853031744221001E-4</v>
          </cell>
          <cell r="G100">
            <v>6.6076326122343034E-5</v>
          </cell>
          <cell r="H100">
            <v>6.5107605380519001E-5</v>
          </cell>
          <cell r="I100">
            <v>3.2550495840793302E-5</v>
          </cell>
          <cell r="J100">
            <v>8.1927986821197E-6</v>
          </cell>
          <cell r="K100"/>
        </row>
        <row r="101">
          <cell r="A101" t="str">
            <v>RHEM-SHCONBR2</v>
          </cell>
          <cell r="B101" t="str">
            <v>VAR_fout</v>
          </cell>
          <cell r="C101" t="str">
            <v>RHEM-SHCON</v>
          </cell>
          <cell r="D101">
            <v>1.6780406990281949E-3</v>
          </cell>
          <cell r="E101">
            <v>1.2154259263391078</v>
          </cell>
          <cell r="F101">
            <v>0.80626956596834654</v>
          </cell>
          <cell r="G101">
            <v>1.2153737309482955</v>
          </cell>
          <cell r="H101">
            <v>2.2323726235457158</v>
          </cell>
          <cell r="I101">
            <v>4.0246179705658607</v>
          </cell>
          <cell r="J101">
            <v>6.6148281914685025</v>
          </cell>
          <cell r="K101"/>
        </row>
        <row r="102">
          <cell r="A102" t="str">
            <v>RHEM-SHCONBR2</v>
          </cell>
          <cell r="B102" t="str">
            <v>VAR_fin</v>
          </cell>
          <cell r="C102" t="str">
            <v>CON</v>
          </cell>
          <cell r="D102">
            <v>1.6780406990281949E-3</v>
          </cell>
          <cell r="E102">
            <v>1.2154259263391078</v>
          </cell>
          <cell r="F102">
            <v>0.80626956596834654</v>
          </cell>
          <cell r="G102">
            <v>1.2153737309482955</v>
          </cell>
          <cell r="H102">
            <v>2.2323726235457158</v>
          </cell>
          <cell r="I102">
            <v>4.0246179705658607</v>
          </cell>
          <cell r="J102">
            <v>6.6148281914685025</v>
          </cell>
          <cell r="K102"/>
        </row>
        <row r="103">
          <cell r="A103" t="str">
            <v>RHEM-SHCONBR2</v>
          </cell>
          <cell r="B103" t="str">
            <v>VAR_ncap</v>
          </cell>
          <cell r="C103" t="str">
            <v>-</v>
          </cell>
          <cell r="D103">
            <v>4.2912147477274898E-2</v>
          </cell>
          <cell r="E103">
            <v>4.2912147141272401E-2</v>
          </cell>
          <cell r="F103">
            <v>2.6647713879828401E-8</v>
          </cell>
          <cell r="G103">
            <v>6.4405455181015397E-7</v>
          </cell>
          <cell r="H103">
            <v>7.1813326527173593E-2</v>
          </cell>
          <cell r="I103">
            <v>0.126555369794039</v>
          </cell>
          <cell r="J103">
            <v>0.22239915330607499</v>
          </cell>
        </row>
        <row r="104">
          <cell r="A104" t="str">
            <v>RHEM-SHCONBR2</v>
          </cell>
          <cell r="B104" t="str">
            <v>VAR_cap</v>
          </cell>
          <cell r="C104" t="str">
            <v>-</v>
          </cell>
          <cell r="D104">
            <v>4.2912147477274898E-2</v>
          </cell>
          <cell r="E104">
            <v>8.5824294618547306E-2</v>
          </cell>
          <cell r="F104">
            <v>8.5823968550457833E-2</v>
          </cell>
          <cell r="G104">
            <v>8.5824908031923539E-2</v>
          </cell>
          <cell r="H104">
            <v>0.15763821880535742</v>
          </cell>
          <cell r="I104">
            <v>0.28419360127915577</v>
          </cell>
          <cell r="J104">
            <v>0.46709672697055465</v>
          </cell>
        </row>
        <row r="105">
          <cell r="A105" t="str">
            <v>D-RHSA_LTH</v>
          </cell>
          <cell r="B105" t="str">
            <v>VAR_fout</v>
          </cell>
          <cell r="C105" t="str">
            <v>RHSA_LTH</v>
          </cell>
          <cell r="D105">
            <v>3.2396931245436021E-3</v>
          </cell>
          <cell r="E105">
            <v>5.8563821975299371E-5</v>
          </cell>
          <cell r="F105">
            <v>2.2702926832999142E-3</v>
          </cell>
          <cell r="G105">
            <v>3.5489920480287849E-5</v>
          </cell>
          <cell r="H105">
            <v>2.4831588648063941E-5</v>
          </cell>
          <cell r="I105">
            <v>1.2398953709352676E-5</v>
          </cell>
          <cell r="J105">
            <v>8.5811077653080718E-6</v>
          </cell>
          <cell r="K105"/>
        </row>
        <row r="106">
          <cell r="A106" t="str">
            <v>D-RHSA_LTH</v>
          </cell>
          <cell r="B106" t="str">
            <v>VAR_fin</v>
          </cell>
          <cell r="C106" t="str">
            <v>RHEM_LTH_CHPWOD_ON</v>
          </cell>
          <cell r="D106">
            <v>1.280516380845467E-5</v>
          </cell>
          <cell r="E106">
            <v>8.6614464769578039E-6</v>
          </cell>
          <cell r="F106">
            <v>2.7770193401476812E-6</v>
          </cell>
          <cell r="G106">
            <v>5.5194249493234385E-6</v>
          </cell>
          <cell r="H106">
            <v>3.3854888873338204E-6</v>
          </cell>
          <cell r="I106">
            <v>1.4173910891001004E-6</v>
          </cell>
          <cell r="J106">
            <v>2.4184285229702012E-7</v>
          </cell>
          <cell r="K106"/>
        </row>
        <row r="107">
          <cell r="A107" t="str">
            <v>D-RHSA_LTH</v>
          </cell>
          <cell r="B107" t="str">
            <v>VAR_fin</v>
          </cell>
          <cell r="C107" t="str">
            <v>RHNM_LTH_CHPWOD_ON</v>
          </cell>
          <cell r="D107">
            <v>8.5716345426750247E-6</v>
          </cell>
          <cell r="E107">
            <v>9.9965059521486707E-6</v>
          </cell>
          <cell r="F107">
            <v>2.2096579684526258E-6</v>
          </cell>
          <cell r="G107">
            <v>3.2739296521456203E-6</v>
          </cell>
          <cell r="H107">
            <v>2.7685241155245884E-6</v>
          </cell>
          <cell r="I107">
            <v>1.8725496316992412E-6</v>
          </cell>
          <cell r="J107">
            <v>1.0228873073846404E-6</v>
          </cell>
          <cell r="K107"/>
        </row>
        <row r="108">
          <cell r="A108" t="str">
            <v>D-RHSA_LTH</v>
          </cell>
          <cell r="B108" t="str">
            <v>VAR_fin</v>
          </cell>
          <cell r="C108" t="str">
            <v>RHES_LTH_CHPWOD_ON</v>
          </cell>
          <cell r="D108">
            <v>1.2786845064513276E-5</v>
          </cell>
          <cell r="E108">
            <v>5.953408251339512E-6</v>
          </cell>
          <cell r="F108">
            <v>2.1285667745253775E-6</v>
          </cell>
          <cell r="G108">
            <v>3.6903540183830555E-6</v>
          </cell>
          <cell r="H108">
            <v>1.8738927873479821E-6</v>
          </cell>
          <cell r="I108">
            <v>8.8431685506718781E-7</v>
          </cell>
          <cell r="J108">
            <v>1.7884599298187517E-6</v>
          </cell>
          <cell r="K108"/>
        </row>
        <row r="109">
          <cell r="A109" t="str">
            <v>D-RHSA_LTH</v>
          </cell>
          <cell r="B109" t="str">
            <v>VAR_fin</v>
          </cell>
          <cell r="C109" t="str">
            <v>RHNS_LTH_CHPWOD_ON</v>
          </cell>
          <cell r="D109">
            <v>1.5479116234296634E-5</v>
          </cell>
          <cell r="E109">
            <v>6.2895925528651052E-6</v>
          </cell>
          <cell r="F109">
            <v>2.1939180189665864E-6</v>
          </cell>
          <cell r="G109">
            <v>4.9393200064242155E-6</v>
          </cell>
          <cell r="H109">
            <v>1.441374141988173E-6</v>
          </cell>
          <cell r="I109">
            <v>1.1446802409765679E-6</v>
          </cell>
          <cell r="J109">
            <v>2.9956835992429305E-7</v>
          </cell>
        </row>
        <row r="110">
          <cell r="A110" t="str">
            <v>D-RHSA_LTH</v>
          </cell>
          <cell r="B110" t="str">
            <v>VAR_fin</v>
          </cell>
          <cell r="C110" t="str">
            <v>RHEM_LTH_CHPNGA_ON</v>
          </cell>
          <cell r="D110">
            <v>2.8168309419440546E-3</v>
          </cell>
          <cell r="E110">
            <v>3.7732662937649258E-6</v>
          </cell>
          <cell r="F110">
            <v>2.2232610907063589E-4</v>
          </cell>
          <cell r="G110">
            <v>5.9531382890588918E-6</v>
          </cell>
          <cell r="H110">
            <v>4.1467150661758202E-6</v>
          </cell>
          <cell r="I110">
            <v>3.3371412733254384E-6</v>
          </cell>
          <cell r="J110">
            <v>7.7578612195776069E-7</v>
          </cell>
        </row>
        <row r="111">
          <cell r="A111" t="str">
            <v>D-RHSA_LTH</v>
          </cell>
          <cell r="B111" t="str">
            <v>VAR_fin</v>
          </cell>
          <cell r="C111" t="str">
            <v>RHNM_LTH_CHPNGA_ON</v>
          </cell>
          <cell r="D111">
            <v>9.7245709783068144E-6</v>
          </cell>
          <cell r="E111">
            <v>3.8774164490405231E-6</v>
          </cell>
          <cell r="F111"/>
          <cell r="G111">
            <v>3.0902442981800653E-6</v>
          </cell>
          <cell r="H111">
            <v>5.2158554313205377E-6</v>
          </cell>
          <cell r="I111">
            <v>1.3832844036609049E-6</v>
          </cell>
          <cell r="J111">
            <v>6.3719467642337213E-7</v>
          </cell>
          <cell r="K111"/>
        </row>
        <row r="112">
          <cell r="A112" t="str">
            <v>D-RHSA_LTH</v>
          </cell>
          <cell r="B112" t="str">
            <v>VAR_fin</v>
          </cell>
          <cell r="C112" t="str">
            <v>RHES_LTH_CHPNGA_ON</v>
          </cell>
          <cell r="D112">
            <v>3.5228978212353303E-4</v>
          </cell>
          <cell r="E112">
            <v>7.0898677830160007E-6</v>
          </cell>
          <cell r="F112">
            <v>1.2952203806956147E-3</v>
          </cell>
          <cell r="G112">
            <v>5.2857199744126235E-6</v>
          </cell>
          <cell r="H112">
            <v>2.6237813931570534E-6</v>
          </cell>
          <cell r="I112">
            <v>1.2059841859112714E-6</v>
          </cell>
          <cell r="J112">
            <v>2.5156048864803836E-6</v>
          </cell>
        </row>
        <row r="113">
          <cell r="A113" t="str">
            <v>D-RHSA_LTH</v>
          </cell>
          <cell r="B113" t="str">
            <v>VAR_fin</v>
          </cell>
          <cell r="C113" t="str">
            <v>RHNS_LTH_CHPNGA_ON</v>
          </cell>
          <cell r="D113">
            <v>1.1205069847766543E-5</v>
          </cell>
          <cell r="E113">
            <v>1.2922318216166829E-5</v>
          </cell>
          <cell r="F113">
            <v>7.4343703143157089E-4</v>
          </cell>
          <cell r="G113">
            <v>3.7377892923599205E-6</v>
          </cell>
          <cell r="H113">
            <v>3.3759568252159679E-6</v>
          </cell>
          <cell r="I113">
            <v>1.153606029611962E-6</v>
          </cell>
          <cell r="J113">
            <v>1.2997636310218544E-6</v>
          </cell>
        </row>
        <row r="114">
          <cell r="A114" t="str">
            <v>RHEM-SHLTHCHPWOD</v>
          </cell>
          <cell r="B114" t="str">
            <v>VAR_ncap</v>
          </cell>
          <cell r="C114" t="str">
            <v>-</v>
          </cell>
          <cell r="D114"/>
          <cell r="E114"/>
          <cell r="F114"/>
          <cell r="G114">
            <v>3.226657614569E-6</v>
          </cell>
          <cell r="H114">
            <v>5.9150266696384403E-6</v>
          </cell>
          <cell r="I114">
            <v>3.6809907963743802E-6</v>
          </cell>
          <cell r="J114">
            <v>1.9523150104899598E-6</v>
          </cell>
        </row>
        <row r="115">
          <cell r="A115" t="str">
            <v>RHEM-SHLTHCHPWOD</v>
          </cell>
          <cell r="B115" t="str">
            <v>VAR_cap</v>
          </cell>
          <cell r="C115" t="str">
            <v>-</v>
          </cell>
          <cell r="D115"/>
          <cell r="E115"/>
          <cell r="F115"/>
          <cell r="G115">
            <v>3.226657614569E-6</v>
          </cell>
          <cell r="H115">
            <v>7.5337213606059707E-6</v>
          </cell>
          <cell r="I115">
            <v>6.6200169590358697E-6</v>
          </cell>
          <cell r="J115">
            <v>3.3198916199164002E-6</v>
          </cell>
        </row>
        <row r="116">
          <cell r="A116" t="str">
            <v>D-RHEM_LTH_CHPWOD</v>
          </cell>
          <cell r="B116" t="str">
            <v>VAR_fout</v>
          </cell>
          <cell r="C116" t="str">
            <v>RHEM_LTH_CHPWOD_ON</v>
          </cell>
          <cell r="D116">
            <v>1.280516380845467E-5</v>
          </cell>
          <cell r="E116">
            <v>8.6614464769578039E-6</v>
          </cell>
          <cell r="F116">
            <v>2.7770193401476812E-6</v>
          </cell>
          <cell r="G116">
            <v>5.5194249493234385E-6</v>
          </cell>
          <cell r="H116">
            <v>3.3854888873338204E-6</v>
          </cell>
          <cell r="I116">
            <v>1.4173910891001004E-6</v>
          </cell>
          <cell r="J116">
            <v>2.4184285229702012E-7</v>
          </cell>
          <cell r="K116"/>
        </row>
        <row r="117">
          <cell r="A117" t="str">
            <v>D-RHEM_LTH_CHPWOD</v>
          </cell>
          <cell r="B117" t="str">
            <v>VAR_fout</v>
          </cell>
          <cell r="C117" t="str">
            <v>RHSA_LTH</v>
          </cell>
          <cell r="D117">
            <v>1.2543479090398055E-5</v>
          </cell>
          <cell r="E117">
            <v>1.2794385257929784E-5</v>
          </cell>
          <cell r="F117">
            <v>2.7557434784112151E-6</v>
          </cell>
          <cell r="G117">
            <v>6.8665831471341484E-6</v>
          </cell>
          <cell r="H117">
            <v>7.6119006866740223E-6</v>
          </cell>
          <cell r="I117">
            <v>9.2769561684987708E-6</v>
          </cell>
          <cell r="J117">
            <v>7.6204590402445958E-6</v>
          </cell>
        </row>
        <row r="118">
          <cell r="A118" t="str">
            <v>D-RHEM_LTH_CHPWOD</v>
          </cell>
          <cell r="B118" t="str">
            <v>VAR_fin</v>
          </cell>
          <cell r="C118" t="str">
            <v>RHEM_LTH_CHPWOD</v>
          </cell>
          <cell r="D118">
            <v>2.534864289885272E-5</v>
          </cell>
          <cell r="E118">
            <v>2.1885815925563504E-5</v>
          </cell>
          <cell r="F118">
            <v>5.8053746204522895E-6</v>
          </cell>
          <cell r="G118">
            <v>1.315647181083727E-5</v>
          </cell>
          <cell r="H118">
            <v>1.1991592475712165E-5</v>
          </cell>
          <cell r="I118">
            <v>1.162332973323883E-5</v>
          </cell>
          <cell r="J118">
            <v>8.8835640557321529E-6</v>
          </cell>
          <cell r="K118"/>
        </row>
        <row r="119">
          <cell r="A119" t="str">
            <v>RHES-SHLTHDH</v>
          </cell>
          <cell r="B119" t="str">
            <v>VAR_fout</v>
          </cell>
          <cell r="C119" t="str">
            <v>RHES-SHLTHD</v>
          </cell>
          <cell r="D119">
            <v>3.1533002878040883</v>
          </cell>
          <cell r="E119">
            <v>3.5037996345075135</v>
          </cell>
          <cell r="F119">
            <v>1.4255851572035203</v>
          </cell>
          <cell r="G119">
            <v>1.6050486406418649</v>
          </cell>
          <cell r="H119">
            <v>1.6781857720569355</v>
          </cell>
          <cell r="I119">
            <v>1.7039590077778266</v>
          </cell>
          <cell r="J119">
            <v>1.7484812439191086</v>
          </cell>
          <cell r="K119"/>
        </row>
        <row r="120">
          <cell r="A120" t="str">
            <v>RHES-SHLTHDH</v>
          </cell>
          <cell r="B120" t="str">
            <v>VAR_fin</v>
          </cell>
          <cell r="C120" t="str">
            <v>RHESLTHDHC</v>
          </cell>
          <cell r="D120">
            <v>3.1533002878040883</v>
          </cell>
          <cell r="E120">
            <v>3.5037996345075135</v>
          </cell>
          <cell r="F120">
            <v>1.4255851572035203</v>
          </cell>
          <cell r="G120">
            <v>1.6050486406418649</v>
          </cell>
          <cell r="H120">
            <v>1.6781857720569355</v>
          </cell>
          <cell r="I120">
            <v>1.7039590077778266</v>
          </cell>
          <cell r="J120">
            <v>1.7484812439191086</v>
          </cell>
          <cell r="K120"/>
        </row>
        <row r="121">
          <cell r="A121" t="str">
            <v>RHES-SHLTHDH</v>
          </cell>
          <cell r="B121" t="str">
            <v>VAR_fin</v>
          </cell>
          <cell r="C121" t="str">
            <v>RHES_LTH_DH</v>
          </cell>
          <cell r="D121">
            <v>3.1851518058627155</v>
          </cell>
          <cell r="E121">
            <v>3.5391915500075863</v>
          </cell>
          <cell r="F121">
            <v>1.5971885108083126</v>
          </cell>
          <cell r="G121">
            <v>1.7867662230163122</v>
          </cell>
          <cell r="H121">
            <v>1.8590885583086525</v>
          </cell>
          <cell r="I121">
            <v>1.8812030572676064</v>
          </cell>
          <cell r="J121">
            <v>1.9165479048903815</v>
          </cell>
          <cell r="K121"/>
        </row>
        <row r="122">
          <cell r="A122" t="str">
            <v>RHES-SHLTHDH</v>
          </cell>
          <cell r="B122" t="str">
            <v>VAR_ncap</v>
          </cell>
          <cell r="C122" t="str">
            <v>-</v>
          </cell>
          <cell r="D122"/>
          <cell r="E122">
            <v>1.33651526595467E-2</v>
          </cell>
          <cell r="F122">
            <v>1.04648502280124E-2</v>
          </cell>
          <cell r="G122">
            <v>1.6412889152502198E-2</v>
          </cell>
          <cell r="H122">
            <v>9.9283670124144206E-3</v>
          </cell>
          <cell r="I122">
            <v>8.9006424629345209E-3</v>
          </cell>
          <cell r="J122">
            <v>4.2967926186398803E-2</v>
          </cell>
          <cell r="K122"/>
        </row>
        <row r="123">
          <cell r="A123" t="str">
            <v>RHES-SHLTHDH</v>
          </cell>
          <cell r="B123" t="str">
            <v>VAR_cap</v>
          </cell>
          <cell r="C123" t="str">
            <v>-</v>
          </cell>
          <cell r="D123">
            <v>0.31204626794151202</v>
          </cell>
          <cell r="E123">
            <v>0.31278996598754538</v>
          </cell>
          <cell r="F123">
            <v>0.15793364266571311</v>
          </cell>
          <cell r="G123">
            <v>0.16664472563234434</v>
          </cell>
          <cell r="H123">
            <v>0.15566051791169674</v>
          </cell>
          <cell r="I123">
            <v>0.14317112202901822</v>
          </cell>
          <cell r="J123">
            <v>0.172687826561992</v>
          </cell>
          <cell r="K123"/>
        </row>
        <row r="124">
          <cell r="A124" t="str">
            <v>RHEM-SHCONBR3</v>
          </cell>
          <cell r="B124" t="str">
            <v>VAR_fout</v>
          </cell>
          <cell r="C124" t="str">
            <v>RHEM-SHCON</v>
          </cell>
          <cell r="D124">
            <v>1.641214319995419E-3</v>
          </cell>
          <cell r="E124">
            <v>0.97664325253871953</v>
          </cell>
          <cell r="F124">
            <v>0.6332063794024837</v>
          </cell>
          <cell r="G124">
            <v>0.97658282318158307</v>
          </cell>
          <cell r="H124">
            <v>0.97659158076814356</v>
          </cell>
          <cell r="I124">
            <v>0.9766120735899021</v>
          </cell>
          <cell r="J124">
            <v>1.54177401034107</v>
          </cell>
          <cell r="K124"/>
        </row>
        <row r="125">
          <cell r="A125" t="str">
            <v>RHEM-SHCONBR3</v>
          </cell>
          <cell r="B125" t="str">
            <v>VAR_fin</v>
          </cell>
          <cell r="C125" t="str">
            <v>CON</v>
          </cell>
          <cell r="D125">
            <v>1.641214319995419E-3</v>
          </cell>
          <cell r="E125">
            <v>0.97664325253871953</v>
          </cell>
          <cell r="F125">
            <v>0.6332063794024837</v>
          </cell>
          <cell r="G125">
            <v>0.97658282318158307</v>
          </cell>
          <cell r="H125">
            <v>0.97659158076814356</v>
          </cell>
          <cell r="I125">
            <v>0.9766120735899021</v>
          </cell>
          <cell r="J125">
            <v>1.54177401034107</v>
          </cell>
          <cell r="K125"/>
        </row>
        <row r="126">
          <cell r="A126" t="str">
            <v>RHEM-SHCONBR3</v>
          </cell>
          <cell r="B126" t="str">
            <v>VAR_ncap</v>
          </cell>
          <cell r="C126" t="str">
            <v>-</v>
          </cell>
          <cell r="D126">
            <v>3.4481500415780297E-2</v>
          </cell>
          <cell r="E126">
            <v>3.4481501763411603E-2</v>
          </cell>
          <cell r="F126"/>
          <cell r="G126">
            <v>1.5976087978346002E-8</v>
          </cell>
          <cell r="H126">
            <v>2.4399005181276701E-8</v>
          </cell>
          <cell r="I126">
            <v>3.1834050329972301E-8</v>
          </cell>
          <cell r="J126">
            <v>7.16433061178883E-2</v>
          </cell>
          <cell r="K126"/>
        </row>
        <row r="127">
          <cell r="A127" t="str">
            <v>RHEM-SHCONBR3</v>
          </cell>
          <cell r="B127" t="str">
            <v>VAR_cap</v>
          </cell>
          <cell r="C127" t="str">
            <v>-</v>
          </cell>
          <cell r="D127">
            <v>3.4481500415780297E-2</v>
          </cell>
          <cell r="E127">
            <v>6.8963002179191907E-2</v>
          </cell>
          <cell r="F127">
            <v>6.8962651518926762E-2</v>
          </cell>
          <cell r="G127">
            <v>6.8962961647638266E-2</v>
          </cell>
          <cell r="H127">
            <v>6.8962970709712842E-2</v>
          </cell>
          <cell r="I127">
            <v>6.8963015132395847E-2</v>
          </cell>
          <cell r="J127">
            <v>0.108869825049128</v>
          </cell>
        </row>
        <row r="128">
          <cell r="A128" t="str">
            <v>D-RHSA_ELC</v>
          </cell>
          <cell r="B128" t="str">
            <v>VAR_fout</v>
          </cell>
          <cell r="C128" t="str">
            <v>RHSA_ELC</v>
          </cell>
          <cell r="D128">
            <v>54.188817672183482</v>
          </cell>
          <cell r="E128">
            <v>54.946865049360966</v>
          </cell>
          <cell r="F128">
            <v>58.10417905634408</v>
          </cell>
          <cell r="G128">
            <v>58.067545705509566</v>
          </cell>
          <cell r="H128">
            <v>58.548302399272949</v>
          </cell>
          <cell r="I128">
            <v>58.965770552966468</v>
          </cell>
          <cell r="J128">
            <v>58.98651386175446</v>
          </cell>
          <cell r="K128"/>
        </row>
        <row r="129">
          <cell r="A129" t="str">
            <v>D-RHSA_ELC</v>
          </cell>
          <cell r="B129" t="str">
            <v>VAR_fin</v>
          </cell>
          <cell r="C129" t="str">
            <v>RHNS_ELC</v>
          </cell>
          <cell r="D129">
            <v>11.977418465335239</v>
          </cell>
          <cell r="E129">
            <v>14.452423540297243</v>
          </cell>
          <cell r="F129">
            <v>14.50180417847738</v>
          </cell>
          <cell r="G129">
            <v>14.393378334148748</v>
          </cell>
          <cell r="H129">
            <v>14.469814957573853</v>
          </cell>
          <cell r="I129">
            <v>14.482276876835181</v>
          </cell>
          <cell r="J129">
            <v>14.424212713198381</v>
          </cell>
          <cell r="K129"/>
        </row>
        <row r="130">
          <cell r="A130" t="str">
            <v>D-RHSA_ELC</v>
          </cell>
          <cell r="B130" t="str">
            <v>VAR_fin</v>
          </cell>
          <cell r="C130" t="str">
            <v>RHES_ELC</v>
          </cell>
          <cell r="D130">
            <v>15.817913050332479</v>
          </cell>
          <cell r="E130">
            <v>13.387726355421757</v>
          </cell>
          <cell r="F130">
            <v>13.892852734622567</v>
          </cell>
          <cell r="G130">
            <v>14.181703071418152</v>
          </cell>
          <cell r="H130">
            <v>14.455657871813786</v>
          </cell>
          <cell r="I130">
            <v>14.767191810403098</v>
          </cell>
          <cell r="J130">
            <v>15.081112848573442</v>
          </cell>
          <cell r="K130"/>
        </row>
        <row r="131">
          <cell r="A131" t="str">
            <v>D-RHSA_ELC</v>
          </cell>
          <cell r="B131" t="str">
            <v>VAR_fin</v>
          </cell>
          <cell r="C131" t="str">
            <v>RHNM_ELC</v>
          </cell>
          <cell r="D131">
            <v>11.285943161711545</v>
          </cell>
          <cell r="E131">
            <v>14.431115553179554</v>
          </cell>
          <cell r="F131">
            <v>15.507238873630548</v>
          </cell>
          <cell r="G131">
            <v>15.535645689747941</v>
          </cell>
          <cell r="H131">
            <v>15.664665382018434</v>
          </cell>
          <cell r="I131">
            <v>15.754272715348916</v>
          </cell>
          <cell r="J131">
            <v>15.733834747296861</v>
          </cell>
        </row>
        <row r="132">
          <cell r="A132" t="str">
            <v>D-RHSA_ELC</v>
          </cell>
          <cell r="B132" t="str">
            <v>VAR_fin</v>
          </cell>
          <cell r="C132" t="str">
            <v>RHEM_ELC</v>
          </cell>
          <cell r="D132">
            <v>15.107562879258133</v>
          </cell>
          <cell r="E132">
            <v>12.675609144097116</v>
          </cell>
          <cell r="F132">
            <v>14.202293820610688</v>
          </cell>
          <cell r="G132">
            <v>13.956824978138112</v>
          </cell>
          <cell r="H132">
            <v>13.958171419992425</v>
          </cell>
          <cell r="I132">
            <v>13.962037840611231</v>
          </cell>
          <cell r="J132">
            <v>13.747359385276487</v>
          </cell>
          <cell r="K132"/>
        </row>
        <row r="133">
          <cell r="A133" t="str">
            <v>SCOM-SHLTHDH</v>
          </cell>
          <cell r="B133" t="str">
            <v>VAR_fout</v>
          </cell>
          <cell r="C133" t="str">
            <v>SCOM-SHLTHD</v>
          </cell>
          <cell r="D133">
            <v>5.5539013379628575</v>
          </cell>
          <cell r="E133">
            <v>6.0159360294783326</v>
          </cell>
          <cell r="F133">
            <v>4.9302573283011286</v>
          </cell>
          <cell r="G133">
            <v>5.7793794550250759</v>
          </cell>
          <cell r="H133">
            <v>6.3102879088108068</v>
          </cell>
          <cell r="I133">
            <v>6.5940741786273085</v>
          </cell>
          <cell r="J133">
            <v>7.0167788630511243</v>
          </cell>
        </row>
        <row r="134">
          <cell r="A134" t="str">
            <v>SCOM-SHLTHDH</v>
          </cell>
          <cell r="B134" t="str">
            <v>VAR_fin</v>
          </cell>
          <cell r="C134" t="str">
            <v>SCOMLTHDHC</v>
          </cell>
          <cell r="D134">
            <v>5.5539013379628575</v>
          </cell>
          <cell r="E134">
            <v>6.0159360294783326</v>
          </cell>
          <cell r="F134">
            <v>4.9302573283011286</v>
          </cell>
          <cell r="G134">
            <v>5.7793794550250759</v>
          </cell>
          <cell r="H134">
            <v>6.3102879088108068</v>
          </cell>
          <cell r="I134">
            <v>6.5940741786273085</v>
          </cell>
          <cell r="J134">
            <v>7.0167788630511243</v>
          </cell>
          <cell r="K134"/>
        </row>
        <row r="135">
          <cell r="A135" t="str">
            <v>SCOM-SHLTHDH</v>
          </cell>
          <cell r="B135" t="str">
            <v>VAR_fin</v>
          </cell>
          <cell r="C135" t="str">
            <v>SCOM_LTH_DH</v>
          </cell>
          <cell r="D135">
            <v>5.610001351477635</v>
          </cell>
          <cell r="E135">
            <v>6.0767030600791268</v>
          </cell>
          <cell r="F135">
            <v>5.9892066213564963</v>
          </cell>
          <cell r="G135">
            <v>6.9909215167352032</v>
          </cell>
          <cell r="H135">
            <v>7.6331252968936774</v>
          </cell>
          <cell r="I135">
            <v>7.9764022101424272</v>
          </cell>
          <cell r="J135">
            <v>8.4877192635665324</v>
          </cell>
        </row>
        <row r="136">
          <cell r="A136" t="str">
            <v>SCOM-SHLTHDH</v>
          </cell>
          <cell r="B136" t="str">
            <v>VAR_ncap</v>
          </cell>
          <cell r="C136" t="str">
            <v>-</v>
          </cell>
          <cell r="D136"/>
          <cell r="E136">
            <v>1.4661801490524699E-2</v>
          </cell>
          <cell r="F136">
            <v>1.6121632499216599E-2</v>
          </cell>
          <cell r="G136">
            <v>8.4981151041109607E-2</v>
          </cell>
          <cell r="H136">
            <v>0.62555154532994495</v>
          </cell>
          <cell r="I136">
            <v>0.182622383476196</v>
          </cell>
          <cell r="J136">
            <v>0.46403434819217998</v>
          </cell>
          <cell r="K136"/>
        </row>
        <row r="137">
          <cell r="A137" t="str">
            <v>SCOM-SHLTHDH</v>
          </cell>
          <cell r="B137" t="str">
            <v>VAR_cap</v>
          </cell>
          <cell r="C137" t="str">
            <v>-</v>
          </cell>
          <cell r="D137">
            <v>0.84970025293020501</v>
          </cell>
          <cell r="E137">
            <v>0.8493609400552431</v>
          </cell>
          <cell r="F137">
            <v>0.59438204760040314</v>
          </cell>
          <cell r="G137">
            <v>0.66734883423730096</v>
          </cell>
          <cell r="H137">
            <v>0.84969971457876192</v>
          </cell>
          <cell r="I137">
            <v>0.84969947280096436</v>
          </cell>
          <cell r="J137">
            <v>0.84969984477162885</v>
          </cell>
        </row>
        <row r="138">
          <cell r="A138" t="str">
            <v>ITOT-SWHSTG-ELC</v>
          </cell>
          <cell r="B138" t="str">
            <v>VAR_fout</v>
          </cell>
          <cell r="C138" t="str">
            <v>ITOT-SWHAELC</v>
          </cell>
          <cell r="D138">
            <v>1.7092068921740272E-5</v>
          </cell>
          <cell r="E138">
            <v>7.6051531579205375E-6</v>
          </cell>
          <cell r="F138">
            <v>0.48538423813860715</v>
          </cell>
          <cell r="G138">
            <v>4.3245786317362249E-2</v>
          </cell>
          <cell r="H138">
            <v>1.1537650271600142E-2</v>
          </cell>
          <cell r="I138">
            <v>5.3818599159070661E-2</v>
          </cell>
          <cell r="J138">
            <v>0.30876215968810611</v>
          </cell>
          <cell r="K138"/>
        </row>
        <row r="139">
          <cell r="A139" t="str">
            <v>ITOT-SWHSTG-ELC</v>
          </cell>
          <cell r="B139" t="str">
            <v>VAR_fin</v>
          </cell>
          <cell r="C139" t="str">
            <v>ITOT-SWHAELC</v>
          </cell>
          <cell r="D139">
            <v>1.90740351562383E-5</v>
          </cell>
          <cell r="E139">
            <v>5.5863194084532425E-6</v>
          </cell>
          <cell r="F139">
            <v>0.62635509881391194</v>
          </cell>
          <cell r="G139">
            <v>5.4079678966922423E-2</v>
          </cell>
          <cell r="H139">
            <v>1.4017263981863258E-2</v>
          </cell>
          <cell r="I139">
            <v>6.3339682374294423E-2</v>
          </cell>
          <cell r="J139">
            <v>0.34309391039909654</v>
          </cell>
          <cell r="K139"/>
        </row>
        <row r="140">
          <cell r="A140" t="str">
            <v>ITOT-SWHSTG-ELC</v>
          </cell>
          <cell r="B140" t="str">
            <v>VAR_ncap</v>
          </cell>
          <cell r="C140" t="str">
            <v>-</v>
          </cell>
          <cell r="D140">
            <v>6.0249539891995998E-4</v>
          </cell>
          <cell r="E140">
            <v>0.17803446960583799</v>
          </cell>
          <cell r="F140">
            <v>7.3130684453831104E-3</v>
          </cell>
          <cell r="G140">
            <v>1.70350224999424E-2</v>
          </cell>
          <cell r="H140">
            <v>8.3329112042815595E-2</v>
          </cell>
          <cell r="I140">
            <v>0.12818393221277599</v>
          </cell>
          <cell r="J140">
            <v>7.6449397182522305E-2</v>
          </cell>
        </row>
        <row r="141">
          <cell r="A141" t="str">
            <v>ITOT-SWHSTG-ELC</v>
          </cell>
          <cell r="B141" t="str">
            <v>VAR_cap</v>
          </cell>
          <cell r="C141" t="str">
            <v>-</v>
          </cell>
          <cell r="D141">
            <v>6.0249539891995998E-4</v>
          </cell>
          <cell r="E141">
            <v>0.17863650109116161</v>
          </cell>
          <cell r="F141">
            <v>0.18594909391840006</v>
          </cell>
          <cell r="G141">
            <v>0.20298407121773074</v>
          </cell>
          <cell r="H141">
            <v>0.1990461144471698</v>
          </cell>
          <cell r="I141">
            <v>0.22444176059921353</v>
          </cell>
          <cell r="J141">
            <v>0.20472347878313371</v>
          </cell>
          <cell r="K141"/>
        </row>
        <row r="142">
          <cell r="A142" t="str">
            <v>D-SCOM_SOLELC</v>
          </cell>
          <cell r="B142" t="str">
            <v>VAR_fout</v>
          </cell>
          <cell r="C142" t="str">
            <v>ELC5</v>
          </cell>
          <cell r="D142">
            <v>7.8713088997547128E-4</v>
          </cell>
          <cell r="E142">
            <v>2.8442945507613443E-4</v>
          </cell>
          <cell r="F142">
            <v>3.1230137593730805E-4</v>
          </cell>
          <cell r="G142">
            <v>1.6862655544593738E-4</v>
          </cell>
          <cell r="H142">
            <v>3.1104717616974145E-4</v>
          </cell>
          <cell r="I142">
            <v>4.4190506714173919E-4</v>
          </cell>
          <cell r="J142">
            <v>1.4082435261615422E-4</v>
          </cell>
          <cell r="K142"/>
        </row>
        <row r="143">
          <cell r="A143" t="str">
            <v>D-SCOM_SOLELC</v>
          </cell>
          <cell r="B143" t="str">
            <v>VAR_fout</v>
          </cell>
          <cell r="C143" t="str">
            <v>SCOM_ELC</v>
          </cell>
          <cell r="D143">
            <v>2.8388365548819898</v>
          </cell>
          <cell r="E143">
            <v>3.2941710467323033</v>
          </cell>
          <cell r="F143">
            <v>9.9662063374918102</v>
          </cell>
          <cell r="G143">
            <v>10.737521975402037</v>
          </cell>
          <cell r="H143">
            <v>11.285061870999641</v>
          </cell>
          <cell r="I143">
            <v>11.860617584688994</v>
          </cell>
          <cell r="J143">
            <v>13.068916124907052</v>
          </cell>
          <cell r="K143"/>
        </row>
        <row r="144">
          <cell r="A144" t="str">
            <v>D-SCOM_SOLELC</v>
          </cell>
          <cell r="B144" t="str">
            <v>VAR_fin</v>
          </cell>
          <cell r="C144" t="str">
            <v>SCOM_SOL_ELC</v>
          </cell>
          <cell r="D144">
            <v>2.8396236857719668</v>
          </cell>
          <cell r="E144">
            <v>3.2944550867381746</v>
          </cell>
          <cell r="F144">
            <v>9.9665186388677487</v>
          </cell>
          <cell r="G144">
            <v>10.737690601957468</v>
          </cell>
          <cell r="H144">
            <v>11.285372918175815</v>
          </cell>
          <cell r="I144">
            <v>11.861059489756132</v>
          </cell>
          <cell r="J144">
            <v>13.069056949259668</v>
          </cell>
          <cell r="K144"/>
        </row>
        <row r="145">
          <cell r="A145" t="str">
            <v>D-ILFO</v>
          </cell>
          <cell r="B145" t="str">
            <v>VAR_fout</v>
          </cell>
          <cell r="C145" t="str">
            <v>CO2</v>
          </cell>
          <cell r="D145">
            <v>688.81204010383703</v>
          </cell>
          <cell r="E145">
            <v>659.57576137618003</v>
          </cell>
          <cell r="F145">
            <v>621.78805166626796</v>
          </cell>
          <cell r="G145">
            <v>485.17533603775701</v>
          </cell>
          <cell r="H145">
            <v>323.19768338091899</v>
          </cell>
          <cell r="I145">
            <v>149.26680807308901</v>
          </cell>
          <cell r="J145">
            <v>4.6622025871946703E-3</v>
          </cell>
          <cell r="K145"/>
        </row>
        <row r="146">
          <cell r="A146" t="str">
            <v>D-ILFO</v>
          </cell>
          <cell r="B146" t="str">
            <v>VAR_fout</v>
          </cell>
          <cell r="C146" t="str">
            <v>ILFO</v>
          </cell>
          <cell r="D146">
            <v>9.1900688778251229</v>
          </cell>
          <cell r="E146">
            <v>8.8000010514875449</v>
          </cell>
          <cell r="F146">
            <v>8.2958656740706544</v>
          </cell>
          <cell r="G146">
            <v>7.372668259312972</v>
          </cell>
          <cell r="H146">
            <v>5.6394988727205613</v>
          </cell>
          <cell r="I146">
            <v>3.3189635157494011</v>
          </cell>
          <cell r="J146">
            <v>1.3275329366062147</v>
          </cell>
          <cell r="K146"/>
        </row>
        <row r="147">
          <cell r="A147" t="str">
            <v>D-ILFO</v>
          </cell>
          <cell r="B147" t="str">
            <v>VAR_fin</v>
          </cell>
          <cell r="C147" t="str">
            <v>LFO</v>
          </cell>
          <cell r="D147">
            <v>9.3461606526979164</v>
          </cell>
          <cell r="E147">
            <v>8.949467589907476</v>
          </cell>
          <cell r="F147">
            <v>8.4367442559873496</v>
          </cell>
          <cell r="G147">
            <v>6.5831117508515149</v>
          </cell>
          <cell r="H147">
            <v>4.3853145641915754</v>
          </cell>
          <cell r="I147">
            <v>2.0253298246009388</v>
          </cell>
          <cell r="J147">
            <v>6.325919385610135E-5</v>
          </cell>
          <cell r="K147"/>
        </row>
        <row r="148">
          <cell r="A148" t="str">
            <v>D-ILFO</v>
          </cell>
          <cell r="B148" t="str">
            <v>VAR_fin</v>
          </cell>
          <cell r="C148" t="str">
            <v>BDS</v>
          </cell>
          <cell r="D148"/>
          <cell r="E148"/>
          <cell r="F148">
            <v>2.5536296910440435E-5</v>
          </cell>
          <cell r="G148">
            <v>0.9147804299779575</v>
          </cell>
          <cell r="H148">
            <v>1.3499704719539534</v>
          </cell>
          <cell r="I148">
            <v>1.3500059516592868</v>
          </cell>
          <cell r="J148">
            <v>1.3500177163888791</v>
          </cell>
          <cell r="K148"/>
        </row>
        <row r="149">
          <cell r="A149" t="str">
            <v>RHEM-SHSTG-NGAHP</v>
          </cell>
          <cell r="B149" t="str">
            <v>VAR_fout</v>
          </cell>
          <cell r="C149" t="str">
            <v>AUX_RHEM-SHSTG-NGAHP_OUT</v>
          </cell>
          <cell r="D149"/>
          <cell r="E149"/>
          <cell r="F149">
            <v>0.19649525944422799</v>
          </cell>
          <cell r="G149">
            <v>0.47229669015255071</v>
          </cell>
          <cell r="H149">
            <v>0.58190567022399686</v>
          </cell>
          <cell r="I149">
            <v>0.63437262888464441</v>
          </cell>
          <cell r="J149">
            <v>0.79423129590577002</v>
          </cell>
          <cell r="K149"/>
        </row>
        <row r="150">
          <cell r="A150" t="str">
            <v>RHEM-SHSTG-NGAHP</v>
          </cell>
          <cell r="B150" t="str">
            <v>VAR_fout</v>
          </cell>
          <cell r="C150" t="str">
            <v>RHEM-SHANGAH</v>
          </cell>
          <cell r="D150"/>
          <cell r="E150"/>
          <cell r="F150">
            <v>0.19629896048374415</v>
          </cell>
          <cell r="G150">
            <v>0.47182486528726364</v>
          </cell>
          <cell r="H150">
            <v>0.5813243458781191</v>
          </cell>
          <cell r="I150">
            <v>0.63373888999465045</v>
          </cell>
          <cell r="J150">
            <v>0.7934378580477226</v>
          </cell>
          <cell r="K150"/>
        </row>
        <row r="151">
          <cell r="A151" t="str">
            <v>RHEM-SHSTG-NGAHP</v>
          </cell>
          <cell r="B151" t="str">
            <v>VAR_fin</v>
          </cell>
          <cell r="C151" t="str">
            <v>RHEM-SHANGAH</v>
          </cell>
          <cell r="D151"/>
          <cell r="E151"/>
          <cell r="F151">
            <v>0.19631270650924931</v>
          </cell>
          <cell r="G151">
            <v>0.47183829077194739</v>
          </cell>
          <cell r="H151">
            <v>0.58133178446988476</v>
          </cell>
          <cell r="I151">
            <v>0.63374576401758798</v>
          </cell>
          <cell r="J151">
            <v>0.79344468619927633</v>
          </cell>
          <cell r="K151"/>
        </row>
        <row r="152">
          <cell r="A152" t="str">
            <v>RHEM-SHSTG-NGAHP</v>
          </cell>
          <cell r="B152" t="str">
            <v>VAR_ncap</v>
          </cell>
          <cell r="C152" t="str">
            <v>-</v>
          </cell>
          <cell r="D152">
            <v>3.5386092097920598E-6</v>
          </cell>
          <cell r="E152">
            <v>3.9301994897111699E-6</v>
          </cell>
          <cell r="F152">
            <v>3.2994587822012797E-2</v>
          </cell>
          <cell r="G152">
            <v>3.69285011949625E-2</v>
          </cell>
          <cell r="H152">
            <v>2.3443322583706801E-2</v>
          </cell>
          <cell r="I152">
            <v>5.8380913194165197E-2</v>
          </cell>
          <cell r="J152">
            <v>9.9870448292785796E-2</v>
          </cell>
          <cell r="K152"/>
        </row>
        <row r="153">
          <cell r="A153" t="str">
            <v>RHEM-SHSTG-NGAHP</v>
          </cell>
          <cell r="B153" t="str">
            <v>VAR_cap</v>
          </cell>
          <cell r="C153" t="str">
            <v>-</v>
          </cell>
          <cell r="D153">
            <v>3.5386092097920598E-6</v>
          </cell>
          <cell r="E153">
            <v>9.1560032578258939E-7</v>
          </cell>
          <cell r="F153">
            <v>3.2993360771443825E-2</v>
          </cell>
          <cell r="G153">
            <v>6.9917786765696932E-2</v>
          </cell>
          <cell r="H153">
            <v>9.3347536776190856E-2</v>
          </cell>
          <cell r="I153">
            <v>0.1128633620371649</v>
          </cell>
          <cell r="J153">
            <v>0.15213843633182653</v>
          </cell>
        </row>
        <row r="154">
          <cell r="A154" t="str">
            <v>RHEM-SHCONBR4</v>
          </cell>
          <cell r="B154" t="str">
            <v>VAR_fout</v>
          </cell>
          <cell r="C154" t="str">
            <v>RHEM-SHCON</v>
          </cell>
          <cell r="D154">
            <v>1.6464008463788224E-3</v>
          </cell>
          <cell r="E154">
            <v>0.87829184768170954</v>
          </cell>
          <cell r="F154">
            <v>0.56089111812289072</v>
          </cell>
          <cell r="G154">
            <v>0.87823170371025638</v>
          </cell>
          <cell r="H154">
            <v>0.8782402234174953</v>
          </cell>
          <cell r="I154">
            <v>0.87826030165506441</v>
          </cell>
          <cell r="J154">
            <v>0.4815928093313887</v>
          </cell>
        </row>
        <row r="155">
          <cell r="A155" t="str">
            <v>RHEM-SHCONBR4</v>
          </cell>
          <cell r="B155" t="str">
            <v>VAR_fin</v>
          </cell>
          <cell r="C155" t="str">
            <v>CON</v>
          </cell>
          <cell r="D155">
            <v>1.6464008463788224E-3</v>
          </cell>
          <cell r="E155">
            <v>0.87829184768170954</v>
          </cell>
          <cell r="F155">
            <v>0.56089111812289072</v>
          </cell>
          <cell r="G155">
            <v>0.87823170371025638</v>
          </cell>
          <cell r="H155">
            <v>0.8782402234174953</v>
          </cell>
          <cell r="I155">
            <v>0.87826030165506441</v>
          </cell>
          <cell r="J155">
            <v>0.4815928093313887</v>
          </cell>
        </row>
        <row r="156">
          <cell r="A156" t="str">
            <v>RHEM-SHCONBR4</v>
          </cell>
          <cell r="B156" t="str">
            <v>VAR_ncap</v>
          </cell>
          <cell r="C156" t="str">
            <v>-</v>
          </cell>
          <cell r="D156">
            <v>2.41020399405261E-2</v>
          </cell>
          <cell r="E156">
            <v>3.7916020292835098E-2</v>
          </cell>
          <cell r="F156"/>
          <cell r="G156"/>
          <cell r="H156">
            <v>1.0151659197744299E-8</v>
          </cell>
          <cell r="I156">
            <v>1.3879370362442E-8</v>
          </cell>
          <cell r="J156">
            <v>3.1554914785425401E-8</v>
          </cell>
          <cell r="K156"/>
        </row>
        <row r="157">
          <cell r="A157" t="str">
            <v>RHEM-SHCONBR4</v>
          </cell>
          <cell r="B157" t="str">
            <v>VAR_cap</v>
          </cell>
          <cell r="C157" t="str">
            <v>-</v>
          </cell>
          <cell r="D157">
            <v>2.41020399405261E-2</v>
          </cell>
          <cell r="E157">
            <v>6.2018060233361101E-2</v>
          </cell>
          <cell r="F157">
            <v>6.2017710993741662E-2</v>
          </cell>
          <cell r="G157">
            <v>6.2018004103759974E-2</v>
          </cell>
          <cell r="H157">
            <v>6.2017998992982513E-2</v>
          </cell>
          <cell r="I157">
            <v>6.2018025320615171E-2</v>
          </cell>
          <cell r="J157">
            <v>3.4006646689131198E-2</v>
          </cell>
        </row>
        <row r="158">
          <cell r="A158" t="str">
            <v>RHNM-SHCONBR</v>
          </cell>
          <cell r="B158" t="str">
            <v>VAR_fout</v>
          </cell>
          <cell r="C158" t="str">
            <v>RHNM-SHCON</v>
          </cell>
          <cell r="D158"/>
          <cell r="E158"/>
          <cell r="F158">
            <v>4.2816016009003711E-4</v>
          </cell>
          <cell r="G158">
            <v>4.1859734224942649E-4</v>
          </cell>
          <cell r="H158">
            <v>5.5763599160472933E-4</v>
          </cell>
          <cell r="I158">
            <v>9.580060797076486E-3</v>
          </cell>
          <cell r="J158">
            <v>0.13187928490607156</v>
          </cell>
        </row>
        <row r="159">
          <cell r="A159" t="str">
            <v>RHNM-SHCONBR</v>
          </cell>
          <cell r="B159" t="str">
            <v>VAR_fin</v>
          </cell>
          <cell r="C159" t="str">
            <v>CON</v>
          </cell>
          <cell r="D159"/>
          <cell r="E159"/>
          <cell r="F159">
            <v>4.2816016009003711E-4</v>
          </cell>
          <cell r="G159">
            <v>4.1859734224942649E-4</v>
          </cell>
          <cell r="H159">
            <v>5.5763599160472933E-4</v>
          </cell>
          <cell r="I159">
            <v>9.580060797076486E-3</v>
          </cell>
          <cell r="J159">
            <v>0.13187928490607156</v>
          </cell>
          <cell r="K159"/>
        </row>
        <row r="160">
          <cell r="A160" t="str">
            <v>RHNM-SHCONBR</v>
          </cell>
          <cell r="B160" t="str">
            <v>VAR_ncap</v>
          </cell>
          <cell r="C160" t="str">
            <v>-</v>
          </cell>
          <cell r="D160"/>
          <cell r="E160"/>
          <cell r="F160">
            <v>3.1396648436190101E-5</v>
          </cell>
          <cell r="G160">
            <v>2.56955397576078E-8</v>
          </cell>
          <cell r="H160">
            <v>1.0477087952782799E-5</v>
          </cell>
          <cell r="I160">
            <v>6.9931257312724098E-4</v>
          </cell>
          <cell r="J160">
            <v>9.4789529453342992E-3</v>
          </cell>
          <cell r="K160"/>
        </row>
        <row r="161">
          <cell r="A161" t="str">
            <v>RHNM-SHCONBR</v>
          </cell>
          <cell r="B161" t="str">
            <v>VAR_cap</v>
          </cell>
          <cell r="C161" t="str">
            <v>-</v>
          </cell>
          <cell r="D161"/>
          <cell r="E161"/>
          <cell r="F161">
            <v>3.1396648436190101E-5</v>
          </cell>
          <cell r="G161">
            <v>3.1422343975947699E-5</v>
          </cell>
          <cell r="H161">
            <v>4.18994319287305E-5</v>
          </cell>
          <cell r="I161">
            <v>7.4121200505597202E-4</v>
          </cell>
          <cell r="J161">
            <v>1.02201649503903E-2</v>
          </cell>
          <cell r="K161"/>
        </row>
        <row r="162">
          <cell r="A162" t="str">
            <v>RHEM-SHCONBR5</v>
          </cell>
          <cell r="B162" t="str">
            <v>VAR_fout</v>
          </cell>
          <cell r="C162" t="str">
            <v>RHEM-SHCON</v>
          </cell>
          <cell r="D162">
            <v>6.0684876820328377E-5</v>
          </cell>
          <cell r="E162">
            <v>0.59578593810546832</v>
          </cell>
          <cell r="F162">
            <v>0.36660630608372052</v>
          </cell>
          <cell r="G162">
            <v>0.59572611911298645</v>
          </cell>
          <cell r="H162">
            <v>0.59573456003547987</v>
          </cell>
          <cell r="I162">
            <v>0.59575446694872636</v>
          </cell>
          <cell r="J162">
            <v>0.34441522019467147</v>
          </cell>
        </row>
        <row r="163">
          <cell r="A163" t="str">
            <v>RHEM-SHCONBR5</v>
          </cell>
          <cell r="B163" t="str">
            <v>VAR_fin</v>
          </cell>
          <cell r="C163" t="str">
            <v>CON</v>
          </cell>
          <cell r="D163">
            <v>6.0684876820328377E-5</v>
          </cell>
          <cell r="E163">
            <v>0.59578593810546832</v>
          </cell>
          <cell r="F163">
            <v>0.36660630608372052</v>
          </cell>
          <cell r="G163">
            <v>0.59572611911298645</v>
          </cell>
          <cell r="H163">
            <v>0.59573456003547987</v>
          </cell>
          <cell r="I163">
            <v>0.59575446694872636</v>
          </cell>
          <cell r="J163">
            <v>0.34441522019467147</v>
          </cell>
        </row>
        <row r="164">
          <cell r="A164" t="str">
            <v>RHEM-SHCONBR5</v>
          </cell>
          <cell r="B164" t="str">
            <v>VAR_ncap</v>
          </cell>
          <cell r="C164" t="str">
            <v>-</v>
          </cell>
          <cell r="D164">
            <v>4.0565266710275497E-6</v>
          </cell>
          <cell r="E164">
            <v>4.2065258403251801E-2</v>
          </cell>
          <cell r="F164"/>
          <cell r="G164"/>
          <cell r="H164"/>
          <cell r="I164">
            <v>1.1584398895509501E-8</v>
          </cell>
          <cell r="J164">
            <v>2.4006034255739901E-8</v>
          </cell>
          <cell r="K164"/>
        </row>
        <row r="165">
          <cell r="A165" t="str">
            <v>RHEM-SHCONBR5</v>
          </cell>
          <cell r="B165" t="str">
            <v>VAR_cap</v>
          </cell>
          <cell r="C165" t="str">
            <v>-</v>
          </cell>
          <cell r="D165">
            <v>4.0565266710275497E-6</v>
          </cell>
          <cell r="E165">
            <v>4.2069314929922899E-2</v>
          </cell>
          <cell r="F165">
            <v>4.2068969246662563E-2</v>
          </cell>
          <cell r="G165">
            <v>4.2069259018521168E-2</v>
          </cell>
          <cell r="H165">
            <v>4.2069243795430429E-2</v>
          </cell>
          <cell r="I165">
            <v>4.2069267731139247E-2</v>
          </cell>
          <cell r="J165">
            <v>2.4320039379832899E-2</v>
          </cell>
        </row>
        <row r="166">
          <cell r="A166" t="str">
            <v>ITOT-SWHNGABR</v>
          </cell>
          <cell r="B166" t="str">
            <v>VAR_fout</v>
          </cell>
          <cell r="C166" t="str">
            <v>ITOT-SWH</v>
          </cell>
          <cell r="D166">
            <v>28.619769183654057</v>
          </cell>
          <cell r="E166">
            <v>25.940130340218875</v>
          </cell>
          <cell r="F166">
            <v>27.129610248367513</v>
          </cell>
          <cell r="G166">
            <v>25.057325745743384</v>
          </cell>
          <cell r="H166">
            <v>22.541013213190052</v>
          </cell>
          <cell r="I166">
            <v>15.056121426342642</v>
          </cell>
          <cell r="J166">
            <v>8.8109094701350106</v>
          </cell>
          <cell r="K166"/>
        </row>
        <row r="167">
          <cell r="A167" t="str">
            <v>ITOT-SWHNGABR</v>
          </cell>
          <cell r="B167" t="str">
            <v>VAR_fout</v>
          </cell>
          <cell r="C167" t="str">
            <v>CO2_I</v>
          </cell>
          <cell r="D167">
            <v>2005.1531709353901</v>
          </cell>
          <cell r="E167">
            <v>1815.82339148046</v>
          </cell>
          <cell r="F167">
            <v>1896.59966103585</v>
          </cell>
          <cell r="G167">
            <v>1747.9121084399501</v>
          </cell>
          <cell r="H167">
            <v>1568.9645289621101</v>
          </cell>
          <cell r="I167">
            <v>1045.7061746337699</v>
          </cell>
          <cell r="J167">
            <v>609.30840552495204</v>
          </cell>
          <cell r="K167"/>
        </row>
        <row r="168">
          <cell r="A168" t="str">
            <v>ITOT-SWHNGABR</v>
          </cell>
          <cell r="B168" t="str">
            <v>VAR_fin</v>
          </cell>
          <cell r="C168" t="str">
            <v>INGA</v>
          </cell>
          <cell r="D168">
            <v>35.552361186797583</v>
          </cell>
          <cell r="E168">
            <v>32.19545020355428</v>
          </cell>
          <cell r="F168">
            <v>33.627653564465433</v>
          </cell>
          <cell r="G168">
            <v>30.991349440424646</v>
          </cell>
          <cell r="H168">
            <v>27.818520017058646</v>
          </cell>
          <cell r="I168">
            <v>18.540889621166073</v>
          </cell>
          <cell r="J168">
            <v>10.803340523492054</v>
          </cell>
        </row>
        <row r="169">
          <cell r="A169" t="str">
            <v>ITOT-SWHNGABR</v>
          </cell>
          <cell r="B169" t="str">
            <v>VAR_ncap</v>
          </cell>
          <cell r="C169" t="str">
            <v>-</v>
          </cell>
          <cell r="D169"/>
          <cell r="E169">
            <v>7.00391732101976E-6</v>
          </cell>
          <cell r="F169">
            <v>3.93061074108852E-6</v>
          </cell>
          <cell r="G169">
            <v>3.9616665695531497E-6</v>
          </cell>
          <cell r="H169">
            <v>0.88064044839543898</v>
          </cell>
          <cell r="I169">
            <v>2.0862116959649099E-4</v>
          </cell>
          <cell r="J169">
            <v>0.16908243612009399</v>
          </cell>
          <cell r="K169"/>
        </row>
        <row r="170">
          <cell r="A170" t="str">
            <v>ITOT-SWHNGABR</v>
          </cell>
          <cell r="B170" t="str">
            <v>VAR_cap</v>
          </cell>
          <cell r="C170" t="str">
            <v>-</v>
          </cell>
          <cell r="D170">
            <v>1.556581895256</v>
          </cell>
          <cell r="E170">
            <v>1.5565834352700809</v>
          </cell>
          <cell r="F170">
            <v>1.5565800858625014</v>
          </cell>
          <cell r="G170">
            <v>1.5565644600770945</v>
          </cell>
          <cell r="H170">
            <v>1.2843109891282094</v>
          </cell>
          <cell r="I170">
            <v>0.88084790560812687</v>
          </cell>
          <cell r="J170">
            <v>0.54173587677145374</v>
          </cell>
        </row>
        <row r="171">
          <cell r="A171" t="str">
            <v>RHNM-SHSOLBR</v>
          </cell>
          <cell r="B171" t="str">
            <v>VAR_fout</v>
          </cell>
          <cell r="C171" t="str">
            <v>RHNM-SHASOL</v>
          </cell>
          <cell r="D171"/>
          <cell r="E171">
            <v>2.1539972101048348E-2</v>
          </cell>
          <cell r="F171">
            <v>1.416457234881488E-5</v>
          </cell>
          <cell r="G171">
            <v>2.3411718601698674E-5</v>
          </cell>
          <cell r="H171">
            <v>3.2274531745592372E-5</v>
          </cell>
          <cell r="I171">
            <v>4.4328123821396793E-5</v>
          </cell>
          <cell r="J171">
            <v>1.8533171506890709E-4</v>
          </cell>
        </row>
        <row r="172">
          <cell r="A172" t="str">
            <v>RHNM-SHSOLBR</v>
          </cell>
          <cell r="B172" t="str">
            <v>VAR_fin</v>
          </cell>
          <cell r="C172" t="str">
            <v>SOL</v>
          </cell>
          <cell r="D172"/>
          <cell r="E172">
            <v>2.1539972101048348E-2</v>
          </cell>
          <cell r="F172">
            <v>1.416457234881488E-5</v>
          </cell>
          <cell r="G172">
            <v>2.3411718601698674E-5</v>
          </cell>
          <cell r="H172">
            <v>3.2274531745592372E-5</v>
          </cell>
          <cell r="I172">
            <v>4.4328123821396793E-5</v>
          </cell>
          <cell r="J172">
            <v>1.8533171506890709E-4</v>
          </cell>
        </row>
        <row r="173">
          <cell r="A173" t="str">
            <v>RHNM-SHSOLBR</v>
          </cell>
          <cell r="B173" t="str">
            <v>VAR_ncap</v>
          </cell>
          <cell r="C173" t="str">
            <v>-</v>
          </cell>
          <cell r="D173"/>
          <cell r="E173">
            <v>3.1331151100369502E-3</v>
          </cell>
          <cell r="F173">
            <v>2.6961043421274601E-7</v>
          </cell>
          <cell r="G173">
            <v>5.0031865081955202E-7</v>
          </cell>
          <cell r="H173">
            <v>5.6662878251677703E-5</v>
          </cell>
          <cell r="I173">
            <v>2.3408183919254102E-6</v>
          </cell>
          <cell r="J173">
            <v>2.7154845837483999E-5</v>
          </cell>
        </row>
        <row r="174">
          <cell r="A174" t="str">
            <v>RHNM-SHSOLBR</v>
          </cell>
          <cell r="B174" t="str">
            <v>VAR_cap</v>
          </cell>
          <cell r="C174" t="str">
            <v>-</v>
          </cell>
          <cell r="D174"/>
          <cell r="E174">
            <v>3.1331151100369502E-3</v>
          </cell>
          <cell r="F174">
            <v>3.2432760797744022E-4</v>
          </cell>
          <cell r="G174">
            <v>2.986021404870298E-4</v>
          </cell>
          <cell r="H174">
            <v>2.1186866530201989E-4</v>
          </cell>
          <cell r="I174">
            <v>5.9241314614155255E-5</v>
          </cell>
          <cell r="J174">
            <v>5.2745893736014243E-5</v>
          </cell>
        </row>
        <row r="175">
          <cell r="A175" t="str">
            <v>RHEM-SHPLTBR</v>
          </cell>
          <cell r="B175" t="str">
            <v>VAR_fout</v>
          </cell>
          <cell r="C175" t="str">
            <v>RHEM-SHPLT</v>
          </cell>
          <cell r="D175">
            <v>1.401128848752897</v>
          </cell>
          <cell r="E175">
            <v>1.6077983069827604</v>
          </cell>
          <cell r="F175">
            <v>0.28342796058192843</v>
          </cell>
          <cell r="G175">
            <v>0.43175300830112617</v>
          </cell>
          <cell r="H175">
            <v>0.50384162308289315</v>
          </cell>
          <cell r="I175">
            <v>0.56881149312188695</v>
          </cell>
          <cell r="J175">
            <v>0.66585034228697471</v>
          </cell>
        </row>
        <row r="176">
          <cell r="A176" t="str">
            <v>RHEM-SHPLTBR</v>
          </cell>
          <cell r="B176" t="str">
            <v>VAR_fin</v>
          </cell>
          <cell r="C176" t="str">
            <v>RHEMPLTBRC</v>
          </cell>
          <cell r="D176">
            <v>1.401128848752897</v>
          </cell>
          <cell r="E176">
            <v>1.6077983069827604</v>
          </cell>
          <cell r="F176">
            <v>0.28342796058192843</v>
          </cell>
          <cell r="G176">
            <v>0.43175300830112617</v>
          </cell>
          <cell r="H176">
            <v>0.50384162308289315</v>
          </cell>
          <cell r="I176">
            <v>0.56881149312188695</v>
          </cell>
          <cell r="J176">
            <v>0.66585034228697471</v>
          </cell>
        </row>
        <row r="177">
          <cell r="A177" t="str">
            <v>RHEM-SHPLTBR</v>
          </cell>
          <cell r="B177" t="str">
            <v>VAR_fin</v>
          </cell>
          <cell r="C177" t="str">
            <v>RPLT</v>
          </cell>
          <cell r="D177">
            <v>1.5568098319476646</v>
          </cell>
          <cell r="E177">
            <v>1.7864425633141785</v>
          </cell>
          <cell r="F177">
            <v>0.38477477714873343</v>
          </cell>
          <cell r="G177">
            <v>0.5820425504621024</v>
          </cell>
          <cell r="H177">
            <v>0.6769508856044425</v>
          </cell>
          <cell r="I177">
            <v>0.76349361472220545</v>
          </cell>
          <cell r="J177">
            <v>0.88780624961855614</v>
          </cell>
        </row>
        <row r="178">
          <cell r="A178" t="str">
            <v>RHEM-SHPLTBR</v>
          </cell>
          <cell r="B178" t="str">
            <v>VAR_ncap</v>
          </cell>
          <cell r="C178" t="str">
            <v>-</v>
          </cell>
          <cell r="D178">
            <v>3.7991799592735201E-7</v>
          </cell>
          <cell r="E178">
            <v>1.47085371093472E-2</v>
          </cell>
          <cell r="F178">
            <v>2.6215492250716099E-8</v>
          </cell>
          <cell r="G178">
            <v>1.5439334580779399E-7</v>
          </cell>
          <cell r="H178">
            <v>2.0357284994722499E-2</v>
          </cell>
          <cell r="I178">
            <v>2.0085734792521501E-2</v>
          </cell>
          <cell r="J178">
            <v>2.3895959974130701E-2</v>
          </cell>
        </row>
        <row r="179">
          <cell r="A179" t="str">
            <v>RHEM-SHPLTBR</v>
          </cell>
          <cell r="B179" t="str">
            <v>VAR_cap</v>
          </cell>
          <cell r="C179" t="str">
            <v>-</v>
          </cell>
          <cell r="D179">
            <v>9.9699436038276523E-2</v>
          </cell>
          <cell r="E179">
            <v>0.1144079602048608</v>
          </cell>
          <cell r="F179">
            <v>4.4394206894561389E-2</v>
          </cell>
          <cell r="G179">
            <v>4.43941964372533E-2</v>
          </cell>
          <cell r="H179">
            <v>3.5591494931178899E-2</v>
          </cell>
          <cell r="I179">
            <v>4.0443048437813829E-2</v>
          </cell>
          <cell r="J179">
            <v>4.7083829897953088E-2</v>
          </cell>
        </row>
        <row r="180">
          <cell r="A180" t="str">
            <v>RHEM-SHCONBR6</v>
          </cell>
          <cell r="B180" t="str">
            <v>VAR_fout</v>
          </cell>
          <cell r="C180" t="str">
            <v>RHEM-SHCON</v>
          </cell>
          <cell r="D180"/>
          <cell r="E180">
            <v>5.3645593875303074E-4</v>
          </cell>
          <cell r="F180">
            <v>2.7901956839776991E-4</v>
          </cell>
          <cell r="G180">
            <v>4.9448704323566499E-4</v>
          </cell>
          <cell r="H180">
            <v>5.0343072665170888E-4</v>
          </cell>
          <cell r="I180">
            <v>5.1266541595990892E-4</v>
          </cell>
          <cell r="J180">
            <v>3.0729654723492543E-4</v>
          </cell>
          <cell r="K180"/>
        </row>
        <row r="181">
          <cell r="A181" t="str">
            <v>RHEM-SHCONBR6</v>
          </cell>
          <cell r="B181" t="str">
            <v>VAR_fin</v>
          </cell>
          <cell r="C181" t="str">
            <v>CON</v>
          </cell>
          <cell r="D181"/>
          <cell r="E181">
            <v>5.3645593875303074E-4</v>
          </cell>
          <cell r="F181">
            <v>2.7901956839776991E-4</v>
          </cell>
          <cell r="G181">
            <v>4.9448704323566499E-4</v>
          </cell>
          <cell r="H181">
            <v>5.0343072665170888E-4</v>
          </cell>
          <cell r="I181">
            <v>5.1266541595990892E-4</v>
          </cell>
          <cell r="J181">
            <v>3.0729654723492543E-4</v>
          </cell>
        </row>
        <row r="182">
          <cell r="A182" t="str">
            <v>RHEM-SHCONBR6</v>
          </cell>
          <cell r="B182" t="str">
            <v>VAR_ncap</v>
          </cell>
          <cell r="C182" t="str">
            <v>-</v>
          </cell>
          <cell r="D182"/>
          <cell r="E182">
            <v>3.6702815284586101E-5</v>
          </cell>
          <cell r="F182"/>
          <cell r="G182"/>
          <cell r="H182"/>
          <cell r="I182"/>
          <cell r="J182">
            <v>1.25376017118553E-8</v>
          </cell>
        </row>
        <row r="183">
          <cell r="A183" t="str">
            <v>RHEM-SHCONBR6</v>
          </cell>
          <cell r="B183" t="str">
            <v>VAR_cap</v>
          </cell>
          <cell r="C183" t="str">
            <v>-</v>
          </cell>
          <cell r="D183"/>
          <cell r="E183">
            <v>3.6702815284586101E-5</v>
          </cell>
          <cell r="F183">
            <v>3.6643023531044017E-5</v>
          </cell>
          <cell r="G183">
            <v>3.6674267046426051E-5</v>
          </cell>
          <cell r="H183">
            <v>3.665518892224242E-5</v>
          </cell>
          <cell r="I183">
            <v>3.6660297407077926E-5</v>
          </cell>
          <cell r="J183">
            <v>2.1230473104580301E-5</v>
          </cell>
        </row>
        <row r="184">
          <cell r="A184" t="str">
            <v>RHEM-SHCONBR7</v>
          </cell>
          <cell r="B184" t="str">
            <v>VAR_fout</v>
          </cell>
          <cell r="C184" t="str">
            <v>RHEM-SHCON</v>
          </cell>
          <cell r="D184"/>
          <cell r="E184">
            <v>9.5453173872951785E-5</v>
          </cell>
          <cell r="F184">
            <v>5.8504171427929985E-5</v>
          </cell>
          <cell r="G184">
            <v>7.6703577925007967E-5</v>
          </cell>
          <cell r="H184">
            <v>8.4082255055501918E-5</v>
          </cell>
          <cell r="I184">
            <v>8.5053197392071926E-5</v>
          </cell>
          <cell r="J184">
            <v>5.6107011705453044E-5</v>
          </cell>
        </row>
        <row r="185">
          <cell r="A185" t="str">
            <v>RHEM-SHCONBR7</v>
          </cell>
          <cell r="B185" t="str">
            <v>VAR_fin</v>
          </cell>
          <cell r="C185" t="str">
            <v>CON</v>
          </cell>
          <cell r="D185"/>
          <cell r="E185">
            <v>9.5453173872951785E-5</v>
          </cell>
          <cell r="F185">
            <v>5.8504171427929985E-5</v>
          </cell>
          <cell r="G185">
            <v>7.6703577925007967E-5</v>
          </cell>
          <cell r="H185">
            <v>8.4082255055501918E-5</v>
          </cell>
          <cell r="I185">
            <v>8.5053197392071926E-5</v>
          </cell>
          <cell r="J185">
            <v>5.6107011705453044E-5</v>
          </cell>
        </row>
        <row r="186">
          <cell r="A186" t="str">
            <v>RHEM-SHCONBR7</v>
          </cell>
          <cell r="B186" t="str">
            <v>VAR_ncap</v>
          </cell>
          <cell r="C186" t="str">
            <v>-</v>
          </cell>
          <cell r="D186"/>
          <cell r="E186">
            <v>5.5616355274238799E-6</v>
          </cell>
          <cell r="F186"/>
          <cell r="G186"/>
          <cell r="H186"/>
          <cell r="I186"/>
          <cell r="J186">
            <v>1.1289680779204399E-8</v>
          </cell>
          <cell r="K186"/>
        </row>
        <row r="187">
          <cell r="A187" t="str">
            <v>RHEM-SHCONBR7</v>
          </cell>
          <cell r="B187" t="str">
            <v>VAR_cap</v>
          </cell>
          <cell r="C187" t="str">
            <v>-</v>
          </cell>
          <cell r="D187"/>
          <cell r="E187">
            <v>5.5616355274238799E-6</v>
          </cell>
          <cell r="F187">
            <v>5.5449487340921123E-6</v>
          </cell>
          <cell r="G187">
            <v>5.5616355274238799E-6</v>
          </cell>
          <cell r="H187">
            <v>5.5406612382303239E-6</v>
          </cell>
          <cell r="I187">
            <v>5.5616355274238799E-6</v>
          </cell>
          <cell r="J187">
            <v>3.2264769353901699E-6</v>
          </cell>
          <cell r="K187"/>
        </row>
        <row r="188">
          <cell r="A188" t="str">
            <v>RHEM-SHCONBR8</v>
          </cell>
          <cell r="B188" t="str">
            <v>VAR_fout</v>
          </cell>
          <cell r="C188" t="str">
            <v>RHEM-SHCON</v>
          </cell>
          <cell r="D188"/>
          <cell r="E188">
            <v>1.687999363733288E-5</v>
          </cell>
          <cell r="F188">
            <v>1.8416338096166679E-5</v>
          </cell>
          <cell r="G188">
            <v>1.3583249584828824E-5</v>
          </cell>
          <cell r="H188">
            <v>1.7560168405030048E-5</v>
          </cell>
          <cell r="I188">
            <v>1.4692549942840469E-5</v>
          </cell>
          <cell r="J188">
            <v>1.193868269566383E-5</v>
          </cell>
          <cell r="K188"/>
        </row>
        <row r="189">
          <cell r="A189" t="str">
            <v>RHEM-SHCONBR8</v>
          </cell>
          <cell r="B189" t="str">
            <v>VAR_fin</v>
          </cell>
          <cell r="C189" t="str">
            <v>CON</v>
          </cell>
          <cell r="D189"/>
          <cell r="E189">
            <v>1.687999363733288E-5</v>
          </cell>
          <cell r="F189">
            <v>1.8416338096166679E-5</v>
          </cell>
          <cell r="G189">
            <v>1.3583249584828824E-5</v>
          </cell>
          <cell r="H189">
            <v>1.7560168405030048E-5</v>
          </cell>
          <cell r="I189">
            <v>1.4692549942840469E-5</v>
          </cell>
          <cell r="J189">
            <v>1.193868269566383E-5</v>
          </cell>
        </row>
        <row r="190">
          <cell r="A190" t="str">
            <v>RHEM-SHCONBR8</v>
          </cell>
          <cell r="B190" t="str">
            <v>VAR_ncap</v>
          </cell>
          <cell r="C190" t="str">
            <v>-</v>
          </cell>
          <cell r="D190"/>
          <cell r="E190">
            <v>1.25312534219686E-8</v>
          </cell>
          <cell r="F190"/>
          <cell r="G190"/>
          <cell r="H190"/>
          <cell r="I190"/>
          <cell r="J190"/>
        </row>
        <row r="191">
          <cell r="A191" t="str">
            <v>RHEM-SHCONBR8</v>
          </cell>
          <cell r="B191" t="str">
            <v>VAR_cap</v>
          </cell>
          <cell r="C191" t="str">
            <v>-</v>
          </cell>
          <cell r="D191"/>
          <cell r="E191">
            <v>1.25312534219686E-8</v>
          </cell>
          <cell r="F191">
            <v>1.25312534219686E-8</v>
          </cell>
          <cell r="G191">
            <v>1.25312534219686E-8</v>
          </cell>
          <cell r="H191">
            <v>1.25312534219686E-8</v>
          </cell>
          <cell r="I191">
            <v>1.25312534219686E-8</v>
          </cell>
          <cell r="J191">
            <v>7.2443305728945599E-9</v>
          </cell>
          <cell r="K191"/>
        </row>
        <row r="192">
          <cell r="A192" t="str">
            <v>RHES-SHELCHP</v>
          </cell>
          <cell r="B192" t="str">
            <v>VAR_fout</v>
          </cell>
          <cell r="C192" t="str">
            <v>RHES-SHAELCH</v>
          </cell>
          <cell r="D192">
            <v>9.1578124367933604</v>
          </cell>
          <cell r="E192">
            <v>10.275909472390129</v>
          </cell>
          <cell r="F192">
            <v>19.551065043932752</v>
          </cell>
          <cell r="G192">
            <v>22.753813697432879</v>
          </cell>
          <cell r="H192">
            <v>24.61568502250832</v>
          </cell>
          <cell r="I192">
            <v>25.577078744521678</v>
          </cell>
          <cell r="J192">
            <v>27.19391258635563</v>
          </cell>
        </row>
        <row r="193">
          <cell r="A193" t="str">
            <v>RHES-SHELCHP</v>
          </cell>
          <cell r="B193" t="str">
            <v>VAR_fin</v>
          </cell>
          <cell r="C193" t="str">
            <v>RHES_ELC</v>
          </cell>
          <cell r="D193">
            <v>2.8618163864979227</v>
          </cell>
          <cell r="E193">
            <v>3.1585787312674616</v>
          </cell>
          <cell r="F193">
            <v>6.7831589336449687</v>
          </cell>
          <cell r="G193">
            <v>7.3850110455401889</v>
          </cell>
          <cell r="H193">
            <v>7.6014404599182672</v>
          </cell>
          <cell r="I193">
            <v>7.6029156350496816</v>
          </cell>
          <cell r="J193">
            <v>7.4255697203642015</v>
          </cell>
        </row>
        <row r="194">
          <cell r="A194" t="str">
            <v>RHES-SHELCHP</v>
          </cell>
          <cell r="B194" t="str">
            <v>VAR_fin</v>
          </cell>
          <cell r="C194" t="str">
            <v>RHESELCHPC</v>
          </cell>
          <cell r="D194">
            <v>9.1578124367933604</v>
          </cell>
          <cell r="E194">
            <v>10.275909472390129</v>
          </cell>
          <cell r="F194">
            <v>19.551065043932752</v>
          </cell>
          <cell r="G194">
            <v>22.753813697432879</v>
          </cell>
          <cell r="H194">
            <v>24.61568502250832</v>
          </cell>
          <cell r="I194">
            <v>25.577078744521678</v>
          </cell>
          <cell r="J194">
            <v>27.19391258635563</v>
          </cell>
        </row>
        <row r="195">
          <cell r="A195" t="str">
            <v>RHES-SHELCHP</v>
          </cell>
          <cell r="B195" t="str">
            <v>VAR_ncap</v>
          </cell>
          <cell r="C195" t="str">
            <v>-</v>
          </cell>
          <cell r="D195">
            <v>8.0710960727798794E-8</v>
          </cell>
          <cell r="E195">
            <v>9.0328692659808599E-2</v>
          </cell>
          <cell r="F195">
            <v>0.749325986848004</v>
          </cell>
          <cell r="G195">
            <v>0.25874170550950998</v>
          </cell>
          <cell r="H195">
            <v>0.74243995189082101</v>
          </cell>
          <cell r="I195">
            <v>1.01443935947153</v>
          </cell>
          <cell r="J195">
            <v>1.14667626207017</v>
          </cell>
        </row>
        <row r="196">
          <cell r="A196" t="str">
            <v>RHES-SHELCHP</v>
          </cell>
          <cell r="B196" t="str">
            <v>VAR_cap</v>
          </cell>
          <cell r="C196" t="str">
            <v>-</v>
          </cell>
          <cell r="D196">
            <v>0.73983800863632565</v>
          </cell>
          <cell r="E196">
            <v>0.83016668583530495</v>
          </cell>
          <cell r="F196">
            <v>1.5794926209629192</v>
          </cell>
          <cell r="G196">
            <v>1.8382343069856666</v>
          </cell>
          <cell r="H196">
            <v>1.9886523722367153</v>
          </cell>
          <cell r="I196">
            <v>2.0663183505098992</v>
          </cell>
          <cell r="J196">
            <v>2.1969370156190071</v>
          </cell>
          <cell r="K196"/>
        </row>
        <row r="197">
          <cell r="A197" t="str">
            <v>RHSA-WHELCHP</v>
          </cell>
          <cell r="B197" t="str">
            <v>VAR_fout</v>
          </cell>
          <cell r="C197" t="str">
            <v>RHSA-WHAELCH</v>
          </cell>
          <cell r="D197">
            <v>3.2398981006741367</v>
          </cell>
          <cell r="E197">
            <v>3.6354596864891184</v>
          </cell>
          <cell r="F197">
            <v>4.7393151048757245</v>
          </cell>
          <cell r="G197">
            <v>6.9879567965562552</v>
          </cell>
          <cell r="H197">
            <v>8.8134599966178939</v>
          </cell>
          <cell r="I197">
            <v>10.460794202727877</v>
          </cell>
          <cell r="J197">
            <v>13.821349023200309</v>
          </cell>
          <cell r="K197"/>
        </row>
        <row r="198">
          <cell r="A198" t="str">
            <v>RHSA-WHELCHP</v>
          </cell>
          <cell r="B198" t="str">
            <v>VAR_fin</v>
          </cell>
          <cell r="C198" t="str">
            <v>RHSA_ELC</v>
          </cell>
          <cell r="D198">
            <v>1.1489000357000481</v>
          </cell>
          <cell r="E198">
            <v>1.2864330100810752</v>
          </cell>
          <cell r="F198">
            <v>2.5218655073590899</v>
          </cell>
          <cell r="G198">
            <v>3.427368379358017</v>
          </cell>
          <cell r="H198">
            <v>4.0961370667338119</v>
          </cell>
          <cell r="I198">
            <v>4.6696227270040369</v>
          </cell>
          <cell r="J198">
            <v>5.6489459838364073</v>
          </cell>
          <cell r="K198"/>
        </row>
        <row r="199">
          <cell r="A199" t="str">
            <v>RHSA-WHELCHP</v>
          </cell>
          <cell r="B199" t="str">
            <v>VAR_ncap</v>
          </cell>
          <cell r="C199" t="str">
            <v>-</v>
          </cell>
          <cell r="D199">
            <v>1.7069743856115699E-6</v>
          </cell>
          <cell r="E199">
            <v>3.2768575865550702E-2</v>
          </cell>
          <cell r="F199">
            <v>6.7654618823300899E-2</v>
          </cell>
          <cell r="G199">
            <v>0.15110632818407699</v>
          </cell>
          <cell r="H199">
            <v>0.31152029073831999</v>
          </cell>
          <cell r="I199">
            <v>0.288286209949284</v>
          </cell>
          <cell r="J199">
            <v>0.59471916396607605</v>
          </cell>
          <cell r="K199"/>
        </row>
        <row r="200">
          <cell r="A200" t="str">
            <v>RHSA-WHELCHP</v>
          </cell>
          <cell r="B200" t="str">
            <v>VAR_cap</v>
          </cell>
          <cell r="C200" t="str">
            <v>-</v>
          </cell>
          <cell r="D200">
            <v>0.21335436939362662</v>
          </cell>
          <cell r="E200">
            <v>0.24612291109667225</v>
          </cell>
          <cell r="F200">
            <v>0.31377746488844471</v>
          </cell>
          <cell r="G200">
            <v>0.46488376075137688</v>
          </cell>
          <cell r="H200">
            <v>0.60239992693154765</v>
          </cell>
          <cell r="I200">
            <v>0.71499306967327891</v>
          </cell>
          <cell r="J200">
            <v>0.93570950725511981</v>
          </cell>
          <cell r="K200"/>
        </row>
        <row r="201">
          <cell r="A201" t="str">
            <v>D-ITOT_LTH_CHP</v>
          </cell>
          <cell r="B201" t="str">
            <v>VAR_fout</v>
          </cell>
          <cell r="C201" t="str">
            <v>ITOT_LTH_CHP_ON</v>
          </cell>
          <cell r="D201">
            <v>5.6086416703184279</v>
          </cell>
          <cell r="E201">
            <v>6.009520424732866</v>
          </cell>
          <cell r="F201">
            <v>6.3256293005247866</v>
          </cell>
          <cell r="G201">
            <v>7.7081473272432977</v>
          </cell>
          <cell r="H201">
            <v>7.2153696897560815</v>
          </cell>
          <cell r="I201">
            <v>6.6190623928932943</v>
          </cell>
          <cell r="J201">
            <v>8.697765684424029</v>
          </cell>
          <cell r="K201"/>
        </row>
        <row r="202">
          <cell r="A202" t="str">
            <v>D-ITOT_LTH_CHP</v>
          </cell>
          <cell r="B202" t="str">
            <v>VAR_fout</v>
          </cell>
          <cell r="C202" t="str">
            <v>LTH</v>
          </cell>
          <cell r="D202"/>
          <cell r="E202">
            <v>9.3490190772247132E-4</v>
          </cell>
          <cell r="F202">
            <v>3.6850986287807418E-3</v>
          </cell>
          <cell r="G202">
            <v>9.24735217913575E-3</v>
          </cell>
          <cell r="H202">
            <v>1.1704792119111698E-2</v>
          </cell>
          <cell r="I202">
            <v>9.9840479285211985E-3</v>
          </cell>
          <cell r="J202">
            <v>2.7687057256533712E-2</v>
          </cell>
        </row>
        <row r="203">
          <cell r="A203" t="str">
            <v>D-ITOT_LTH_CHP</v>
          </cell>
          <cell r="B203" t="str">
            <v>VAR_fin</v>
          </cell>
          <cell r="C203" t="str">
            <v>ITOT_LTH_CHP</v>
          </cell>
          <cell r="D203">
            <v>5.6086416703184279</v>
          </cell>
          <cell r="E203">
            <v>6.0104553266405905</v>
          </cell>
          <cell r="F203">
            <v>6.3293143991535654</v>
          </cell>
          <cell r="G203">
            <v>7.7173946794224371</v>
          </cell>
          <cell r="H203">
            <v>7.2270744818751922</v>
          </cell>
          <cell r="I203">
            <v>6.6290464408218162</v>
          </cell>
          <cell r="J203">
            <v>8.7254527416805594</v>
          </cell>
        </row>
        <row r="204">
          <cell r="A204" t="str">
            <v>RHEM-SHCONBR9</v>
          </cell>
          <cell r="B204" t="str">
            <v>VAR_fout</v>
          </cell>
          <cell r="C204" t="str">
            <v>RHEM-SHCON</v>
          </cell>
          <cell r="D204"/>
          <cell r="E204">
            <v>1.6710411733800206E-5</v>
          </cell>
          <cell r="F204">
            <v>1.8253423914787943E-5</v>
          </cell>
          <cell r="G204">
            <v>1.3331895022495037E-5</v>
          </cell>
          <cell r="H204">
            <v>1.7256217136999023E-5</v>
          </cell>
          <cell r="I204">
            <v>1.4338342235049609E-5</v>
          </cell>
          <cell r="J204">
            <v>1.1619257511067835E-5</v>
          </cell>
        </row>
        <row r="205">
          <cell r="A205" t="str">
            <v>RHEM-SHCONBR9</v>
          </cell>
          <cell r="B205" t="str">
            <v>VAR_fin</v>
          </cell>
          <cell r="C205" t="str">
            <v>CON</v>
          </cell>
          <cell r="D205"/>
          <cell r="E205">
            <v>1.6710411733800206E-5</v>
          </cell>
          <cell r="F205">
            <v>1.8253423914787943E-5</v>
          </cell>
          <cell r="G205">
            <v>1.3331895022495037E-5</v>
          </cell>
          <cell r="H205">
            <v>1.7256217136999023E-5</v>
          </cell>
          <cell r="I205">
            <v>1.4338342235049609E-5</v>
          </cell>
          <cell r="J205">
            <v>1.1619257511067835E-5</v>
          </cell>
        </row>
        <row r="206">
          <cell r="A206" t="str">
            <v>SCOM-SHELCHP</v>
          </cell>
          <cell r="B206" t="str">
            <v>VAR_fout</v>
          </cell>
          <cell r="C206" t="str">
            <v>SCOM-SHAELCH</v>
          </cell>
          <cell r="D206">
            <v>4.2612185795132396</v>
          </cell>
          <cell r="E206">
            <v>4.6176516402750387</v>
          </cell>
          <cell r="F206">
            <v>4.7664917213640079</v>
          </cell>
          <cell r="G206">
            <v>7.5118334938063009</v>
          </cell>
          <cell r="H206">
            <v>9.6814532908006825</v>
          </cell>
          <cell r="I206">
            <v>11.706592883028637</v>
          </cell>
          <cell r="J206">
            <v>15.908565185965301</v>
          </cell>
          <cell r="K206"/>
        </row>
        <row r="207">
          <cell r="A207" t="str">
            <v>SCOM-SHELCHP</v>
          </cell>
          <cell r="B207" t="str">
            <v>VAR_fin</v>
          </cell>
          <cell r="C207" t="str">
            <v>SCOMELCHPC</v>
          </cell>
          <cell r="D207">
            <v>4.2612185795132396</v>
          </cell>
          <cell r="E207">
            <v>4.6176516402750387</v>
          </cell>
          <cell r="F207">
            <v>4.7664917213640079</v>
          </cell>
          <cell r="G207">
            <v>7.5118334938063009</v>
          </cell>
          <cell r="H207">
            <v>9.6814532908006825</v>
          </cell>
          <cell r="I207">
            <v>11.706592883028637</v>
          </cell>
          <cell r="J207">
            <v>15.908565185965301</v>
          </cell>
          <cell r="K207"/>
        </row>
        <row r="208">
          <cell r="A208" t="str">
            <v>SCOM-SHELCHP</v>
          </cell>
          <cell r="B208" t="str">
            <v>VAR_fin</v>
          </cell>
          <cell r="C208" t="str">
            <v>SCOM_ELC</v>
          </cell>
          <cell r="D208">
            <v>1.3316308060978892</v>
          </cell>
          <cell r="E208">
            <v>1.4252011235416786</v>
          </cell>
          <cell r="F208">
            <v>1.6790539204026178</v>
          </cell>
          <cell r="G208">
            <v>2.4832965233140731</v>
          </cell>
          <cell r="H208">
            <v>3.0817106352046224</v>
          </cell>
          <cell r="I208">
            <v>3.610531672096049</v>
          </cell>
          <cell r="J208">
            <v>4.5905302410831954</v>
          </cell>
          <cell r="K208"/>
        </row>
        <row r="209">
          <cell r="A209" t="str">
            <v>SCOM-SHELCHP</v>
          </cell>
          <cell r="B209" t="str">
            <v>VAR_ncap</v>
          </cell>
          <cell r="C209" t="str">
            <v>-</v>
          </cell>
          <cell r="D209">
            <v>2.5544693391043E-8</v>
          </cell>
          <cell r="E209">
            <v>4.02155775529624E-8</v>
          </cell>
          <cell r="F209">
            <v>1.1650992636356599E-7</v>
          </cell>
          <cell r="G209">
            <v>0.15004506190509101</v>
          </cell>
          <cell r="H209">
            <v>0.48665731486937602</v>
          </cell>
          <cell r="I209">
            <v>0.31577344473840702</v>
          </cell>
          <cell r="J209">
            <v>0.79469042311203897</v>
          </cell>
        </row>
        <row r="210">
          <cell r="A210" t="str">
            <v>SCOM-SHELCHP</v>
          </cell>
          <cell r="B210" t="str">
            <v>VAR_cap</v>
          </cell>
          <cell r="C210" t="str">
            <v>-</v>
          </cell>
          <cell r="D210">
            <v>0.43061733899848142</v>
          </cell>
          <cell r="E210">
            <v>0.43061669070350939</v>
          </cell>
          <cell r="F210">
            <v>0.43061681791255985</v>
          </cell>
          <cell r="G210">
            <v>0.58066237256792208</v>
          </cell>
          <cell r="H210">
            <v>0.74837614121333174</v>
          </cell>
          <cell r="I210">
            <v>0.90490937207575761</v>
          </cell>
          <cell r="J210">
            <v>1.2297111827068288</v>
          </cell>
          <cell r="K210"/>
        </row>
        <row r="211">
          <cell r="A211" t="str">
            <v>D-ITOT_NKEV_OIL_ELC_CHP</v>
          </cell>
          <cell r="B211" t="str">
            <v>VAR_fout</v>
          </cell>
          <cell r="C211" t="str">
            <v>ITOT_ELC</v>
          </cell>
          <cell r="D211">
            <v>6.9431500277413891E-2</v>
          </cell>
          <cell r="E211">
            <v>0.17068039267968529</v>
          </cell>
          <cell r="F211">
            <v>9.2704456535855125E-3</v>
          </cell>
          <cell r="G211">
            <v>0.17050617102205567</v>
          </cell>
          <cell r="H211">
            <v>0.1698448600309671</v>
          </cell>
          <cell r="I211">
            <v>1.4158403854626068E-2</v>
          </cell>
          <cell r="J211">
            <v>0.16985583048399014</v>
          </cell>
          <cell r="K211"/>
        </row>
        <row r="212">
          <cell r="A212" t="str">
            <v>D-ITOT_NKEV_OIL_ELC_CHP</v>
          </cell>
          <cell r="B212" t="str">
            <v>VAR_fout</v>
          </cell>
          <cell r="C212" t="str">
            <v>ELC5</v>
          </cell>
          <cell r="D212">
            <v>1.0712183653428747E-3</v>
          </cell>
          <cell r="E212">
            <v>7.6496196534186513E-4</v>
          </cell>
          <cell r="F212">
            <v>4.9005453696583494E-4</v>
          </cell>
          <cell r="G212">
            <v>6.6984467350981764E-4</v>
          </cell>
          <cell r="H212">
            <v>8.9756335616323702E-4</v>
          </cell>
          <cell r="I212">
            <v>4.3758750901003721E-4</v>
          </cell>
          <cell r="J212">
            <v>6.8897687089595214E-4</v>
          </cell>
          <cell r="K212"/>
        </row>
        <row r="213">
          <cell r="A213" t="str">
            <v>D-ITOT_NKEV_OIL_ELC_CHP</v>
          </cell>
          <cell r="B213" t="str">
            <v>VAR_fin</v>
          </cell>
          <cell r="C213" t="str">
            <v>ITOT_NKEV_OIL_ELC_CHP</v>
          </cell>
          <cell r="D213">
            <v>7.0502718642756743E-2</v>
          </cell>
          <cell r="E213">
            <v>0.17144535464502705</v>
          </cell>
          <cell r="F213">
            <v>9.7566647758342648E-3</v>
          </cell>
          <cell r="G213">
            <v>0.17117233291840359</v>
          </cell>
          <cell r="H213">
            <v>0.17073768570558492</v>
          </cell>
          <cell r="I213">
            <v>1.4590475861489892E-2</v>
          </cell>
          <cell r="J213">
            <v>0.17053927561477852</v>
          </cell>
        </row>
        <row r="214">
          <cell r="A214" t="str">
            <v>RHNS-SHELCBR</v>
          </cell>
          <cell r="B214" t="str">
            <v>VAR_fout</v>
          </cell>
          <cell r="C214" t="str">
            <v>RHNS-SHAELCB</v>
          </cell>
          <cell r="D214"/>
          <cell r="E214">
            <v>6.9061838490484209E-2</v>
          </cell>
          <cell r="F214">
            <v>8.2079166061594325E-3</v>
          </cell>
          <cell r="G214">
            <v>1.726195626553283E-2</v>
          </cell>
          <cell r="H214">
            <v>2.2915005642648562E-2</v>
          </cell>
          <cell r="I214">
            <v>2.7886395189156421E-2</v>
          </cell>
          <cell r="J214">
            <v>3.2199040190436914E-2</v>
          </cell>
          <cell r="K214"/>
        </row>
        <row r="215">
          <cell r="A215" t="str">
            <v>RHNS-SHELCBR</v>
          </cell>
          <cell r="B215" t="str">
            <v>VAR_fin</v>
          </cell>
          <cell r="C215" t="str">
            <v>RHNS_ELC</v>
          </cell>
          <cell r="D215"/>
          <cell r="E215">
            <v>7.2696672095246467E-2</v>
          </cell>
          <cell r="F215">
            <v>8.6399122170099183E-3</v>
          </cell>
          <cell r="G215">
            <v>1.8170480279508232E-2</v>
          </cell>
          <cell r="H215">
            <v>2.4121058571209015E-2</v>
          </cell>
          <cell r="I215">
            <v>2.9354100199112054E-2</v>
          </cell>
          <cell r="J215">
            <v>3.389372651624941E-2</v>
          </cell>
        </row>
        <row r="216">
          <cell r="A216" t="str">
            <v>RHNS-SHELCBR</v>
          </cell>
          <cell r="B216" t="str">
            <v>VAR_ncap</v>
          </cell>
          <cell r="C216" t="str">
            <v>-</v>
          </cell>
          <cell r="D216"/>
          <cell r="E216">
            <v>5.0655853336002204E-3</v>
          </cell>
          <cell r="F216"/>
          <cell r="G216"/>
          <cell r="H216">
            <v>5.6386290789377496E-3</v>
          </cell>
          <cell r="I216"/>
          <cell r="J216"/>
        </row>
        <row r="217">
          <cell r="A217" t="str">
            <v>RHNS-SHELCBR</v>
          </cell>
          <cell r="B217" t="str">
            <v>VAR_cap</v>
          </cell>
          <cell r="C217" t="str">
            <v>-</v>
          </cell>
          <cell r="D217"/>
          <cell r="E217">
            <v>5.0655853336002204E-3</v>
          </cell>
          <cell r="F217">
            <v>5.0643407180960311E-3</v>
          </cell>
          <cell r="G217">
            <v>5.0621886487443131E-3</v>
          </cell>
          <cell r="H217">
            <v>8.2307424244866065E-3</v>
          </cell>
          <cell r="I217">
            <v>5.6385768168517479E-3</v>
          </cell>
          <cell r="J217">
            <v>2.3850391024444954E-3</v>
          </cell>
          <cell r="K217"/>
        </row>
        <row r="218">
          <cell r="A218" t="str">
            <v>ITOT-SWHSTG-SOL</v>
          </cell>
          <cell r="B218" t="str">
            <v>VAR_fout</v>
          </cell>
          <cell r="C218" t="str">
            <v>ITOT-SWHASOL</v>
          </cell>
          <cell r="D218">
            <v>7.9601046170252218E-5</v>
          </cell>
          <cell r="E218">
            <v>8.1524330071675152E-5</v>
          </cell>
          <cell r="F218">
            <v>1.2638995776513968E-4</v>
          </cell>
          <cell r="G218">
            <v>1.074476865845505E-4</v>
          </cell>
          <cell r="H218">
            <v>1.3500659326556456E-4</v>
          </cell>
          <cell r="I218">
            <v>1.5978786343999327E-4</v>
          </cell>
          <cell r="J218">
            <v>1.618628537499037E-4</v>
          </cell>
        </row>
        <row r="219">
          <cell r="A219" t="str">
            <v>ITOT-SWHSTG-SOL</v>
          </cell>
          <cell r="B219" t="str">
            <v>VAR_fin</v>
          </cell>
          <cell r="C219" t="str">
            <v>ITOT-SWHASOL</v>
          </cell>
          <cell r="D219">
            <v>7.051696635286867E-5</v>
          </cell>
          <cell r="E219">
            <v>8.0511868073968802E-5</v>
          </cell>
          <cell r="F219">
            <v>1.3621403157150009E-4</v>
          </cell>
          <cell r="G219">
            <v>1.1178569713925649E-4</v>
          </cell>
          <cell r="H219">
            <v>1.4157905135750887E-4</v>
          </cell>
          <cell r="I219">
            <v>1.672775805570489E-4</v>
          </cell>
          <cell r="J219">
            <v>1.5642984430875811E-4</v>
          </cell>
        </row>
        <row r="220">
          <cell r="A220" t="str">
            <v>ITOT-SWHSTG-SOL</v>
          </cell>
          <cell r="B220" t="str">
            <v>VAR_ncap</v>
          </cell>
          <cell r="C220" t="str">
            <v>-</v>
          </cell>
          <cell r="D220">
            <v>8.1724060064047393E-6</v>
          </cell>
          <cell r="E220">
            <v>1.43527329183892E-8</v>
          </cell>
          <cell r="F220">
            <v>3.5722314015470399E-6</v>
          </cell>
          <cell r="G220">
            <v>2.3257642954149602E-6</v>
          </cell>
          <cell r="H220">
            <v>5.6577862363549203E-6</v>
          </cell>
          <cell r="I220">
            <v>7.8957176624847692E-6</v>
          </cell>
          <cell r="J220">
            <v>5.2803583161478999E-7</v>
          </cell>
        </row>
        <row r="221">
          <cell r="A221" t="str">
            <v>ITOT-SWHSTG-SOL</v>
          </cell>
          <cell r="B221" t="str">
            <v>VAR_cap</v>
          </cell>
          <cell r="C221" t="str">
            <v>-</v>
          </cell>
          <cell r="D221">
            <v>8.1724060064047393E-6</v>
          </cell>
          <cell r="E221">
            <v>8.1867587393231308E-6</v>
          </cell>
          <cell r="F221">
            <v>1.17589901408702E-5</v>
          </cell>
          <cell r="G221">
            <v>1.4084754436285101E-5</v>
          </cell>
          <cell r="H221">
            <v>1.3682522418861099E-5</v>
          </cell>
          <cell r="I221">
            <v>1.5774689568269901E-5</v>
          </cell>
          <cell r="J221">
            <v>8.6514361507600993E-6</v>
          </cell>
        </row>
        <row r="222">
          <cell r="A222" t="str">
            <v>RHES-SHLTHCHPNGA</v>
          </cell>
          <cell r="B222" t="str">
            <v>VAR_fout</v>
          </cell>
          <cell r="C222" t="str">
            <v>RHES-SHLTHC-NGA</v>
          </cell>
          <cell r="D222">
            <v>3.0184577100208852E-2</v>
          </cell>
          <cell r="E222">
            <v>1.0834031534996816E-3</v>
          </cell>
          <cell r="F222"/>
          <cell r="G222"/>
          <cell r="H222"/>
          <cell r="I222"/>
          <cell r="J222"/>
          <cell r="K222"/>
        </row>
        <row r="223">
          <cell r="A223" t="str">
            <v>RHES-SHLTHCHPNGA</v>
          </cell>
          <cell r="B223" t="str">
            <v>VAR_fin</v>
          </cell>
          <cell r="C223" t="str">
            <v>RHESLTHCHPC</v>
          </cell>
          <cell r="D223">
            <v>3.0184577100208852E-2</v>
          </cell>
          <cell r="E223">
            <v>1.0834031534996816E-3</v>
          </cell>
          <cell r="F223"/>
          <cell r="G223"/>
          <cell r="H223"/>
          <cell r="I223"/>
          <cell r="J223"/>
          <cell r="K223"/>
        </row>
        <row r="224">
          <cell r="A224" t="str">
            <v>RHES-SHLTHCHPNGA</v>
          </cell>
          <cell r="B224" t="str">
            <v>VAR_fin</v>
          </cell>
          <cell r="C224" t="str">
            <v>RHES_LTH_CHPNGA_ON</v>
          </cell>
          <cell r="D224">
            <v>3.0489471818392778E-2</v>
          </cell>
          <cell r="E224">
            <v>1.0943466196966492E-3</v>
          </cell>
          <cell r="F224"/>
          <cell r="G224"/>
          <cell r="H224"/>
          <cell r="I224"/>
          <cell r="J224"/>
        </row>
        <row r="225">
          <cell r="A225" t="str">
            <v>RHES-SHLTHCHPNGA</v>
          </cell>
          <cell r="B225" t="str">
            <v>VAR_ncap</v>
          </cell>
          <cell r="C225" t="str">
            <v>-</v>
          </cell>
          <cell r="D225"/>
          <cell r="E225">
            <v>8.2231698098371407E-5</v>
          </cell>
          <cell r="F225">
            <v>1.8352962214255499E-4</v>
          </cell>
          <cell r="G225">
            <v>1.34949688987241E-4</v>
          </cell>
          <cell r="H225">
            <v>1.11578689511344E-4</v>
          </cell>
          <cell r="I225">
            <v>2.7379087039469301E-5</v>
          </cell>
          <cell r="J225">
            <v>1.21153911422408E-6</v>
          </cell>
        </row>
        <row r="226">
          <cell r="A226" t="str">
            <v>RHES-SHLTHCHPNGA</v>
          </cell>
          <cell r="B226" t="str">
            <v>VAR_cap</v>
          </cell>
          <cell r="C226" t="str">
            <v>-</v>
          </cell>
          <cell r="D226">
            <v>5.3757649990155603E-3</v>
          </cell>
          <cell r="E226">
            <v>1.4722151088723129E-4</v>
          </cell>
          <cell r="F226">
            <v>2.7525226215292797E-4</v>
          </cell>
          <cell r="G226">
            <v>2.5955355571979661E-4</v>
          </cell>
          <cell r="H226">
            <v>2.0276566186091193E-4</v>
          </cell>
          <cell r="I226">
            <v>6.3647095577317012E-5</v>
          </cell>
          <cell r="J226">
            <v>2.8744092744295053E-6</v>
          </cell>
        </row>
        <row r="227">
          <cell r="A227" t="str">
            <v>RHSA-WHSTG-ELC</v>
          </cell>
          <cell r="B227" t="str">
            <v>VAR_fout</v>
          </cell>
          <cell r="C227" t="str">
            <v>RHSA-WHAELCB</v>
          </cell>
          <cell r="D227">
            <v>1.2376838791158757</v>
          </cell>
          <cell r="E227">
            <v>1.4071884455970993</v>
          </cell>
          <cell r="F227">
            <v>0.81057769963910398</v>
          </cell>
          <cell r="G227">
            <v>0.68383805096081629</v>
          </cell>
          <cell r="H227">
            <v>0.37522518773999985</v>
          </cell>
          <cell r="I227">
            <v>0.36857589399809348</v>
          </cell>
          <cell r="J227">
            <v>0.33723270745516343</v>
          </cell>
          <cell r="K227"/>
        </row>
        <row r="228">
          <cell r="A228" t="str">
            <v>RHSA-WHSTG-ELC</v>
          </cell>
          <cell r="B228" t="str">
            <v>VAR_fout</v>
          </cell>
          <cell r="C228" t="str">
            <v>AUX_RHSA-WHSTG-ELC_OUT</v>
          </cell>
          <cell r="D228">
            <v>1.2389215629949919</v>
          </cell>
          <cell r="E228">
            <v>1.4085956340426964</v>
          </cell>
          <cell r="F228">
            <v>0.81138827733874275</v>
          </cell>
          <cell r="G228">
            <v>0.68452188901177713</v>
          </cell>
          <cell r="H228">
            <v>0.37560041292773999</v>
          </cell>
          <cell r="I228">
            <v>0.36894446989209156</v>
          </cell>
          <cell r="J228">
            <v>0.33756994016261854</v>
          </cell>
          <cell r="K228"/>
        </row>
        <row r="229">
          <cell r="A229" t="str">
            <v>RHSA-WHSTG-ELC</v>
          </cell>
          <cell r="B229" t="str">
            <v>VAR_fin</v>
          </cell>
          <cell r="C229" t="str">
            <v>RHSA-WHAELCB</v>
          </cell>
          <cell r="D229">
            <v>1.2376906831889543</v>
          </cell>
          <cell r="E229">
            <v>1.4071885141805907</v>
          </cell>
          <cell r="F229">
            <v>0.81057711726574755</v>
          </cell>
          <cell r="G229">
            <v>0.6838376179465504</v>
          </cell>
          <cell r="H229">
            <v>0.37522511587005392</v>
          </cell>
          <cell r="I229">
            <v>0.36857602064171546</v>
          </cell>
          <cell r="J229">
            <v>0.33723281416772743</v>
          </cell>
          <cell r="K229"/>
        </row>
        <row r="230">
          <cell r="A230" t="str">
            <v>RHSA-WHSTG-ELC</v>
          </cell>
          <cell r="B230" t="str">
            <v>VAR_ncap</v>
          </cell>
          <cell r="C230" t="str">
            <v>-</v>
          </cell>
          <cell r="D230">
            <v>0.11101267632488</v>
          </cell>
          <cell r="E230">
            <v>5.5451689751844199E-6</v>
          </cell>
          <cell r="F230">
            <v>2.6315271251881901E-6</v>
          </cell>
          <cell r="G230">
            <v>5.8734439764465996E-6</v>
          </cell>
          <cell r="H230">
            <v>1.67517273473222E-2</v>
          </cell>
          <cell r="I230">
            <v>1.56107297250439E-2</v>
          </cell>
          <cell r="J230">
            <v>9.6032551447658692E-3</v>
          </cell>
        </row>
        <row r="231">
          <cell r="A231" t="str">
            <v>RHSA-WHSTG-ELC</v>
          </cell>
          <cell r="B231" t="str">
            <v>VAR_cap</v>
          </cell>
          <cell r="C231" t="str">
            <v>-</v>
          </cell>
          <cell r="D231">
            <v>0.11101358569376872</v>
          </cell>
          <cell r="E231">
            <v>0.11100843930914368</v>
          </cell>
          <cell r="F231">
            <v>8.287137564436331E-2</v>
          </cell>
          <cell r="G231">
            <v>6.4754303579591513E-2</v>
          </cell>
          <cell r="H231">
            <v>3.3537145161454632E-2</v>
          </cell>
          <cell r="I231">
            <v>3.2357879139224804E-2</v>
          </cell>
          <cell r="J231">
            <v>2.8003544411675765E-2</v>
          </cell>
        </row>
        <row r="232">
          <cell r="A232" t="str">
            <v>ITOT-SWHLFOBR</v>
          </cell>
          <cell r="B232" t="str">
            <v>VAR_fout</v>
          </cell>
          <cell r="C232" t="str">
            <v>ITOT-SWH</v>
          </cell>
          <cell r="D232">
            <v>6.9177103428533977</v>
          </cell>
          <cell r="E232">
            <v>6.3115084394813961</v>
          </cell>
          <cell r="F232">
            <v>6.4452407187836736</v>
          </cell>
          <cell r="G232">
            <v>5.2689416257412374</v>
          </cell>
          <cell r="H232">
            <v>3.9266559070152192</v>
          </cell>
          <cell r="I232">
            <v>2.5782534513949291</v>
          </cell>
          <cell r="J232">
            <v>0.53236217948147524</v>
          </cell>
        </row>
        <row r="233">
          <cell r="A233" t="str">
            <v>ITOT-SWHLFOBR</v>
          </cell>
          <cell r="B233" t="str">
            <v>VAR_fout</v>
          </cell>
          <cell r="C233" t="str">
            <v>CO2_I</v>
          </cell>
          <cell r="D233">
            <v>655.76859775406695</v>
          </cell>
          <cell r="E233">
            <v>597.33696360137799</v>
          </cell>
          <cell r="F233">
            <v>608.51944146685298</v>
          </cell>
          <cell r="G233">
            <v>495.46481946979497</v>
          </cell>
          <cell r="H233">
            <v>367.76753740638998</v>
          </cell>
          <cell r="I233">
            <v>240.51612529481099</v>
          </cell>
          <cell r="J233">
            <v>49.269988343586903</v>
          </cell>
        </row>
        <row r="234">
          <cell r="A234" t="str">
            <v>ITOT-SWHLFOBR</v>
          </cell>
          <cell r="B234" t="str">
            <v>VAR_fin</v>
          </cell>
          <cell r="C234" t="str">
            <v>ILFO</v>
          </cell>
          <cell r="D234">
            <v>8.8978100102315807</v>
          </cell>
          <cell r="E234">
            <v>8.1049791533429705</v>
          </cell>
          <cell r="F234">
            <v>8.2567088394417034</v>
          </cell>
          <cell r="G234">
            <v>6.7227248231993846</v>
          </cell>
          <cell r="H234">
            <v>4.9900615658940319</v>
          </cell>
          <cell r="I234">
            <v>3.2634481044072028</v>
          </cell>
          <cell r="J234">
            <v>0.66852087304731178</v>
          </cell>
          <cell r="K234"/>
        </row>
        <row r="235">
          <cell r="A235" t="str">
            <v>ITOT-SWHLFOBR</v>
          </cell>
          <cell r="B235" t="str">
            <v>VAR_ncap</v>
          </cell>
          <cell r="C235" t="str">
            <v>-</v>
          </cell>
          <cell r="D235"/>
          <cell r="E235">
            <v>6.0453815571086603E-5</v>
          </cell>
          <cell r="F235">
            <v>6.9291597729050401E-6</v>
          </cell>
          <cell r="G235">
            <v>1.04053938688292E-5</v>
          </cell>
          <cell r="H235">
            <v>0.148346977300504</v>
          </cell>
          <cell r="I235">
            <v>1.2088468774901101E-5</v>
          </cell>
          <cell r="J235">
            <v>1.5552698109852401E-6</v>
          </cell>
        </row>
        <row r="236">
          <cell r="A236" t="str">
            <v>ITOT-SWHLFOBR</v>
          </cell>
          <cell r="B236" t="str">
            <v>VAR_cap</v>
          </cell>
          <cell r="C236" t="str">
            <v>-</v>
          </cell>
          <cell r="D236">
            <v>0.37633543963083199</v>
          </cell>
          <cell r="E236">
            <v>0.37639449521587892</v>
          </cell>
          <cell r="F236">
            <v>0.37639311158111793</v>
          </cell>
          <cell r="G236">
            <v>0.37639012471599614</v>
          </cell>
          <cell r="H236">
            <v>0.24597282015560271</v>
          </cell>
          <cell r="I236">
            <v>0.14836164473699087</v>
          </cell>
          <cell r="J236">
            <v>5.9823557314959121E-2</v>
          </cell>
          <cell r="K236"/>
        </row>
        <row r="237">
          <cell r="A237" t="str">
            <v>D-SCOM_LTH_CHPNGA</v>
          </cell>
          <cell r="B237" t="str">
            <v>VAR_fout</v>
          </cell>
          <cell r="C237" t="str">
            <v>LTH</v>
          </cell>
          <cell r="D237"/>
          <cell r="E237">
            <v>3.2257955171028737E-6</v>
          </cell>
          <cell r="F237"/>
          <cell r="G237"/>
          <cell r="H237"/>
          <cell r="I237"/>
          <cell r="J237"/>
          <cell r="K237"/>
        </row>
        <row r="238">
          <cell r="A238" t="str">
            <v>D-SCOM_LTH_CHPNGA</v>
          </cell>
          <cell r="B238" t="str">
            <v>VAR_fout</v>
          </cell>
          <cell r="C238" t="str">
            <v>SCOM_LTH_CHPNGA_ON</v>
          </cell>
          <cell r="D238">
            <v>0.69257563863499105</v>
          </cell>
          <cell r="E238">
            <v>0.75019198336071857</v>
          </cell>
          <cell r="F238"/>
          <cell r="G238"/>
          <cell r="H238"/>
          <cell r="I238"/>
          <cell r="J238"/>
          <cell r="K238"/>
        </row>
        <row r="239">
          <cell r="A239" t="str">
            <v>D-SCOM_LTH_CHPNGA</v>
          </cell>
          <cell r="B239" t="str">
            <v>VAR_fin</v>
          </cell>
          <cell r="C239" t="str">
            <v>SCOM_LTH_CHPNGA</v>
          </cell>
          <cell r="D239">
            <v>0.69257563863499105</v>
          </cell>
          <cell r="E239">
            <v>0.75019559367539534</v>
          </cell>
          <cell r="F239"/>
          <cell r="G239"/>
          <cell r="H239"/>
          <cell r="I239"/>
          <cell r="J239"/>
          <cell r="K239"/>
        </row>
        <row r="240">
          <cell r="A240" t="str">
            <v>D-IWOD</v>
          </cell>
          <cell r="B240" t="str">
            <v>VAR_fout</v>
          </cell>
          <cell r="C240" t="str">
            <v>IWOD</v>
          </cell>
          <cell r="D240">
            <v>9.8746066067617431</v>
          </cell>
          <cell r="E240">
            <v>12.640157885906881</v>
          </cell>
          <cell r="F240">
            <v>14.883719936597286</v>
          </cell>
          <cell r="G240">
            <v>15.060626819589171</v>
          </cell>
          <cell r="H240">
            <v>16.826263695458685</v>
          </cell>
          <cell r="I240">
            <v>18.108063567343379</v>
          </cell>
          <cell r="J240">
            <v>20.267829120502785</v>
          </cell>
          <cell r="K240"/>
        </row>
        <row r="241">
          <cell r="A241" t="str">
            <v>D-IWOD</v>
          </cell>
          <cell r="B241" t="str">
            <v>VAR_fin</v>
          </cell>
          <cell r="C241" t="str">
            <v>WOD</v>
          </cell>
          <cell r="D241">
            <v>9.8746066067617431</v>
          </cell>
          <cell r="E241">
            <v>12.640157885906881</v>
          </cell>
          <cell r="F241">
            <v>14.883719936597286</v>
          </cell>
          <cell r="G241">
            <v>15.060626819589171</v>
          </cell>
          <cell r="H241">
            <v>16.826263695458685</v>
          </cell>
          <cell r="I241">
            <v>18.108063567343379</v>
          </cell>
          <cell r="J241">
            <v>20.267829120502785</v>
          </cell>
        </row>
        <row r="242">
          <cell r="A242" t="str">
            <v>SCOM-ELCSPEC</v>
          </cell>
          <cell r="B242" t="str">
            <v>VAR_fout</v>
          </cell>
          <cell r="C242" t="str">
            <v>SCOM-ELS</v>
          </cell>
          <cell r="D242">
            <v>56.994774574912441</v>
          </cell>
          <cell r="E242">
            <v>58.701894564490466</v>
          </cell>
          <cell r="F242">
            <v>45.22360105569431</v>
          </cell>
          <cell r="G242">
            <v>44.426412587315177</v>
          </cell>
          <cell r="H242">
            <v>43.973581196629127</v>
          </cell>
          <cell r="I242">
            <v>42.947348925706116</v>
          </cell>
          <cell r="J242">
            <v>40.448398694448635</v>
          </cell>
          <cell r="K242"/>
        </row>
        <row r="243">
          <cell r="A243" t="str">
            <v>SCOM-ELCSPEC</v>
          </cell>
          <cell r="B243" t="str">
            <v>VAR_fin</v>
          </cell>
          <cell r="C243" t="str">
            <v>SCOM_ELC</v>
          </cell>
          <cell r="D243">
            <v>56.994774574912441</v>
          </cell>
          <cell r="E243">
            <v>58.701894564490466</v>
          </cell>
          <cell r="F243">
            <v>45.22360105569431</v>
          </cell>
          <cell r="G243">
            <v>44.426412587315177</v>
          </cell>
          <cell r="H243">
            <v>43.973581196629127</v>
          </cell>
          <cell r="I243">
            <v>42.947348925706116</v>
          </cell>
          <cell r="J243">
            <v>40.448398694448635</v>
          </cell>
          <cell r="K243"/>
        </row>
        <row r="244">
          <cell r="A244" t="str">
            <v>SCOM-ELCSPEC</v>
          </cell>
          <cell r="B244" t="str">
            <v>VAR_ncap</v>
          </cell>
          <cell r="C244" t="str">
            <v>-</v>
          </cell>
          <cell r="D244">
            <v>5.9826045443490199E-8</v>
          </cell>
          <cell r="E244">
            <v>3.3482832906341202E-7</v>
          </cell>
          <cell r="F244">
            <v>3.37471987373827E-7</v>
          </cell>
          <cell r="G244">
            <v>3.3377005641043097E-7</v>
          </cell>
          <cell r="H244">
            <v>3.98399567401869E-7</v>
          </cell>
          <cell r="I244">
            <v>5.2802108586305903E-7</v>
          </cell>
          <cell r="J244">
            <v>3.8721337878258701</v>
          </cell>
          <cell r="K244"/>
        </row>
        <row r="245">
          <cell r="A245" t="str">
            <v>SCOM-ELCSPEC</v>
          </cell>
          <cell r="B245" t="str">
            <v>VAR_cap</v>
          </cell>
          <cell r="C245" t="str">
            <v>-</v>
          </cell>
          <cell r="D245">
            <v>6.6055313281799055</v>
          </cell>
          <cell r="E245">
            <v>6.2047500205047985</v>
          </cell>
          <cell r="F245">
            <v>4.7801040176343923</v>
          </cell>
          <cell r="G245">
            <v>4.695841424204688</v>
          </cell>
          <cell r="H245">
            <v>4.6479777659433656</v>
          </cell>
          <cell r="I245">
            <v>4.539505766420401</v>
          </cell>
          <cell r="J245">
            <v>4.2753675712549501</v>
          </cell>
        </row>
        <row r="246">
          <cell r="A246" t="str">
            <v>D-ITOT_KEV_WST_ELC_CHP</v>
          </cell>
          <cell r="B246" t="str">
            <v>VAR_fout</v>
          </cell>
          <cell r="C246" t="str">
            <v>ITOT_ELC</v>
          </cell>
          <cell r="D246">
            <v>3.8407807200854425E-4</v>
          </cell>
          <cell r="E246">
            <v>1.3121217213786613E-4</v>
          </cell>
          <cell r="F246">
            <v>1.0558857530155538E-4</v>
          </cell>
          <cell r="G246">
            <v>1.4076354498338144E-4</v>
          </cell>
          <cell r="H246">
            <v>3.1190080426489345E-4</v>
          </cell>
          <cell r="I246">
            <v>1.7107023336913156E-4</v>
          </cell>
          <cell r="J246">
            <v>5.7772004804524327E-5</v>
          </cell>
          <cell r="K246"/>
        </row>
        <row r="247">
          <cell r="A247" t="str">
            <v>D-ITOT_KEV_WST_ELC_CHP</v>
          </cell>
          <cell r="B247" t="str">
            <v>VAR_fout</v>
          </cell>
          <cell r="C247" t="str">
            <v>ELC5</v>
          </cell>
          <cell r="D247">
            <v>0.22966100269633777</v>
          </cell>
          <cell r="E247">
            <v>0.23002676932199667</v>
          </cell>
          <cell r="F247">
            <v>1.947461378751345E-4</v>
          </cell>
          <cell r="G247">
            <v>1.2743206727991205E-4</v>
          </cell>
          <cell r="H247">
            <v>2.3922997110257876E-4</v>
          </cell>
          <cell r="I247">
            <v>1.3588394055976527E-4</v>
          </cell>
          <cell r="J247">
            <v>5.0885038213004123E-5</v>
          </cell>
          <cell r="K247"/>
        </row>
        <row r="248">
          <cell r="A248" t="str">
            <v>D-ITOT_KEV_WST_ELC_CHP</v>
          </cell>
          <cell r="B248" t="str">
            <v>VAR_fin</v>
          </cell>
          <cell r="C248" t="str">
            <v>ITOT_KEV_WST_ELC_CHP</v>
          </cell>
          <cell r="D248">
            <v>0.23004508076834598</v>
          </cell>
          <cell r="E248">
            <v>0.23015798149413452</v>
          </cell>
          <cell r="F248">
            <v>2.958919532228629E-4</v>
          </cell>
          <cell r="G248">
            <v>2.6392534957786484E-4</v>
          </cell>
          <cell r="H248">
            <v>5.4639260189497324E-4</v>
          </cell>
          <cell r="I248">
            <v>3.0154114622815291E-4</v>
          </cell>
          <cell r="J248">
            <v>1.0380660889903102E-4</v>
          </cell>
        </row>
        <row r="249">
          <cell r="A249" t="str">
            <v>D-RHNM_SOLELC</v>
          </cell>
          <cell r="B249" t="str">
            <v>VAR_fout</v>
          </cell>
          <cell r="C249" t="str">
            <v>ELC5</v>
          </cell>
          <cell r="D249"/>
          <cell r="E249">
            <v>6.6714518190246811E-6</v>
          </cell>
          <cell r="F249">
            <v>3.0131707469990501E-4</v>
          </cell>
          <cell r="G249">
            <v>1.4948604092077593E-4</v>
          </cell>
          <cell r="H249">
            <v>2.951357608456537E-4</v>
          </cell>
          <cell r="I249">
            <v>2.2487740318088119E-4</v>
          </cell>
          <cell r="J249">
            <v>1.3285677398715132E-4</v>
          </cell>
        </row>
        <row r="250">
          <cell r="A250" t="str">
            <v>D-RHNM_SOLELC</v>
          </cell>
          <cell r="B250" t="str">
            <v>VAR_fout</v>
          </cell>
          <cell r="C250" t="str">
            <v>RHNM_ELC</v>
          </cell>
          <cell r="D250"/>
          <cell r="E250">
            <v>7.0651384516545517E-6</v>
          </cell>
          <cell r="F250">
            <v>1.7010561295392803</v>
          </cell>
          <cell r="G250">
            <v>1.882974586457747</v>
          </cell>
          <cell r="H250">
            <v>1.9788440504799707</v>
          </cell>
          <cell r="I250">
            <v>2.0798915671154909</v>
          </cell>
          <cell r="J250">
            <v>2.2976075142630696</v>
          </cell>
        </row>
        <row r="251">
          <cell r="A251" t="str">
            <v>D-RHNM_SOLELC</v>
          </cell>
          <cell r="B251" t="str">
            <v>VAR_fin</v>
          </cell>
          <cell r="C251" t="str">
            <v>RHNM_SOL_ELC</v>
          </cell>
          <cell r="D251"/>
          <cell r="E251">
            <v>1.3314422493404562E-5</v>
          </cell>
          <cell r="F251">
            <v>1.7013574466139791</v>
          </cell>
          <cell r="G251">
            <v>1.8831240724986678</v>
          </cell>
          <cell r="H251">
            <v>1.9791391862408181</v>
          </cell>
          <cell r="I251">
            <v>2.0801164445186724</v>
          </cell>
          <cell r="J251">
            <v>2.2977403710370563</v>
          </cell>
        </row>
        <row r="252">
          <cell r="A252" t="str">
            <v>RHNM-SHSTG-ELCHP</v>
          </cell>
          <cell r="B252" t="str">
            <v>VAR_fout</v>
          </cell>
          <cell r="C252" t="str">
            <v>AUX_RHNM-SHSTG-ELCHP_OUT</v>
          </cell>
          <cell r="D252"/>
          <cell r="E252">
            <v>3.5405692291478319E-6</v>
          </cell>
          <cell r="F252">
            <v>0.15056410536603149</v>
          </cell>
          <cell r="G252">
            <v>0.3000338662678218</v>
          </cell>
          <cell r="H252">
            <v>0.36121781646739337</v>
          </cell>
          <cell r="I252">
            <v>0.43691657930533218</v>
          </cell>
          <cell r="J252">
            <v>0.62045653223157926</v>
          </cell>
          <cell r="K252"/>
        </row>
        <row r="253">
          <cell r="A253" t="str">
            <v>RHNM-SHSTG-ELCHP</v>
          </cell>
          <cell r="B253" t="str">
            <v>VAR_fout</v>
          </cell>
          <cell r="C253" t="str">
            <v>RHNM-SHAELCH</v>
          </cell>
          <cell r="D253"/>
          <cell r="E253">
            <v>3.5370321969508822E-6</v>
          </cell>
          <cell r="F253">
            <v>0.15041369167435717</v>
          </cell>
          <cell r="G253">
            <v>0.29973413213568623</v>
          </cell>
          <cell r="H253">
            <v>0.36085695950788543</v>
          </cell>
          <cell r="I253">
            <v>0.43648009920612607</v>
          </cell>
          <cell r="J253">
            <v>0.61983669553604359</v>
          </cell>
          <cell r="K253"/>
        </row>
        <row r="254">
          <cell r="A254" t="str">
            <v>RHNM-SHSTG-ELCHP</v>
          </cell>
          <cell r="B254" t="str">
            <v>VAR_fin</v>
          </cell>
          <cell r="C254" t="str">
            <v>RHNM-SHAELCH</v>
          </cell>
          <cell r="D254"/>
          <cell r="E254">
            <v>4.0375730974412349E-6</v>
          </cell>
          <cell r="F254">
            <v>0.15041374787990469</v>
          </cell>
          <cell r="G254">
            <v>0.29973487474137089</v>
          </cell>
          <cell r="H254">
            <v>0.3608579512471175</v>
          </cell>
          <cell r="I254">
            <v>0.43648219493666657</v>
          </cell>
          <cell r="J254">
            <v>0.61983887143875782</v>
          </cell>
          <cell r="K254"/>
        </row>
        <row r="255">
          <cell r="A255" t="str">
            <v>RHNM-SHSTG-ELCHP</v>
          </cell>
          <cell r="B255" t="str">
            <v>VAR_ncap</v>
          </cell>
          <cell r="C255" t="str">
            <v>-</v>
          </cell>
          <cell r="D255">
            <v>5.0707199715054603E-6</v>
          </cell>
          <cell r="E255">
            <v>7.6774163126848696E-6</v>
          </cell>
          <cell r="F255">
            <v>1.6714331189697399E-2</v>
          </cell>
          <cell r="G255">
            <v>1.4215178399398299E-2</v>
          </cell>
          <cell r="H255">
            <v>1.00547351634595E-2</v>
          </cell>
          <cell r="I255">
            <v>2.6262775534098601E-2</v>
          </cell>
          <cell r="J255">
            <v>3.8320633530516499E-2</v>
          </cell>
        </row>
        <row r="256">
          <cell r="A256" t="str">
            <v>RHNM-SHSTG-ELCHP</v>
          </cell>
          <cell r="B256" t="str">
            <v>VAR_cap</v>
          </cell>
          <cell r="C256" t="str">
            <v>-</v>
          </cell>
          <cell r="D256">
            <v>5.0707199715054603E-6</v>
          </cell>
          <cell r="E256">
            <v>8.0960359856569101E-6</v>
          </cell>
          <cell r="F256">
            <v>1.671922212354977E-2</v>
          </cell>
          <cell r="G256">
            <v>3.0930273167542054E-2</v>
          </cell>
          <cell r="H256">
            <v>4.0966623001727799E-2</v>
          </cell>
          <cell r="I256">
            <v>4.8960243980082432E-2</v>
          </cell>
          <cell r="J256">
            <v>6.1616239518421725E-2</v>
          </cell>
        </row>
        <row r="257">
          <cell r="A257" t="str">
            <v>D-SCOM_LTH</v>
          </cell>
          <cell r="B257" t="str">
            <v>VAR_fout</v>
          </cell>
          <cell r="C257" t="str">
            <v>SCOM_LTH_DH</v>
          </cell>
          <cell r="D257">
            <v>5.610001351477635</v>
          </cell>
          <cell r="E257">
            <v>6.0767030600791268</v>
          </cell>
          <cell r="F257">
            <v>5.9892066213564963</v>
          </cell>
          <cell r="G257">
            <v>6.9909215167352032</v>
          </cell>
          <cell r="H257">
            <v>7.6331252968936774</v>
          </cell>
          <cell r="I257">
            <v>7.9764022101424272</v>
          </cell>
          <cell r="J257">
            <v>8.4877192635665324</v>
          </cell>
          <cell r="K257"/>
        </row>
        <row r="258">
          <cell r="A258" t="str">
            <v>D-SCOM_LTH</v>
          </cell>
          <cell r="B258" t="str">
            <v>VAR_fin</v>
          </cell>
          <cell r="C258" t="str">
            <v>LTH</v>
          </cell>
          <cell r="D258">
            <v>6.098777202926323</v>
          </cell>
          <cell r="E258">
            <v>6.6044044972610729</v>
          </cell>
          <cell r="F258">
            <v>6.5067447831878287</v>
          </cell>
          <cell r="G258">
            <v>7.5900347548836384</v>
          </cell>
          <cell r="H258">
            <v>8.2818388923232327</v>
          </cell>
          <cell r="I258">
            <v>8.6486170413754149</v>
          </cell>
          <cell r="J258">
            <v>9.1909765669117274</v>
          </cell>
        </row>
        <row r="259">
          <cell r="A259" t="str">
            <v>D-SCOM_LTH</v>
          </cell>
          <cell r="B259" t="str">
            <v>VAR_ncap</v>
          </cell>
          <cell r="C259" t="str">
            <v>-</v>
          </cell>
          <cell r="D259">
            <v>0.84970021883962599</v>
          </cell>
          <cell r="E259">
            <v>1.07578258904549E-8</v>
          </cell>
          <cell r="F259">
            <v>1.23506822674258E-8</v>
          </cell>
          <cell r="G259">
            <v>1.43214777192618E-8</v>
          </cell>
          <cell r="H259">
            <v>2.12512959981306E-8</v>
          </cell>
          <cell r="I259">
            <v>2.1947973909310099E-8</v>
          </cell>
          <cell r="J259">
            <v>2.9243799489662099E-8</v>
          </cell>
          <cell r="K259"/>
        </row>
        <row r="260">
          <cell r="A260" t="str">
            <v>D-SCOM_LTH</v>
          </cell>
          <cell r="B260" t="str">
            <v>VAR_cap</v>
          </cell>
          <cell r="C260" t="str">
            <v>-</v>
          </cell>
          <cell r="D260">
            <v>0.84970021883962599</v>
          </cell>
          <cell r="E260">
            <v>0.84970022959745195</v>
          </cell>
          <cell r="F260">
            <v>0.84970024194813398</v>
          </cell>
          <cell r="G260">
            <v>0.84970025626961199</v>
          </cell>
          <cell r="H260">
            <v>0.84970027752090704</v>
          </cell>
          <cell r="I260">
            <v>0.84970029946888104</v>
          </cell>
          <cell r="J260">
            <v>0.84970032871268097</v>
          </cell>
          <cell r="K260"/>
        </row>
        <row r="261">
          <cell r="A261" t="str">
            <v>ITOT-SWHBIOBR</v>
          </cell>
          <cell r="B261" t="str">
            <v>VAR_fout</v>
          </cell>
          <cell r="C261" t="str">
            <v>ITOT-SWH</v>
          </cell>
          <cell r="D261">
            <v>0.31051352857913567</v>
          </cell>
          <cell r="E261">
            <v>0.3925194842148475</v>
          </cell>
          <cell r="F261">
            <v>1.2216315539110449</v>
          </cell>
          <cell r="G261">
            <v>3.2625663099833249</v>
          </cell>
          <cell r="H261">
            <v>3.8423876028013497</v>
          </cell>
          <cell r="I261">
            <v>5.9925025423934857</v>
          </cell>
          <cell r="J261">
            <v>7.6796088310063357</v>
          </cell>
          <cell r="K261"/>
        </row>
        <row r="262">
          <cell r="A262" t="str">
            <v>ITOT-SWHBIOBR</v>
          </cell>
          <cell r="B262" t="str">
            <v>VAR_fin</v>
          </cell>
          <cell r="C262" t="str">
            <v>IBIO</v>
          </cell>
          <cell r="D262">
            <v>0.43672788829695591</v>
          </cell>
          <cell r="E262">
            <v>0.552066785112303</v>
          </cell>
          <cell r="F262">
            <v>1.7181878395373353</v>
          </cell>
          <cell r="G262">
            <v>4.5887008579231034</v>
          </cell>
          <cell r="H262">
            <v>5.4042019729976758</v>
          </cell>
          <cell r="I262">
            <v>8.428273617993657</v>
          </cell>
          <cell r="J262">
            <v>10.666123376397696</v>
          </cell>
          <cell r="K262"/>
        </row>
        <row r="263">
          <cell r="A263" t="str">
            <v>ITOT-SWHBIOBR</v>
          </cell>
          <cell r="B263" t="str">
            <v>VAR_ncap</v>
          </cell>
          <cell r="C263" t="str">
            <v>-</v>
          </cell>
          <cell r="D263"/>
          <cell r="E263">
            <v>1.6895326571887501E-2</v>
          </cell>
          <cell r="F263">
            <v>3.8920840927460801E-2</v>
          </cell>
          <cell r="G263">
            <v>0.10682856659154701</v>
          </cell>
          <cell r="H263">
            <v>0.12452511563619099</v>
          </cell>
          <cell r="I263">
            <v>0.142046560352109</v>
          </cell>
          <cell r="J263">
            <v>0.33207109667285001</v>
          </cell>
        </row>
        <row r="264">
          <cell r="A264" t="str">
            <v>ITOT-SWHBIOBR</v>
          </cell>
          <cell r="B264" t="str">
            <v>VAR_cap</v>
          </cell>
          <cell r="C264" t="str">
            <v>-</v>
          </cell>
          <cell r="D264">
            <v>1.7013611085743299E-2</v>
          </cell>
          <cell r="E264">
            <v>3.3907692496632343E-2</v>
          </cell>
          <cell r="F264">
            <v>7.2826284531967017E-2</v>
          </cell>
          <cell r="G264">
            <v>0.17965215013179478</v>
          </cell>
          <cell r="H264">
            <v>0.2833269282536775</v>
          </cell>
          <cell r="I264">
            <v>0.34641855641956454</v>
          </cell>
          <cell r="J264">
            <v>0.48782908324258706</v>
          </cell>
        </row>
        <row r="265">
          <cell r="A265" t="str">
            <v>RHNS-SHPLTBR</v>
          </cell>
          <cell r="B265" t="str">
            <v>VAR_fout</v>
          </cell>
          <cell r="C265" t="str">
            <v>RHNS-SHPLT</v>
          </cell>
          <cell r="D265"/>
          <cell r="E265"/>
          <cell r="F265">
            <v>2.5831450217671625E-3</v>
          </cell>
          <cell r="G265">
            <v>6.2443531581287031E-3</v>
          </cell>
          <cell r="H265">
            <v>8.7687466636678247E-3</v>
          </cell>
          <cell r="I265">
            <v>1.1701692749797063E-2</v>
          </cell>
          <cell r="J265">
            <v>1.8155603755743203E-2</v>
          </cell>
        </row>
        <row r="266">
          <cell r="A266" t="str">
            <v>RHNS-SHPLTBR</v>
          </cell>
          <cell r="B266" t="str">
            <v>VAR_fin</v>
          </cell>
          <cell r="C266" t="str">
            <v>RPLT</v>
          </cell>
          <cell r="D266"/>
          <cell r="E266"/>
          <cell r="F266">
            <v>3.4717057072965467E-3</v>
          </cell>
          <cell r="G266">
            <v>8.3586271281836898E-3</v>
          </cell>
          <cell r="H266">
            <v>1.1707613082293873E-2</v>
          </cell>
          <cell r="I266">
            <v>1.5589135156701886E-2</v>
          </cell>
          <cell r="J266">
            <v>2.4152883693172221E-2</v>
          </cell>
        </row>
        <row r="267">
          <cell r="A267" t="str">
            <v>RHNS-SHPLTBR</v>
          </cell>
          <cell r="B267" t="str">
            <v>VAR_ncap</v>
          </cell>
          <cell r="C267" t="str">
            <v>-</v>
          </cell>
          <cell r="D267"/>
          <cell r="E267">
            <v>2.97508271521501E-8</v>
          </cell>
          <cell r="F267">
            <v>1.97877747897317E-4</v>
          </cell>
          <cell r="G267">
            <v>2.7613977541323802E-4</v>
          </cell>
          <cell r="H267">
            <v>1.78108792317752E-4</v>
          </cell>
          <cell r="I267">
            <v>4.58858944311028E-4</v>
          </cell>
          <cell r="J267">
            <v>9.2245136983686298E-4</v>
          </cell>
        </row>
        <row r="268">
          <cell r="A268" t="str">
            <v>RHNS-SHPLTBR</v>
          </cell>
          <cell r="B268" t="str">
            <v>VAR_cap</v>
          </cell>
          <cell r="C268" t="str">
            <v>-</v>
          </cell>
          <cell r="D268"/>
          <cell r="E268">
            <v>2.97508271521501E-8</v>
          </cell>
          <cell r="F268">
            <v>1.9787655267410677E-4</v>
          </cell>
          <cell r="G268">
            <v>4.7392038940237223E-4</v>
          </cell>
          <cell r="H268">
            <v>6.5200120336312856E-4</v>
          </cell>
          <cell r="I268">
            <v>8.6051066564322369E-4</v>
          </cell>
          <cell r="J268">
            <v>1.3307649749596784E-3</v>
          </cell>
        </row>
        <row r="269">
          <cell r="A269" t="str">
            <v>SCOM-SHLTHCHPNGA</v>
          </cell>
          <cell r="B269" t="str">
            <v>VAR_fout</v>
          </cell>
          <cell r="C269" t="str">
            <v>SCOM-SHLTHC-NGA</v>
          </cell>
          <cell r="D269">
            <v>0.68564988224864121</v>
          </cell>
          <cell r="E269">
            <v>0.74269006352711142</v>
          </cell>
          <cell r="F269"/>
          <cell r="G269"/>
          <cell r="H269"/>
          <cell r="I269"/>
          <cell r="J269"/>
        </row>
        <row r="270">
          <cell r="A270" t="str">
            <v>SCOM-SHLTHCHPNGA</v>
          </cell>
          <cell r="B270" t="str">
            <v>VAR_fin</v>
          </cell>
          <cell r="C270" t="str">
            <v>SCOMLTHCHPC</v>
          </cell>
          <cell r="D270">
            <v>0.68564988224864121</v>
          </cell>
          <cell r="E270">
            <v>0.74269006352711142</v>
          </cell>
          <cell r="F270"/>
          <cell r="G270"/>
          <cell r="H270"/>
          <cell r="I270"/>
          <cell r="J270"/>
          <cell r="K270"/>
        </row>
        <row r="271">
          <cell r="A271" t="str">
            <v>SCOM-SHLTHCHPNGA</v>
          </cell>
          <cell r="B271" t="str">
            <v>VAR_fin</v>
          </cell>
          <cell r="C271" t="str">
            <v>SCOM_LTH_CHPNGA_ON</v>
          </cell>
          <cell r="D271">
            <v>0.69257563863499105</v>
          </cell>
          <cell r="E271">
            <v>0.75019198336071857</v>
          </cell>
          <cell r="F271"/>
          <cell r="G271"/>
          <cell r="H271"/>
          <cell r="I271"/>
          <cell r="J271"/>
          <cell r="K271"/>
        </row>
        <row r="272">
          <cell r="A272" t="str">
            <v>SCOM-SHLTHCHPNGA</v>
          </cell>
          <cell r="B272" t="str">
            <v>VAR_ncap</v>
          </cell>
          <cell r="C272" t="str">
            <v>-</v>
          </cell>
          <cell r="D272">
            <v>2.2241700980225601E-8</v>
          </cell>
          <cell r="E272">
            <v>8.0968605399644403E-3</v>
          </cell>
          <cell r="F272">
            <v>6.4420078605404796E-4</v>
          </cell>
          <cell r="G272">
            <v>3.8839061803523798E-5</v>
          </cell>
          <cell r="H272">
            <v>7.1577536177301596E-5</v>
          </cell>
          <cell r="I272">
            <v>3.5487939168484702E-5</v>
          </cell>
          <cell r="J272">
            <v>4.5661760790911202E-6</v>
          </cell>
          <cell r="K272"/>
        </row>
        <row r="273">
          <cell r="A273" t="str">
            <v>SCOM-SHLTHCHPNGA</v>
          </cell>
          <cell r="B273" t="str">
            <v>VAR_cap</v>
          </cell>
          <cell r="C273" t="str">
            <v>-</v>
          </cell>
          <cell r="D273">
            <v>7.5969291200227884E-2</v>
          </cell>
          <cell r="E273">
            <v>5.7387884865303926E-2</v>
          </cell>
          <cell r="F273">
            <v>9.843007758614658E-4</v>
          </cell>
          <cell r="G273">
            <v>9.1692110481891853E-5</v>
          </cell>
          <cell r="H273">
            <v>1.0550492846918627E-4</v>
          </cell>
          <cell r="I273">
            <v>5.8035644752966981E-5</v>
          </cell>
          <cell r="J273">
            <v>1.0357068325802599E-5</v>
          </cell>
          <cell r="K273"/>
        </row>
        <row r="274">
          <cell r="A274" t="str">
            <v>ITOT-PROCESSCO2</v>
          </cell>
          <cell r="B274" t="str">
            <v>VAR_fout</v>
          </cell>
          <cell r="C274" t="str">
            <v>CO2</v>
          </cell>
          <cell r="D274">
            <v>2089.34680048464</v>
          </cell>
          <cell r="E274">
            <v>2111.0131698740802</v>
          </cell>
          <cell r="F274">
            <v>2102.26947106126</v>
          </cell>
          <cell r="G274">
            <v>2093.6570624126398</v>
          </cell>
          <cell r="H274">
            <v>2085.53495476948</v>
          </cell>
          <cell r="I274">
            <v>2077.4128471263102</v>
          </cell>
          <cell r="J274">
            <v>2063.74855625499</v>
          </cell>
          <cell r="K274"/>
        </row>
        <row r="275">
          <cell r="A275" t="str">
            <v>ITOT-PROCESSCO2</v>
          </cell>
          <cell r="B275" t="str">
            <v>VAR_fout</v>
          </cell>
          <cell r="C275" t="str">
            <v>CO2P</v>
          </cell>
          <cell r="D275">
            <v>2089.34680048464</v>
          </cell>
          <cell r="E275">
            <v>2111.0131698740802</v>
          </cell>
          <cell r="F275">
            <v>2102.26947106126</v>
          </cell>
          <cell r="G275">
            <v>2093.6570624126398</v>
          </cell>
          <cell r="H275">
            <v>2085.53495476948</v>
          </cell>
          <cell r="I275">
            <v>2077.4128471263102</v>
          </cell>
          <cell r="J275">
            <v>2063.74855625499</v>
          </cell>
          <cell r="K275"/>
        </row>
        <row r="276">
          <cell r="A276" t="str">
            <v>RHNM-SHWODBR</v>
          </cell>
          <cell r="B276" t="str">
            <v>VAR_fout</v>
          </cell>
          <cell r="C276" t="str">
            <v>RHNM-SHWOD</v>
          </cell>
          <cell r="D276"/>
          <cell r="E276">
            <v>8.1140758769824517E-2</v>
          </cell>
          <cell r="F276">
            <v>9.8860145724021617E-2</v>
          </cell>
          <cell r="G276">
            <v>0.15232166894354285</v>
          </cell>
          <cell r="H276">
            <v>0.1860310381426587</v>
          </cell>
          <cell r="I276">
            <v>0.21544137089135976</v>
          </cell>
          <cell r="J276">
            <v>0.25385711160277596</v>
          </cell>
          <cell r="K276"/>
        </row>
        <row r="277">
          <cell r="A277" t="str">
            <v>RHNM-SHWODBR</v>
          </cell>
          <cell r="B277" t="str">
            <v>VAR_fin</v>
          </cell>
          <cell r="C277" t="str">
            <v>RHNMWODBRC</v>
          </cell>
          <cell r="D277"/>
          <cell r="E277">
            <v>8.1140758769824517E-2</v>
          </cell>
          <cell r="F277">
            <v>9.8860145724021617E-2</v>
          </cell>
          <cell r="G277">
            <v>0.15232166894354285</v>
          </cell>
          <cell r="H277">
            <v>0.1860310381426587</v>
          </cell>
          <cell r="I277">
            <v>0.21544137089135976</v>
          </cell>
          <cell r="J277">
            <v>0.25385711160277596</v>
          </cell>
          <cell r="K277"/>
        </row>
        <row r="278">
          <cell r="A278" t="str">
            <v>RHNM-SHWODBR</v>
          </cell>
          <cell r="B278" t="str">
            <v>VAR_fin</v>
          </cell>
          <cell r="C278" t="str">
            <v>RWOD</v>
          </cell>
          <cell r="D278"/>
          <cell r="E278">
            <v>0.11269549829142286</v>
          </cell>
          <cell r="F278">
            <v>0.1331770404645633</v>
          </cell>
          <cell r="G278">
            <v>0.20459272666126427</v>
          </cell>
          <cell r="H278">
            <v>0.24928509877441046</v>
          </cell>
          <cell r="I278">
            <v>0.28809934894395206</v>
          </cell>
          <cell r="J278">
            <v>0.33947086520551473</v>
          </cell>
        </row>
        <row r="279">
          <cell r="A279" t="str">
            <v>RHNM-SHWODBR</v>
          </cell>
          <cell r="B279" t="str">
            <v>VAR_ncap</v>
          </cell>
          <cell r="C279" t="str">
            <v>-</v>
          </cell>
          <cell r="D279"/>
          <cell r="E279">
            <v>6.3101788601141002E-3</v>
          </cell>
          <cell r="F279">
            <v>5.5220210184442004E-3</v>
          </cell>
          <cell r="G279"/>
          <cell r="H279">
            <v>4.6587852525635201E-2</v>
          </cell>
          <cell r="I279"/>
          <cell r="J279"/>
          <cell r="K279"/>
        </row>
        <row r="280">
          <cell r="A280" t="str">
            <v>RHNM-SHWODBR</v>
          </cell>
          <cell r="B280" t="str">
            <v>VAR_cap</v>
          </cell>
          <cell r="C280" t="str">
            <v>-</v>
          </cell>
          <cell r="D280"/>
          <cell r="E280">
            <v>6.3101788601141002E-3</v>
          </cell>
          <cell r="F280">
            <v>1.1832032290870301E-2</v>
          </cell>
          <cell r="G280">
            <v>1.1832111228705805E-2</v>
          </cell>
          <cell r="H280">
            <v>4.6639309316404733E-2</v>
          </cell>
          <cell r="I280">
            <v>4.6591378552652385E-2</v>
          </cell>
          <cell r="J280">
            <v>1.9706399766626709E-2</v>
          </cell>
          <cell r="K280"/>
        </row>
        <row r="281">
          <cell r="A281" t="str">
            <v>RHNS-SHDEM</v>
          </cell>
          <cell r="B281" t="str">
            <v>VAR_fout</v>
          </cell>
          <cell r="C281" t="str">
            <v>RHNS-SHD</v>
          </cell>
          <cell r="D281"/>
          <cell r="E281">
            <v>0.40468474157116097</v>
          </cell>
          <cell r="F281">
            <v>1.4281636132699294</v>
          </cell>
          <cell r="G281">
            <v>2.8380313998942208</v>
          </cell>
          <cell r="H281">
            <v>3.6807626340115847</v>
          </cell>
          <cell r="I281">
            <v>4.3643140024971023</v>
          </cell>
          <cell r="J281">
            <v>5.3325984744252493</v>
          </cell>
        </row>
        <row r="282">
          <cell r="A282" t="str">
            <v>RHNS-SHDEM</v>
          </cell>
          <cell r="B282" t="str">
            <v>VAR_fin</v>
          </cell>
          <cell r="C282" t="str">
            <v>RHNS-SHLTHC-WOD</v>
          </cell>
          <cell r="D282"/>
          <cell r="E282"/>
          <cell r="F282">
            <v>3.1214246182079445E-5</v>
          </cell>
          <cell r="G282"/>
          <cell r="H282">
            <v>3.2331848080166707E-5</v>
          </cell>
          <cell r="I282"/>
          <cell r="J282">
            <v>3.9057085582301705E-5</v>
          </cell>
          <cell r="K282"/>
        </row>
        <row r="283">
          <cell r="A283" t="str">
            <v>RHNS-SHDEM</v>
          </cell>
          <cell r="B283" t="str">
            <v>VAR_fin</v>
          </cell>
          <cell r="C283" t="str">
            <v>RHNS-SHLFO</v>
          </cell>
          <cell r="D283"/>
          <cell r="E283">
            <v>9.0516739115170718E-5</v>
          </cell>
          <cell r="F283">
            <v>4.1527350676642268E-2</v>
          </cell>
          <cell r="G283">
            <v>6.423920921627016E-2</v>
          </cell>
          <cell r="H283">
            <v>7.3575029066570374E-2</v>
          </cell>
          <cell r="I283">
            <v>7.3021349816525943E-2</v>
          </cell>
          <cell r="J283"/>
          <cell r="K283"/>
        </row>
        <row r="284">
          <cell r="A284" t="str">
            <v>RHNS-SHDEM</v>
          </cell>
          <cell r="B284" t="str">
            <v>VAR_fin</v>
          </cell>
          <cell r="C284" t="str">
            <v>RHNS-SHNGAH</v>
          </cell>
          <cell r="D284"/>
          <cell r="E284"/>
          <cell r="F284">
            <v>0.16662146630758465</v>
          </cell>
          <cell r="G284">
            <v>0.53857960599033428</v>
          </cell>
          <cell r="H284">
            <v>0.77482276744216072</v>
          </cell>
          <cell r="I284">
            <v>0.96893995027970325</v>
          </cell>
          <cell r="J284">
            <v>1.2926554526159788</v>
          </cell>
          <cell r="K284"/>
        </row>
        <row r="285">
          <cell r="A285" t="str">
            <v>RHNS-SHDEM</v>
          </cell>
          <cell r="B285" t="str">
            <v>VAR_fin</v>
          </cell>
          <cell r="C285" t="str">
            <v>RHNS-SHCON</v>
          </cell>
          <cell r="D285"/>
          <cell r="E285"/>
          <cell r="F285">
            <v>3.8440432337272885E-4</v>
          </cell>
          <cell r="G285">
            <v>3.7596922393469628E-4</v>
          </cell>
          <cell r="H285">
            <v>4.85483409693499E-4</v>
          </cell>
          <cell r="I285">
            <v>4.3193248224700975E-3</v>
          </cell>
          <cell r="J285">
            <v>6.6953073274989047E-2</v>
          </cell>
          <cell r="K285"/>
        </row>
        <row r="286">
          <cell r="A286" t="str">
            <v>RHNS-SHDEM</v>
          </cell>
          <cell r="B286" t="str">
            <v>VAR_fin</v>
          </cell>
          <cell r="C286" t="str">
            <v>RHNS-SHWOD</v>
          </cell>
          <cell r="D286"/>
          <cell r="E286">
            <v>2.65157284792958E-2</v>
          </cell>
          <cell r="F286">
            <v>4.8741756312905581E-2</v>
          </cell>
          <cell r="G286">
            <v>8.6990302005700695E-2</v>
          </cell>
          <cell r="H286">
            <v>0.10845221978120466</v>
          </cell>
          <cell r="I286">
            <v>0.12566008874662998</v>
          </cell>
          <cell r="J286">
            <v>0.14379934779023504</v>
          </cell>
        </row>
        <row r="287">
          <cell r="A287" t="str">
            <v>RHNS-SHDEM</v>
          </cell>
          <cell r="B287" t="str">
            <v>VAR_fin</v>
          </cell>
          <cell r="C287" t="str">
            <v>RHNS-SHNST</v>
          </cell>
          <cell r="D287"/>
          <cell r="E287">
            <v>1.0168279526239616E-5</v>
          </cell>
          <cell r="F287">
            <v>2.1742158892996077E-5</v>
          </cell>
          <cell r="G287">
            <v>6.7475074070932588E-5</v>
          </cell>
          <cell r="H287">
            <v>2.4283617929696284E-5</v>
          </cell>
          <cell r="I287">
            <v>8.2496157890514876E-5</v>
          </cell>
          <cell r="J287">
            <v>7.4489700285126218E-5</v>
          </cell>
          <cell r="K287"/>
        </row>
        <row r="288">
          <cell r="A288" t="str">
            <v>RHNS-SHDEM</v>
          </cell>
          <cell r="B288" t="str">
            <v>VAR_fin</v>
          </cell>
          <cell r="C288" t="str">
            <v>RHNS-SHPLT</v>
          </cell>
          <cell r="D288"/>
          <cell r="E288">
            <v>3.8850197662815155E-5</v>
          </cell>
          <cell r="F288">
            <v>2.5826961330003748E-3</v>
          </cell>
          <cell r="G288">
            <v>6.2301673541243869E-3</v>
          </cell>
          <cell r="H288">
            <v>8.7453722435027817E-3</v>
          </cell>
          <cell r="I288">
            <v>1.1671700878865814E-2</v>
          </cell>
          <cell r="J288">
            <v>1.8074559183904222E-2</v>
          </cell>
        </row>
        <row r="289">
          <cell r="A289" t="str">
            <v>RHNS-SHDEM</v>
          </cell>
          <cell r="B289" t="str">
            <v>VAR_fin</v>
          </cell>
          <cell r="C289" t="str">
            <v>RHNS-SHLTHD</v>
          </cell>
          <cell r="D289"/>
          <cell r="E289">
            <v>5.390015175155978E-2</v>
          </cell>
          <cell r="F289">
            <v>4.0722021098670291E-3</v>
          </cell>
          <cell r="G289">
            <v>6.5354503759514912E-3</v>
          </cell>
          <cell r="H289">
            <v>8.5492261046888774E-3</v>
          </cell>
          <cell r="I289">
            <v>1.0365691491610389E-2</v>
          </cell>
          <cell r="J289">
            <v>1.2902224518709553E-2</v>
          </cell>
          <cell r="K289"/>
        </row>
        <row r="290">
          <cell r="A290" t="str">
            <v>RHNS-SHDEM</v>
          </cell>
          <cell r="B290" t="str">
            <v>VAR_fin</v>
          </cell>
          <cell r="C290" t="str">
            <v>RHNS-SHELCB</v>
          </cell>
          <cell r="D290"/>
          <cell r="E290">
            <v>6.8988880242521089E-2</v>
          </cell>
          <cell r="F290">
            <v>8.1751486862465025E-3</v>
          </cell>
          <cell r="G290">
            <v>1.7220771425817499E-2</v>
          </cell>
          <cell r="H290">
            <v>2.2859737863564621E-2</v>
          </cell>
          <cell r="I290">
            <v>2.7826598932615073E-2</v>
          </cell>
          <cell r="J290">
            <v>3.2098340773280658E-2</v>
          </cell>
          <cell r="K290"/>
        </row>
        <row r="291">
          <cell r="A291" t="str">
            <v>RHNS-SHDEM</v>
          </cell>
          <cell r="B291" t="str">
            <v>VAR_fin</v>
          </cell>
          <cell r="C291" t="str">
            <v>RHNS-SHELCH</v>
          </cell>
          <cell r="D291"/>
          <cell r="E291">
            <v>0.1388898724909064</v>
          </cell>
          <cell r="F291">
            <v>1.1006661701290659</v>
          </cell>
          <cell r="G291">
            <v>2.0043391029460906</v>
          </cell>
          <cell r="H291">
            <v>2.5388145595237561</v>
          </cell>
          <cell r="I291">
            <v>2.9770970980330214</v>
          </cell>
          <cell r="J291">
            <v>3.5896253453155742</v>
          </cell>
          <cell r="K291"/>
        </row>
        <row r="292">
          <cell r="A292" t="str">
            <v>RHNS-SHDEM</v>
          </cell>
          <cell r="B292" t="str">
            <v>VAR_fin</v>
          </cell>
          <cell r="C292" t="str">
            <v>RHNS-SHSOL</v>
          </cell>
          <cell r="D292"/>
          <cell r="E292">
            <v>1.3340315834769727E-2</v>
          </cell>
          <cell r="F292">
            <v>1.5685592814556628E-4</v>
          </cell>
          <cell r="G292">
            <v>2.5424638700148161E-4</v>
          </cell>
          <cell r="H292">
            <v>3.4879012007248757E-4</v>
          </cell>
          <cell r="I292">
            <v>4.3577239320700446E-4</v>
          </cell>
          <cell r="J292">
            <v>7.735016956158503E-4</v>
          </cell>
          <cell r="K292"/>
        </row>
        <row r="293">
          <cell r="A293" t="str">
            <v>RHNS-SHDEM</v>
          </cell>
          <cell r="B293" t="str">
            <v>VAR_fin</v>
          </cell>
          <cell r="C293" t="str">
            <v>RHNS-SHLTHC-NGA</v>
          </cell>
          <cell r="D293"/>
          <cell r="E293">
            <v>8.8298984722563225E-4</v>
          </cell>
          <cell r="F293">
            <v>1.2295727319366819E-5</v>
          </cell>
          <cell r="G293"/>
          <cell r="H293">
            <v>3.0216683836047057E-5</v>
          </cell>
          <cell r="I293"/>
          <cell r="J293">
            <v>1.8204689244137499E-7</v>
          </cell>
          <cell r="K293"/>
        </row>
        <row r="294">
          <cell r="A294" t="str">
            <v>RHNS-SHDEM</v>
          </cell>
          <cell r="B294" t="str">
            <v>VAR_fin</v>
          </cell>
          <cell r="C294" t="str">
            <v>RHNS-SHNGA</v>
          </cell>
          <cell r="D294"/>
          <cell r="E294">
            <v>0.10206992858276259</v>
          </cell>
          <cell r="F294">
            <v>5.5255158133179917E-2</v>
          </cell>
          <cell r="G294">
            <v>0.11326804417827523</v>
          </cell>
          <cell r="H294">
            <v>0.14409785383731219</v>
          </cell>
          <cell r="I294">
            <v>0.16495516315282249</v>
          </cell>
          <cell r="J294">
            <v>0.17565009705642218</v>
          </cell>
          <cell r="K294"/>
        </row>
        <row r="295">
          <cell r="A295" t="str">
            <v>RES-ELCSPEC</v>
          </cell>
          <cell r="B295" t="str">
            <v>VAR_fout</v>
          </cell>
          <cell r="C295" t="str">
            <v>RHSA-ELS</v>
          </cell>
          <cell r="D295">
            <v>44.576905675476212</v>
          </cell>
          <cell r="E295">
            <v>44.861180662748197</v>
          </cell>
          <cell r="F295">
            <v>49.523391932068883</v>
          </cell>
          <cell r="G295">
            <v>50.016883451970948</v>
          </cell>
          <cell r="H295">
            <v>50.491599087426216</v>
          </cell>
          <cell r="I295">
            <v>50.540450885682326</v>
          </cell>
          <cell r="J295">
            <v>50.053492172893932</v>
          </cell>
          <cell r="K295"/>
        </row>
        <row r="296">
          <cell r="A296" t="str">
            <v>RES-ELCSPEC</v>
          </cell>
          <cell r="B296" t="str">
            <v>VAR_fin</v>
          </cell>
          <cell r="C296" t="str">
            <v>RHSA_ELC</v>
          </cell>
          <cell r="D296">
            <v>44.576905675476212</v>
          </cell>
          <cell r="E296">
            <v>44.861180662748197</v>
          </cell>
          <cell r="F296">
            <v>49.523391932068883</v>
          </cell>
          <cell r="G296">
            <v>50.016883451970948</v>
          </cell>
          <cell r="H296">
            <v>50.491599087426216</v>
          </cell>
          <cell r="I296">
            <v>50.540450885682326</v>
          </cell>
          <cell r="J296">
            <v>50.053492172893932</v>
          </cell>
          <cell r="K296"/>
        </row>
        <row r="297">
          <cell r="A297" t="str">
            <v>RES-ELCSPEC</v>
          </cell>
          <cell r="B297" t="str">
            <v>VAR_ncap</v>
          </cell>
          <cell r="C297" t="str">
            <v>-</v>
          </cell>
          <cell r="D297">
            <v>0.19321171654553301</v>
          </cell>
          <cell r="E297">
            <v>1.3376266494924699E-6</v>
          </cell>
          <cell r="F297">
            <v>0.47633543439591702</v>
          </cell>
          <cell r="G297">
            <v>5.2161942252525503E-2</v>
          </cell>
          <cell r="H297">
            <v>5.0178766636144699E-2</v>
          </cell>
          <cell r="I297">
            <v>5.1649709866910896E-3</v>
          </cell>
          <cell r="J297">
            <v>4.5691118740097298</v>
          </cell>
          <cell r="K297"/>
        </row>
        <row r="298">
          <cell r="A298" t="str">
            <v>RES-ELCSPEC</v>
          </cell>
          <cell r="B298" t="str">
            <v>VAR_cap</v>
          </cell>
          <cell r="C298" t="str">
            <v>-</v>
          </cell>
          <cell r="D298">
            <v>4.7117484006760026</v>
          </cell>
          <cell r="E298">
            <v>4.7423677722860269</v>
          </cell>
          <cell r="F298">
            <v>5.2345885989553658</v>
          </cell>
          <cell r="G298">
            <v>5.2867501058769593</v>
          </cell>
          <cell r="H298">
            <v>5.3369274884567393</v>
          </cell>
          <cell r="I298">
            <v>5.342090863294862</v>
          </cell>
          <cell r="J298">
            <v>5.2906192791692179</v>
          </cell>
          <cell r="K298"/>
        </row>
        <row r="299">
          <cell r="A299" t="str">
            <v>SCOM-SHCONBR1</v>
          </cell>
          <cell r="B299" t="str">
            <v>VAR_fout</v>
          </cell>
          <cell r="C299" t="str">
            <v>SCOM-SHCON</v>
          </cell>
          <cell r="D299"/>
          <cell r="E299">
            <v>1.5197599283489029</v>
          </cell>
          <cell r="F299">
            <v>0.48779149178631059</v>
          </cell>
          <cell r="G299">
            <v>0.88190403410031581</v>
          </cell>
          <cell r="H299">
            <v>1.2727833284526069</v>
          </cell>
          <cell r="I299">
            <v>2.1658508709745568</v>
          </cell>
          <cell r="J299">
            <v>2.6177932429068966</v>
          </cell>
          <cell r="K299"/>
        </row>
        <row r="300">
          <cell r="A300" t="str">
            <v>SCOM-SHCONBR1</v>
          </cell>
          <cell r="B300" t="str">
            <v>VAR_fin</v>
          </cell>
          <cell r="C300" t="str">
            <v>CON</v>
          </cell>
          <cell r="D300"/>
          <cell r="E300">
            <v>1.5197599283489029</v>
          </cell>
          <cell r="F300">
            <v>0.48779149178631059</v>
          </cell>
          <cell r="G300">
            <v>0.88190403410031581</v>
          </cell>
          <cell r="H300">
            <v>1.2727833284526069</v>
          </cell>
          <cell r="I300">
            <v>2.1658508709745568</v>
          </cell>
          <cell r="J300">
            <v>2.6177932429068966</v>
          </cell>
          <cell r="K300"/>
        </row>
        <row r="301">
          <cell r="A301" t="str">
            <v>SCOM-SHCONBR1</v>
          </cell>
          <cell r="B301" t="str">
            <v>VAR_ncap</v>
          </cell>
          <cell r="C301" t="str">
            <v>-</v>
          </cell>
          <cell r="D301"/>
          <cell r="E301">
            <v>0.11743138343825101</v>
          </cell>
          <cell r="F301">
            <v>4.1844544905004301E-8</v>
          </cell>
          <cell r="G301">
            <v>9.8737018309558201E-8</v>
          </cell>
          <cell r="H301">
            <v>1.57509633741354E-7</v>
          </cell>
          <cell r="I301">
            <v>5.07702061043891E-2</v>
          </cell>
          <cell r="J301">
            <v>8.8513602958964294E-2</v>
          </cell>
          <cell r="K301"/>
        </row>
        <row r="302">
          <cell r="A302" t="str">
            <v>SCOM-SHCONBR1</v>
          </cell>
          <cell r="B302" t="str">
            <v>VAR_cap</v>
          </cell>
          <cell r="C302" t="str">
            <v>-</v>
          </cell>
          <cell r="D302"/>
          <cell r="E302">
            <v>0.11743138343825101</v>
          </cell>
          <cell r="F302">
            <v>0.11743124345379012</v>
          </cell>
          <cell r="G302">
            <v>0.11743123016189297</v>
          </cell>
          <cell r="H302">
            <v>0.11743132694515135</v>
          </cell>
          <cell r="I302">
            <v>0.16820178616118711</v>
          </cell>
          <cell r="J302">
            <v>0.20717124649381435</v>
          </cell>
          <cell r="K302"/>
        </row>
        <row r="303">
          <cell r="A303" t="str">
            <v>RHSA-WHSTG-SOL</v>
          </cell>
          <cell r="B303" t="str">
            <v>VAR_fout</v>
          </cell>
          <cell r="C303" t="str">
            <v>RHSA-WHASOL</v>
          </cell>
          <cell r="D303">
            <v>0.42072782585916568</v>
          </cell>
          <cell r="E303">
            <v>0.49413025597698818</v>
          </cell>
          <cell r="F303">
            <v>0.36011367804327249</v>
          </cell>
          <cell r="G303">
            <v>0.44015508520914998</v>
          </cell>
          <cell r="H303">
            <v>0.41684165743608137</v>
          </cell>
          <cell r="I303">
            <v>0.45458719524470842</v>
          </cell>
          <cell r="J303">
            <v>0.57862363461801292</v>
          </cell>
          <cell r="K303"/>
        </row>
        <row r="304">
          <cell r="A304" t="str">
            <v>RHSA-WHSTG-SOL</v>
          </cell>
          <cell r="B304" t="str">
            <v>VAR_fout</v>
          </cell>
          <cell r="C304" t="str">
            <v>AUX_RHSA-WHSTG-SOL_OUT</v>
          </cell>
          <cell r="D304">
            <v>0.42114855368502468</v>
          </cell>
          <cell r="E304">
            <v>0.49462438623296479</v>
          </cell>
          <cell r="F304">
            <v>0.36047379172131588</v>
          </cell>
          <cell r="G304">
            <v>0.44059524029435909</v>
          </cell>
          <cell r="H304">
            <v>0.41725849909351731</v>
          </cell>
          <cell r="I304">
            <v>0.45504178243995347</v>
          </cell>
          <cell r="J304">
            <v>0.57920225825263105</v>
          </cell>
          <cell r="K304"/>
        </row>
        <row r="305">
          <cell r="A305" t="str">
            <v>RHSA-WHSTG-SOL</v>
          </cell>
          <cell r="B305" t="str">
            <v>VAR_fin</v>
          </cell>
          <cell r="C305" t="str">
            <v>RHSA-WHASOL</v>
          </cell>
          <cell r="D305">
            <v>0.42072121541991159</v>
          </cell>
          <cell r="E305">
            <v>0.4941388032703104</v>
          </cell>
          <cell r="F305">
            <v>0.36012214532686221</v>
          </cell>
          <cell r="G305">
            <v>0.44016296404271743</v>
          </cell>
          <cell r="H305">
            <v>0.41684802661507681</v>
          </cell>
          <cell r="I305">
            <v>0.45459091145144109</v>
          </cell>
          <cell r="J305">
            <v>0.57862852122344932</v>
          </cell>
        </row>
        <row r="306">
          <cell r="A306" t="str">
            <v>RHSA-WHSTG-SOL</v>
          </cell>
          <cell r="B306" t="str">
            <v>VAR_ncap</v>
          </cell>
          <cell r="C306" t="str">
            <v>-</v>
          </cell>
          <cell r="D306">
            <v>6.5330001777000504E-2</v>
          </cell>
          <cell r="E306">
            <v>1.29150674874295E-2</v>
          </cell>
          <cell r="F306">
            <v>1.35033602167057E-7</v>
          </cell>
          <cell r="G306">
            <v>3.1925852830622101E-7</v>
          </cell>
          <cell r="H306">
            <v>3.97951639047356E-2</v>
          </cell>
          <cell r="I306">
            <v>3.02312555083749E-2</v>
          </cell>
          <cell r="J306">
            <v>5.3093088298953602E-2</v>
          </cell>
          <cell r="K306"/>
        </row>
        <row r="307">
          <cell r="A307" t="str">
            <v>RHSA-WHSTG-SOL</v>
          </cell>
          <cell r="B307" t="str">
            <v>VAR_cap</v>
          </cell>
          <cell r="C307" t="str">
            <v>-</v>
          </cell>
          <cell r="D307">
            <v>6.5331064329964106E-2</v>
          </cell>
          <cell r="E307">
            <v>7.8246131817393608E-2</v>
          </cell>
          <cell r="F307">
            <v>7.8246266850995699E-2</v>
          </cell>
          <cell r="G307">
            <v>7.8246586109524008E-2</v>
          </cell>
          <cell r="H307">
            <v>6.3355172848353958E-2</v>
          </cell>
          <cell r="I307">
            <v>7.0026661379725894E-2</v>
          </cell>
          <cell r="J307">
            <v>9.1866065371270803E-2</v>
          </cell>
        </row>
        <row r="308">
          <cell r="A308" t="str">
            <v>SCOM-SHCONBR2</v>
          </cell>
          <cell r="B308" t="str">
            <v>VAR_fout</v>
          </cell>
          <cell r="C308" t="str">
            <v>SCOM-SHCON</v>
          </cell>
          <cell r="D308"/>
          <cell r="E308">
            <v>2.3670519184193863</v>
          </cell>
          <cell r="F308">
            <v>0.72276697379591937</v>
          </cell>
          <cell r="G308">
            <v>1.3997568610638251</v>
          </cell>
          <cell r="H308">
            <v>2.0030459376624719</v>
          </cell>
          <cell r="I308">
            <v>2.3556156969383859</v>
          </cell>
          <cell r="J308">
            <v>4.0772693978047529</v>
          </cell>
          <cell r="K308"/>
        </row>
        <row r="309">
          <cell r="A309" t="str">
            <v>SCOM-SHCONBR2</v>
          </cell>
          <cell r="B309" t="str">
            <v>VAR_fin</v>
          </cell>
          <cell r="C309" t="str">
            <v>CON</v>
          </cell>
          <cell r="D309"/>
          <cell r="E309">
            <v>2.3670519184193863</v>
          </cell>
          <cell r="F309">
            <v>0.72276697379591937</v>
          </cell>
          <cell r="G309">
            <v>1.3997568610638251</v>
          </cell>
          <cell r="H309">
            <v>2.0030459376624719</v>
          </cell>
          <cell r="I309">
            <v>2.3556156969383859</v>
          </cell>
          <cell r="J309">
            <v>4.0772693978047529</v>
          </cell>
          <cell r="K309"/>
        </row>
        <row r="310">
          <cell r="A310" t="str">
            <v>SCOM-SHCONBR2</v>
          </cell>
          <cell r="B310" t="str">
            <v>VAR_ncap</v>
          </cell>
          <cell r="C310" t="str">
            <v>-</v>
          </cell>
          <cell r="D310"/>
          <cell r="E310">
            <v>0.182901933940987</v>
          </cell>
          <cell r="F310">
            <v>3.6974076484241803E-8</v>
          </cell>
          <cell r="G310">
            <v>8.3548541103036904E-8</v>
          </cell>
          <cell r="H310">
            <v>1.23358615647336E-7</v>
          </cell>
          <cell r="I310">
            <v>8.1701222721244895E-7</v>
          </cell>
          <cell r="J310">
            <v>0.210366742807924</v>
          </cell>
          <cell r="K310"/>
        </row>
        <row r="311">
          <cell r="A311" t="str">
            <v>SCOM-SHCONBR2</v>
          </cell>
          <cell r="B311" t="str">
            <v>VAR_cap</v>
          </cell>
          <cell r="C311" t="str">
            <v>-</v>
          </cell>
          <cell r="D311"/>
          <cell r="E311">
            <v>0.182901933940987</v>
          </cell>
          <cell r="F311">
            <v>0.18290178729048553</v>
          </cell>
          <cell r="G311">
            <v>0.18290175866841607</v>
          </cell>
          <cell r="H311">
            <v>0.18290182157979154</v>
          </cell>
          <cell r="I311">
            <v>0.18290289293522818</v>
          </cell>
          <cell r="J311">
            <v>0.31610353869290786</v>
          </cell>
        </row>
        <row r="312">
          <cell r="A312" t="str">
            <v>SCOM-SHCONBR3</v>
          </cell>
          <cell r="B312" t="str">
            <v>VAR_fout</v>
          </cell>
          <cell r="C312" t="str">
            <v>SCOM-SHCON</v>
          </cell>
          <cell r="D312"/>
          <cell r="E312">
            <v>1.9020154475600723</v>
          </cell>
          <cell r="F312">
            <v>0.59319854858764332</v>
          </cell>
          <cell r="G312">
            <v>1.1134750731955332</v>
          </cell>
          <cell r="H312">
            <v>1.6048552201092601</v>
          </cell>
          <cell r="I312">
            <v>1.8917455289570138</v>
          </cell>
          <cell r="J312">
            <v>3.2762342864943794</v>
          </cell>
        </row>
        <row r="313">
          <cell r="A313" t="str">
            <v>SCOM-SHCONBR3</v>
          </cell>
          <cell r="B313" t="str">
            <v>VAR_fin</v>
          </cell>
          <cell r="C313" t="str">
            <v>CON</v>
          </cell>
          <cell r="D313"/>
          <cell r="E313">
            <v>1.9020154475600723</v>
          </cell>
          <cell r="F313">
            <v>0.59319854858764332</v>
          </cell>
          <cell r="G313">
            <v>1.1134750731955332</v>
          </cell>
          <cell r="H313">
            <v>1.6048552201092601</v>
          </cell>
          <cell r="I313">
            <v>1.8917455289570138</v>
          </cell>
          <cell r="J313">
            <v>3.2762342864943794</v>
          </cell>
          <cell r="K313"/>
        </row>
        <row r="314">
          <cell r="A314" t="str">
            <v>SCOM-SHCONBR3</v>
          </cell>
          <cell r="B314" t="str">
            <v>VAR_ncap</v>
          </cell>
          <cell r="C314" t="str">
            <v>-</v>
          </cell>
          <cell r="D314"/>
          <cell r="E314">
            <v>0.14696837992429801</v>
          </cell>
          <cell r="F314">
            <v>1.7523614708501699E-8</v>
          </cell>
          <cell r="G314">
            <v>3.0947608310312301E-8</v>
          </cell>
          <cell r="H314">
            <v>3.9888820403430897E-8</v>
          </cell>
          <cell r="I314">
            <v>6.4553060974894597E-8</v>
          </cell>
          <cell r="J314">
            <v>0.16819626714239599</v>
          </cell>
        </row>
        <row r="315">
          <cell r="A315" t="str">
            <v>SCOM-SHCONBR3</v>
          </cell>
          <cell r="B315" t="str">
            <v>VAR_cap</v>
          </cell>
          <cell r="C315" t="str">
            <v>-</v>
          </cell>
          <cell r="D315"/>
          <cell r="E315">
            <v>0.14696837992429801</v>
          </cell>
          <cell r="F315">
            <v>0.14696821491102646</v>
          </cell>
          <cell r="G315">
            <v>0.14696813437753331</v>
          </cell>
          <cell r="H315">
            <v>0.14696811439409788</v>
          </cell>
          <cell r="I315">
            <v>0.14696843342817101</v>
          </cell>
          <cell r="J315">
            <v>0.25315896838623975</v>
          </cell>
        </row>
        <row r="316">
          <cell r="A316" t="str">
            <v>SCOM-SHCONBR4</v>
          </cell>
          <cell r="B316" t="str">
            <v>VAR_fout</v>
          </cell>
          <cell r="C316" t="str">
            <v>SCOM-SHCON</v>
          </cell>
          <cell r="D316"/>
          <cell r="E316">
            <v>0.52287851240855054</v>
          </cell>
          <cell r="F316">
            <v>0.19657216366563099</v>
          </cell>
          <cell r="G316">
            <v>0.29746431544512536</v>
          </cell>
          <cell r="H316">
            <v>0.4290537399745325</v>
          </cell>
          <cell r="I316">
            <v>0.5168721664767012</v>
          </cell>
          <cell r="J316">
            <v>0.42157739241521014</v>
          </cell>
          <cell r="K316"/>
        </row>
        <row r="317">
          <cell r="A317" t="str">
            <v>SCOM-SHCONBR4</v>
          </cell>
          <cell r="B317" t="str">
            <v>VAR_fin</v>
          </cell>
          <cell r="C317" t="str">
            <v>CON</v>
          </cell>
          <cell r="D317"/>
          <cell r="E317">
            <v>0.52287851240855054</v>
          </cell>
          <cell r="F317">
            <v>0.19657216366563099</v>
          </cell>
          <cell r="G317">
            <v>0.29746431544512536</v>
          </cell>
          <cell r="H317">
            <v>0.4290537399745325</v>
          </cell>
          <cell r="I317">
            <v>0.5168721664767012</v>
          </cell>
          <cell r="J317">
            <v>0.42157739241521014</v>
          </cell>
          <cell r="K317"/>
        </row>
        <row r="318">
          <cell r="A318" t="str">
            <v>SCOM-SHCONBR4</v>
          </cell>
          <cell r="B318" t="str">
            <v>VAR_ncap</v>
          </cell>
          <cell r="C318" t="str">
            <v>-</v>
          </cell>
          <cell r="D318"/>
          <cell r="E318">
            <v>4.0401865197878098E-2</v>
          </cell>
          <cell r="F318">
            <v>1.45405747745437E-8</v>
          </cell>
          <cell r="G318">
            <v>2.3631585588964901E-8</v>
          </cell>
          <cell r="H318">
            <v>2.9119452866393599E-8</v>
          </cell>
          <cell r="I318">
            <v>4.4510549528541001E-8</v>
          </cell>
          <cell r="J318">
            <v>9.22101301844243E-3</v>
          </cell>
          <cell r="K318"/>
        </row>
        <row r="319">
          <cell r="A319" t="str">
            <v>SCOM-SHCONBR4</v>
          </cell>
          <cell r="B319" t="str">
            <v>VAR_cap</v>
          </cell>
          <cell r="C319" t="str">
            <v>-</v>
          </cell>
          <cell r="D319"/>
          <cell r="E319">
            <v>4.0401865197878098E-2</v>
          </cell>
          <cell r="F319">
            <v>4.0401704507566513E-2</v>
          </cell>
          <cell r="G319">
            <v>4.0401618577506959E-2</v>
          </cell>
          <cell r="H319">
            <v>4.0401586942471292E-2</v>
          </cell>
          <cell r="I319">
            <v>4.0401879915550408E-2</v>
          </cell>
          <cell r="J319">
            <v>3.2577472974913452E-2</v>
          </cell>
        </row>
        <row r="320">
          <cell r="A320" t="str">
            <v>RHEM-SHNGABR</v>
          </cell>
          <cell r="B320" t="str">
            <v>VAR_fout</v>
          </cell>
          <cell r="C320" t="str">
            <v>CO2_R</v>
          </cell>
          <cell r="D320">
            <v>1127.9631648260799</v>
          </cell>
          <cell r="E320">
            <v>1131.3649396560199</v>
          </cell>
          <cell r="F320">
            <v>1305.2008563034799</v>
          </cell>
          <cell r="G320">
            <v>1100.53904271178</v>
          </cell>
          <cell r="H320">
            <v>886.29507675890602</v>
          </cell>
          <cell r="I320">
            <v>665.84751289411997</v>
          </cell>
          <cell r="J320">
            <v>293.40018184140803</v>
          </cell>
        </row>
        <row r="321">
          <cell r="A321" t="str">
            <v>RHEM-SHNGABR</v>
          </cell>
          <cell r="B321" t="str">
            <v>VAR_fout</v>
          </cell>
          <cell r="C321" t="str">
            <v>RHEM-SHNGA</v>
          </cell>
          <cell r="D321">
            <v>18.999379549375433</v>
          </cell>
          <cell r="E321">
            <v>19.056678948106725</v>
          </cell>
          <cell r="F321">
            <v>21.837940615917589</v>
          </cell>
          <cell r="G321">
            <v>18.526424790110806</v>
          </cell>
          <cell r="H321">
            <v>14.946283272274158</v>
          </cell>
          <cell r="I321">
            <v>11.228704530603988</v>
          </cell>
          <cell r="J321">
            <v>4.9496248852921108</v>
          </cell>
          <cell r="K321"/>
        </row>
        <row r="322">
          <cell r="A322" t="str">
            <v>RHEM-SHNGABR</v>
          </cell>
          <cell r="B322" t="str">
            <v>VAR_fin</v>
          </cell>
          <cell r="C322" t="str">
            <v>RNGA</v>
          </cell>
          <cell r="D322">
            <v>19.999346894079398</v>
          </cell>
          <cell r="E322">
            <v>20.059662050638675</v>
          </cell>
          <cell r="F322">
            <v>23.141859154317117</v>
          </cell>
          <cell r="G322">
            <v>19.513103594180581</v>
          </cell>
          <cell r="H322">
            <v>15.714451715583452</v>
          </cell>
          <cell r="I322">
            <v>11.8058069662078</v>
          </cell>
          <cell r="J322">
            <v>5.2021308837129041</v>
          </cell>
          <cell r="K322"/>
        </row>
        <row r="323">
          <cell r="A323" t="str">
            <v>RHEM-SHNGABR</v>
          </cell>
          <cell r="B323" t="str">
            <v>VAR_ncap</v>
          </cell>
          <cell r="C323" t="str">
            <v>-</v>
          </cell>
          <cell r="D323"/>
          <cell r="E323">
            <v>1.33658010731972E-6</v>
          </cell>
          <cell r="F323">
            <v>0.195227837034879</v>
          </cell>
          <cell r="G323">
            <v>1.27877973780413E-7</v>
          </cell>
          <cell r="H323">
            <v>0.51101358529999896</v>
          </cell>
          <cell r="I323">
            <v>0.24731791681238</v>
          </cell>
          <cell r="J323">
            <v>6.9806780015364801E-8</v>
          </cell>
        </row>
        <row r="324">
          <cell r="A324" t="str">
            <v>RHEM-SHNGABR</v>
          </cell>
          <cell r="B324" t="str">
            <v>VAR_cap</v>
          </cell>
          <cell r="C324" t="str">
            <v>-</v>
          </cell>
          <cell r="D324">
            <v>1.34683498965227</v>
          </cell>
          <cell r="E324">
            <v>1.3468361798504866</v>
          </cell>
          <cell r="F324">
            <v>1.5420640745815526</v>
          </cell>
          <cell r="G324">
            <v>1.542027525091779</v>
          </cell>
          <cell r="H324">
            <v>1.0555123839115708</v>
          </cell>
          <cell r="I324">
            <v>0.7929105369151852</v>
          </cell>
          <cell r="J324">
            <v>0.36051058385651991</v>
          </cell>
        </row>
        <row r="325">
          <cell r="A325" t="str">
            <v>SCOM-SHCONBR5</v>
          </cell>
          <cell r="B325" t="str">
            <v>VAR_fout</v>
          </cell>
          <cell r="C325" t="str">
            <v>SCOM-SHCON</v>
          </cell>
          <cell r="D325"/>
          <cell r="E325">
            <v>0.65260594348418621</v>
          </cell>
          <cell r="F325">
            <v>0.23724294356240705</v>
          </cell>
          <cell r="G325">
            <v>0.37192304766355738</v>
          </cell>
          <cell r="H325">
            <v>0.53839345389731741</v>
          </cell>
          <cell r="I325">
            <v>0.64601900814243429</v>
          </cell>
          <cell r="J325">
            <v>0.37724120158781688</v>
          </cell>
        </row>
        <row r="326">
          <cell r="A326" t="str">
            <v>SCOM-SHCONBR5</v>
          </cell>
          <cell r="B326" t="str">
            <v>VAR_fin</v>
          </cell>
          <cell r="C326" t="str">
            <v>CON</v>
          </cell>
          <cell r="D326"/>
          <cell r="E326">
            <v>0.65260594348418621</v>
          </cell>
          <cell r="F326">
            <v>0.23724294356240705</v>
          </cell>
          <cell r="G326">
            <v>0.37192304766355738</v>
          </cell>
          <cell r="H326">
            <v>0.53839345389731741</v>
          </cell>
          <cell r="I326">
            <v>0.64601900814243429</v>
          </cell>
          <cell r="J326">
            <v>0.37724120158781688</v>
          </cell>
          <cell r="K326"/>
        </row>
        <row r="327">
          <cell r="A327" t="str">
            <v>SCOM-SHCONBR5</v>
          </cell>
          <cell r="B327" t="str">
            <v>VAR_ncap</v>
          </cell>
          <cell r="C327" t="str">
            <v>-</v>
          </cell>
          <cell r="D327"/>
          <cell r="E327">
            <v>5.0426034838215901E-2</v>
          </cell>
          <cell r="F327">
            <v>1.25538768567145E-8</v>
          </cell>
          <cell r="G327">
            <v>1.9210755499250901E-8</v>
          </cell>
          <cell r="H327">
            <v>2.25158713360256E-8</v>
          </cell>
          <cell r="I327">
            <v>3.3140168058748E-8</v>
          </cell>
          <cell r="J327">
            <v>1.7326369324656301E-7</v>
          </cell>
          <cell r="K327"/>
        </row>
        <row r="328">
          <cell r="A328" t="str">
            <v>SCOM-SHCONBR5</v>
          </cell>
          <cell r="B328" t="str">
            <v>VAR_cap</v>
          </cell>
          <cell r="C328" t="str">
            <v>-</v>
          </cell>
          <cell r="D328"/>
          <cell r="E328">
            <v>5.0426034838215901E-2</v>
          </cell>
          <cell r="F328">
            <v>5.0425870605401164E-2</v>
          </cell>
          <cell r="G328">
            <v>5.0425779830278634E-2</v>
          </cell>
          <cell r="H328">
            <v>5.0425741879429518E-2</v>
          </cell>
          <cell r="I328">
            <v>5.0426025170274121E-2</v>
          </cell>
          <cell r="J328">
            <v>2.9151592142535331E-2</v>
          </cell>
        </row>
        <row r="329">
          <cell r="A329" t="str">
            <v>RHES-SHSTG-ELCHP</v>
          </cell>
          <cell r="B329" t="str">
            <v>VAR_fout</v>
          </cell>
          <cell r="C329" t="str">
            <v>RHES-SHAELCH</v>
          </cell>
          <cell r="D329">
            <v>0.99334079393029906</v>
          </cell>
          <cell r="E329">
            <v>1.5141956940420582</v>
          </cell>
          <cell r="F329">
            <v>2.8846459082707581</v>
          </cell>
          <cell r="G329">
            <v>3.7914918404524904</v>
          </cell>
          <cell r="H329">
            <v>3.6976289527130226</v>
          </cell>
          <cell r="I329">
            <v>4.1137089174185295</v>
          </cell>
          <cell r="J329">
            <v>4.1657150621797454</v>
          </cell>
          <cell r="K329"/>
        </row>
        <row r="330">
          <cell r="A330" t="str">
            <v>RHES-SHSTG-ELCHP</v>
          </cell>
          <cell r="B330" t="str">
            <v>VAR_fout</v>
          </cell>
          <cell r="C330" t="str">
            <v>AUX_RHES-SHSTG-ELCHP_OUT</v>
          </cell>
          <cell r="D330">
            <v>0.99433413472422993</v>
          </cell>
          <cell r="E330">
            <v>1.5157098897361017</v>
          </cell>
          <cell r="F330">
            <v>2.8875305541790279</v>
          </cell>
          <cell r="G330">
            <v>3.7952833322929433</v>
          </cell>
          <cell r="H330">
            <v>3.7013265816657328</v>
          </cell>
          <cell r="I330">
            <v>4.1178226263359479</v>
          </cell>
          <cell r="J330">
            <v>4.1698807772419242</v>
          </cell>
          <cell r="K330"/>
        </row>
        <row r="331">
          <cell r="A331" t="str">
            <v>RHES-SHSTG-ELCHP</v>
          </cell>
          <cell r="B331" t="str">
            <v>VAR_fin</v>
          </cell>
          <cell r="C331" t="str">
            <v>RHES-SHAELCH</v>
          </cell>
          <cell r="D331">
            <v>0.99334701600864062</v>
          </cell>
          <cell r="E331">
            <v>1.5141986547551953</v>
          </cell>
          <cell r="F331">
            <v>2.8846470928040047</v>
          </cell>
          <cell r="G331">
            <v>3.7914933683630956</v>
          </cell>
          <cell r="H331">
            <v>3.6976306012885174</v>
          </cell>
          <cell r="I331">
            <v>4.1137111431042959</v>
          </cell>
          <cell r="J331">
            <v>4.1657175903112558</v>
          </cell>
        </row>
        <row r="332">
          <cell r="A332" t="str">
            <v>RHES-SHSTG-ELCHP</v>
          </cell>
          <cell r="B332" t="str">
            <v>VAR_ncap</v>
          </cell>
          <cell r="C332" t="str">
            <v>-</v>
          </cell>
          <cell r="D332">
            <v>9.2059197728545594E-2</v>
          </cell>
          <cell r="E332">
            <v>5.4446738036529899E-2</v>
          </cell>
          <cell r="F332">
            <v>0.13223725996578301</v>
          </cell>
          <cell r="G332">
            <v>4.5664289904778103E-2</v>
          </cell>
          <cell r="H332">
            <v>0.12129454474104499</v>
          </cell>
          <cell r="I332">
            <v>0.18875535445622699</v>
          </cell>
          <cell r="J332">
            <v>0.19941232836890099</v>
          </cell>
          <cell r="K332"/>
        </row>
        <row r="333">
          <cell r="A333" t="str">
            <v>RHES-SHSTG-ELCHP</v>
          </cell>
          <cell r="B333" t="str">
            <v>VAR_cap</v>
          </cell>
          <cell r="C333" t="str">
            <v>-</v>
          </cell>
          <cell r="D333">
            <v>9.2059197728545594E-2</v>
          </cell>
          <cell r="E333">
            <v>0.14649999983294271</v>
          </cell>
          <cell r="F333">
            <v>0.27873364663935979</v>
          </cell>
          <cell r="G333">
            <v>0.32439458466246779</v>
          </cell>
          <cell r="H333">
            <v>0.3509375458811877</v>
          </cell>
          <cell r="I333">
            <v>0.36464442935220609</v>
          </cell>
          <cell r="J333">
            <v>0.38769475254624308</v>
          </cell>
          <cell r="K333"/>
        </row>
        <row r="334">
          <cell r="A334" t="str">
            <v>SCOM-SHCONBR6</v>
          </cell>
          <cell r="B334" t="str">
            <v>VAR_fout</v>
          </cell>
          <cell r="C334" t="str">
            <v>SCOM-SHCON</v>
          </cell>
          <cell r="D334"/>
          <cell r="E334"/>
          <cell r="F334"/>
          <cell r="G334"/>
          <cell r="H334">
            <v>6.6807006326361445E-5</v>
          </cell>
          <cell r="I334">
            <v>9.2914077966553554E-5</v>
          </cell>
          <cell r="J334">
            <v>1.3895339207984256E-4</v>
          </cell>
          <cell r="K334"/>
        </row>
        <row r="335">
          <cell r="A335" t="str">
            <v>SCOM-SHCONBR6</v>
          </cell>
          <cell r="B335" t="str">
            <v>VAR_fin</v>
          </cell>
          <cell r="C335" t="str">
            <v>CON</v>
          </cell>
          <cell r="D335"/>
          <cell r="E335"/>
          <cell r="F335"/>
          <cell r="G335"/>
          <cell r="H335">
            <v>6.6807006326361445E-5</v>
          </cell>
          <cell r="I335">
            <v>9.2914077966553554E-5</v>
          </cell>
          <cell r="J335">
            <v>1.3895339207984256E-4</v>
          </cell>
          <cell r="K335"/>
        </row>
        <row r="336">
          <cell r="A336" t="str">
            <v>SCOM-SHCONBR6</v>
          </cell>
          <cell r="B336" t="str">
            <v>VAR_ncap</v>
          </cell>
          <cell r="C336" t="str">
            <v>-</v>
          </cell>
          <cell r="D336"/>
          <cell r="E336"/>
          <cell r="F336"/>
          <cell r="G336"/>
          <cell r="H336">
            <v>8.9849057069700792E-6</v>
          </cell>
          <cell r="I336">
            <v>1.7081886691398501E-7</v>
          </cell>
          <cell r="J336">
            <v>2.4839709277865598E-6</v>
          </cell>
          <cell r="K336"/>
        </row>
        <row r="337">
          <cell r="A337" t="str">
            <v>SCOM-SHCONBR6</v>
          </cell>
          <cell r="B337" t="str">
            <v>VAR_cap</v>
          </cell>
          <cell r="C337" t="str">
            <v>-</v>
          </cell>
          <cell r="D337"/>
          <cell r="F337"/>
          <cell r="G337"/>
          <cell r="H337">
            <v>8.9849057069700792E-6</v>
          </cell>
          <cell r="I337">
            <v>9.1447067691140854E-6</v>
          </cell>
          <cell r="J337">
            <v>1.16396955016706E-5</v>
          </cell>
          <cell r="K337"/>
        </row>
        <row r="338">
          <cell r="A338" t="str">
            <v>RHNM-SHDEM</v>
          </cell>
          <cell r="B338" t="str">
            <v>VAR_fout</v>
          </cell>
          <cell r="C338" t="str">
            <v>RHNM-SHD</v>
          </cell>
          <cell r="D338"/>
          <cell r="E338">
            <v>1.2071502183152301</v>
          </cell>
          <cell r="F338">
            <v>1.5881052270976701</v>
          </cell>
          <cell r="G338">
            <v>3.1102355977699507</v>
          </cell>
          <cell r="H338">
            <v>4.1741239435927699</v>
          </cell>
          <cell r="I338">
            <v>4.9766901649321609</v>
          </cell>
          <cell r="J338">
            <v>6.1406263609159497</v>
          </cell>
          <cell r="K338"/>
        </row>
        <row r="339">
          <cell r="A339" t="str">
            <v>RHNM-SHDEM</v>
          </cell>
          <cell r="B339" t="str">
            <v>VAR_fin</v>
          </cell>
          <cell r="C339" t="str">
            <v>RHNM-SHLFO</v>
          </cell>
          <cell r="D339"/>
          <cell r="E339">
            <v>3.3358042913347888E-2</v>
          </cell>
          <cell r="F339">
            <v>0.10017514877115009</v>
          </cell>
          <cell r="G339">
            <v>0.15311140190988604</v>
          </cell>
          <cell r="H339">
            <v>0.17588738363559581</v>
          </cell>
          <cell r="I339">
            <v>0.17272696086377445</v>
          </cell>
          <cell r="J339">
            <v>2.5071583091822003E-5</v>
          </cell>
        </row>
        <row r="340">
          <cell r="A340" t="str">
            <v>RHNM-SHDEM</v>
          </cell>
          <cell r="B340" t="str">
            <v>VAR_fin</v>
          </cell>
          <cell r="C340" t="str">
            <v>RHNM-SHLTHD</v>
          </cell>
          <cell r="D340"/>
          <cell r="E340">
            <v>0.24040841305744107</v>
          </cell>
          <cell r="F340">
            <v>5.9720186093004307E-2</v>
          </cell>
          <cell r="G340">
            <v>0.1118612997982745</v>
          </cell>
          <cell r="H340">
            <v>0.15025245125470144</v>
          </cell>
          <cell r="I340">
            <v>0.1785964921680217</v>
          </cell>
          <cell r="J340">
            <v>0.22585300747742823</v>
          </cell>
          <cell r="K340"/>
        </row>
        <row r="341">
          <cell r="A341" t="str">
            <v>RHNM-SHDEM</v>
          </cell>
          <cell r="B341" t="str">
            <v>VAR_fin</v>
          </cell>
          <cell r="C341" t="str">
            <v>RHNM-SHCON</v>
          </cell>
          <cell r="D341"/>
          <cell r="F341">
            <v>4.2816016009003711E-4</v>
          </cell>
          <cell r="G341">
            <v>4.1859734224942649E-4</v>
          </cell>
          <cell r="H341">
            <v>5.5763599160472933E-4</v>
          </cell>
          <cell r="I341">
            <v>9.580060797076486E-3</v>
          </cell>
          <cell r="J341">
            <v>0.13187928490607156</v>
          </cell>
          <cell r="K341"/>
        </row>
        <row r="342">
          <cell r="A342" t="str">
            <v>RHNM-SHDEM</v>
          </cell>
          <cell r="B342" t="str">
            <v>VAR_fin</v>
          </cell>
          <cell r="C342" t="str">
            <v>RHNM-SHELCB</v>
          </cell>
          <cell r="D342"/>
          <cell r="E342">
            <v>0.11524790533454743</v>
          </cell>
          <cell r="F342">
            <v>1.359117806915846E-3</v>
          </cell>
          <cell r="G342">
            <v>3.8108747036760637E-3</v>
          </cell>
          <cell r="H342">
            <v>5.1102629272678363E-3</v>
          </cell>
          <cell r="I342">
            <v>5.8867847323352393E-3</v>
          </cell>
          <cell r="J342">
            <v>7.4603150970070555E-3</v>
          </cell>
        </row>
        <row r="343">
          <cell r="A343" t="str">
            <v>RHNM-SHDEM</v>
          </cell>
          <cell r="B343" t="str">
            <v>VAR_fin</v>
          </cell>
          <cell r="C343" t="str">
            <v>RHNM-SHWOD</v>
          </cell>
          <cell r="D343"/>
          <cell r="E343">
            <v>6.9254444632514511E-2</v>
          </cell>
          <cell r="F343">
            <v>9.878591205847892E-2</v>
          </cell>
          <cell r="G343">
            <v>0.15225022164915597</v>
          </cell>
          <cell r="H343">
            <v>0.18593174891063757</v>
          </cell>
          <cell r="I343">
            <v>0.21535900032769681</v>
          </cell>
          <cell r="J343">
            <v>0.25381233266424613</v>
          </cell>
        </row>
        <row r="344">
          <cell r="A344" t="str">
            <v>RHNM-SHDEM</v>
          </cell>
          <cell r="B344" t="str">
            <v>VAR_fin</v>
          </cell>
          <cell r="C344" t="str">
            <v>RHNM-SHELCH</v>
          </cell>
          <cell r="D344"/>
          <cell r="E344">
            <v>3.3428012610297458E-2</v>
          </cell>
          <cell r="F344">
            <v>0.9151744319900712</v>
          </cell>
          <cell r="G344">
            <v>1.6931090936031801</v>
          </cell>
          <cell r="H344">
            <v>2.2428155254622908</v>
          </cell>
          <cell r="I344">
            <v>2.6805663723589506</v>
          </cell>
          <cell r="J344">
            <v>3.3736293719302135</v>
          </cell>
        </row>
        <row r="345">
          <cell r="A345" t="str">
            <v>RHNM-SHDEM</v>
          </cell>
          <cell r="B345" t="str">
            <v>VAR_fin</v>
          </cell>
          <cell r="C345" t="str">
            <v>RHNM-SHNST</v>
          </cell>
          <cell r="D345"/>
          <cell r="E345">
            <v>2.1803369887234778E-2</v>
          </cell>
          <cell r="F345">
            <v>2.7031433511332222E-5</v>
          </cell>
          <cell r="G345">
            <v>2.9255025870725613E-5</v>
          </cell>
          <cell r="H345">
            <v>2.6907045748188571E-5</v>
          </cell>
          <cell r="I345">
            <v>5.5303338595199197E-5</v>
          </cell>
          <cell r="J345">
            <v>2.0626255566492453E-5</v>
          </cell>
          <cell r="K345"/>
        </row>
        <row r="346">
          <cell r="A346" t="str">
            <v>RHNM-SHDEM</v>
          </cell>
          <cell r="B346" t="str">
            <v>VAR_fin</v>
          </cell>
          <cell r="C346" t="str">
            <v>RHNM-SHPLT</v>
          </cell>
          <cell r="D346"/>
          <cell r="E346">
            <v>6.4859840134363828E-2</v>
          </cell>
          <cell r="F346">
            <v>1.919788256823058E-2</v>
          </cell>
          <cell r="G346">
            <v>3.7445701941609455E-2</v>
          </cell>
          <cell r="H346">
            <v>5.2482661561575231E-2</v>
          </cell>
          <cell r="I346">
            <v>6.4647528812837363E-2</v>
          </cell>
          <cell r="J346">
            <v>9.345553286369028E-2</v>
          </cell>
          <cell r="K346"/>
        </row>
        <row r="347">
          <cell r="A347" t="str">
            <v>RHNM-SHDEM</v>
          </cell>
          <cell r="B347" t="str">
            <v>VAR_fin</v>
          </cell>
          <cell r="C347" t="str">
            <v>RHNM-SHLTHC-NGA</v>
          </cell>
          <cell r="D347"/>
          <cell r="E347">
            <v>3.3930861460415629E-2</v>
          </cell>
          <cell r="F347">
            <v>3.0126580990950136E-5</v>
          </cell>
          <cell r="G347">
            <v>1.4431537073221899E-5</v>
          </cell>
          <cell r="H347">
            <v>3.4243198662560622E-5</v>
          </cell>
          <cell r="I347">
            <v>2.4231904231141585E-5</v>
          </cell>
          <cell r="J347"/>
          <cell r="K347"/>
        </row>
        <row r="348">
          <cell r="A348" t="str">
            <v>RHNM-SHDEM</v>
          </cell>
          <cell r="B348" t="str">
            <v>VAR_fin</v>
          </cell>
          <cell r="C348" t="str">
            <v>RHNM-SHSOL</v>
          </cell>
          <cell r="D348"/>
          <cell r="E348">
            <v>4.019289721926525E-2</v>
          </cell>
          <cell r="F348">
            <v>1.2162879460579999E-4</v>
          </cell>
          <cell r="G348">
            <v>1.2643235332236475E-4</v>
          </cell>
          <cell r="H348">
            <v>1.6840847492292967E-4</v>
          </cell>
          <cell r="I348">
            <v>1.5550944286437613E-4</v>
          </cell>
          <cell r="J348">
            <v>2.2624692216632197E-4</v>
          </cell>
          <cell r="K348"/>
        </row>
        <row r="349">
          <cell r="A349" t="str">
            <v>RHNM-SHDEM</v>
          </cell>
          <cell r="B349" t="str">
            <v>VAR_fin</v>
          </cell>
          <cell r="C349" t="str">
            <v>RHNM-SHLTHC-WOD</v>
          </cell>
          <cell r="D349"/>
          <cell r="F349">
            <v>1.4194728611230298E-5</v>
          </cell>
          <cell r="G349">
            <v>2.904028683611441E-5</v>
          </cell>
          <cell r="H349">
            <v>3.5478579784058513E-5</v>
          </cell>
          <cell r="I349">
            <v>5.5122117647341999E-6</v>
          </cell>
          <cell r="J349">
            <v>4.0564301958706247E-6</v>
          </cell>
          <cell r="K349"/>
        </row>
        <row r="350">
          <cell r="A350" t="str">
            <v>RHNM-SHDEM</v>
          </cell>
          <cell r="B350" t="str">
            <v>VAR_fin</v>
          </cell>
          <cell r="C350" t="str">
            <v>RHNM-SHNGAH</v>
          </cell>
          <cell r="D350"/>
          <cell r="F350">
            <v>0.23070784210275791</v>
          </cell>
          <cell r="G350">
            <v>0.68254571614726067</v>
          </cell>
          <cell r="H350">
            <v>1.0222707811004572</v>
          </cell>
          <cell r="I350">
            <v>1.2820982875153824</v>
          </cell>
          <cell r="J350">
            <v>1.7478583282912403</v>
          </cell>
          <cell r="K350"/>
        </row>
        <row r="351">
          <cell r="A351" t="str">
            <v>RHNM-SHDEM</v>
          </cell>
          <cell r="B351" t="str">
            <v>VAR_fin</v>
          </cell>
          <cell r="C351" t="str">
            <v>RHNM-SHNGA</v>
          </cell>
          <cell r="D351"/>
          <cell r="E351">
            <v>0.55471553210739988</v>
          </cell>
          <cell r="F351">
            <v>0.16245016015533797</v>
          </cell>
          <cell r="G351">
            <v>0.27555310275619899</v>
          </cell>
          <cell r="H351">
            <v>0.33862661570893504</v>
          </cell>
          <cell r="I351">
            <v>0.3670507668748344</v>
          </cell>
          <cell r="J351">
            <v>0.30645065137509353</v>
          </cell>
          <cell r="K351"/>
        </row>
        <row r="352">
          <cell r="A352" t="str">
            <v>SCOM-STG-ELCSPEC</v>
          </cell>
          <cell r="B352" t="str">
            <v>VAR_fout</v>
          </cell>
          <cell r="C352" t="str">
            <v>SCOM-ELS</v>
          </cell>
          <cell r="D352"/>
          <cell r="E352">
            <v>4.7168079225641656E-3</v>
          </cell>
          <cell r="F352">
            <v>4.8387932022699648E-3</v>
          </cell>
          <cell r="G352">
            <v>4.9081951645545052E-3</v>
          </cell>
          <cell r="H352">
            <v>5.2725326658444984E-3</v>
          </cell>
          <cell r="I352">
            <v>5.3112780941889344E-3</v>
          </cell>
          <cell r="J352">
            <v>5.3939528111763392E-3</v>
          </cell>
          <cell r="K352"/>
        </row>
        <row r="353">
          <cell r="A353" t="str">
            <v>SCOM-STG-ELCSPEC</v>
          </cell>
          <cell r="B353" t="str">
            <v>VAR_fin</v>
          </cell>
          <cell r="C353" t="str">
            <v>SCOM-ELS</v>
          </cell>
          <cell r="D353"/>
          <cell r="E353">
            <v>4.7172550296197832E-3</v>
          </cell>
          <cell r="F353">
            <v>4.8391448232588648E-3</v>
          </cell>
          <cell r="G353">
            <v>4.908644207138501E-3</v>
          </cell>
          <cell r="H353">
            <v>5.2727481546707309E-3</v>
          </cell>
          <cell r="I353">
            <v>5.3117264915967972E-3</v>
          </cell>
          <cell r="J353">
            <v>5.3941773324683272E-3</v>
          </cell>
          <cell r="K353"/>
        </row>
        <row r="354">
          <cell r="A354" t="str">
            <v>SCOM-STG-ELCSPEC</v>
          </cell>
          <cell r="B354" t="str">
            <v>VAR_ncap</v>
          </cell>
          <cell r="C354" t="str">
            <v>-</v>
          </cell>
          <cell r="D354"/>
          <cell r="E354">
            <v>1.7857037068526099E-4</v>
          </cell>
          <cell r="F354">
            <v>2.4586801336001001E-6</v>
          </cell>
          <cell r="G354">
            <v>9.2469512242693701E-7</v>
          </cell>
          <cell r="H354">
            <v>1.4466488119771201E-5</v>
          </cell>
          <cell r="I354">
            <v>8.6758807483431504E-5</v>
          </cell>
          <cell r="J354">
            <v>9.8457239079405195E-5</v>
          </cell>
          <cell r="K354"/>
        </row>
        <row r="355">
          <cell r="A355" t="str">
            <v>SCOM-STG-ELCSPEC</v>
          </cell>
          <cell r="B355" t="str">
            <v>VAR_cap</v>
          </cell>
          <cell r="C355" t="str">
            <v>-</v>
          </cell>
          <cell r="D355"/>
          <cell r="E355">
            <v>1.7857037068526099E-4</v>
          </cell>
          <cell r="F355">
            <v>1.8095958076414927E-4</v>
          </cell>
          <cell r="G355">
            <v>1.81705596044324E-4</v>
          </cell>
          <cell r="H355">
            <v>1.9579325335891597E-4</v>
          </cell>
          <cell r="I355">
            <v>1.9626491079403912E-4</v>
          </cell>
          <cell r="J355">
            <v>1.9666401894806644E-4</v>
          </cell>
          <cell r="K355"/>
        </row>
        <row r="356">
          <cell r="A356" t="str">
            <v>SCOM-SHCONBR7</v>
          </cell>
          <cell r="B356" t="str">
            <v>VAR_fout</v>
          </cell>
          <cell r="C356" t="str">
            <v>SCOM-SHCON</v>
          </cell>
          <cell r="D356"/>
          <cell r="H356"/>
          <cell r="I356"/>
          <cell r="J356">
            <v>6.138206940318657E-5</v>
          </cell>
          <cell r="K356"/>
        </row>
        <row r="357">
          <cell r="A357" t="str">
            <v>SCOM-SHCONBR7</v>
          </cell>
          <cell r="B357" t="str">
            <v>VAR_fin</v>
          </cell>
          <cell r="C357" t="str">
            <v>CON</v>
          </cell>
          <cell r="D357"/>
          <cell r="G357"/>
          <cell r="H357"/>
          <cell r="I357"/>
          <cell r="J357">
            <v>6.138206940318657E-5</v>
          </cell>
          <cell r="K357"/>
        </row>
        <row r="358">
          <cell r="A358" t="str">
            <v>SCOM-SHCONBR7</v>
          </cell>
          <cell r="B358" t="str">
            <v>VAR_ncap</v>
          </cell>
          <cell r="C358" t="str">
            <v>-</v>
          </cell>
          <cell r="G358"/>
          <cell r="H358"/>
          <cell r="I358"/>
          <cell r="J358">
            <v>5.2132656264577503E-6</v>
          </cell>
          <cell r="K358"/>
        </row>
        <row r="359">
          <cell r="A359" t="str">
            <v>SCOM-SHCONBR7</v>
          </cell>
          <cell r="B359" t="str">
            <v>VAR_cap</v>
          </cell>
          <cell r="C359" t="str">
            <v>-</v>
          </cell>
          <cell r="D359"/>
          <cell r="E359"/>
          <cell r="F359"/>
          <cell r="G359"/>
          <cell r="H359"/>
          <cell r="I359"/>
          <cell r="J359">
            <v>5.2132656264577503E-6</v>
          </cell>
          <cell r="K359"/>
        </row>
        <row r="360">
          <cell r="A360" t="str">
            <v>SCOM-SHCONBR8</v>
          </cell>
          <cell r="B360" t="str">
            <v>VAR_fout</v>
          </cell>
          <cell r="C360" t="str">
            <v>SCOM-SHCON</v>
          </cell>
          <cell r="D360"/>
          <cell r="G360"/>
          <cell r="H360"/>
          <cell r="I360"/>
          <cell r="J360">
            <v>1.6054953712549868E-5</v>
          </cell>
          <cell r="K360"/>
        </row>
        <row r="361">
          <cell r="A361" t="str">
            <v>SCOM-SHCONBR8</v>
          </cell>
          <cell r="B361" t="str">
            <v>VAR_fin</v>
          </cell>
          <cell r="C361" t="str">
            <v>CON</v>
          </cell>
          <cell r="D361"/>
          <cell r="G361"/>
          <cell r="H361"/>
          <cell r="I361"/>
          <cell r="J361">
            <v>1.6054953712549868E-5</v>
          </cell>
          <cell r="K361"/>
        </row>
        <row r="362">
          <cell r="A362" t="str">
            <v>SCOM-SHCONBR8</v>
          </cell>
          <cell r="B362" t="str">
            <v>VAR_ncap</v>
          </cell>
          <cell r="C362" t="str">
            <v>-</v>
          </cell>
          <cell r="D362"/>
          <cell r="G362"/>
          <cell r="H362"/>
          <cell r="I362"/>
          <cell r="J362">
            <v>1.13693886604292E-6</v>
          </cell>
          <cell r="K362"/>
        </row>
        <row r="363">
          <cell r="A363" t="str">
            <v>SCOM-SHCONBR8</v>
          </cell>
          <cell r="B363" t="str">
            <v>VAR_cap</v>
          </cell>
          <cell r="C363" t="str">
            <v>-</v>
          </cell>
          <cell r="D363"/>
          <cell r="G363"/>
          <cell r="H363"/>
          <cell r="I363"/>
          <cell r="J363">
            <v>1.13693886604292E-6</v>
          </cell>
          <cell r="K363"/>
        </row>
        <row r="364">
          <cell r="A364" t="str">
            <v>ITOT-ELCSPEC</v>
          </cell>
          <cell r="B364" t="str">
            <v>VAR_fout</v>
          </cell>
          <cell r="C364" t="str">
            <v>ITOT-ELS</v>
          </cell>
          <cell r="D364">
            <v>48.063397652170998</v>
          </cell>
          <cell r="E364">
            <v>48.875582755450495</v>
          </cell>
          <cell r="F364">
            <v>51.648555125188956</v>
          </cell>
          <cell r="G364">
            <v>53.056611454189451</v>
          </cell>
          <cell r="H364">
            <v>53.574070322293707</v>
          </cell>
          <cell r="I364">
            <v>52.84371360944715</v>
          </cell>
          <cell r="J364">
            <v>53.841283493235146</v>
          </cell>
        </row>
        <row r="365">
          <cell r="A365" t="str">
            <v>ITOT-ELCSPEC</v>
          </cell>
          <cell r="B365" t="str">
            <v>VAR_fin</v>
          </cell>
          <cell r="C365" t="str">
            <v>ITOT_ELC</v>
          </cell>
          <cell r="D365">
            <v>48.063397652170998</v>
          </cell>
          <cell r="E365">
            <v>48.875582755450495</v>
          </cell>
          <cell r="F365">
            <v>51.648555125188956</v>
          </cell>
          <cell r="G365">
            <v>53.056611454189451</v>
          </cell>
          <cell r="H365">
            <v>53.574070322293707</v>
          </cell>
          <cell r="I365">
            <v>52.84371360944715</v>
          </cell>
          <cell r="J365">
            <v>53.841283493235146</v>
          </cell>
        </row>
        <row r="366">
          <cell r="A366" t="str">
            <v>ITOT-ELCSPEC</v>
          </cell>
          <cell r="B366" t="str">
            <v>VAR_ncap</v>
          </cell>
          <cell r="C366" t="str">
            <v>-</v>
          </cell>
          <cell r="D366">
            <v>8.3497468225473798E-2</v>
          </cell>
          <cell r="E366">
            <v>4.4168729292603702E-2</v>
          </cell>
          <cell r="F366">
            <v>0.15080233335905299</v>
          </cell>
          <cell r="G366">
            <v>7.6574353871725898E-2</v>
          </cell>
          <cell r="H366">
            <v>2.8141929559269099E-2</v>
          </cell>
          <cell r="I366">
            <v>6.6240351117609596E-7</v>
          </cell>
          <cell r="J366">
            <v>2.5497208891435701</v>
          </cell>
          <cell r="K366"/>
        </row>
        <row r="367">
          <cell r="A367" t="str">
            <v>ITOT-ELCSPEC</v>
          </cell>
          <cell r="B367" t="str">
            <v>VAR_cap</v>
          </cell>
          <cell r="C367" t="str">
            <v>-</v>
          </cell>
          <cell r="D367">
            <v>2.613824700258184</v>
          </cell>
          <cell r="E367">
            <v>2.6579933027966942</v>
          </cell>
          <cell r="F367">
            <v>2.8087953805682533</v>
          </cell>
          <cell r="G367">
            <v>2.8853693482439113</v>
          </cell>
          <cell r="H367">
            <v>2.9135103113839742</v>
          </cell>
          <cell r="I367">
            <v>2.8737920085568063</v>
          </cell>
          <cell r="J367">
            <v>2.9280419482929694</v>
          </cell>
          <cell r="K367"/>
        </row>
        <row r="368">
          <cell r="A368" t="str">
            <v>RHNM-SHLTHDH</v>
          </cell>
          <cell r="B368" t="str">
            <v>VAR_fout</v>
          </cell>
          <cell r="C368" t="str">
            <v>RHNM-SHLTHD</v>
          </cell>
          <cell r="D368"/>
          <cell r="E368">
            <v>0.34659752272142735</v>
          </cell>
          <cell r="F368">
            <v>5.9810397743093838E-2</v>
          </cell>
          <cell r="G368">
            <v>0.11194973511475059</v>
          </cell>
          <cell r="H368">
            <v>0.15036438271654981</v>
          </cell>
          <cell r="I368">
            <v>0.17869310870443794</v>
          </cell>
          <cell r="J368">
            <v>0.22591169627164798</v>
          </cell>
        </row>
        <row r="369">
          <cell r="A369" t="str">
            <v>RHNM-SHLTHDH</v>
          </cell>
          <cell r="B369" t="str">
            <v>VAR_fin</v>
          </cell>
          <cell r="C369" t="str">
            <v>RHNMLTHDHC</v>
          </cell>
          <cell r="E369">
            <v>0.34659752272142735</v>
          </cell>
          <cell r="F369">
            <v>5.9810397743093838E-2</v>
          </cell>
          <cell r="G369">
            <v>0.11194973511475059</v>
          </cell>
          <cell r="H369">
            <v>0.15036438271654981</v>
          </cell>
          <cell r="I369">
            <v>0.17869310870443794</v>
          </cell>
          <cell r="J369">
            <v>0.22591169627164798</v>
          </cell>
          <cell r="K369"/>
        </row>
        <row r="370">
          <cell r="A370" t="str">
            <v>RHNM-SHLTHDH</v>
          </cell>
          <cell r="B370" t="str">
            <v>VAR_fin</v>
          </cell>
          <cell r="C370" t="str">
            <v>RHNM_LTH_DH</v>
          </cell>
          <cell r="E370">
            <v>0.35009850779942164</v>
          </cell>
          <cell r="F370">
            <v>6.6180697507705305E-2</v>
          </cell>
          <cell r="G370">
            <v>0.12353563890355469</v>
          </cell>
          <cell r="H370">
            <v>0.16560937014621432</v>
          </cell>
          <cell r="I370">
            <v>0.19653607561390915</v>
          </cell>
          <cell r="J370">
            <v>0.24846956070336904</v>
          </cell>
          <cell r="K370"/>
        </row>
        <row r="371">
          <cell r="A371" t="str">
            <v>RHNM-SHLTHDH</v>
          </cell>
          <cell r="B371" t="str">
            <v>VAR_ncap</v>
          </cell>
          <cell r="C371" t="str">
            <v>-</v>
          </cell>
          <cell r="E371">
            <v>3.2046888704490302E-2</v>
          </cell>
          <cell r="F371">
            <v>6.2792098301650704E-3</v>
          </cell>
          <cell r="G371">
            <v>1.5243659008854001E-2</v>
          </cell>
          <cell r="H371">
            <v>3.1094903318904001E-2</v>
          </cell>
          <cell r="I371">
            <v>1.2440649725832901E-2</v>
          </cell>
          <cell r="J371">
            <v>1.7612635339268399E-3</v>
          </cell>
          <cell r="K371"/>
        </row>
        <row r="372">
          <cell r="A372" t="str">
            <v>RHNM-SHLTHDH</v>
          </cell>
          <cell r="B372" t="str">
            <v>VAR_cap</v>
          </cell>
          <cell r="C372" t="str">
            <v>-</v>
          </cell>
          <cell r="E372">
            <v>3.2046888704490302E-2</v>
          </cell>
          <cell r="F372">
            <v>1.3597609382100299E-2</v>
          </cell>
          <cell r="G372">
            <v>2.52781340867058E-2</v>
          </cell>
          <cell r="H372">
            <v>5.2529885883964192E-2</v>
          </cell>
          <cell r="I372">
            <v>5.6760853892560699E-2</v>
          </cell>
          <cell r="J372">
            <v>2.12342859342846E-2</v>
          </cell>
          <cell r="K372"/>
        </row>
        <row r="373">
          <cell r="A373" t="str">
            <v>SCOM-SHCONBR9</v>
          </cell>
          <cell r="B373" t="str">
            <v>VAR_fout</v>
          </cell>
          <cell r="C373" t="str">
            <v>SCOM-SHCON</v>
          </cell>
          <cell r="D373"/>
          <cell r="G373"/>
          <cell r="H373"/>
          <cell r="I373"/>
          <cell r="J373">
            <v>4.6968111805885701E-6</v>
          </cell>
        </row>
        <row r="374">
          <cell r="A374" t="str">
            <v>SCOM-SHCONBR9</v>
          </cell>
          <cell r="B374" t="str">
            <v>VAR_fin</v>
          </cell>
          <cell r="C374" t="str">
            <v>CON</v>
          </cell>
          <cell r="G374"/>
          <cell r="H374"/>
          <cell r="I374"/>
          <cell r="J374">
            <v>4.6968111805885701E-6</v>
          </cell>
          <cell r="K374"/>
        </row>
        <row r="375">
          <cell r="A375" t="str">
            <v>SCOM-SHCONBR9</v>
          </cell>
          <cell r="B375" t="str">
            <v>VAR_ncap</v>
          </cell>
          <cell r="C375" t="str">
            <v>-</v>
          </cell>
          <cell r="G375"/>
          <cell r="H375"/>
          <cell r="I375"/>
          <cell r="J375">
            <v>1.86096872577793E-7</v>
          </cell>
          <cell r="K375"/>
        </row>
        <row r="376">
          <cell r="A376" t="str">
            <v>SCOM-SHCONBR9</v>
          </cell>
          <cell r="B376" t="str">
            <v>VAR_cap</v>
          </cell>
          <cell r="C376" t="str">
            <v>-</v>
          </cell>
          <cell r="G376"/>
          <cell r="H376"/>
          <cell r="I376"/>
          <cell r="J376">
            <v>1.86096872577793E-7</v>
          </cell>
          <cell r="K376"/>
        </row>
        <row r="377">
          <cell r="A377" t="str">
            <v>ITOT-SWHCOABR</v>
          </cell>
          <cell r="B377" t="str">
            <v>VAR_fout</v>
          </cell>
          <cell r="C377" t="str">
            <v>ITOT-SWH</v>
          </cell>
          <cell r="D377">
            <v>2.3674029661637963</v>
          </cell>
          <cell r="E377">
            <v>2.3075017986913506</v>
          </cell>
          <cell r="F377">
            <v>2.2296681047849765</v>
          </cell>
          <cell r="G377">
            <v>1.5871427390931096E-4</v>
          </cell>
          <cell r="H377">
            <v>2.5802494449213032E-4</v>
          </cell>
          <cell r="I377">
            <v>1.4636401201084396E-4</v>
          </cell>
          <cell r="J377">
            <v>7.625684991250818E-5</v>
          </cell>
          <cell r="K377"/>
        </row>
        <row r="378">
          <cell r="A378" t="str">
            <v>ITOT-SWHCOABR</v>
          </cell>
          <cell r="B378" t="str">
            <v>VAR_fout</v>
          </cell>
          <cell r="C378" t="str">
            <v>CO2_I</v>
          </cell>
          <cell r="D378">
            <v>330.012413478773</v>
          </cell>
          <cell r="E378">
            <v>321.17930441244499</v>
          </cell>
          <cell r="F378">
            <v>309.64828960834097</v>
          </cell>
          <cell r="G378">
            <v>2.1959422673721099E-2</v>
          </cell>
          <cell r="H378">
            <v>3.5567155917353897E-2</v>
          </cell>
          <cell r="I378">
            <v>2.0100657649489199E-2</v>
          </cell>
          <cell r="J378">
            <v>1.0395602921896299E-2</v>
          </cell>
          <cell r="K378"/>
        </row>
        <row r="379">
          <cell r="A379" t="str">
            <v>ITOT-SWHCOABR</v>
          </cell>
          <cell r="B379" t="str">
            <v>VAR_fin</v>
          </cell>
          <cell r="C379" t="str">
            <v>ICOA</v>
          </cell>
          <cell r="D379">
            <v>3.5600044603966894</v>
          </cell>
          <cell r="E379">
            <v>3.464717415452482</v>
          </cell>
          <cell r="F379">
            <v>3.3403267487415373</v>
          </cell>
          <cell r="G379">
            <v>2.3688697598404625E-4</v>
          </cell>
          <cell r="H379">
            <v>3.8368021485818611E-4</v>
          </cell>
          <cell r="I379">
            <v>2.1683557334939852E-4</v>
          </cell>
          <cell r="J379">
            <v>1.1214242634192372E-4</v>
          </cell>
          <cell r="K379"/>
        </row>
        <row r="380">
          <cell r="A380" t="str">
            <v>ITOT-SWHCOABR</v>
          </cell>
          <cell r="B380" t="str">
            <v>VAR_ncap</v>
          </cell>
          <cell r="C380" t="str">
            <v>-</v>
          </cell>
          <cell r="E380">
            <v>1.28427925826466E-6</v>
          </cell>
          <cell r="F380">
            <v>2.1003464287539401E-6</v>
          </cell>
          <cell r="G380">
            <v>2.9477176077407199E-6</v>
          </cell>
          <cell r="H380">
            <v>1.8358652622297799E-5</v>
          </cell>
          <cell r="I380">
            <v>1.9178310936212501E-6</v>
          </cell>
          <cell r="J380">
            <v>2.4385994981125998E-6</v>
          </cell>
          <cell r="K380"/>
        </row>
        <row r="381">
          <cell r="A381" t="str">
            <v>ITOT-SWHCOABR</v>
          </cell>
          <cell r="B381" t="str">
            <v>VAR_cap</v>
          </cell>
          <cell r="C381" t="str">
            <v>-</v>
          </cell>
          <cell r="D381">
            <v>0.26172155007150499</v>
          </cell>
          <cell r="E381">
            <v>0.20944603034844286</v>
          </cell>
          <cell r="F381">
            <v>0.2093658534928686</v>
          </cell>
          <cell r="G381">
            <v>1.5132060937783631E-5</v>
          </cell>
          <cell r="H381">
            <v>2.4267925498144827E-5</v>
          </cell>
          <cell r="I381">
            <v>1.387458429668809E-5</v>
          </cell>
          <cell r="J381">
            <v>7.2607540919944595E-6</v>
          </cell>
          <cell r="K381"/>
        </row>
        <row r="382">
          <cell r="A382" t="str">
            <v>RHSA-WHDEM</v>
          </cell>
          <cell r="B382" t="str">
            <v>VAR_fout</v>
          </cell>
          <cell r="C382" t="str">
            <v>RHSA-WHD</v>
          </cell>
          <cell r="D382">
            <v>26.438654975424289</v>
          </cell>
          <cell r="E382">
            <v>25.92879146371218</v>
          </cell>
          <cell r="F382">
            <v>21.653190399076024</v>
          </cell>
          <cell r="G382">
            <v>22.580839867458707</v>
          </cell>
          <cell r="H382">
            <v>23.857724991727501</v>
          </cell>
          <cell r="I382">
            <v>25.582305742240475</v>
          </cell>
          <cell r="J382">
            <v>29.056866756501503</v>
          </cell>
          <cell r="K382"/>
        </row>
        <row r="383">
          <cell r="A383" t="str">
            <v>RHSA-WHDEM</v>
          </cell>
          <cell r="B383" t="str">
            <v>VAR_fin</v>
          </cell>
          <cell r="C383" t="str">
            <v>RHSA-WHNGA</v>
          </cell>
          <cell r="D383">
            <v>6.2057484631313242</v>
          </cell>
          <cell r="E383">
            <v>5.1511654040749235</v>
          </cell>
          <cell r="F383">
            <v>5.4192368440334624</v>
          </cell>
          <cell r="G383">
            <v>4.4448831274060296</v>
          </cell>
          <cell r="H383">
            <v>3.6415107156174473</v>
          </cell>
          <cell r="I383">
            <v>3.0410868912793707</v>
          </cell>
          <cell r="J383">
            <v>1.9312558748508095</v>
          </cell>
          <cell r="K383"/>
        </row>
        <row r="384">
          <cell r="A384" t="str">
            <v>RHSA-WHDEM</v>
          </cell>
          <cell r="B384" t="str">
            <v>VAR_fin</v>
          </cell>
          <cell r="C384" t="str">
            <v>RHSA-WHLFO</v>
          </cell>
          <cell r="D384">
            <v>6.8063660222837097</v>
          </cell>
          <cell r="E384">
            <v>5.9321120764187691</v>
          </cell>
          <cell r="F384">
            <v>4.6761420313162878</v>
          </cell>
          <cell r="G384">
            <v>3.101796525983985</v>
          </cell>
          <cell r="H384">
            <v>2.2348978956483023</v>
          </cell>
          <cell r="I384">
            <v>1.7873456806090926</v>
          </cell>
          <cell r="J384">
            <v>0.82112574410063421</v>
          </cell>
          <cell r="K384"/>
        </row>
        <row r="385">
          <cell r="A385" t="str">
            <v>RHSA-WHDEM</v>
          </cell>
          <cell r="B385" t="str">
            <v>VAR_fin</v>
          </cell>
          <cell r="C385" t="str">
            <v>RHSA-WHWOD</v>
          </cell>
          <cell r="D385">
            <v>0.5625857521949349</v>
          </cell>
          <cell r="E385">
            <v>0.59705753654251303</v>
          </cell>
          <cell r="F385">
            <v>1.158086459698253</v>
          </cell>
          <cell r="G385">
            <v>1.2375057774560865</v>
          </cell>
          <cell r="H385">
            <v>1.237565033244187</v>
          </cell>
          <cell r="I385">
            <v>1.2541100051954424</v>
          </cell>
          <cell r="J385">
            <v>1.2243544893372278</v>
          </cell>
          <cell r="K385"/>
        </row>
        <row r="386">
          <cell r="A386" t="str">
            <v>RHSA-WHDEM</v>
          </cell>
          <cell r="B386" t="str">
            <v>VAR_fin</v>
          </cell>
          <cell r="C386" t="str">
            <v>RHSA-WHNGAH</v>
          </cell>
          <cell r="D386">
            <v>5.7720900826393425E-2</v>
          </cell>
          <cell r="F386">
            <v>0.89797472984183058</v>
          </cell>
          <cell r="G386">
            <v>2.1916973640799711</v>
          </cell>
          <cell r="H386">
            <v>3.268610565069701</v>
          </cell>
          <cell r="I386">
            <v>4.196455938164446</v>
          </cell>
          <cell r="J386">
            <v>6.0930675829808827</v>
          </cell>
        </row>
        <row r="387">
          <cell r="A387" t="str">
            <v>RHSA-WHDEM</v>
          </cell>
          <cell r="B387" t="str">
            <v>VAR_fin</v>
          </cell>
          <cell r="C387" t="str">
            <v>RHSA-WHNST</v>
          </cell>
          <cell r="D387">
            <v>4.1739426436712641E-2</v>
          </cell>
          <cell r="E387">
            <v>2.9917851188238293E-4</v>
          </cell>
          <cell r="H387"/>
          <cell r="I387"/>
          <cell r="J387"/>
        </row>
        <row r="388">
          <cell r="A388" t="str">
            <v>RHSA-WHDEM</v>
          </cell>
          <cell r="B388" t="str">
            <v>VAR_fin</v>
          </cell>
          <cell r="C388" t="str">
            <v>RHSA-WHPLT</v>
          </cell>
          <cell r="D388">
            <v>0.27989646192499174</v>
          </cell>
          <cell r="E388">
            <v>0.19466089488324442</v>
          </cell>
          <cell r="F388">
            <v>8.2933791115768846E-2</v>
          </cell>
          <cell r="G388">
            <v>0.13925351290101814</v>
          </cell>
          <cell r="H388">
            <v>0.18272631620015248</v>
          </cell>
          <cell r="I388">
            <v>0.22309993813395027</v>
          </cell>
          <cell r="J388">
            <v>0.30616301837917914</v>
          </cell>
        </row>
        <row r="389">
          <cell r="A389" t="str">
            <v>RHSA-WHDEM</v>
          </cell>
          <cell r="B389" t="str">
            <v>VAR_fin</v>
          </cell>
          <cell r="C389" t="str">
            <v>RHSA-WHLTHRD</v>
          </cell>
          <cell r="D389">
            <v>1.2833672900390956</v>
          </cell>
          <cell r="E389">
            <v>1.4631892158758479</v>
          </cell>
          <cell r="F389">
            <v>0.95324930876654346</v>
          </cell>
          <cell r="G389">
            <v>1.1752091882881543</v>
          </cell>
          <cell r="H389">
            <v>1.3268401251312527</v>
          </cell>
          <cell r="I389">
            <v>1.4469611015491701</v>
          </cell>
          <cell r="J389">
            <v>1.6804156212308474</v>
          </cell>
          <cell r="K389"/>
        </row>
        <row r="390">
          <cell r="A390" t="str">
            <v>RHSA-WHDEM</v>
          </cell>
          <cell r="B390" t="str">
            <v>VAR_fin</v>
          </cell>
          <cell r="C390" t="str">
            <v>RHSA-WHELCB</v>
          </cell>
          <cell r="D390">
            <v>6.4623978029617799</v>
          </cell>
          <cell r="E390">
            <v>6.9685208478820115</v>
          </cell>
          <cell r="F390">
            <v>2.8217510647324193</v>
          </cell>
          <cell r="G390">
            <v>2.2283610178995272</v>
          </cell>
          <cell r="H390">
            <v>1.9605192493490169</v>
          </cell>
          <cell r="I390">
            <v>1.8871446320021665</v>
          </cell>
          <cell r="J390">
            <v>1.6960940465573222</v>
          </cell>
          <cell r="K390"/>
        </row>
        <row r="391">
          <cell r="A391" t="str">
            <v>RHSA-WHDEM</v>
          </cell>
          <cell r="B391" t="str">
            <v>VAR_fin</v>
          </cell>
          <cell r="C391" t="str">
            <v>RHSA-WHSOL</v>
          </cell>
          <cell r="D391">
            <v>1.6202274973120872</v>
          </cell>
          <cell r="E391">
            <v>1.9865558378401924</v>
          </cell>
          <cell r="F391">
            <v>0.90454110340798788</v>
          </cell>
          <cell r="G391">
            <v>1.0742150973181521</v>
          </cell>
          <cell r="H391">
            <v>1.1916268531021146</v>
          </cell>
          <cell r="I391">
            <v>1.2853361647462673</v>
          </cell>
          <cell r="J391">
            <v>1.4830694812330973</v>
          </cell>
          <cell r="K391"/>
        </row>
        <row r="392">
          <cell r="A392" t="str">
            <v>RHSA-WHDEM</v>
          </cell>
          <cell r="B392" t="str">
            <v>VAR_fin</v>
          </cell>
          <cell r="C392" t="str">
            <v>RHSA-WHELCH</v>
          </cell>
          <cell r="D392">
            <v>3.118637168838176</v>
          </cell>
          <cell r="E392">
            <v>3.6352688028147551</v>
          </cell>
          <cell r="F392">
            <v>4.739317237500404</v>
          </cell>
          <cell r="G392">
            <v>6.9879589816688945</v>
          </cell>
          <cell r="H392">
            <v>8.8134621338912904</v>
          </cell>
          <cell r="I392">
            <v>10.460795440029692</v>
          </cell>
          <cell r="J392">
            <v>13.821349565382228</v>
          </cell>
          <cell r="K392"/>
        </row>
        <row r="393">
          <cell r="A393" t="str">
            <v>RHSA-WHNGAHP</v>
          </cell>
          <cell r="B393" t="str">
            <v>VAR_fout</v>
          </cell>
          <cell r="C393" t="str">
            <v>RHSA-WHANGAH</v>
          </cell>
          <cell r="D393"/>
          <cell r="F393">
            <v>0.89797703290975706</v>
          </cell>
          <cell r="G393">
            <v>2.1916984958123678</v>
          </cell>
          <cell r="H393">
            <v>3.2686107737627141</v>
          </cell>
          <cell r="I393">
            <v>4.1964548214299029</v>
          </cell>
          <cell r="J393">
            <v>6.0930679420205269</v>
          </cell>
          <cell r="K393"/>
        </row>
        <row r="394">
          <cell r="A394" t="str">
            <v>RHSA-WHNGAHP</v>
          </cell>
          <cell r="B394" t="str">
            <v>VAR_fout</v>
          </cell>
          <cell r="C394" t="str">
            <v>CO2_R</v>
          </cell>
          <cell r="F394">
            <v>25.2881115177378</v>
          </cell>
          <cell r="G394">
            <v>57.027037713197601</v>
          </cell>
          <cell r="H394">
            <v>81.184631432466503</v>
          </cell>
          <cell r="I394">
            <v>100.612087264669</v>
          </cell>
          <cell r="J394">
            <v>135.90305009961099</v>
          </cell>
          <cell r="K394"/>
        </row>
        <row r="395">
          <cell r="A395" t="str">
            <v>RHSA-WHNGAHP</v>
          </cell>
          <cell r="B395" t="str">
            <v>VAR_fin</v>
          </cell>
          <cell r="C395" t="str">
            <v>RNGA</v>
          </cell>
          <cell r="F395">
            <v>0.44837077159109606</v>
          </cell>
          <cell r="G395">
            <v>1.0111176899503123</v>
          </cell>
          <cell r="H395">
            <v>1.4394438197245831</v>
          </cell>
          <cell r="I395">
            <v>1.7839022564657643</v>
          </cell>
          <cell r="J395">
            <v>2.4096285478654367</v>
          </cell>
          <cell r="K395"/>
        </row>
        <row r="396">
          <cell r="A396" t="str">
            <v>RHSA-WHNGAHP</v>
          </cell>
          <cell r="B396" t="str">
            <v>VAR_ncap</v>
          </cell>
          <cell r="C396" t="str">
            <v>-</v>
          </cell>
          <cell r="D396"/>
          <cell r="E396">
            <v>7.1758740030170305E-8</v>
          </cell>
          <cell r="F396">
            <v>5.9459485197444303E-2</v>
          </cell>
          <cell r="G396">
            <v>8.5647429116589596E-2</v>
          </cell>
          <cell r="H396">
            <v>7.8304348511828395E-2</v>
          </cell>
          <cell r="I396">
            <v>0.139496603682668</v>
          </cell>
          <cell r="J396">
            <v>0.28210041787523799</v>
          </cell>
          <cell r="K396"/>
        </row>
        <row r="397">
          <cell r="A397" t="str">
            <v>RHSA-WHNGAHP</v>
          </cell>
          <cell r="B397" t="str">
            <v>VAR_cap</v>
          </cell>
          <cell r="C397" t="str">
            <v>-</v>
          </cell>
          <cell r="D397">
            <v>4.7729432218241499E-11</v>
          </cell>
          <cell r="E397">
            <v>-2.437242041447935E-8</v>
          </cell>
          <cell r="F397">
            <v>5.945947497679778E-2</v>
          </cell>
          <cell r="G397">
            <v>0.14510692039283529</v>
          </cell>
          <cell r="H397">
            <v>0.22341114905172779</v>
          </cell>
          <cell r="I397">
            <v>0.28682844844998878</v>
          </cell>
          <cell r="J397">
            <v>0.41646006011236408</v>
          </cell>
        </row>
        <row r="398">
          <cell r="A398" t="str">
            <v>SCOM-SHSTG-ELCHP</v>
          </cell>
          <cell r="B398" t="str">
            <v>VAR_fout</v>
          </cell>
          <cell r="C398" t="str">
            <v>SCOM-SHAELCH</v>
          </cell>
          <cell r="D398">
            <v>9.4359367956293204E-6</v>
          </cell>
          <cell r="E398">
            <v>8.6102715456845339E-6</v>
          </cell>
          <cell r="F398">
            <v>1.6638129290130253E-5</v>
          </cell>
          <cell r="G398">
            <v>7.3222692052051744E-6</v>
          </cell>
          <cell r="H398">
            <v>6.7359279736988605E-6</v>
          </cell>
          <cell r="I398">
            <v>6.5307149452103144E-6</v>
          </cell>
          <cell r="J398">
            <v>1.0114562527006181E-6</v>
          </cell>
        </row>
        <row r="399">
          <cell r="A399" t="str">
            <v>SCOM-SHSTG-ELCHP</v>
          </cell>
          <cell r="B399" t="str">
            <v>VAR_fin</v>
          </cell>
          <cell r="C399" t="str">
            <v>SCOM-SHAELCH</v>
          </cell>
          <cell r="D399">
            <v>1.1810180825713922E-5</v>
          </cell>
          <cell r="E399">
            <v>8.3152803424476958E-6</v>
          </cell>
          <cell r="F399">
            <v>1.9877656278736965E-5</v>
          </cell>
          <cell r="G399">
            <v>8.6517148034448119E-6</v>
          </cell>
          <cell r="H399">
            <v>7.4781031967891583E-6</v>
          </cell>
          <cell r="I399">
            <v>7.450973404337889E-6</v>
          </cell>
          <cell r="J399"/>
        </row>
        <row r="400">
          <cell r="A400" t="str">
            <v>SCOM-SHSTG-ELCHP</v>
          </cell>
          <cell r="B400" t="str">
            <v>VAR_ncap</v>
          </cell>
          <cell r="C400" t="str">
            <v>-</v>
          </cell>
          <cell r="D400">
            <v>4.0047435013240602E-3</v>
          </cell>
          <cell r="E400">
            <v>9.7325383364201795E-2</v>
          </cell>
          <cell r="F400">
            <v>1.4999155092747699E-5</v>
          </cell>
          <cell r="G400">
            <v>3.5310990585930298E-2</v>
          </cell>
          <cell r="H400">
            <v>8.99056971610247E-2</v>
          </cell>
          <cell r="I400">
            <v>9.8913192667481206E-2</v>
          </cell>
          <cell r="J400">
            <v>0.179547162849854</v>
          </cell>
        </row>
        <row r="401">
          <cell r="A401" t="str">
            <v>SCOM-SHSTG-ELCHP</v>
          </cell>
          <cell r="B401" t="str">
            <v>VAR_cap</v>
          </cell>
          <cell r="C401" t="str">
            <v>-</v>
          </cell>
          <cell r="D401">
            <v>4.0047435013240602E-3</v>
          </cell>
          <cell r="E401">
            <v>0.10132179796971463</v>
          </cell>
          <cell r="F401">
            <v>0.1013218208911411</v>
          </cell>
          <cell r="G401">
            <v>0.13662677549651817</v>
          </cell>
          <cell r="H401">
            <v>0.17608790484124537</v>
          </cell>
          <cell r="I401">
            <v>0.21291986197001164</v>
          </cell>
          <cell r="J401">
            <v>0.28934373454384477</v>
          </cell>
          <cell r="K401"/>
        </row>
        <row r="402">
          <cell r="A402" t="str">
            <v>RHEM-SHLFOBR</v>
          </cell>
          <cell r="B402" t="str">
            <v>VAR_fout</v>
          </cell>
          <cell r="C402" t="str">
            <v>CO2_R</v>
          </cell>
          <cell r="D402">
            <v>1928.7106558722201</v>
          </cell>
          <cell r="E402">
            <v>1529.47384025512</v>
          </cell>
          <cell r="F402">
            <v>1794.75051452002</v>
          </cell>
          <cell r="G402">
            <v>1192.29520926604</v>
          </cell>
          <cell r="H402">
            <v>873.80737761136299</v>
          </cell>
          <cell r="I402">
            <v>661.727637661259</v>
          </cell>
          <cell r="J402">
            <v>221.322488340436</v>
          </cell>
          <cell r="K402"/>
        </row>
        <row r="403">
          <cell r="A403" t="str">
            <v>RHEM-SHLFOBR</v>
          </cell>
          <cell r="B403" t="str">
            <v>VAR_fout</v>
          </cell>
          <cell r="C403" t="str">
            <v>RHEM-SHLFO</v>
          </cell>
          <cell r="D403">
            <v>23.443735358012667</v>
          </cell>
          <cell r="E403">
            <v>18.590958596497693</v>
          </cell>
          <cell r="F403">
            <v>20.885903430226314</v>
          </cell>
          <cell r="G403">
            <v>14.131380235264475</v>
          </cell>
          <cell r="H403">
            <v>10.465420274330528</v>
          </cell>
          <cell r="I403">
            <v>7.9513624391630282</v>
          </cell>
          <cell r="J403">
            <v>2.6681295550724977</v>
          </cell>
          <cell r="K403"/>
        </row>
        <row r="404">
          <cell r="A404" t="str">
            <v>RHEM-SHLFOBR</v>
          </cell>
          <cell r="B404" t="str">
            <v>VAR_fin</v>
          </cell>
          <cell r="C404" t="str">
            <v>RLFO</v>
          </cell>
          <cell r="D404">
            <v>26.169751097316443</v>
          </cell>
          <cell r="E404">
            <v>20.75269796818348</v>
          </cell>
          <cell r="F404">
            <v>24.352110102035461</v>
          </cell>
          <cell r="G404">
            <v>16.177682622334398</v>
          </cell>
          <cell r="H404">
            <v>11.856273780344146</v>
          </cell>
          <cell r="I404">
            <v>8.9786653685381097</v>
          </cell>
          <cell r="J404">
            <v>3.0030188377263962</v>
          </cell>
          <cell r="K404"/>
        </row>
        <row r="405">
          <cell r="A405" t="str">
            <v>RHEM-SHLFOBR</v>
          </cell>
          <cell r="B405" t="str">
            <v>VAR_ncap</v>
          </cell>
          <cell r="C405" t="str">
            <v>-</v>
          </cell>
          <cell r="E405">
            <v>3.3916604540580098E-8</v>
          </cell>
          <cell r="F405">
            <v>3.9259119082180701E-8</v>
          </cell>
          <cell r="G405">
            <v>6.8572798957143296E-8</v>
          </cell>
          <cell r="H405">
            <v>0.30965676140018999</v>
          </cell>
          <cell r="I405">
            <v>0.25182485671719002</v>
          </cell>
          <cell r="J405">
            <v>3.99323670197008E-8</v>
          </cell>
          <cell r="K405"/>
        </row>
        <row r="406">
          <cell r="A406" t="str">
            <v>RHEM-SHLFOBR</v>
          </cell>
          <cell r="B406" t="str">
            <v>VAR_cap</v>
          </cell>
          <cell r="C406" t="str">
            <v>-</v>
          </cell>
          <cell r="D406">
            <v>1.65587464377338</v>
          </cell>
          <cell r="E406">
            <v>1.6558683852271503</v>
          </cell>
          <cell r="F406">
            <v>1.6558652917522045</v>
          </cell>
          <cell r="G406">
            <v>1.655863080012185</v>
          </cell>
          <cell r="H406">
            <v>0.73907870579479673</v>
          </cell>
          <cell r="I406">
            <v>0.56148157829580914</v>
          </cell>
          <cell r="J406">
            <v>0.3033005571090141</v>
          </cell>
          <cell r="K406"/>
        </row>
        <row r="407">
          <cell r="A407" t="str">
            <v>RHES-SHNGAHP</v>
          </cell>
          <cell r="B407" t="str">
            <v>VAR_fout</v>
          </cell>
          <cell r="C407" t="str">
            <v>RHES-SHANGAH</v>
          </cell>
          <cell r="F407">
            <v>2.0166482184147254</v>
          </cell>
          <cell r="G407">
            <v>3.9280380075667742</v>
          </cell>
          <cell r="H407">
            <v>5.2203328495710544</v>
          </cell>
          <cell r="I407">
            <v>6.0782073161645958</v>
          </cell>
          <cell r="J407">
            <v>7.6288730972260872</v>
          </cell>
          <cell r="K407"/>
        </row>
        <row r="408">
          <cell r="A408" t="str">
            <v>RHES-SHNGAHP</v>
          </cell>
          <cell r="B408" t="str">
            <v>VAR_fout</v>
          </cell>
          <cell r="C408" t="str">
            <v>CO2_R</v>
          </cell>
          <cell r="F408">
            <v>62.822685064225098</v>
          </cell>
          <cell r="G408">
            <v>118.70994680873</v>
          </cell>
          <cell r="H408">
            <v>154.79629570669201</v>
          </cell>
          <cell r="I408">
            <v>177.791090300908</v>
          </cell>
          <cell r="J408">
            <v>217.43187707385701</v>
          </cell>
          <cell r="K408"/>
        </row>
        <row r="409">
          <cell r="A409" t="str">
            <v>RHES-SHNGAHP</v>
          </cell>
          <cell r="B409" t="str">
            <v>VAR_fin</v>
          </cell>
          <cell r="C409" t="str">
            <v>RHESELCHPC</v>
          </cell>
          <cell r="F409">
            <v>2.0166482184147254</v>
          </cell>
          <cell r="G409">
            <v>3.9280380075667742</v>
          </cell>
          <cell r="H409">
            <v>5.2203328495710544</v>
          </cell>
          <cell r="I409">
            <v>6.0782073161645958</v>
          </cell>
          <cell r="J409">
            <v>7.6288730972260872</v>
          </cell>
          <cell r="K409"/>
        </row>
        <row r="410">
          <cell r="A410" t="str">
            <v>RHES-SHNGAHP</v>
          </cell>
          <cell r="B410" t="str">
            <v>VAR_fin</v>
          </cell>
          <cell r="C410" t="str">
            <v>RNGA</v>
          </cell>
          <cell r="F410">
            <v>1.1138773947557659</v>
          </cell>
          <cell r="G410">
            <v>2.1047862909349369</v>
          </cell>
          <cell r="H410">
            <v>2.7446151721044734</v>
          </cell>
          <cell r="I410">
            <v>3.1523242961153879</v>
          </cell>
          <cell r="J410">
            <v>3.8551751254229942</v>
          </cell>
        </row>
        <row r="411">
          <cell r="A411" t="str">
            <v>RHES-SHNGAHP</v>
          </cell>
          <cell r="B411" t="str">
            <v>VAR_ncap</v>
          </cell>
          <cell r="C411" t="str">
            <v>-</v>
          </cell>
          <cell r="E411">
            <v>6.5045822344691404E-8</v>
          </cell>
          <cell r="F411">
            <v>0.16292534017833199</v>
          </cell>
          <cell r="G411">
            <v>0.15441406994678</v>
          </cell>
          <cell r="H411">
            <v>0.104405144612816</v>
          </cell>
          <cell r="I411">
            <v>0.25232400384840997</v>
          </cell>
          <cell r="J411">
            <v>0.38903902507535298</v>
          </cell>
          <cell r="K411"/>
        </row>
        <row r="412">
          <cell r="A412" t="str">
            <v>RHES-SHNGAHP</v>
          </cell>
          <cell r="B412" t="str">
            <v>VAR_cap</v>
          </cell>
          <cell r="C412" t="str">
            <v>-</v>
          </cell>
          <cell r="E412">
            <v>6.5045822344691404E-8</v>
          </cell>
          <cell r="F412">
            <v>0.16292537877315857</v>
          </cell>
          <cell r="G412">
            <v>0.31733944579884471</v>
          </cell>
          <cell r="H412">
            <v>0.42174450739613523</v>
          </cell>
          <cell r="I412">
            <v>0.49104942720574873</v>
          </cell>
          <cell r="J412">
            <v>0.61632180369204836</v>
          </cell>
          <cell r="K412"/>
        </row>
        <row r="413">
          <cell r="A413" t="str">
            <v>D-RHES_LTH_CHPWOD</v>
          </cell>
          <cell r="B413" t="str">
            <v>VAR_fout</v>
          </cell>
          <cell r="C413" t="str">
            <v>RHES_LTH_CHPWOD_ON</v>
          </cell>
          <cell r="D413">
            <v>1.2786845064513276E-5</v>
          </cell>
          <cell r="E413">
            <v>5.953408251339512E-6</v>
          </cell>
          <cell r="F413">
            <v>2.1285667745253775E-6</v>
          </cell>
          <cell r="G413">
            <v>3.6903540183830555E-6</v>
          </cell>
          <cell r="H413">
            <v>1.8738927873479821E-6</v>
          </cell>
          <cell r="I413">
            <v>8.8431685506718781E-7</v>
          </cell>
          <cell r="J413">
            <v>1.7884599298187517E-6</v>
          </cell>
          <cell r="K413"/>
        </row>
        <row r="414">
          <cell r="A414" t="str">
            <v>D-RHES_LTH_CHPWOD</v>
          </cell>
          <cell r="B414" t="str">
            <v>VAR_fout</v>
          </cell>
          <cell r="C414" t="str">
            <v>RHSA_LTH</v>
          </cell>
          <cell r="D414">
            <v>1.1305535980934815E-5</v>
          </cell>
          <cell r="E414">
            <v>1.552733453957009E-5</v>
          </cell>
          <cell r="F414">
            <v>3.3064743673275882E-6</v>
          </cell>
          <cell r="G414">
            <v>8.5604697069309253E-6</v>
          </cell>
          <cell r="H414">
            <v>9.0974065463620364E-6</v>
          </cell>
          <cell r="I414">
            <v>9.0497237543958697E-6</v>
          </cell>
          <cell r="J414">
            <v>6.0738291079275985E-6</v>
          </cell>
        </row>
        <row r="415">
          <cell r="A415" t="str">
            <v>D-RHES_LTH_CHPWOD</v>
          </cell>
          <cell r="B415" t="str">
            <v>VAR_fin</v>
          </cell>
          <cell r="C415" t="str">
            <v>RHES_LTH_CHPWOD</v>
          </cell>
          <cell r="D415">
            <v>2.4092381045448106E-5</v>
          </cell>
          <cell r="E415">
            <v>2.1865214595206163E-5</v>
          </cell>
          <cell r="F415">
            <v>5.7075754760690465E-6</v>
          </cell>
          <cell r="G415">
            <v>1.2793193661785673E-5</v>
          </cell>
          <cell r="H415">
            <v>1.1772722792828363E-5</v>
          </cell>
          <cell r="I415">
            <v>1.0730747037392124E-5</v>
          </cell>
          <cell r="J415">
            <v>8.8835517362241429E-6</v>
          </cell>
        </row>
        <row r="416">
          <cell r="A416" t="str">
            <v>ITOT-SWHSOLBR</v>
          </cell>
          <cell r="B416" t="str">
            <v>VAR_fout</v>
          </cell>
          <cell r="C416" t="str">
            <v>ITOT-SWHASOL</v>
          </cell>
          <cell r="D416">
            <v>6.7641181729311065E-2</v>
          </cell>
          <cell r="E416">
            <v>8.5491523208523268E-2</v>
          </cell>
          <cell r="F416">
            <v>8.419430149156891E-2</v>
          </cell>
          <cell r="G416">
            <v>8.5486550814930021E-2</v>
          </cell>
          <cell r="H416">
            <v>3.32942562948935E-2</v>
          </cell>
          <cell r="I416">
            <v>8.5421946250484757E-2</v>
          </cell>
          <cell r="J416">
            <v>8.5451108393806721E-2</v>
          </cell>
          <cell r="K416"/>
        </row>
        <row r="417">
          <cell r="A417" t="str">
            <v>ITOT-SWHSOLBR</v>
          </cell>
          <cell r="B417" t="str">
            <v>VAR_fin</v>
          </cell>
          <cell r="C417" t="str">
            <v>SOL</v>
          </cell>
          <cell r="D417">
            <v>6.7641181729311065E-2</v>
          </cell>
          <cell r="E417">
            <v>8.5491523208523268E-2</v>
          </cell>
          <cell r="F417">
            <v>8.419430149156891E-2</v>
          </cell>
          <cell r="G417">
            <v>8.5486550814930021E-2</v>
          </cell>
          <cell r="H417">
            <v>3.32942562948935E-2</v>
          </cell>
          <cell r="I417">
            <v>8.5421946250484757E-2</v>
          </cell>
          <cell r="J417">
            <v>8.5451108393806721E-2</v>
          </cell>
          <cell r="K417"/>
        </row>
        <row r="418">
          <cell r="A418" t="str">
            <v>ITOT-SWHSOLBR</v>
          </cell>
          <cell r="B418" t="str">
            <v>VAR_ncap</v>
          </cell>
          <cell r="C418" t="str">
            <v>-</v>
          </cell>
          <cell r="E418">
            <v>2.6006272887123898E-3</v>
          </cell>
          <cell r="F418">
            <v>2.2077889801471199E-8</v>
          </cell>
          <cell r="G418">
            <v>2.2007489706106402E-8</v>
          </cell>
          <cell r="H418">
            <v>8.5413565803422707E-3</v>
          </cell>
          <cell r="I418">
            <v>3.8787650944544501E-3</v>
          </cell>
          <cell r="J418">
            <v>5.99159722347253E-3</v>
          </cell>
        </row>
        <row r="419">
          <cell r="A419" t="str">
            <v>ITOT-SWHSOLBR</v>
          </cell>
          <cell r="B419" t="str">
            <v>VAR_cap</v>
          </cell>
          <cell r="C419" t="str">
            <v>-</v>
          </cell>
          <cell r="D419">
            <v>9.8214799778629808E-3</v>
          </cell>
          <cell r="E419">
            <v>1.2422107266575371E-2</v>
          </cell>
          <cell r="F419">
            <v>1.242212934446517E-2</v>
          </cell>
          <cell r="G419">
            <v>1.2422151351954881E-2</v>
          </cell>
          <cell r="H419">
            <v>1.2420864681378671E-2</v>
          </cell>
          <cell r="I419">
            <v>1.24201406160892E-2</v>
          </cell>
          <cell r="J419">
            <v>1.24194952324586E-2</v>
          </cell>
        </row>
        <row r="420">
          <cell r="A420" t="str">
            <v>SCOM-SHNGAHP</v>
          </cell>
          <cell r="B420" t="str">
            <v>VAR_fout</v>
          </cell>
          <cell r="C420" t="str">
            <v>SCOM-SHANGAH</v>
          </cell>
          <cell r="F420">
            <v>1.7217033205497339</v>
          </cell>
          <cell r="G420">
            <v>3.4536906775593574</v>
          </cell>
          <cell r="H420">
            <v>4.8093650371988641</v>
          </cell>
          <cell r="I420">
            <v>6.0106664776963896</v>
          </cell>
          <cell r="J420">
            <v>8.6578316606338852</v>
          </cell>
          <cell r="K420"/>
        </row>
        <row r="421">
          <cell r="A421" t="str">
            <v>SCOM-SHNGAHP</v>
          </cell>
          <cell r="B421" t="str">
            <v>VAR_fout</v>
          </cell>
          <cell r="C421" t="str">
            <v>CO2_S</v>
          </cell>
          <cell r="F421">
            <v>50.887986972670298</v>
          </cell>
          <cell r="G421">
            <v>99.369220582829499</v>
          </cell>
          <cell r="H421">
            <v>135.434161739253</v>
          </cell>
          <cell r="I421">
            <v>166.239447862341</v>
          </cell>
          <cell r="J421">
            <v>230.943301821023</v>
          </cell>
          <cell r="K421"/>
        </row>
        <row r="422">
          <cell r="A422" t="str">
            <v>SCOM-SHNGAHP</v>
          </cell>
          <cell r="B422" t="str">
            <v>VAR_fin</v>
          </cell>
          <cell r="C422" t="str">
            <v>SCOMELCHPC</v>
          </cell>
          <cell r="F422">
            <v>1.7217033205497339</v>
          </cell>
          <cell r="G422">
            <v>3.4536906775593574</v>
          </cell>
          <cell r="H422">
            <v>4.8093650371988641</v>
          </cell>
          <cell r="I422">
            <v>6.0106664776963896</v>
          </cell>
          <cell r="J422">
            <v>8.6578316606338852</v>
          </cell>
        </row>
        <row r="423">
          <cell r="A423" t="str">
            <v>SCOM-SHNGAHP</v>
          </cell>
          <cell r="B423" t="str">
            <v>VAR_fin</v>
          </cell>
          <cell r="C423" t="str">
            <v>SNGA</v>
          </cell>
          <cell r="F423">
            <v>0.90226927256507528</v>
          </cell>
          <cell r="G423">
            <v>1.7618656131707353</v>
          </cell>
          <cell r="H423">
            <v>2.401314924454836</v>
          </cell>
          <cell r="I423">
            <v>2.9475079408216467</v>
          </cell>
          <cell r="J423">
            <v>4.0947393939897658</v>
          </cell>
        </row>
        <row r="424">
          <cell r="A424" t="str">
            <v>SCOM-SHNGAHP</v>
          </cell>
          <cell r="B424" t="str">
            <v>VAR_ncap</v>
          </cell>
          <cell r="C424" t="str">
            <v>-</v>
          </cell>
          <cell r="D424">
            <v>1.35884408911909E-7</v>
          </cell>
          <cell r="E424">
            <v>9.9058645186704297E-6</v>
          </cell>
          <cell r="F424">
            <v>0.13308678659460499</v>
          </cell>
          <cell r="G424">
            <v>0.133873831869112</v>
          </cell>
          <cell r="H424">
            <v>0.104806793448866</v>
          </cell>
          <cell r="I424">
            <v>0.24651092623306201</v>
          </cell>
          <cell r="J424">
            <v>0.44888379574751902</v>
          </cell>
          <cell r="K424"/>
        </row>
        <row r="425">
          <cell r="A425" t="str">
            <v>SCOM-SHNGAHP</v>
          </cell>
          <cell r="B425" t="str">
            <v>VAR_cap</v>
          </cell>
          <cell r="C425" t="str">
            <v>-</v>
          </cell>
          <cell r="D425">
            <v>1.35884408911909E-7</v>
          </cell>
          <cell r="E425">
            <v>9.9855702295046725E-6</v>
          </cell>
          <cell r="F425">
            <v>0.13309671992942065</v>
          </cell>
          <cell r="G425">
            <v>0.2669705620280049</v>
          </cell>
          <cell r="H425">
            <v>0.37177227731220225</v>
          </cell>
          <cell r="I425">
            <v>0.46632416057248294</v>
          </cell>
          <cell r="J425">
            <v>0.67211769433749802</v>
          </cell>
          <cell r="K425"/>
        </row>
        <row r="426">
          <cell r="A426" t="str">
            <v>RHNS-SHNGABR</v>
          </cell>
          <cell r="B426" t="str">
            <v>VAR_fout</v>
          </cell>
          <cell r="C426" t="str">
            <v>CO2_R</v>
          </cell>
          <cell r="E426">
            <v>6.0644357272083198</v>
          </cell>
          <cell r="F426">
            <v>3.2511402088477701</v>
          </cell>
          <cell r="G426">
            <v>6.6602520369437004</v>
          </cell>
          <cell r="H426">
            <v>8.4729013476334902</v>
          </cell>
          <cell r="I426">
            <v>9.6986352124121105</v>
          </cell>
          <cell r="J426">
            <v>10.3296329744072</v>
          </cell>
        </row>
        <row r="427">
          <cell r="A427" t="str">
            <v>RHNS-SHNGABR</v>
          </cell>
          <cell r="B427" t="str">
            <v>VAR_fout</v>
          </cell>
          <cell r="C427" t="str">
            <v>RHNS-SHNGA</v>
          </cell>
          <cell r="E427">
            <v>0.10214918334836708</v>
          </cell>
          <cell r="F427">
            <v>5.5318697012780277E-2</v>
          </cell>
          <cell r="G427">
            <v>0.11333163759266141</v>
          </cell>
          <cell r="H427">
            <v>0.1441797463957811</v>
          </cell>
          <cell r="I427">
            <v>0.16504125471632761</v>
          </cell>
          <cell r="J427">
            <v>0.1757789162616944</v>
          </cell>
        </row>
        <row r="428">
          <cell r="A428" t="str">
            <v>RHNS-SHNGABR</v>
          </cell>
          <cell r="B428" t="str">
            <v>VAR_fin</v>
          </cell>
          <cell r="C428" t="str">
            <v>RNGA</v>
          </cell>
          <cell r="E428">
            <v>0.10752545615617591</v>
          </cell>
          <cell r="F428">
            <v>5.7644329944109431E-2</v>
          </cell>
          <cell r="G428">
            <v>0.11808957512311516</v>
          </cell>
          <cell r="H428">
            <v>0.15022874729846628</v>
          </cell>
          <cell r="I428">
            <v>0.17196161724134956</v>
          </cell>
          <cell r="J428">
            <v>0.18314952082282193</v>
          </cell>
          <cell r="K428"/>
        </row>
        <row r="429">
          <cell r="A429" t="str">
            <v>RHNS-SHNGABR</v>
          </cell>
          <cell r="B429" t="str">
            <v>VAR_ncap</v>
          </cell>
          <cell r="C429" t="str">
            <v>-</v>
          </cell>
          <cell r="E429">
            <v>7.4738978659890298E-3</v>
          </cell>
          <cell r="F429">
            <v>1.83806322310899E-7</v>
          </cell>
          <cell r="G429">
            <v>7.9185137107576299E-4</v>
          </cell>
          <cell r="H429">
            <v>5.9315041526967604E-3</v>
          </cell>
          <cell r="I429">
            <v>5.60675735847283E-3</v>
          </cell>
          <cell r="J429">
            <v>6.6242131642745301E-3</v>
          </cell>
          <cell r="K429"/>
        </row>
        <row r="430">
          <cell r="A430" t="str">
            <v>RHNS-SHNGABR</v>
          </cell>
          <cell r="B430" t="str">
            <v>VAR_cap</v>
          </cell>
          <cell r="C430" t="str">
            <v>-</v>
          </cell>
          <cell r="E430">
            <v>7.4738978659890298E-3</v>
          </cell>
          <cell r="F430">
            <v>7.4739847256888947E-3</v>
          </cell>
          <cell r="G430">
            <v>8.2658453189676257E-3</v>
          </cell>
          <cell r="H430">
            <v>1.0552486844743476E-2</v>
          </cell>
          <cell r="I430">
            <v>1.2078948059745591E-2</v>
          </cell>
          <cell r="J430">
            <v>1.320214698087516E-2</v>
          </cell>
          <cell r="K430"/>
        </row>
        <row r="431">
          <cell r="A431" t="str">
            <v>D-RHNM_LTH_CHPNGA</v>
          </cell>
          <cell r="B431" t="str">
            <v>VAR_fout</v>
          </cell>
          <cell r="C431" t="str">
            <v>RHSA_LTH</v>
          </cell>
          <cell r="D431">
            <v>1.5623149007274526E-5</v>
          </cell>
          <cell r="E431">
            <v>1.509825733124878E-5</v>
          </cell>
          <cell r="F431">
            <v>2.7115021584451253E-3</v>
          </cell>
          <cell r="G431">
            <v>9.2957692091953135E-6</v>
          </cell>
          <cell r="H431">
            <v>5.7814996071929859E-6</v>
          </cell>
          <cell r="I431">
            <v>9.311082317754358E-6</v>
          </cell>
          <cell r="J431">
            <v>7.2251054805542078E-6</v>
          </cell>
          <cell r="K431"/>
        </row>
        <row r="432">
          <cell r="A432" t="str">
            <v>D-RHNM_LTH_CHPNGA</v>
          </cell>
          <cell r="B432" t="str">
            <v>VAR_fout</v>
          </cell>
          <cell r="C432" t="str">
            <v>LTH</v>
          </cell>
          <cell r="F432">
            <v>2.7841202914863122E-7</v>
          </cell>
          <cell r="K432"/>
        </row>
        <row r="433">
          <cell r="A433" t="str">
            <v>D-RHNM_LTH_CHPNGA</v>
          </cell>
          <cell r="B433" t="str">
            <v>VAR_fout</v>
          </cell>
          <cell r="C433" t="str">
            <v>RHNM_LTH_CHPNGA_ON</v>
          </cell>
          <cell r="D433">
            <v>9.7245709783068144E-6</v>
          </cell>
          <cell r="E433">
            <v>2.584361010096918E-3</v>
          </cell>
          <cell r="G433">
            <v>3.0902442981800653E-6</v>
          </cell>
          <cell r="H433">
            <v>5.2158554313205377E-6</v>
          </cell>
          <cell r="I433">
            <v>1.3832844036609049E-6</v>
          </cell>
          <cell r="J433">
            <v>6.3719467642337213E-7</v>
          </cell>
          <cell r="K433"/>
        </row>
        <row r="434">
          <cell r="A434" t="str">
            <v>D-RHNM_LTH_CHPNGA</v>
          </cell>
          <cell r="B434" t="str">
            <v>VAR_fin</v>
          </cell>
          <cell r="C434" t="str">
            <v>RHNM_LTH_CHPNGA</v>
          </cell>
          <cell r="D434">
            <v>2.5347719985581354E-5</v>
          </cell>
          <cell r="E434">
            <v>2.5997965402140091E-3</v>
          </cell>
          <cell r="F434">
            <v>2.7123750087916869E-3</v>
          </cell>
          <cell r="G434">
            <v>1.3156477182464956E-5</v>
          </cell>
          <cell r="H434">
            <v>1.1991557792456185E-5</v>
          </cell>
          <cell r="I434">
            <v>1.1623349372827213E-5</v>
          </cell>
          <cell r="J434">
            <v>8.883562301149544E-6</v>
          </cell>
          <cell r="K434"/>
        </row>
        <row r="435">
          <cell r="A435" t="str">
            <v>RHNM-SHELCHP</v>
          </cell>
          <cell r="B435" t="str">
            <v>VAR_fout</v>
          </cell>
          <cell r="C435" t="str">
            <v>RHNM-SHAELCH</v>
          </cell>
          <cell r="E435">
            <v>5.9106619902447679E-5</v>
          </cell>
          <cell r="F435">
            <v>0.91528497895386418</v>
          </cell>
          <cell r="G435">
            <v>1.6932097748929726</v>
          </cell>
          <cell r="H435">
            <v>2.242949987350034</v>
          </cell>
          <cell r="I435">
            <v>2.6806834994781856</v>
          </cell>
          <cell r="J435">
            <v>3.3736938582781675</v>
          </cell>
          <cell r="K435"/>
        </row>
        <row r="436">
          <cell r="A436" t="str">
            <v>RHNM-SHELCHP</v>
          </cell>
          <cell r="B436" t="str">
            <v>VAR_fin</v>
          </cell>
          <cell r="C436" t="str">
            <v>RHNM_ELC</v>
          </cell>
          <cell r="E436">
            <v>1.8168018412637605E-5</v>
          </cell>
          <cell r="F436">
            <v>0.26949035395230603</v>
          </cell>
          <cell r="G436">
            <v>0.48431380695670279</v>
          </cell>
          <cell r="H436">
            <v>0.62663863125070485</v>
          </cell>
          <cell r="I436">
            <v>0.73414195685715522</v>
          </cell>
          <cell r="J436">
            <v>0.88444717744849166</v>
          </cell>
          <cell r="K436"/>
        </row>
        <row r="437">
          <cell r="A437" t="str">
            <v>RHNM-SHELCHP</v>
          </cell>
          <cell r="B437" t="str">
            <v>VAR_fin</v>
          </cell>
          <cell r="C437" t="str">
            <v>RHNMELCHPC</v>
          </cell>
          <cell r="E437">
            <v>5.9106619902447679E-5</v>
          </cell>
          <cell r="F437">
            <v>0.91528497895386418</v>
          </cell>
          <cell r="G437">
            <v>1.6932097748929726</v>
          </cell>
          <cell r="H437">
            <v>2.242949987350034</v>
          </cell>
          <cell r="I437">
            <v>2.6806834994781856</v>
          </cell>
          <cell r="J437">
            <v>3.3736938582781675</v>
          </cell>
          <cell r="K437"/>
        </row>
        <row r="438">
          <cell r="A438" t="str">
            <v>RHNM-SHELCHP</v>
          </cell>
          <cell r="B438" t="str">
            <v>VAR_ncap</v>
          </cell>
          <cell r="C438" t="str">
            <v>-</v>
          </cell>
          <cell r="E438">
            <v>2.4509855728821301E-5</v>
          </cell>
          <cell r="F438">
            <v>7.1033442060974505E-2</v>
          </cell>
          <cell r="G438">
            <v>6.0394424391223701E-2</v>
          </cell>
          <cell r="H438">
            <v>4.2672628443772002E-2</v>
          </cell>
          <cell r="I438">
            <v>0.11157812088786</v>
          </cell>
          <cell r="J438">
            <v>0.162842541698589</v>
          </cell>
          <cell r="K438"/>
        </row>
        <row r="439">
          <cell r="A439" t="str">
            <v>RHNM-SHELCHP</v>
          </cell>
          <cell r="B439" t="str">
            <v>VAR_cap</v>
          </cell>
          <cell r="C439" t="str">
            <v>-</v>
          </cell>
          <cell r="E439">
            <v>2.4509855728821301E-5</v>
          </cell>
          <cell r="F439">
            <v>7.1057901063435097E-2</v>
          </cell>
          <cell r="G439">
            <v>0.13145215890754142</v>
          </cell>
          <cell r="H439">
            <v>0.17411282363333552</v>
          </cell>
          <cell r="I439">
            <v>0.20808078266925176</v>
          </cell>
          <cell r="J439">
            <v>0.26186877079527243</v>
          </cell>
          <cell r="K439"/>
        </row>
        <row r="440">
          <cell r="A440" t="str">
            <v>RHEM-SHSTG-ELC</v>
          </cell>
          <cell r="B440" t="str">
            <v>VAR_fout</v>
          </cell>
          <cell r="C440" t="str">
            <v>RHEM-SHAELCB</v>
          </cell>
          <cell r="D440">
            <v>0.77138512997351538</v>
          </cell>
          <cell r="E440">
            <v>0.75019002506802179</v>
          </cell>
          <cell r="F440">
            <v>9.1106087396392536E-3</v>
          </cell>
          <cell r="G440">
            <v>2.8689195396228722E-3</v>
          </cell>
          <cell r="H440">
            <v>6.412072916593903E-4</v>
          </cell>
          <cell r="I440">
            <v>6.4126731134270861E-4</v>
          </cell>
          <cell r="J440">
            <v>5.5023403952955663E-4</v>
          </cell>
        </row>
        <row r="441">
          <cell r="A441" t="str">
            <v>RHEM-SHSTG-ELC</v>
          </cell>
          <cell r="B441" t="str">
            <v>VAR_fout</v>
          </cell>
          <cell r="C441" t="str">
            <v>AUX_RHEM-SHSTG-ELC_OUT</v>
          </cell>
          <cell r="D441">
            <v>0.77215651510348915</v>
          </cell>
          <cell r="E441">
            <v>0.75094021509308984</v>
          </cell>
          <cell r="F441">
            <v>9.1197193483788814E-3</v>
          </cell>
          <cell r="G441">
            <v>2.8717884591624937E-3</v>
          </cell>
          <cell r="H441">
            <v>6.4184849895104941E-4</v>
          </cell>
          <cell r="I441">
            <v>6.4190857865405215E-4</v>
          </cell>
          <cell r="J441">
            <v>5.5078427356908646E-4</v>
          </cell>
        </row>
        <row r="442">
          <cell r="A442" t="str">
            <v>RHEM-SHSTG-ELC</v>
          </cell>
          <cell r="B442" t="str">
            <v>VAR_fin</v>
          </cell>
          <cell r="C442" t="str">
            <v>RHEM-SHAELCB</v>
          </cell>
          <cell r="D442">
            <v>0.77139127850182831</v>
          </cell>
          <cell r="E442">
            <v>0.75018993087232499</v>
          </cell>
          <cell r="F442">
            <v>9.1102061497363492E-3</v>
          </cell>
          <cell r="G442">
            <v>2.8687307160386436E-3</v>
          </cell>
          <cell r="H442">
            <v>6.414144908552296E-4</v>
          </cell>
          <cell r="I442">
            <v>6.4172043299653579E-4</v>
          </cell>
          <cell r="J442">
            <v>5.5066659742612116E-4</v>
          </cell>
          <cell r="K442"/>
        </row>
        <row r="443">
          <cell r="A443" t="str">
            <v>RHEM-SHSTG-ELC</v>
          </cell>
          <cell r="B443" t="str">
            <v>VAR_ncap</v>
          </cell>
          <cell r="C443" t="str">
            <v>-</v>
          </cell>
          <cell r="D443">
            <v>7.6893342719969102E-2</v>
          </cell>
          <cell r="E443">
            <v>1.1392916505361501E-5</v>
          </cell>
          <cell r="F443">
            <v>3.2572639484073299E-6</v>
          </cell>
          <cell r="G443">
            <v>5.5037327899652904E-6</v>
          </cell>
          <cell r="H443">
            <v>1.7536257168870901E-5</v>
          </cell>
          <cell r="I443">
            <v>8.5050688020024695E-5</v>
          </cell>
          <cell r="J443">
            <v>1.6884266295394301E-5</v>
          </cell>
          <cell r="K443"/>
        </row>
        <row r="444">
          <cell r="A444" t="str">
            <v>RHEM-SHSTG-ELC</v>
          </cell>
          <cell r="B444" t="str">
            <v>VAR_cap</v>
          </cell>
          <cell r="C444" t="str">
            <v>-</v>
          </cell>
          <cell r="D444">
            <v>7.6893342719969102E-2</v>
          </cell>
          <cell r="E444">
            <v>7.689413505022516E-2</v>
          </cell>
          <cell r="F444">
            <v>1.1328700395363961E-3</v>
          </cell>
          <cell r="G444">
            <v>4.0447282378459903E-4</v>
          </cell>
          <cell r="H444">
            <v>1.072946178703009E-4</v>
          </cell>
          <cell r="I444">
            <v>9.6529177182679807E-5</v>
          </cell>
          <cell r="J444">
            <v>7.5712889258501995E-5</v>
          </cell>
        </row>
        <row r="445">
          <cell r="A445" t="str">
            <v>RHNM-SHLTHCHPWOD</v>
          </cell>
          <cell r="B445" t="str">
            <v>VAR_ncap</v>
          </cell>
          <cell r="C445" t="str">
            <v>-</v>
          </cell>
          <cell r="G445">
            <v>3.2266576145427302E-6</v>
          </cell>
          <cell r="H445">
            <v>5.9150266695938804E-6</v>
          </cell>
          <cell r="I445">
            <v>3.6809907963906102E-6</v>
          </cell>
          <cell r="J445">
            <v>1.9523150105142099E-6</v>
          </cell>
        </row>
        <row r="446">
          <cell r="A446" t="str">
            <v>RHNM-SHLTHCHPWOD</v>
          </cell>
          <cell r="B446" t="str">
            <v>VAR_cap</v>
          </cell>
          <cell r="C446" t="str">
            <v>-</v>
          </cell>
          <cell r="G446">
            <v>3.2266576145427302E-6</v>
          </cell>
          <cell r="H446">
            <v>7.5337213605480396E-6</v>
          </cell>
          <cell r="I446">
            <v>6.6200169590446492E-6</v>
          </cell>
          <cell r="J446">
            <v>3.3198916199476198E-6</v>
          </cell>
          <cell r="K446"/>
        </row>
        <row r="447">
          <cell r="A447" t="str">
            <v>ITOT-SWHDEM</v>
          </cell>
          <cell r="B447" t="str">
            <v>VAR_fout</v>
          </cell>
          <cell r="C447" t="str">
            <v>ITOT-SWHD</v>
          </cell>
          <cell r="D447">
            <v>72.708169056255471</v>
          </cell>
          <cell r="E447">
            <v>73.852692481414579</v>
          </cell>
          <cell r="F447">
            <v>75.869305462110901</v>
          </cell>
          <cell r="G447">
            <v>76.896501473642374</v>
          </cell>
          <cell r="H447">
            <v>77.048203628618012</v>
          </cell>
          <cell r="I447">
            <v>77.025067957107964</v>
          </cell>
          <cell r="J447">
            <v>77.00162323742245</v>
          </cell>
        </row>
        <row r="448">
          <cell r="A448" t="str">
            <v>ITOT-SWHDEM</v>
          </cell>
          <cell r="B448" t="str">
            <v>VAR_fin</v>
          </cell>
          <cell r="C448" t="str">
            <v>ITOT-SWHNGAH</v>
          </cell>
          <cell r="F448">
            <v>2.6211072187232551E-2</v>
          </cell>
          <cell r="G448">
            <v>2.717213292596601E-2</v>
          </cell>
          <cell r="H448">
            <v>1.2634726699295613E-2</v>
          </cell>
          <cell r="I448">
            <v>0.14225593348706861</v>
          </cell>
          <cell r="J448">
            <v>0.10331988753491242</v>
          </cell>
        </row>
        <row r="449">
          <cell r="A449" t="str">
            <v>ITOT-SWHDEM</v>
          </cell>
          <cell r="B449" t="str">
            <v>VAR_fin</v>
          </cell>
          <cell r="C449" t="str">
            <v>ITOT-SWH</v>
          </cell>
          <cell r="D449">
            <v>61.718493339319387</v>
          </cell>
          <cell r="E449">
            <v>60.510694000658134</v>
          </cell>
          <cell r="F449">
            <v>62.402010073923222</v>
          </cell>
          <cell r="G449">
            <v>60.351260660322801</v>
          </cell>
          <cell r="H449">
            <v>56.489942025942817</v>
          </cell>
          <cell r="I449">
            <v>49.59403736939133</v>
          </cell>
          <cell r="J449">
            <v>45.674966296081614</v>
          </cell>
        </row>
        <row r="450">
          <cell r="A450" t="str">
            <v>ITOT-SWHDEM</v>
          </cell>
          <cell r="B450" t="str">
            <v>VAR_fin</v>
          </cell>
          <cell r="C450" t="str">
            <v>ITOT-SWHELCH</v>
          </cell>
          <cell r="D450">
            <v>1.1081275654045448</v>
          </cell>
          <cell r="E450">
            <v>1.4007906049714876</v>
          </cell>
          <cell r="F450">
            <v>1.4006325208859984</v>
          </cell>
          <cell r="G450">
            <v>3.985141378590463</v>
          </cell>
          <cell r="H450">
            <v>6.4552797820362304</v>
          </cell>
          <cell r="I450">
            <v>10.218920870463315</v>
          </cell>
          <cell r="J450">
            <v>13.126958532333909</v>
          </cell>
        </row>
        <row r="451">
          <cell r="A451" t="str">
            <v>ITOT-SWHDEM</v>
          </cell>
          <cell r="B451" t="str">
            <v>VAR_fin</v>
          </cell>
          <cell r="C451" t="str">
            <v>ITOT-SWHC</v>
          </cell>
          <cell r="E451">
            <v>1.5206604623210096</v>
          </cell>
          <cell r="F451">
            <v>1.5206596776387744</v>
          </cell>
          <cell r="G451">
            <v>1.5211894795154643</v>
          </cell>
          <cell r="H451">
            <v>3.1224705872683467</v>
          </cell>
          <cell r="I451">
            <v>6.0569094974880935</v>
          </cell>
          <cell r="J451">
            <v>7.1082103737582392</v>
          </cell>
        </row>
        <row r="452">
          <cell r="A452" t="str">
            <v>ITOT-SWHDEM</v>
          </cell>
          <cell r="B452" t="str">
            <v>VAR_fin</v>
          </cell>
          <cell r="C452" t="str">
            <v>ITOT-SWHELC</v>
          </cell>
          <cell r="D452">
            <v>9.8138989592955124</v>
          </cell>
          <cell r="E452">
            <v>10.335082975760931</v>
          </cell>
          <cell r="F452">
            <v>10.435644529979514</v>
          </cell>
          <cell r="G452">
            <v>10.92628719819619</v>
          </cell>
          <cell r="H452">
            <v>10.934644011391818</v>
          </cell>
          <cell r="I452">
            <v>10.927600219079032</v>
          </cell>
          <cell r="J452">
            <v>10.902790959662708</v>
          </cell>
        </row>
        <row r="453">
          <cell r="A453" t="str">
            <v>ITOT-SWHDEM</v>
          </cell>
          <cell r="B453" t="str">
            <v>VAR_fin</v>
          </cell>
          <cell r="C453" t="str">
            <v>ITOT-SWHSOL</v>
          </cell>
          <cell r="D453">
            <v>6.7649192236058156E-2</v>
          </cell>
          <cell r="E453">
            <v>8.5505066745775918E-2</v>
          </cell>
          <cell r="F453">
            <v>8.419936829516074E-2</v>
          </cell>
          <cell r="G453">
            <v>8.5493312924967715E-2</v>
          </cell>
          <cell r="H453">
            <v>3.3297215691046822E-2</v>
          </cell>
          <cell r="I453">
            <v>8.5419142963312475E-2</v>
          </cell>
          <cell r="J453">
            <v>8.5453144243386348E-2</v>
          </cell>
        </row>
        <row r="454">
          <cell r="A454" t="str">
            <v>D-RHNS_NKEV_GAS_ELC_CHP</v>
          </cell>
          <cell r="B454" t="str">
            <v>VAR_fout</v>
          </cell>
          <cell r="C454" t="str">
            <v>RHNS_ELC</v>
          </cell>
          <cell r="E454">
            <v>2.8084460022247397E-4</v>
          </cell>
          <cell r="F454">
            <v>2.9684520455094043E-4</v>
          </cell>
        </row>
        <row r="455">
          <cell r="A455" t="str">
            <v>D-RHNS_NKEV_GAS_ELC_CHP</v>
          </cell>
          <cell r="B455" t="str">
            <v>VAR_fout</v>
          </cell>
          <cell r="C455" t="str">
            <v>ELC5</v>
          </cell>
          <cell r="E455">
            <v>9.9998580715007738E-5</v>
          </cell>
          <cell r="F455">
            <v>1.1256912825039949E-4</v>
          </cell>
        </row>
        <row r="456">
          <cell r="A456" t="str">
            <v>D-RHNS_NKEV_GAS_ELC_CHP</v>
          </cell>
          <cell r="B456" t="str">
            <v>VAR_fin</v>
          </cell>
          <cell r="C456" t="str">
            <v>RHNS_NKEV_GAS_ELC_CHP</v>
          </cell>
          <cell r="E456">
            <v>3.8084318093748192E-4</v>
          </cell>
          <cell r="F456">
            <v>4.0677811196600429E-4</v>
          </cell>
        </row>
        <row r="457">
          <cell r="A457" t="str">
            <v>RHNM-SHSTG-NGAHP</v>
          </cell>
          <cell r="B457" t="str">
            <v>VAR_fout</v>
          </cell>
          <cell r="C457" t="str">
            <v>RHNM-SHANGAH</v>
          </cell>
          <cell r="F457">
            <v>1.1543258223862731E-2</v>
          </cell>
          <cell r="G457">
            <v>3.8787092608476348E-2</v>
          </cell>
          <cell r="H457">
            <v>5.746371845082647E-2</v>
          </cell>
          <cell r="I457">
            <v>6.9556228777156143E-2</v>
          </cell>
          <cell r="J457">
            <v>9.4122707284692658E-2</v>
          </cell>
        </row>
        <row r="458">
          <cell r="A458" t="str">
            <v>RHNM-SHSTG-NGAHP</v>
          </cell>
          <cell r="B458" t="str">
            <v>VAR_fout</v>
          </cell>
          <cell r="C458" t="str">
            <v>AUX_RHNM-SHSTG-NGAHP_OUT</v>
          </cell>
          <cell r="F458">
            <v>1.1554801482086593E-2</v>
          </cell>
          <cell r="G458">
            <v>3.8825879701084823E-2</v>
          </cell>
          <cell r="H458">
            <v>5.7521182169277263E-2</v>
          </cell>
          <cell r="I458">
            <v>6.9625785005933263E-2</v>
          </cell>
          <cell r="J458">
            <v>9.4216829991977336E-2</v>
          </cell>
        </row>
        <row r="459">
          <cell r="A459" t="str">
            <v>RHNM-SHSTG-NGAHP</v>
          </cell>
          <cell r="B459" t="str">
            <v>VAR_fin</v>
          </cell>
          <cell r="C459" t="str">
            <v>RHNM-SHANGAH</v>
          </cell>
          <cell r="F459">
            <v>1.1556384822572874E-2</v>
          </cell>
          <cell r="G459">
            <v>3.8800563916807668E-2</v>
          </cell>
          <cell r="H459">
            <v>5.7470177954203235E-2</v>
          </cell>
          <cell r="I459">
            <v>6.9563284261986796E-2</v>
          </cell>
          <cell r="J459">
            <v>9.4129595023754162E-2</v>
          </cell>
        </row>
        <row r="460">
          <cell r="A460" t="str">
            <v>RHNM-SHSTG-NGAHP</v>
          </cell>
          <cell r="B460" t="str">
            <v>VAR_ncap</v>
          </cell>
          <cell r="C460" t="str">
            <v>-</v>
          </cell>
          <cell r="D460">
            <v>3.089548337859E-6</v>
          </cell>
          <cell r="E460">
            <v>4.1115580529111597E-6</v>
          </cell>
          <cell r="F460">
            <v>4.2201183012470101E-3</v>
          </cell>
          <cell r="G460">
            <v>8.2554565534912402E-3</v>
          </cell>
          <cell r="H460">
            <v>6.21784196780593E-3</v>
          </cell>
          <cell r="I460">
            <v>1.08416872171044E-2</v>
          </cell>
          <cell r="J460">
            <v>2.1443030338967901E-2</v>
          </cell>
        </row>
        <row r="461">
          <cell r="A461" t="str">
            <v>RHNM-SHSTG-NGAHP</v>
          </cell>
          <cell r="B461" t="str">
            <v>VAR_cap</v>
          </cell>
          <cell r="C461" t="str">
            <v>-</v>
          </cell>
          <cell r="D461">
            <v>3.089548337859E-6</v>
          </cell>
          <cell r="E461">
            <v>3.5428035830950949E-7</v>
          </cell>
          <cell r="F461">
            <v>4.2177240020999998E-3</v>
          </cell>
          <cell r="G461">
            <v>1.2468449249710516E-2</v>
          </cell>
          <cell r="H461">
            <v>1.8674588041034793E-2</v>
          </cell>
          <cell r="I461">
            <v>2.3419722869130636E-2</v>
          </cell>
          <cell r="J461">
            <v>3.1924419297884712E-2</v>
          </cell>
        </row>
        <row r="462">
          <cell r="A462" t="str">
            <v>D-IBIO</v>
          </cell>
          <cell r="B462" t="str">
            <v>VAR_fout</v>
          </cell>
          <cell r="C462" t="str">
            <v>IBIO</v>
          </cell>
          <cell r="D462">
            <v>0.43672788829695591</v>
          </cell>
          <cell r="E462">
            <v>0.552066785112303</v>
          </cell>
          <cell r="F462">
            <v>1.7181878395373353</v>
          </cell>
          <cell r="G462">
            <v>4.5887008579231034</v>
          </cell>
          <cell r="H462">
            <v>5.4042019729976758</v>
          </cell>
          <cell r="I462">
            <v>8.428273617993657</v>
          </cell>
          <cell r="J462">
            <v>10.666123376397696</v>
          </cell>
        </row>
        <row r="463">
          <cell r="A463" t="str">
            <v>D-IBIO</v>
          </cell>
          <cell r="B463" t="str">
            <v>VAR_fin</v>
          </cell>
          <cell r="C463" t="str">
            <v>BIO</v>
          </cell>
          <cell r="D463">
            <v>0.43672788829695591</v>
          </cell>
          <cell r="E463">
            <v>0.552066785112303</v>
          </cell>
          <cell r="F463">
            <v>1.7181878395373353</v>
          </cell>
          <cell r="G463">
            <v>4.5887008579231034</v>
          </cell>
          <cell r="H463">
            <v>5.4042019729976758</v>
          </cell>
          <cell r="I463">
            <v>8.428273617993657</v>
          </cell>
          <cell r="J463">
            <v>10.666123376397696</v>
          </cell>
        </row>
        <row r="464">
          <cell r="A464" t="str">
            <v>RHNS-SHLFOBR</v>
          </cell>
          <cell r="B464" t="str">
            <v>VAR_fout</v>
          </cell>
          <cell r="C464" t="str">
            <v>CO2_R</v>
          </cell>
          <cell r="E464">
            <v>1.13751059739005E-3</v>
          </cell>
          <cell r="F464">
            <v>3.2289257860638401</v>
          </cell>
          <cell r="G464">
            <v>4.9913347207402401</v>
          </cell>
          <cell r="H464">
            <v>5.7171519282175298</v>
          </cell>
          <cell r="I464">
            <v>5.6739222562352802</v>
          </cell>
        </row>
        <row r="465">
          <cell r="A465" t="str">
            <v>RHNS-SHLFOBR</v>
          </cell>
          <cell r="B465" t="str">
            <v>VAR_fout</v>
          </cell>
          <cell r="C465" t="str">
            <v>RHNS-SHLFO</v>
          </cell>
          <cell r="E465">
            <v>1.3826593082251295E-5</v>
          </cell>
          <cell r="F465">
            <v>4.1592362600206503E-2</v>
          </cell>
          <cell r="G465">
            <v>6.4294845856196714E-2</v>
          </cell>
          <cell r="H465">
            <v>7.3648499216463048E-2</v>
          </cell>
          <cell r="I465">
            <v>7.3093895677487294E-2</v>
          </cell>
        </row>
        <row r="466">
          <cell r="A466" t="str">
            <v>RHNS-SHLFOBR</v>
          </cell>
          <cell r="B466" t="str">
            <v>VAR_fin</v>
          </cell>
          <cell r="C466" t="str">
            <v>RLFO</v>
          </cell>
          <cell r="E466">
            <v>1.5434336463908399E-5</v>
          </cell>
          <cell r="F466">
            <v>4.3811747436415777E-2</v>
          </cell>
          <cell r="G466">
            <v>6.7725030132160621E-2</v>
          </cell>
          <cell r="H466">
            <v>7.7573296176628601E-2</v>
          </cell>
          <cell r="I466">
            <v>7.6986733463165286E-2</v>
          </cell>
        </row>
        <row r="467">
          <cell r="A467" t="str">
            <v>RHNS-SHLFOBR</v>
          </cell>
          <cell r="B467" t="str">
            <v>VAR_ncap</v>
          </cell>
          <cell r="C467" t="str">
            <v>-</v>
          </cell>
          <cell r="E467">
            <v>4.1492728261707497E-6</v>
          </cell>
          <cell r="F467">
            <v>3.0064638977770699E-2</v>
          </cell>
        </row>
        <row r="468">
          <cell r="A468" t="str">
            <v>RHNS-SHLFOBR</v>
          </cell>
          <cell r="B468" t="str">
            <v>VAR_cap</v>
          </cell>
          <cell r="C468" t="str">
            <v>-</v>
          </cell>
          <cell r="E468">
            <v>4.1492728261707497E-6</v>
          </cell>
          <cell r="F468">
            <v>3.0066994695273373E-2</v>
          </cell>
          <cell r="G468">
            <v>3.0065668914480245E-2</v>
          </cell>
          <cell r="H468">
            <v>3.0064659151484735E-2</v>
          </cell>
          <cell r="I468">
            <v>5.3251039733070204E-3</v>
          </cell>
        </row>
        <row r="469">
          <cell r="A469" t="str">
            <v>D-SNGA</v>
          </cell>
          <cell r="B469" t="str">
            <v>VAR_fout</v>
          </cell>
          <cell r="C469" t="str">
            <v>CO2</v>
          </cell>
          <cell r="D469">
            <v>1521.83054530101</v>
          </cell>
          <cell r="E469">
            <v>1505.0978421386101</v>
          </cell>
          <cell r="F469">
            <v>1385.92866279088</v>
          </cell>
          <cell r="G469">
            <v>1283.4050313791199</v>
          </cell>
          <cell r="H469">
            <v>1127.3547489922501</v>
          </cell>
          <cell r="I469">
            <v>964.51321943799098</v>
          </cell>
          <cell r="J469">
            <v>698.98393517330101</v>
          </cell>
        </row>
        <row r="470">
          <cell r="A470" t="str">
            <v>D-SNGA</v>
          </cell>
          <cell r="B470" t="str">
            <v>VAR_fout</v>
          </cell>
          <cell r="C470" t="str">
            <v>SNGA</v>
          </cell>
          <cell r="D470">
            <v>27.203967279510259</v>
          </cell>
          <cell r="E470">
            <v>28.488315909593684</v>
          </cell>
          <cell r="F470">
            <v>24.958895149710372</v>
          </cell>
          <cell r="G470">
            <v>22.683637796084472</v>
          </cell>
          <cell r="H470">
            <v>19.925591833619965</v>
          </cell>
          <cell r="I470">
            <v>17.04688145705888</v>
          </cell>
          <cell r="J470">
            <v>12.353890108300799</v>
          </cell>
        </row>
        <row r="471">
          <cell r="A471" t="str">
            <v>D-SNGA</v>
          </cell>
          <cell r="B471" t="str">
            <v>VAR_fin</v>
          </cell>
          <cell r="C471" t="str">
            <v>NGA</v>
          </cell>
          <cell r="D471">
            <v>26.982811086897318</v>
          </cell>
          <cell r="E471">
            <v>26.686131952812307</v>
          </cell>
          <cell r="F471">
            <v>24.573203240972994</v>
          </cell>
          <cell r="G471">
            <v>22.755408357785878</v>
          </cell>
          <cell r="H471">
            <v>19.988559379295186</v>
          </cell>
          <cell r="I471">
            <v>17.101298216985672</v>
          </cell>
          <cell r="J471">
            <v>12.393332183923778</v>
          </cell>
        </row>
        <row r="472">
          <cell r="A472" t="str">
            <v>D-SNGA</v>
          </cell>
          <cell r="B472" t="str">
            <v>VAR_fin</v>
          </cell>
          <cell r="C472" t="str">
            <v>BNGA</v>
          </cell>
          <cell r="D472">
            <v>0.30806251935707485</v>
          </cell>
          <cell r="E472">
            <v>1.8931932888170695</v>
          </cell>
          <cell r="F472">
            <v>0.46542608407904179</v>
          </cell>
          <cell r="G472">
            <v>6.9654312507220085E-4</v>
          </cell>
          <cell r="H472">
            <v>6.9279823303679928E-4</v>
          </cell>
          <cell r="I472">
            <v>4.7489048689095154E-5</v>
          </cell>
          <cell r="J472">
            <v>2.9007760549428098E-5</v>
          </cell>
        </row>
        <row r="473">
          <cell r="A473" t="str">
            <v>D-SNGA</v>
          </cell>
          <cell r="B473" t="str">
            <v>VAR_ncap</v>
          </cell>
          <cell r="C473" t="str">
            <v>-</v>
          </cell>
          <cell r="D473">
            <v>7.3970535087961806E-8</v>
          </cell>
          <cell r="E473">
            <v>2.9019836902292399E-8</v>
          </cell>
          <cell r="F473">
            <v>3.4887330160566701E-8</v>
          </cell>
          <cell r="G473">
            <v>4.0834057865580099E-8</v>
          </cell>
          <cell r="H473">
            <v>7.1263971634177097E-8</v>
          </cell>
          <cell r="I473">
            <v>8.0127364705020499E-8</v>
          </cell>
          <cell r="J473">
            <v>1.85469374348085E-7</v>
          </cell>
        </row>
        <row r="474">
          <cell r="A474" t="str">
            <v>D-SNGA</v>
          </cell>
          <cell r="B474" t="str">
            <v>VAR_cap</v>
          </cell>
          <cell r="C474" t="str">
            <v>-</v>
          </cell>
          <cell r="D474">
            <v>2.2350522755956752</v>
          </cell>
          <cell r="E474">
            <v>2.235052304615512</v>
          </cell>
          <cell r="F474">
            <v>2.2350523395028423</v>
          </cell>
          <cell r="G474">
            <v>2.2350523803369002</v>
          </cell>
          <cell r="H474">
            <v>2.2350524516008718</v>
          </cell>
          <cell r="I474">
            <v>2.2350525317282366</v>
          </cell>
          <cell r="J474">
            <v>1.1208910180613307</v>
          </cell>
        </row>
        <row r="475">
          <cell r="A475" t="str">
            <v>D-IPLT</v>
          </cell>
          <cell r="B475" t="str">
            <v>VAR_fout</v>
          </cell>
          <cell r="C475" t="str">
            <v>IPLT</v>
          </cell>
          <cell r="D475">
            <v>0.62578933952296967</v>
          </cell>
          <cell r="E475">
            <v>0.73757443264065503</v>
          </cell>
          <cell r="F475">
            <v>0.73639804823255517</v>
          </cell>
          <cell r="G475">
            <v>0.73433146241348601</v>
          </cell>
          <cell r="H475">
            <v>0.73227895013471855</v>
          </cell>
          <cell r="I475">
            <v>0.73023602114738217</v>
          </cell>
          <cell r="J475">
            <v>0.72618231958666135</v>
          </cell>
        </row>
        <row r="476">
          <cell r="A476" t="str">
            <v>D-IPLT</v>
          </cell>
          <cell r="B476" t="str">
            <v>VAR_fin</v>
          </cell>
          <cell r="C476" t="str">
            <v>PLT</v>
          </cell>
          <cell r="D476">
            <v>0.62578933952296967</v>
          </cell>
          <cell r="E476">
            <v>0.73757443264065503</v>
          </cell>
          <cell r="F476">
            <v>0.73639804823255517</v>
          </cell>
          <cell r="G476">
            <v>0.73433146241348601</v>
          </cell>
          <cell r="H476">
            <v>0.73227895013471855</v>
          </cell>
          <cell r="I476">
            <v>0.73023602114738217</v>
          </cell>
          <cell r="J476">
            <v>0.72618231958666135</v>
          </cell>
        </row>
        <row r="477">
          <cell r="A477" t="str">
            <v>ITOT-SWHWODBR</v>
          </cell>
          <cell r="B477" t="str">
            <v>VAR_fout</v>
          </cell>
          <cell r="C477" t="str">
            <v>ITOT-SWH</v>
          </cell>
          <cell r="D477">
            <v>5.3111240812657341</v>
          </cell>
          <cell r="E477">
            <v>6.2669396196579381</v>
          </cell>
          <cell r="F477">
            <v>6.0336283593019617</v>
          </cell>
          <cell r="G477">
            <v>6.1244687297876785</v>
          </cell>
          <cell r="H477">
            <v>5.9962140942101172</v>
          </cell>
          <cell r="I477">
            <v>5.7345925249536416</v>
          </cell>
          <cell r="J477">
            <v>5.753241461067585</v>
          </cell>
        </row>
        <row r="478">
          <cell r="A478" t="str">
            <v>ITOT-SWHWODBR</v>
          </cell>
          <cell r="B478" t="str">
            <v>VAR_fin</v>
          </cell>
          <cell r="C478" t="str">
            <v>IWOD</v>
          </cell>
          <cell r="D478">
            <v>9.0019052224842984</v>
          </cell>
          <cell r="E478">
            <v>10.609942922671451</v>
          </cell>
          <cell r="F478">
            <v>10.197681734031493</v>
          </cell>
          <cell r="G478">
            <v>10.322138308630933</v>
          </cell>
          <cell r="H478">
            <v>10.077670746571622</v>
          </cell>
          <cell r="I478">
            <v>9.6110489245032991</v>
          </cell>
          <cell r="J478">
            <v>9.5887357684459857</v>
          </cell>
        </row>
        <row r="479">
          <cell r="A479" t="str">
            <v>ITOT-SWHWODBR</v>
          </cell>
          <cell r="B479" t="str">
            <v>VAR_fin</v>
          </cell>
          <cell r="C479" t="str">
            <v>ITOTWODBRC</v>
          </cell>
          <cell r="D479">
            <v>5.3111240812657341</v>
          </cell>
          <cell r="E479">
            <v>6.2669396196579381</v>
          </cell>
          <cell r="F479">
            <v>6.0336283593019617</v>
          </cell>
          <cell r="G479">
            <v>6.1244687297876785</v>
          </cell>
          <cell r="H479">
            <v>5.9962140942101172</v>
          </cell>
          <cell r="I479">
            <v>5.7345925249536416</v>
          </cell>
          <cell r="J479">
            <v>5.753241461067585</v>
          </cell>
        </row>
        <row r="480">
          <cell r="A480" t="str">
            <v>ITOT-SWHWODBR</v>
          </cell>
          <cell r="B480" t="str">
            <v>VAR_ncap</v>
          </cell>
          <cell r="C480" t="str">
            <v>-</v>
          </cell>
          <cell r="E480">
            <v>5.2092799817689897E-2</v>
          </cell>
          <cell r="F480">
            <v>1.07882078183264E-6</v>
          </cell>
          <cell r="G480">
            <v>1.8536181843786E-6</v>
          </cell>
          <cell r="H480">
            <v>0.228559445298647</v>
          </cell>
          <cell r="I480">
            <v>8.6911360834020707E-2</v>
          </cell>
          <cell r="J480">
            <v>0.16586727553789099</v>
          </cell>
        </row>
        <row r="481">
          <cell r="A481" t="str">
            <v>ITOT-SWHWODBR</v>
          </cell>
          <cell r="B481" t="str">
            <v>VAR_cap</v>
          </cell>
          <cell r="C481" t="str">
            <v>-</v>
          </cell>
          <cell r="D481">
            <v>0.28883369534761499</v>
          </cell>
          <cell r="E481">
            <v>0.34092610984297234</v>
          </cell>
          <cell r="F481">
            <v>0.34091870631716675</v>
          </cell>
          <cell r="G481">
            <v>0.34091596818875736</v>
          </cell>
          <cell r="H481">
            <v>0.3301467169544669</v>
          </cell>
          <cell r="I481">
            <v>0.31547004105873611</v>
          </cell>
          <cell r="J481">
            <v>0.32561931798173993</v>
          </cell>
        </row>
        <row r="482">
          <cell r="A482" t="str">
            <v>D-ITOT_KEV_WOD_ELC_CHP</v>
          </cell>
          <cell r="B482" t="str">
            <v>VAR_fout</v>
          </cell>
          <cell r="C482" t="str">
            <v>ITOT_ELC</v>
          </cell>
          <cell r="D482">
            <v>1.4172286813919041E-4</v>
          </cell>
          <cell r="E482">
            <v>5.2145192902896405E-5</v>
          </cell>
          <cell r="F482">
            <v>8.8767651076295713E-5</v>
          </cell>
          <cell r="G482">
            <v>5.1652224696760007E-4</v>
          </cell>
          <cell r="H482">
            <v>2.3326319042697592</v>
          </cell>
          <cell r="I482">
            <v>2.9515826539045587</v>
          </cell>
          <cell r="J482">
            <v>3.9058125782010595</v>
          </cell>
        </row>
        <row r="483">
          <cell r="A483" t="str">
            <v>D-ITOT_KEV_WOD_ELC_CHP</v>
          </cell>
          <cell r="B483" t="str">
            <v>VAR_fout</v>
          </cell>
          <cell r="C483" t="str">
            <v>ELC5</v>
          </cell>
          <cell r="D483">
            <v>0.17232302079136183</v>
          </cell>
          <cell r="E483">
            <v>0.45840486171603634</v>
          </cell>
          <cell r="F483">
            <v>1.2560525749740268</v>
          </cell>
          <cell r="G483">
            <v>1.6035186312314138</v>
          </cell>
          <cell r="H483">
            <v>1.0556635732967342E-3</v>
          </cell>
          <cell r="I483">
            <v>4.8432361865938391E-2</v>
          </cell>
          <cell r="J483">
            <v>2.0565997967317555E-2</v>
          </cell>
        </row>
        <row r="484">
          <cell r="A484" t="str">
            <v>D-ITOT_KEV_WOD_ELC_CHP</v>
          </cell>
          <cell r="B484" t="str">
            <v>VAR_fin</v>
          </cell>
          <cell r="C484" t="str">
            <v>ITOT_KEV_WOD_ELC_CHP</v>
          </cell>
          <cell r="D484">
            <v>0.17246474365950104</v>
          </cell>
          <cell r="E484">
            <v>0.4584570069089392</v>
          </cell>
          <cell r="F484">
            <v>1.2561389768441567</v>
          </cell>
          <cell r="G484">
            <v>1.604031072193671</v>
          </cell>
          <cell r="H484">
            <v>2.3336828365768252</v>
          </cell>
          <cell r="I484">
            <v>3.0000102969523246</v>
          </cell>
          <cell r="J484">
            <v>3.9263738521886391</v>
          </cell>
        </row>
        <row r="485">
          <cell r="A485" t="str">
            <v>RHEM-SHSTG-SOL</v>
          </cell>
          <cell r="B485" t="str">
            <v>VAR_fout</v>
          </cell>
          <cell r="C485" t="str">
            <v>RHEM-SHASOL</v>
          </cell>
          <cell r="D485">
            <v>9.5864745622343012E-2</v>
          </cell>
          <cell r="E485">
            <v>8.34229999156368E-2</v>
          </cell>
          <cell r="F485">
            <v>3.7735472707888617E-3</v>
          </cell>
          <cell r="G485">
            <v>5.3626518247547814E-3</v>
          </cell>
          <cell r="H485">
            <v>7.0850278579258933E-3</v>
          </cell>
          <cell r="I485">
            <v>2.587386867357766E-3</v>
          </cell>
          <cell r="J485">
            <v>3.1121970480278522E-3</v>
          </cell>
        </row>
        <row r="486">
          <cell r="A486" t="str">
            <v>RHEM-SHSTG-SOL</v>
          </cell>
          <cell r="B486" t="str">
            <v>VAR_fout</v>
          </cell>
          <cell r="C486" t="str">
            <v>AUX_RHEM-SHSTG-SOL_OUT</v>
          </cell>
          <cell r="D486">
            <v>9.596061036796534E-2</v>
          </cell>
          <cell r="E486">
            <v>8.3506422915552492E-2</v>
          </cell>
          <cell r="F486">
            <v>3.7773208180596498E-3</v>
          </cell>
          <cell r="G486">
            <v>5.3680144765795345E-3</v>
          </cell>
          <cell r="H486">
            <v>7.0921128857838198E-3</v>
          </cell>
          <cell r="I486">
            <v>2.5899742542251267E-3</v>
          </cell>
          <cell r="J486">
            <v>3.1153092450758803E-3</v>
          </cell>
        </row>
        <row r="487">
          <cell r="A487" t="str">
            <v>RHEM-SHSTG-SOL</v>
          </cell>
          <cell r="B487" t="str">
            <v>VAR_fin</v>
          </cell>
          <cell r="C487" t="str">
            <v>RHEM-SHASOL</v>
          </cell>
          <cell r="D487">
            <v>9.5864791429849161E-2</v>
          </cell>
          <cell r="E487">
            <v>8.3426009017090019E-2</v>
          </cell>
          <cell r="F487">
            <v>3.776582179351777E-3</v>
          </cell>
          <cell r="G487">
            <v>5.3655999974297989E-3</v>
          </cell>
          <cell r="H487">
            <v>7.0862924820408648E-3</v>
          </cell>
          <cell r="I487">
            <v>2.5890743790591641E-3</v>
          </cell>
          <cell r="J487">
            <v>3.1140560074982278E-3</v>
          </cell>
        </row>
        <row r="488">
          <cell r="A488" t="str">
            <v>RHEM-SHSTG-SOL</v>
          </cell>
          <cell r="B488" t="str">
            <v>VAR_ncap</v>
          </cell>
          <cell r="C488" t="str">
            <v>-</v>
          </cell>
          <cell r="D488">
            <v>1.5827175580408501E-2</v>
          </cell>
          <cell r="E488">
            <v>2.6375874218628102E-4</v>
          </cell>
          <cell r="F488">
            <v>6.0295630995408695E-8</v>
          </cell>
          <cell r="G488">
            <v>7.6032932925047601E-8</v>
          </cell>
          <cell r="H488">
            <v>6.3227222753384595E-5</v>
          </cell>
          <cell r="I488">
            <v>3.8110133743200498E-4</v>
          </cell>
          <cell r="J488">
            <v>1.47451817273327E-4</v>
          </cell>
        </row>
        <row r="489">
          <cell r="A489" t="str">
            <v>RHEM-SHSTG-SOL</v>
          </cell>
          <cell r="B489" t="str">
            <v>VAR_cap</v>
          </cell>
          <cell r="C489" t="str">
            <v>-</v>
          </cell>
          <cell r="D489">
            <v>1.5827175580408501E-2</v>
          </cell>
          <cell r="E489">
            <v>1.6090934322594699E-2</v>
          </cell>
          <cell r="F489">
            <v>1.6090994618225701E-2</v>
          </cell>
          <cell r="G489">
            <v>1.6091070651158699E-2</v>
          </cell>
          <cell r="H489">
            <v>4.3030316175579602E-3</v>
          </cell>
          <cell r="I489">
            <v>4.4439116931578598E-4</v>
          </cell>
          <cell r="J489">
            <v>4.50774610885589E-4</v>
          </cell>
        </row>
        <row r="490">
          <cell r="A490" t="str">
            <v>ITOT-SWHCONBR10</v>
          </cell>
          <cell r="B490" t="str">
            <v>VAR_fout</v>
          </cell>
          <cell r="C490" t="str">
            <v>ITOT-ELS</v>
          </cell>
          <cell r="J490">
            <v>8.3179057597115372E-6</v>
          </cell>
        </row>
        <row r="491">
          <cell r="A491" t="str">
            <v>ITOT-SWHCONBR10</v>
          </cell>
          <cell r="B491" t="str">
            <v>VAR_fout</v>
          </cell>
          <cell r="C491" t="str">
            <v>ITOT-SWHC</v>
          </cell>
          <cell r="J491">
            <v>5.2927672533899546E-5</v>
          </cell>
        </row>
        <row r="492">
          <cell r="A492" t="str">
            <v>ITOT-SWHCONBR10</v>
          </cell>
          <cell r="B492" t="str">
            <v>VAR_fin</v>
          </cell>
          <cell r="C492" t="str">
            <v>CON</v>
          </cell>
          <cell r="J492">
            <v>6.1522472314374079E-5</v>
          </cell>
        </row>
        <row r="493">
          <cell r="A493" t="str">
            <v>ITOT-SWHCONBR10</v>
          </cell>
          <cell r="B493" t="str">
            <v>VAR_ncap</v>
          </cell>
          <cell r="C493" t="str">
            <v>-</v>
          </cell>
          <cell r="J493">
            <v>2.8815647231866002E-6</v>
          </cell>
        </row>
        <row r="494">
          <cell r="A494" t="str">
            <v>ITOT-SWHCONBR10</v>
          </cell>
          <cell r="B494" t="str">
            <v>VAR_cap</v>
          </cell>
          <cell r="C494" t="str">
            <v>-</v>
          </cell>
          <cell r="J494">
            <v>2.8815647231866002E-6</v>
          </cell>
        </row>
        <row r="495">
          <cell r="A495" t="str">
            <v>SCOM-SHSTG</v>
          </cell>
          <cell r="B495" t="str">
            <v>VAR_fout</v>
          </cell>
          <cell r="C495" t="str">
            <v>AUX_SCOM-SHSTG_OUT</v>
          </cell>
          <cell r="D495">
            <v>5.5657031769545862E-6</v>
          </cell>
          <cell r="E495">
            <v>5.3949893412761375E-5</v>
          </cell>
          <cell r="F495">
            <v>2.4954683118380017E-5</v>
          </cell>
          <cell r="G495">
            <v>1.1974911679991363E-5</v>
          </cell>
          <cell r="H495">
            <v>1.3248822235251171E-5</v>
          </cell>
          <cell r="I495">
            <v>1.7020161832276166E-5</v>
          </cell>
          <cell r="J495">
            <v>4.7775044845183164E-4</v>
          </cell>
        </row>
        <row r="496">
          <cell r="A496" t="str">
            <v>SCOM-SHSTG</v>
          </cell>
          <cell r="B496" t="str">
            <v>VAR_fout</v>
          </cell>
          <cell r="C496" t="str">
            <v>SCOM-SHD</v>
          </cell>
          <cell r="D496">
            <v>5.565703176954593E-6</v>
          </cell>
          <cell r="E496">
            <v>5.3993990388220154E-5</v>
          </cell>
          <cell r="F496">
            <v>2.4986553722618075E-5</v>
          </cell>
          <cell r="G496">
            <v>1.1974911679991343E-5</v>
          </cell>
          <cell r="H496">
            <v>1.326355952361071E-5</v>
          </cell>
          <cell r="I496">
            <v>1.7020161832276143E-5</v>
          </cell>
          <cell r="J496">
            <v>4.7775044845183164E-4</v>
          </cell>
        </row>
        <row r="497">
          <cell r="A497" t="str">
            <v>SCOM-SHSTG</v>
          </cell>
          <cell r="B497" t="str">
            <v>VAR_fin</v>
          </cell>
          <cell r="C497" t="str">
            <v>AUX_SCOM-SHSTG_IN</v>
          </cell>
          <cell r="D497">
            <v>7.0758476717723889E-6</v>
          </cell>
          <cell r="E497">
            <v>6.5943838882331251E-5</v>
          </cell>
          <cell r="F497">
            <v>3.0005986855006579E-5</v>
          </cell>
          <cell r="G497">
            <v>1.3977659175207967E-5</v>
          </cell>
          <cell r="H497">
            <v>1.3358926660422246E-5</v>
          </cell>
          <cell r="I497">
            <v>1.8524090493279446E-5</v>
          </cell>
          <cell r="J497">
            <v>4.8261152106020532E-4</v>
          </cell>
        </row>
        <row r="498">
          <cell r="A498" t="str">
            <v>SCOM-SHSTG</v>
          </cell>
          <cell r="B498" t="str">
            <v>VAR_fin</v>
          </cell>
          <cell r="C498" t="str">
            <v>SCOM-SHD</v>
          </cell>
          <cell r="D498">
            <v>7.0758476717723889E-6</v>
          </cell>
          <cell r="E498">
            <v>6.5943838882331251E-5</v>
          </cell>
          <cell r="F498">
            <v>3.0005986855006579E-5</v>
          </cell>
          <cell r="G498">
            <v>1.3977659175207967E-5</v>
          </cell>
          <cell r="H498">
            <v>1.3358926660422246E-5</v>
          </cell>
          <cell r="I498">
            <v>1.8524090493279446E-5</v>
          </cell>
          <cell r="J498">
            <v>4.8261152106020532E-4</v>
          </cell>
        </row>
        <row r="499">
          <cell r="A499" t="str">
            <v>SCOM-SHSTG</v>
          </cell>
          <cell r="B499" t="str">
            <v>VAR_ncap</v>
          </cell>
          <cell r="C499" t="str">
            <v>-</v>
          </cell>
          <cell r="D499">
            <v>1.9745807923671701E-4</v>
          </cell>
          <cell r="E499">
            <v>8.9914616062818001E-7</v>
          </cell>
          <cell r="F499">
            <v>1.0308914234518801E-6</v>
          </cell>
          <cell r="G499">
            <v>6.35019023984515E-7</v>
          </cell>
          <cell r="H499">
            <v>3.9353971619697101E-5</v>
          </cell>
          <cell r="I499">
            <v>9.7432169017099305E-5</v>
          </cell>
          <cell r="J499">
            <v>9.7704163312610002E-5</v>
          </cell>
        </row>
        <row r="500">
          <cell r="A500" t="str">
            <v>SCOM-SHSTG</v>
          </cell>
          <cell r="B500" t="str">
            <v>VAR_cap</v>
          </cell>
          <cell r="C500" t="str">
            <v>-</v>
          </cell>
          <cell r="D500">
            <v>1.9745807923671701E-4</v>
          </cell>
          <cell r="E500">
            <v>1.9797366085397251E-4</v>
          </cell>
          <cell r="F500">
            <v>1.985913107832621E-4</v>
          </cell>
          <cell r="G500">
            <v>1.9865963525231579E-4</v>
          </cell>
          <cell r="H500">
            <v>2.3709032651324217E-4</v>
          </cell>
          <cell r="I500">
            <v>2.0547794459838497E-4</v>
          </cell>
          <cell r="J500">
            <v>2.2530926948530696E-4</v>
          </cell>
        </row>
        <row r="501">
          <cell r="A501" t="str">
            <v>D-RNGA</v>
          </cell>
          <cell r="B501" t="str">
            <v>VAR_fout</v>
          </cell>
          <cell r="C501" t="str">
            <v>CO2</v>
          </cell>
          <cell r="D501">
            <v>2650.5234539707799</v>
          </cell>
          <cell r="E501">
            <v>2560.5947498866699</v>
          </cell>
          <cell r="F501">
            <v>2694.9222181602699</v>
          </cell>
          <cell r="G501">
            <v>2464.8626803311599</v>
          </cell>
          <cell r="H501">
            <v>2155.2976247033398</v>
          </cell>
          <cell r="I501">
            <v>1854.74099465737</v>
          </cell>
          <cell r="J501">
            <v>1349.0222798735199</v>
          </cell>
        </row>
        <row r="502">
          <cell r="A502" t="str">
            <v>D-RNGA</v>
          </cell>
          <cell r="B502" t="str">
            <v>VAR_fout</v>
          </cell>
          <cell r="C502" t="str">
            <v>RNGA</v>
          </cell>
          <cell r="D502">
            <v>47.156834148818611</v>
          </cell>
          <cell r="E502">
            <v>47.60360786550536</v>
          </cell>
          <cell r="F502">
            <v>48.158844776495272</v>
          </cell>
          <cell r="G502">
            <v>43.564764849730594</v>
          </cell>
          <cell r="H502">
            <v>38.093495712348371</v>
          </cell>
          <cell r="I502">
            <v>32.780803682091928</v>
          </cell>
          <cell r="J502">
            <v>23.842695275017249</v>
          </cell>
        </row>
        <row r="503">
          <cell r="A503" t="str">
            <v>D-RNGA</v>
          </cell>
          <cell r="B503" t="str">
            <v>VAR_fin</v>
          </cell>
          <cell r="C503" t="str">
            <v>NGA</v>
          </cell>
          <cell r="D503">
            <v>46.995096701609548</v>
          </cell>
          <cell r="E503">
            <v>45.400616132742293</v>
          </cell>
          <cell r="F503">
            <v>47.782308832628871</v>
          </cell>
          <cell r="G503">
            <v>43.703239012963891</v>
          </cell>
          <cell r="H503">
            <v>38.214496891903195</v>
          </cell>
          <cell r="I503">
            <v>32.885478628676886</v>
          </cell>
          <cell r="J503">
            <v>23.918834749530458</v>
          </cell>
        </row>
        <row r="504">
          <cell r="A504" t="str">
            <v>D-RNGA</v>
          </cell>
          <cell r="B504" t="str">
            <v>VAR_fin</v>
          </cell>
          <cell r="C504" t="str">
            <v>BNGA</v>
          </cell>
          <cell r="D504">
            <v>0.31238559329190579</v>
          </cell>
          <cell r="E504">
            <v>2.3550671509126579</v>
          </cell>
          <cell r="F504">
            <v>0.53038513272785937</v>
          </cell>
          <cell r="G504">
            <v>6.9868790494325697E-4</v>
          </cell>
          <cell r="H504">
            <v>6.9304802560633664E-4</v>
          </cell>
          <cell r="I504">
            <v>4.7250970291199231E-5</v>
          </cell>
          <cell r="J504">
            <v>2.8866844573714338E-5</v>
          </cell>
        </row>
        <row r="505">
          <cell r="A505" t="str">
            <v>D-RNGA</v>
          </cell>
          <cell r="B505" t="str">
            <v>VAR_ncap</v>
          </cell>
          <cell r="C505" t="str">
            <v>-</v>
          </cell>
          <cell r="D505">
            <v>3.5259530789771497E-8</v>
          </cell>
          <cell r="E505">
            <v>1.86958403953388E-8</v>
          </cell>
          <cell r="F505">
            <v>2.39019882737386E-8</v>
          </cell>
          <cell r="G505">
            <v>2.3304964486187301E-8</v>
          </cell>
          <cell r="H505">
            <v>3.52688398041258E-8</v>
          </cell>
          <cell r="I505">
            <v>4.6438418133679801E-8</v>
          </cell>
          <cell r="J505">
            <v>7.9982456398227995E-8</v>
          </cell>
        </row>
        <row r="506">
          <cell r="A506" t="str">
            <v>D-RNGA</v>
          </cell>
          <cell r="B506" t="str">
            <v>VAR_cap</v>
          </cell>
          <cell r="C506" t="str">
            <v>-</v>
          </cell>
          <cell r="D506">
            <v>3.0972400426554509</v>
          </cell>
          <cell r="E506">
            <v>3.0972400613512914</v>
          </cell>
          <cell r="F506">
            <v>3.0972400852532798</v>
          </cell>
          <cell r="G506">
            <v>3.0972401085582439</v>
          </cell>
          <cell r="H506">
            <v>3.0972401438270838</v>
          </cell>
          <cell r="I506">
            <v>3.0972401902655018</v>
          </cell>
          <cell r="J506">
            <v>1.5532825108882584</v>
          </cell>
        </row>
        <row r="507">
          <cell r="A507" t="str">
            <v>RHNS-SHLTHCHPNGA</v>
          </cell>
          <cell r="B507" t="str">
            <v>VAR_fout</v>
          </cell>
          <cell r="C507" t="str">
            <v>RHNS-SHLTHC-NGA</v>
          </cell>
          <cell r="E507">
            <v>8.6108383343823727E-4</v>
          </cell>
        </row>
        <row r="508">
          <cell r="A508" t="str">
            <v>RHNS-SHLTHCHPNGA</v>
          </cell>
          <cell r="B508" t="str">
            <v>VAR_fin</v>
          </cell>
          <cell r="C508" t="str">
            <v>RHNSLTHCHPC</v>
          </cell>
          <cell r="E508">
            <v>8.6108383343823727E-4</v>
          </cell>
        </row>
        <row r="509">
          <cell r="A509" t="str">
            <v>RHNS-SHLTHCHPNGA</v>
          </cell>
          <cell r="B509" t="str">
            <v>VAR_fin</v>
          </cell>
          <cell r="C509" t="str">
            <v>RHNS_LTH_CHPNGA_ON</v>
          </cell>
          <cell r="E509">
            <v>8.697816499376133E-4</v>
          </cell>
        </row>
        <row r="510">
          <cell r="A510" t="str">
            <v>RHNS-SHLTHCHPNGA</v>
          </cell>
          <cell r="B510" t="str">
            <v>VAR_ncap</v>
          </cell>
          <cell r="C510" t="str">
            <v>-</v>
          </cell>
          <cell r="E510">
            <v>8.6072134666157496E-5</v>
          </cell>
          <cell r="F510">
            <v>4.6568949609773497E-5</v>
          </cell>
          <cell r="G510">
            <v>3.8571025784941599E-5</v>
          </cell>
          <cell r="H510">
            <v>3.9413851551269498E-5</v>
          </cell>
          <cell r="I510">
            <v>1.60810077549457E-5</v>
          </cell>
          <cell r="J510">
            <v>1.1843401444206501E-6</v>
          </cell>
        </row>
        <row r="511">
          <cell r="A511" t="str">
            <v>RHNS-SHLTHCHPNGA</v>
          </cell>
          <cell r="B511" t="str">
            <v>VAR_cap</v>
          </cell>
          <cell r="C511" t="str">
            <v>-</v>
          </cell>
          <cell r="E511">
            <v>8.6072134666157496E-5</v>
          </cell>
          <cell r="F511">
            <v>7.1324120486475001E-5</v>
          </cell>
          <cell r="G511">
            <v>7.1031335830198006E-5</v>
          </cell>
          <cell r="H511">
            <v>6.9433302620213391E-5</v>
          </cell>
          <cell r="I511">
            <v>3.2819622122152207E-5</v>
          </cell>
          <cell r="J511">
            <v>2.8820998244383007E-6</v>
          </cell>
        </row>
        <row r="512">
          <cell r="A512" t="str">
            <v>D-SCOM_KEV_BIO_ELC_CHP</v>
          </cell>
          <cell r="B512" t="str">
            <v>VAR_fout</v>
          </cell>
          <cell r="C512" t="str">
            <v>ELC5</v>
          </cell>
          <cell r="D512">
            <v>0.95929086591655333</v>
          </cell>
          <cell r="E512">
            <v>1.1059162088170702</v>
          </cell>
          <cell r="F512">
            <v>1.1059086116188221</v>
          </cell>
          <cell r="G512">
            <v>1.1057867937021093</v>
          </cell>
          <cell r="H512">
            <v>3.8667285441732673E-4</v>
          </cell>
          <cell r="I512">
            <v>2.9469475634002622E-4</v>
          </cell>
          <cell r="J512">
            <v>1.7348791038645297E-4</v>
          </cell>
        </row>
        <row r="513">
          <cell r="A513" t="str">
            <v>D-SCOM_KEV_BIO_ELC_CHP</v>
          </cell>
          <cell r="B513" t="str">
            <v>VAR_fout</v>
          </cell>
          <cell r="C513" t="str">
            <v>SCOM_ELC</v>
          </cell>
          <cell r="D513">
            <v>7.6778860080601062E-5</v>
          </cell>
          <cell r="E513">
            <v>2.8598739400722398E-5</v>
          </cell>
          <cell r="F513">
            <v>3.6479878524916559E-5</v>
          </cell>
          <cell r="G513">
            <v>1.595313032286036E-4</v>
          </cell>
          <cell r="H513">
            <v>1.105562319659924</v>
          </cell>
          <cell r="I513">
            <v>1.1056546043777151</v>
          </cell>
          <cell r="J513">
            <v>1.1057760827668908</v>
          </cell>
        </row>
        <row r="514">
          <cell r="A514" t="str">
            <v>D-SCOM_KEV_BIO_ELC_CHP</v>
          </cell>
          <cell r="B514" t="str">
            <v>VAR_fin</v>
          </cell>
          <cell r="C514" t="str">
            <v>SCOM_KEV_BIO_ELC_CHP</v>
          </cell>
          <cell r="D514">
            <v>0.9593676447766335</v>
          </cell>
          <cell r="E514">
            <v>1.1059448075564708</v>
          </cell>
          <cell r="F514">
            <v>1.1059444382561738</v>
          </cell>
          <cell r="G514">
            <v>1.1059445509953427</v>
          </cell>
          <cell r="H514">
            <v>1.1059446424257702</v>
          </cell>
          <cell r="I514">
            <v>1.1059444188891432</v>
          </cell>
          <cell r="J514">
            <v>1.1059441733469439</v>
          </cell>
        </row>
        <row r="515">
          <cell r="A515" t="str">
            <v>RHES-SHLTHCHPWOD</v>
          </cell>
          <cell r="B515" t="str">
            <v>VAR_ncap</v>
          </cell>
          <cell r="C515" t="str">
            <v>-</v>
          </cell>
          <cell r="G515">
            <v>1.4295065381506999E-6</v>
          </cell>
          <cell r="H515">
            <v>2.25423287232817E-6</v>
          </cell>
          <cell r="I515">
            <v>1.38163430299661E-6</v>
          </cell>
          <cell r="J515">
            <v>7.0594683473624903E-7</v>
          </cell>
        </row>
        <row r="516">
          <cell r="A516" t="str">
            <v>RHES-SHLTHCHPWOD</v>
          </cell>
          <cell r="B516" t="str">
            <v>VAR_cap</v>
          </cell>
          <cell r="C516" t="str">
            <v>-</v>
          </cell>
          <cell r="G516">
            <v>1.4295065381506999E-6</v>
          </cell>
          <cell r="H516">
            <v>2.9295152035138549E-6</v>
          </cell>
          <cell r="I516">
            <v>2.4848807229745701E-6</v>
          </cell>
          <cell r="J516">
            <v>1.2026015841768498E-6</v>
          </cell>
        </row>
        <row r="517">
          <cell r="A517" t="str">
            <v>RHES-SHSTG-NGAHP</v>
          </cell>
          <cell r="B517" t="str">
            <v>VAR_fout</v>
          </cell>
          <cell r="C517" t="str">
            <v>RHES-SHANGAH</v>
          </cell>
          <cell r="F517">
            <v>0.14614395769732338</v>
          </cell>
          <cell r="G517">
            <v>0.34975124196527446</v>
          </cell>
          <cell r="H517">
            <v>0.47349367456036701</v>
          </cell>
          <cell r="I517">
            <v>0.51548736632614789</v>
          </cell>
          <cell r="J517">
            <v>0.60381668267856825</v>
          </cell>
        </row>
        <row r="518">
          <cell r="A518" t="str">
            <v>RHES-SHSTG-NGAHP</v>
          </cell>
          <cell r="B518" t="str">
            <v>VAR_fout</v>
          </cell>
          <cell r="C518" t="str">
            <v>AUX_RHES-SHSTG-NGAHP_OUT</v>
          </cell>
          <cell r="F518">
            <v>0.14629010165502071</v>
          </cell>
          <cell r="G518">
            <v>0.35010099320723942</v>
          </cell>
          <cell r="H518">
            <v>0.47396716823492729</v>
          </cell>
          <cell r="I518">
            <v>0.51600285369247378</v>
          </cell>
          <cell r="J518">
            <v>0.60442049936124698</v>
          </cell>
        </row>
        <row r="519">
          <cell r="A519" t="str">
            <v>RHES-SHSTG-NGAHP</v>
          </cell>
          <cell r="B519" t="str">
            <v>VAR_fin</v>
          </cell>
          <cell r="C519" t="str">
            <v>RHES-SHANGAH</v>
          </cell>
          <cell r="F519">
            <v>0.14615751413095412</v>
          </cell>
          <cell r="G519">
            <v>0.34976100930748866</v>
          </cell>
          <cell r="H519">
            <v>0.47350085796201563</v>
          </cell>
          <cell r="I519">
            <v>0.51549360357423457</v>
          </cell>
          <cell r="J519">
            <v>0.60382269270221955</v>
          </cell>
        </row>
        <row r="520">
          <cell r="A520" t="str">
            <v>RHES-SHSTG-NGAHP</v>
          </cell>
          <cell r="B520" t="str">
            <v>VAR_ncap</v>
          </cell>
          <cell r="C520" t="str">
            <v>-</v>
          </cell>
          <cell r="D520">
            <v>2.3644668982803099E-6</v>
          </cell>
          <cell r="E520">
            <v>3.4136565288808201E-6</v>
          </cell>
          <cell r="F520">
            <v>2.87509656383786E-2</v>
          </cell>
          <cell r="G520">
            <v>2.7250791052803199E-2</v>
          </cell>
          <cell r="H520">
            <v>1.84352660176803E-2</v>
          </cell>
          <cell r="I520">
            <v>4.4532009677254597E-2</v>
          </cell>
          <cell r="J520">
            <v>6.8656756794689799E-2</v>
          </cell>
        </row>
        <row r="521">
          <cell r="A521" t="str">
            <v>RHES-SHSTG-NGAHP</v>
          </cell>
          <cell r="B521" t="str">
            <v>VAR_cap</v>
          </cell>
          <cell r="C521" t="str">
            <v>-</v>
          </cell>
          <cell r="D521">
            <v>2.3644668982803099E-6</v>
          </cell>
          <cell r="E521">
            <v>3.3998717749461948E-7</v>
          </cell>
          <cell r="F521">
            <v>2.8750226013107436E-2</v>
          </cell>
          <cell r="G521">
            <v>5.6001072410247148E-2</v>
          </cell>
          <cell r="H521">
            <v>7.4425054588264594E-2</v>
          </cell>
          <cell r="I521">
            <v>8.6656084568362685E-2</v>
          </cell>
          <cell r="J521">
            <v>0.10876270737769229</v>
          </cell>
        </row>
        <row r="522">
          <cell r="A522" t="str">
            <v>D-RHNS_SOLELC</v>
          </cell>
          <cell r="B522" t="str">
            <v>VAR_fout</v>
          </cell>
          <cell r="C522" t="str">
            <v>RHNS_ELC</v>
          </cell>
          <cell r="E522">
            <v>6.1671383563867396E-6</v>
          </cell>
          <cell r="F522">
            <v>3.2725821233669904E-4</v>
          </cell>
          <cell r="G522">
            <v>4.2855912947057035E-4</v>
          </cell>
          <cell r="H522">
            <v>3.9309704392432221E-4</v>
          </cell>
          <cell r="I522">
            <v>4.444617191487089E-4</v>
          </cell>
          <cell r="J522">
            <v>5.3085225275203399E-4</v>
          </cell>
        </row>
        <row r="523">
          <cell r="A523" t="str">
            <v>D-RHNS_SOLELC</v>
          </cell>
          <cell r="B523" t="str">
            <v>VAR_fout</v>
          </cell>
          <cell r="C523" t="str">
            <v>ELC5</v>
          </cell>
          <cell r="E523">
            <v>5.8505115538473074E-6</v>
          </cell>
          <cell r="F523">
            <v>1.0567094713286013E-4</v>
          </cell>
          <cell r="G523">
            <v>7.890430712218382E-5</v>
          </cell>
          <cell r="H523">
            <v>1.1493842046331915E-4</v>
          </cell>
          <cell r="I523">
            <v>1.041585704817778E-4</v>
          </cell>
          <cell r="J523">
            <v>7.8219824228910131E-5</v>
          </cell>
        </row>
        <row r="524">
          <cell r="A524" t="str">
            <v>D-RHNS_SOLELC</v>
          </cell>
          <cell r="B524" t="str">
            <v>VAR_fin</v>
          </cell>
          <cell r="C524" t="str">
            <v>RHNS_SOL_ELC</v>
          </cell>
          <cell r="E524">
            <v>1.1743281137920633E-5</v>
          </cell>
          <cell r="F524">
            <v>4.3299670544525852E-4</v>
          </cell>
          <cell r="G524">
            <v>5.0753796828204804E-4</v>
          </cell>
          <cell r="H524">
            <v>5.0810046271069955E-4</v>
          </cell>
          <cell r="I524">
            <v>5.4869019995097549E-4</v>
          </cell>
          <cell r="J524">
            <v>6.0911018514317461E-4</v>
          </cell>
        </row>
        <row r="525">
          <cell r="A525" t="str">
            <v>D-IHFO</v>
          </cell>
          <cell r="B525" t="str">
            <v>VAR_fout</v>
          </cell>
          <cell r="C525" t="str">
            <v>CO2</v>
          </cell>
          <cell r="D525">
            <v>213.78071862107299</v>
          </cell>
          <cell r="E525">
            <v>212.85953981613699</v>
          </cell>
          <cell r="F525">
            <v>9.1431588964333593E-2</v>
          </cell>
          <cell r="G525">
            <v>1.6727374797476099E-2</v>
          </cell>
          <cell r="H525">
            <v>3.1068996907374798E-2</v>
          </cell>
          <cell r="I525">
            <v>1.8987972150096202E-2</v>
          </cell>
        </row>
        <row r="526">
          <cell r="A526" t="str">
            <v>D-IHFO</v>
          </cell>
          <cell r="B526" t="str">
            <v>VAR_fout</v>
          </cell>
          <cell r="C526" t="str">
            <v>IHFO</v>
          </cell>
          <cell r="D526">
            <v>2.7300043049484755</v>
          </cell>
          <cell r="E526">
            <v>2.7182407459178735</v>
          </cell>
          <cell r="F526">
            <v>1.1675918814892839E-3</v>
          </cell>
          <cell r="G526">
            <v>2.1361049538120043E-4</v>
          </cell>
          <cell r="H526">
            <v>3.9675465521240557E-4</v>
          </cell>
          <cell r="I526">
            <v>2.4247858294407744E-4</v>
          </cell>
        </row>
        <row r="527">
          <cell r="A527" t="str">
            <v>D-IHFO</v>
          </cell>
          <cell r="B527" t="str">
            <v>VAR_fin</v>
          </cell>
          <cell r="C527" t="str">
            <v>HFO</v>
          </cell>
          <cell r="D527">
            <v>2.7763729691048495</v>
          </cell>
          <cell r="E527">
            <v>2.7644096080017775</v>
          </cell>
          <cell r="F527">
            <v>1.1874232333030327E-3</v>
          </cell>
          <cell r="G527">
            <v>2.1723863373345604E-4</v>
          </cell>
          <cell r="H527">
            <v>4.0349346632954344E-4</v>
          </cell>
          <cell r="I527">
            <v>2.465970409103402E-4</v>
          </cell>
        </row>
        <row r="528">
          <cell r="A528" t="str">
            <v>RHEM-SHCONBR</v>
          </cell>
          <cell r="B528" t="str">
            <v>VAR_fout</v>
          </cell>
          <cell r="C528" t="str">
            <v>RHEM-SHCON</v>
          </cell>
          <cell r="F528">
            <v>3.7193908603554443E-5</v>
          </cell>
          <cell r="G528">
            <v>3.3121715945525606E-5</v>
          </cell>
          <cell r="H528">
            <v>8.398887697532642E-5</v>
          </cell>
          <cell r="I528">
            <v>8.5995878816203883E-5</v>
          </cell>
          <cell r="J528">
            <v>1.0219925406050183E-4</v>
          </cell>
        </row>
        <row r="529">
          <cell r="A529" t="str">
            <v>RHEM-SHCONBR</v>
          </cell>
          <cell r="B529" t="str">
            <v>VAR_fin</v>
          </cell>
          <cell r="C529" t="str">
            <v>CON</v>
          </cell>
          <cell r="F529">
            <v>3.7193908603554443E-5</v>
          </cell>
          <cell r="G529">
            <v>3.3121715945525606E-5</v>
          </cell>
          <cell r="H529">
            <v>8.398887697532642E-5</v>
          </cell>
          <cell r="I529">
            <v>8.5995878816203883E-5</v>
          </cell>
          <cell r="J529">
            <v>1.0219925406050183E-4</v>
          </cell>
        </row>
        <row r="530">
          <cell r="A530" t="str">
            <v>RHEM-SHCONBR</v>
          </cell>
          <cell r="B530" t="str">
            <v>VAR_ncap</v>
          </cell>
          <cell r="C530" t="str">
            <v>-</v>
          </cell>
          <cell r="F530">
            <v>1.5641935454406699E-6</v>
          </cell>
          <cell r="G530">
            <v>4.4500347297784203E-8</v>
          </cell>
          <cell r="H530">
            <v>3.3681585665303299E-6</v>
          </cell>
          <cell r="I530">
            <v>3.2379426884361299E-7</v>
          </cell>
          <cell r="J530">
            <v>1.2134109686739399E-6</v>
          </cell>
        </row>
        <row r="531">
          <cell r="A531" t="str">
            <v>RHEM-SHCONBR</v>
          </cell>
          <cell r="B531" t="str">
            <v>VAR_cap</v>
          </cell>
          <cell r="C531" t="str">
            <v>-</v>
          </cell>
          <cell r="E531">
            <v>-1.9688507305541899E-7</v>
          </cell>
          <cell r="F531">
            <v>1.5641935454406699E-6</v>
          </cell>
          <cell r="G531">
            <v>1.6086938927384601E-6</v>
          </cell>
          <cell r="H531">
            <v>4.97685245926879E-6</v>
          </cell>
          <cell r="I531">
            <v>5.3006467281124002E-6</v>
          </cell>
          <cell r="J531">
            <v>6.5140576967863404E-6</v>
          </cell>
        </row>
        <row r="532">
          <cell r="A532" t="str">
            <v>RHEM-SHSOLBR</v>
          </cell>
          <cell r="B532" t="str">
            <v>VAR_fout</v>
          </cell>
          <cell r="C532" t="str">
            <v>RHEM-SHASOL</v>
          </cell>
          <cell r="D532">
            <v>0.40801330785858975</v>
          </cell>
          <cell r="E532">
            <v>0.470877722001245</v>
          </cell>
          <cell r="F532">
            <v>9.0771482772824472E-3</v>
          </cell>
          <cell r="G532">
            <v>1.1272956089239526E-2</v>
          </cell>
          <cell r="H532">
            <v>1.2620481548410473E-2</v>
          </cell>
          <cell r="I532">
            <v>1.2954760433950952E-2</v>
          </cell>
          <cell r="J532">
            <v>1.3160828954294823E-2</v>
          </cell>
        </row>
        <row r="533">
          <cell r="A533" t="str">
            <v>RHEM-SHSOLBR</v>
          </cell>
          <cell r="B533" t="str">
            <v>VAR_fin</v>
          </cell>
          <cell r="C533" t="str">
            <v>SOL</v>
          </cell>
          <cell r="D533">
            <v>0.40801330785858975</v>
          </cell>
          <cell r="E533">
            <v>0.470877722001245</v>
          </cell>
          <cell r="F533">
            <v>9.0771482772824472E-3</v>
          </cell>
          <cell r="G533">
            <v>1.1272956089239526E-2</v>
          </cell>
          <cell r="H533">
            <v>1.2620481548410473E-2</v>
          </cell>
          <cell r="I533">
            <v>1.2954760433950952E-2</v>
          </cell>
          <cell r="J533">
            <v>1.3160828954294823E-2</v>
          </cell>
        </row>
        <row r="534">
          <cell r="A534" t="str">
            <v>RHEM-SHSOLBR</v>
          </cell>
          <cell r="B534" t="str">
            <v>VAR_ncap</v>
          </cell>
          <cell r="C534" t="str">
            <v>-</v>
          </cell>
          <cell r="D534">
            <v>5.5629291427183904E-6</v>
          </cell>
          <cell r="E534">
            <v>9.1250782141903096E-3</v>
          </cell>
          <cell r="F534">
            <v>3.5299218222324298E-8</v>
          </cell>
          <cell r="G534">
            <v>5.6077575216897002E-8</v>
          </cell>
          <cell r="H534">
            <v>1.78147890534589E-7</v>
          </cell>
          <cell r="I534">
            <v>1.8913780690151701E-3</v>
          </cell>
          <cell r="J534">
            <v>5.4451635387269405E-4</v>
          </cell>
        </row>
        <row r="535">
          <cell r="A535" t="str">
            <v>RHEM-SHSOLBR</v>
          </cell>
          <cell r="B535" t="str">
            <v>VAR_cap</v>
          </cell>
          <cell r="C535" t="str">
            <v>-</v>
          </cell>
          <cell r="D535">
            <v>5.9260484346181024E-2</v>
          </cell>
          <cell r="E535">
            <v>6.8385548803774815E-2</v>
          </cell>
          <cell r="F535">
            <v>6.8385012594705419E-2</v>
          </cell>
          <cell r="G535">
            <v>6.8384887605260777E-2</v>
          </cell>
          <cell r="H535">
            <v>1.8287749935569947E-2</v>
          </cell>
          <cell r="I535">
            <v>1.8914820420161463E-3</v>
          </cell>
          <cell r="J535">
            <v>1.9171756178249636E-3</v>
          </cell>
        </row>
        <row r="536">
          <cell r="A536" t="str">
            <v>SCOM-SHH2BR</v>
          </cell>
          <cell r="B536" t="str">
            <v>VAR_ncap</v>
          </cell>
          <cell r="C536" t="str">
            <v>-</v>
          </cell>
          <cell r="G536">
            <v>1.7699554431450301E-7</v>
          </cell>
          <cell r="H536">
            <v>0.759099614957774</v>
          </cell>
          <cell r="I536">
            <v>5.6510095041000602E-2</v>
          </cell>
          <cell r="J536">
            <v>0.58387623131436595</v>
          </cell>
        </row>
        <row r="537">
          <cell r="A537" t="str">
            <v>SCOM-SHH2BR</v>
          </cell>
          <cell r="B537" t="str">
            <v>VAR_cap</v>
          </cell>
          <cell r="C537" t="str">
            <v>-</v>
          </cell>
          <cell r="G537">
            <v>1.7699554431450301E-7</v>
          </cell>
          <cell r="H537">
            <v>0.75909955201509294</v>
          </cell>
          <cell r="I537">
            <v>0.81560947205402445</v>
          </cell>
          <cell r="J537">
            <v>0.94598231074380212</v>
          </cell>
        </row>
        <row r="538">
          <cell r="A538" t="str">
            <v>ITOT-SWHCONBR1</v>
          </cell>
          <cell r="B538" t="str">
            <v>VAR_fout</v>
          </cell>
          <cell r="C538" t="str">
            <v>ITOT-ELS</v>
          </cell>
          <cell r="E538">
            <v>0.3198797319489593</v>
          </cell>
          <cell r="F538">
            <v>0.31987956688650837</v>
          </cell>
          <cell r="G538">
            <v>0.31989582970449393</v>
          </cell>
          <cell r="H538">
            <v>0.65657830667377537</v>
          </cell>
          <cell r="I538">
            <v>0.97003972147978401</v>
          </cell>
          <cell r="J538">
            <v>0.97004368050211776</v>
          </cell>
        </row>
        <row r="539">
          <cell r="A539" t="str">
            <v>ITOT-SWHCONBR1</v>
          </cell>
          <cell r="B539" t="str">
            <v>VAR_fout</v>
          </cell>
          <cell r="C539" t="str">
            <v>ITOT-SWHC</v>
          </cell>
          <cell r="E539">
            <v>1.5206604623210096</v>
          </cell>
          <cell r="F539">
            <v>1.5206596776387744</v>
          </cell>
          <cell r="G539">
            <v>1.5207369886461541</v>
          </cell>
          <cell r="H539">
            <v>3.1212751908139058</v>
          </cell>
          <cell r="I539">
            <v>4.6114239322001254</v>
          </cell>
          <cell r="J539">
            <v>4.611442752800909</v>
          </cell>
        </row>
        <row r="540">
          <cell r="A540" t="str">
            <v>ITOT-SWHCONBR1</v>
          </cell>
          <cell r="B540" t="str">
            <v>VAR_fin</v>
          </cell>
          <cell r="C540" t="str">
            <v>CON</v>
          </cell>
          <cell r="E540">
            <v>1.8405401942699673</v>
          </cell>
          <cell r="F540">
            <v>1.8405392445252835</v>
          </cell>
          <cell r="G540">
            <v>1.8406328183506471</v>
          </cell>
          <cell r="H540">
            <v>3.7778534974876825</v>
          </cell>
          <cell r="I540">
            <v>5.5814636536799105</v>
          </cell>
          <cell r="J540">
            <v>5.5814864333030227</v>
          </cell>
        </row>
        <row r="541">
          <cell r="A541" t="str">
            <v>ITOT-SWHCONBR1</v>
          </cell>
          <cell r="B541" t="str">
            <v>VAR_ncap</v>
          </cell>
          <cell r="C541" t="str">
            <v>-</v>
          </cell>
          <cell r="E541">
            <v>0.100095507044861</v>
          </cell>
          <cell r="F541">
            <v>3.7036874796745902E-7</v>
          </cell>
          <cell r="G541">
            <v>4.2149880636458803E-6</v>
          </cell>
          <cell r="H541">
            <v>0.15416570596106699</v>
          </cell>
          <cell r="I541">
            <v>0.149369727686606</v>
          </cell>
          <cell r="J541">
            <v>0.129924466051698</v>
          </cell>
        </row>
        <row r="542">
          <cell r="A542" t="str">
            <v>ITOT-SWHCONBR1</v>
          </cell>
          <cell r="B542" t="str">
            <v>VAR_cap</v>
          </cell>
          <cell r="C542" t="str">
            <v>-</v>
          </cell>
          <cell r="E542">
            <v>0.100095507044861</v>
          </cell>
          <cell r="F542">
            <v>0.10009587741360899</v>
          </cell>
          <cell r="G542">
            <v>0.100100092401672</v>
          </cell>
          <cell r="H542">
            <v>0.20545360364419099</v>
          </cell>
          <cell r="I542">
            <v>0.30353837802724098</v>
          </cell>
          <cell r="J542">
            <v>0.30353835392816603</v>
          </cell>
        </row>
        <row r="543">
          <cell r="A543" t="str">
            <v>SCOM-SHLTHCHPWOD</v>
          </cell>
          <cell r="B543" t="str">
            <v>VAR_ncap</v>
          </cell>
          <cell r="C543" t="str">
            <v>-</v>
          </cell>
          <cell r="G543">
            <v>4.44122369353594E-6</v>
          </cell>
          <cell r="H543">
            <v>6.7255948769434203E-6</v>
          </cell>
          <cell r="I543">
            <v>4.5822929552683596E-6</v>
          </cell>
          <cell r="J543">
            <v>2.1217845482773101E-6</v>
          </cell>
        </row>
        <row r="544">
          <cell r="A544" t="str">
            <v>SCOM-SHLTHCHPWOD</v>
          </cell>
          <cell r="B544" t="str">
            <v>VAR_cap</v>
          </cell>
          <cell r="C544" t="str">
            <v>-</v>
          </cell>
          <cell r="G544">
            <v>4.44122369353594E-6</v>
          </cell>
          <cell r="H544">
            <v>8.2988694009281086E-6</v>
          </cell>
          <cell r="I544">
            <v>6.8643054054545506E-6</v>
          </cell>
          <cell r="J544">
            <v>3.3937359565371305E-6</v>
          </cell>
        </row>
        <row r="545">
          <cell r="A545" t="str">
            <v>SCOM-SHSTG-NGAHP</v>
          </cell>
          <cell r="B545" t="str">
            <v>VAR_fout</v>
          </cell>
          <cell r="C545" t="str">
            <v>SCOM-SHANGAH</v>
          </cell>
          <cell r="D545">
            <v>3.560667264176676E-5</v>
          </cell>
          <cell r="E545">
            <v>4.8201371575125976E-5</v>
          </cell>
          <cell r="F545">
            <v>1.7730406024309939E-5</v>
          </cell>
          <cell r="G545">
            <v>8.3183093953949909E-6</v>
          </cell>
          <cell r="H545">
            <v>7.3676623234741619E-6</v>
          </cell>
          <cell r="I545">
            <v>6.4807406807626717E-6</v>
          </cell>
          <cell r="J545">
            <v>2.6535301127867277E-7</v>
          </cell>
        </row>
        <row r="546">
          <cell r="A546" t="str">
            <v>SCOM-SHSTG-NGAHP</v>
          </cell>
          <cell r="B546" t="str">
            <v>VAR_fin</v>
          </cell>
          <cell r="C546" t="str">
            <v>SCOM-SHANGAH</v>
          </cell>
          <cell r="D546">
            <v>3.560667264176676E-5</v>
          </cell>
          <cell r="E546">
            <v>4.8201371575125976E-5</v>
          </cell>
          <cell r="F546">
            <v>1.9847963850629774E-5</v>
          </cell>
          <cell r="G546">
            <v>8.3251217094415778E-6</v>
          </cell>
          <cell r="H546">
            <v>7.2390849367906174E-6</v>
          </cell>
          <cell r="I546">
            <v>7.5621605143223891E-6</v>
          </cell>
        </row>
        <row r="547">
          <cell r="A547" t="str">
            <v>SCOM-SHSTG-NGAHP</v>
          </cell>
          <cell r="B547" t="str">
            <v>VAR_ncap</v>
          </cell>
          <cell r="C547" t="str">
            <v>-</v>
          </cell>
          <cell r="D547">
            <v>3.3806152106179301E-4</v>
          </cell>
          <cell r="E547">
            <v>2.17292538346169E-6</v>
          </cell>
          <cell r="F547">
            <v>3.1315425509498597E-2</v>
          </cell>
          <cell r="G547">
            <v>3.1502852085884797E-2</v>
          </cell>
          <cell r="H547">
            <v>2.4674327951297301E-2</v>
          </cell>
          <cell r="I547">
            <v>5.8012902744170702E-2</v>
          </cell>
          <cell r="J547">
            <v>0.105623946968618</v>
          </cell>
        </row>
        <row r="548">
          <cell r="A548" t="str">
            <v>SCOM-SHSTG-NGAHP</v>
          </cell>
          <cell r="B548" t="str">
            <v>VAR_cap</v>
          </cell>
          <cell r="C548" t="str">
            <v>-</v>
          </cell>
          <cell r="D548">
            <v>3.3806152106179301E-4</v>
          </cell>
          <cell r="E548">
            <v>2.9519127292179496E-6</v>
          </cell>
          <cell r="F548">
            <v>3.1317314884954733E-2</v>
          </cell>
          <cell r="G548">
            <v>6.2816969832034081E-2</v>
          </cell>
          <cell r="H548">
            <v>8.7475242582308099E-2</v>
          </cell>
          <cell r="I548">
            <v>0.1097233502544112</v>
          </cell>
          <cell r="J548">
            <v>0.15814550431919258</v>
          </cell>
        </row>
        <row r="549">
          <cell r="A549" t="str">
            <v>ITOT-SWHCONBR2</v>
          </cell>
          <cell r="B549" t="str">
            <v>VAR_fout</v>
          </cell>
          <cell r="C549" t="str">
            <v>ITOT-ELS</v>
          </cell>
          <cell r="G549">
            <v>2.0757580652921472E-4</v>
          </cell>
          <cell r="H549">
            <v>3.0592905907734401E-4</v>
          </cell>
          <cell r="I549">
            <v>0.88014049489985446</v>
          </cell>
          <cell r="J549">
            <v>0.88014294308718732</v>
          </cell>
        </row>
        <row r="550">
          <cell r="A550" t="str">
            <v>ITOT-SWHCONBR2</v>
          </cell>
          <cell r="B550" t="str">
            <v>VAR_fout</v>
          </cell>
          <cell r="C550" t="str">
            <v>ITOT-SWHC</v>
          </cell>
          <cell r="G550">
            <v>3.2087247282919533E-4</v>
          </cell>
          <cell r="H550">
            <v>4.7290777927263194E-4</v>
          </cell>
          <cell r="I550">
            <v>1.3605287714292509</v>
          </cell>
          <cell r="J550">
            <v>1.3605325558583536</v>
          </cell>
        </row>
        <row r="551">
          <cell r="A551" t="str">
            <v>ITOT-SWHCONBR2</v>
          </cell>
          <cell r="B551" t="str">
            <v>VAR_fin</v>
          </cell>
          <cell r="C551" t="str">
            <v>CON</v>
          </cell>
          <cell r="G551">
            <v>5.2844827935840961E-4</v>
          </cell>
          <cell r="H551">
            <v>7.7883683834997503E-4</v>
          </cell>
          <cell r="I551">
            <v>2.2406692663291059</v>
          </cell>
          <cell r="J551">
            <v>2.2406754989455413</v>
          </cell>
        </row>
        <row r="552">
          <cell r="A552" t="str">
            <v>ITOT-SWHCONBR2</v>
          </cell>
          <cell r="B552" t="str">
            <v>VAR_ncap</v>
          </cell>
          <cell r="C552" t="str">
            <v>-</v>
          </cell>
          <cell r="G552">
            <v>2.8567763476077599E-5</v>
          </cell>
          <cell r="H552">
            <v>1.3564127181449301E-5</v>
          </cell>
          <cell r="I552">
            <v>0.12182317657028301</v>
          </cell>
          <cell r="J552">
            <v>3.3439375584602402E-2</v>
          </cell>
        </row>
        <row r="553">
          <cell r="A553" t="str">
            <v>ITOT-SWHCONBR2</v>
          </cell>
          <cell r="B553" t="str">
            <v>VAR_cap</v>
          </cell>
          <cell r="C553" t="str">
            <v>-</v>
          </cell>
          <cell r="G553">
            <v>2.8567763476077599E-5</v>
          </cell>
          <cell r="H553">
            <v>4.2131890657526803E-5</v>
          </cell>
          <cell r="I553">
            <v>0.12185625208881599</v>
          </cell>
          <cell r="J553">
            <v>0.121856276359938</v>
          </cell>
        </row>
        <row r="554">
          <cell r="A554" t="str">
            <v>RHES-SHCONBR1</v>
          </cell>
          <cell r="B554" t="str">
            <v>VAR_fout</v>
          </cell>
          <cell r="C554" t="str">
            <v>RHES-SHCON</v>
          </cell>
          <cell r="D554">
            <v>1.3042516956972429E-2</v>
          </cell>
          <cell r="E554">
            <v>1.1276562944340365</v>
          </cell>
          <cell r="F554">
            <v>0.69003303046190301</v>
          </cell>
          <cell r="G554">
            <v>1.4978468949509296</v>
          </cell>
          <cell r="H554">
            <v>3.1658762105278035</v>
          </cell>
          <cell r="I554">
            <v>4.1450160126734978</v>
          </cell>
          <cell r="J554">
            <v>6.414221642178223</v>
          </cell>
        </row>
        <row r="555">
          <cell r="A555" t="str">
            <v>RHES-SHCONBR1</v>
          </cell>
          <cell r="B555" t="str">
            <v>VAR_fin</v>
          </cell>
          <cell r="C555" t="str">
            <v>CON</v>
          </cell>
          <cell r="D555">
            <v>1.3042516956972429E-2</v>
          </cell>
          <cell r="E555">
            <v>1.1276562944340365</v>
          </cell>
          <cell r="F555">
            <v>0.69003303046190301</v>
          </cell>
          <cell r="G555">
            <v>1.4978468949509296</v>
          </cell>
          <cell r="H555">
            <v>3.1658762105278035</v>
          </cell>
          <cell r="I555">
            <v>4.1450160126734978</v>
          </cell>
          <cell r="J555">
            <v>6.414221642178223</v>
          </cell>
        </row>
        <row r="556">
          <cell r="A556" t="str">
            <v>RHES-SHCONBR1</v>
          </cell>
          <cell r="B556" t="str">
            <v>VAR_ncap</v>
          </cell>
          <cell r="C556" t="str">
            <v>-</v>
          </cell>
          <cell r="D556">
            <v>4.5549674618249901E-2</v>
          </cell>
          <cell r="E556">
            <v>4.5549674682756801E-2</v>
          </cell>
          <cell r="F556">
            <v>3.4923541202047399E-8</v>
          </cell>
          <cell r="G556">
            <v>2.99219694695399E-2</v>
          </cell>
          <cell r="H556">
            <v>0.134745953520234</v>
          </cell>
          <cell r="I556">
            <v>7.9100191281014004E-2</v>
          </cell>
          <cell r="J556">
            <v>0.225246620557467</v>
          </cell>
        </row>
        <row r="557">
          <cell r="A557" t="str">
            <v>RHES-SHCONBR1</v>
          </cell>
          <cell r="B557" t="str">
            <v>VAR_cap</v>
          </cell>
          <cell r="C557" t="str">
            <v>-</v>
          </cell>
          <cell r="D557">
            <v>4.5549674618249901E-2</v>
          </cell>
          <cell r="E557">
            <v>9.1099349301006702E-2</v>
          </cell>
          <cell r="F557">
            <v>9.1098981205930019E-2</v>
          </cell>
          <cell r="G557">
            <v>0.12102117493746752</v>
          </cell>
          <cell r="H557">
            <v>0.2557672162302328</v>
          </cell>
          <cell r="I557">
            <v>0.33486743234427058</v>
          </cell>
          <cell r="J557">
            <v>0.51819046388943868</v>
          </cell>
        </row>
        <row r="558">
          <cell r="A558" t="str">
            <v>ITOT-SWHCONBR3</v>
          </cell>
          <cell r="B558" t="str">
            <v>VAR_fout</v>
          </cell>
          <cell r="C558" t="str">
            <v>ITOT-ELS</v>
          </cell>
          <cell r="G558">
            <v>6.6321307280893497E-5</v>
          </cell>
          <cell r="H558">
            <v>1.2482809489288305E-4</v>
          </cell>
          <cell r="I558">
            <v>4.2474648982650326E-2</v>
          </cell>
          <cell r="J558">
            <v>0.57201306973579857</v>
          </cell>
        </row>
        <row r="559">
          <cell r="A559" t="str">
            <v>ITOT-SWHCONBR3</v>
          </cell>
          <cell r="B559" t="str">
            <v>VAR_fout</v>
          </cell>
          <cell r="C559" t="str">
            <v>ITOT-SWHC</v>
          </cell>
          <cell r="G559">
            <v>1.3161839648071611E-4</v>
          </cell>
          <cell r="H559">
            <v>2.4772843538741792E-4</v>
          </cell>
          <cell r="I559">
            <v>8.4293350348180862E-2</v>
          </cell>
          <cell r="J559">
            <v>1.1351923852430954</v>
          </cell>
        </row>
        <row r="560">
          <cell r="A560" t="str">
            <v>ITOT-SWHCONBR3</v>
          </cell>
          <cell r="B560" t="str">
            <v>VAR_fin</v>
          </cell>
          <cell r="C560" t="str">
            <v>CON</v>
          </cell>
          <cell r="G560">
            <v>1.9793970376160943E-4</v>
          </cell>
          <cell r="H560">
            <v>3.7255653028030097E-4</v>
          </cell>
          <cell r="I560">
            <v>0.12676799933083127</v>
          </cell>
          <cell r="J560">
            <v>1.7072054549788933</v>
          </cell>
        </row>
        <row r="561">
          <cell r="A561" t="str">
            <v>ITOT-SWHCONBR3</v>
          </cell>
          <cell r="B561" t="str">
            <v>VAR_ncap</v>
          </cell>
          <cell r="C561" t="str">
            <v>-</v>
          </cell>
          <cell r="G561">
            <v>1.0503776298916E-5</v>
          </cell>
          <cell r="H561">
            <v>9.5110040648715296E-6</v>
          </cell>
          <cell r="I561">
            <v>6.8779736019053102E-3</v>
          </cell>
          <cell r="J561">
            <v>8.78485021738028E-2</v>
          </cell>
        </row>
        <row r="562">
          <cell r="A562" t="str">
            <v>ITOT-SWHCONBR3</v>
          </cell>
          <cell r="B562" t="str">
            <v>VAR_cap</v>
          </cell>
          <cell r="C562" t="str">
            <v>-</v>
          </cell>
          <cell r="G562">
            <v>1.0503776298916E-5</v>
          </cell>
          <cell r="H562">
            <v>2.00147803637875E-5</v>
          </cell>
          <cell r="I562">
            <v>6.8946585413820196E-3</v>
          </cell>
          <cell r="J562">
            <v>9.2844101296886097E-2</v>
          </cell>
        </row>
        <row r="563">
          <cell r="A563" t="str">
            <v>ITOT-ELCSPECADV</v>
          </cell>
          <cell r="B563" t="str">
            <v>VAR_fout</v>
          </cell>
          <cell r="C563" t="str">
            <v>ITOT-ELS</v>
          </cell>
          <cell r="G563">
            <v>1.1753853577293906E-4</v>
          </cell>
          <cell r="H563">
            <v>2.9488039230793751E-4</v>
          </cell>
          <cell r="I563">
            <v>2.0074955845656136E-4</v>
          </cell>
          <cell r="J563">
            <v>2.589328964162622E-4</v>
          </cell>
        </row>
        <row r="564">
          <cell r="A564" t="str">
            <v>ITOT-ELCSPECADV</v>
          </cell>
          <cell r="B564" t="str">
            <v>VAR_fin</v>
          </cell>
          <cell r="C564" t="str">
            <v>ITOT_ELC</v>
          </cell>
          <cell r="G564">
            <v>1.119414626408944E-4</v>
          </cell>
          <cell r="H564">
            <v>2.7430734168180264E-4</v>
          </cell>
          <cell r="I564">
            <v>1.8249959859687379E-4</v>
          </cell>
          <cell r="J564">
            <v>2.25159040361967E-4</v>
          </cell>
        </row>
        <row r="565">
          <cell r="A565" t="str">
            <v>ITOT-ELCSPECADV</v>
          </cell>
          <cell r="B565" t="str">
            <v>VAR_ncap</v>
          </cell>
          <cell r="C565" t="str">
            <v>-</v>
          </cell>
          <cell r="G565">
            <v>9.9511483892488206E-6</v>
          </cell>
          <cell r="H565">
            <v>7.5557614170905002E-6</v>
          </cell>
          <cell r="I565">
            <v>2.1534018024050099E-7</v>
          </cell>
          <cell r="J565">
            <v>2.3939288478952699E-7</v>
          </cell>
        </row>
        <row r="566">
          <cell r="A566" t="str">
            <v>ITOT-ELCSPECADV</v>
          </cell>
          <cell r="B566" t="str">
            <v>VAR_cap</v>
          </cell>
          <cell r="C566" t="str">
            <v>-</v>
          </cell>
          <cell r="G566">
            <v>9.9511483892488206E-6</v>
          </cell>
          <cell r="H566">
            <v>1.7480131302946487E-5</v>
          </cell>
          <cell r="I566">
            <v>1.760764273946584E-5</v>
          </cell>
          <cell r="J566">
            <v>1.4324718291273544E-5</v>
          </cell>
        </row>
        <row r="567">
          <cell r="A567" t="str">
            <v>RHES-SHELCBR</v>
          </cell>
          <cell r="B567" t="str">
            <v>VAR_fout</v>
          </cell>
          <cell r="C567" t="str">
            <v>RHES-SHAELCB</v>
          </cell>
          <cell r="D567">
            <v>4.2799822041765658</v>
          </cell>
          <cell r="E567">
            <v>4.4886785583180684</v>
          </cell>
          <cell r="F567">
            <v>0.78672134582098352</v>
          </cell>
          <cell r="G567">
            <v>0.19185784650865645</v>
          </cell>
          <cell r="H567">
            <v>1.4318917339963443E-2</v>
          </cell>
          <cell r="I567">
            <v>4.0315781209993426E-3</v>
          </cell>
          <cell r="J567">
            <v>1.9885598152274845E-3</v>
          </cell>
        </row>
        <row r="568">
          <cell r="A568" t="str">
            <v>RHES-SHELCBR</v>
          </cell>
          <cell r="B568" t="str">
            <v>VAR_fin</v>
          </cell>
          <cell r="C568" t="str">
            <v>RHES_ELC</v>
          </cell>
          <cell r="D568">
            <v>4.5052444254490203</v>
          </cell>
          <cell r="E568">
            <v>4.7249247982295461</v>
          </cell>
          <cell r="F568">
            <v>0.85745657441877265</v>
          </cell>
          <cell r="G568">
            <v>0.20846105577650828</v>
          </cell>
          <cell r="H568">
            <v>1.5399880085926613E-2</v>
          </cell>
          <cell r="I568">
            <v>4.2932968141493229E-3</v>
          </cell>
          <cell r="J568">
            <v>2.1073836355048172E-3</v>
          </cell>
        </row>
        <row r="569">
          <cell r="A569" t="str">
            <v>RHES-SHELCBR</v>
          </cell>
          <cell r="B569" t="str">
            <v>VAR_ncap</v>
          </cell>
          <cell r="C569" t="str">
            <v>-</v>
          </cell>
          <cell r="D569">
            <v>6.9244301273057007E-8</v>
          </cell>
          <cell r="E569">
            <v>1.6866080089474999E-2</v>
          </cell>
          <cell r="F569">
            <v>3.0761728417066398E-8</v>
          </cell>
          <cell r="G569">
            <v>6.3043380280708604E-8</v>
          </cell>
          <cell r="H569">
            <v>8.7114019671382402E-7</v>
          </cell>
          <cell r="I569">
            <v>3.2582393816279603E-4</v>
          </cell>
          <cell r="J569">
            <v>4.81196549763019E-8</v>
          </cell>
        </row>
        <row r="570">
          <cell r="A570" t="str">
            <v>RHES-SHELCBR</v>
          </cell>
          <cell r="B570" t="str">
            <v>VAR_cap</v>
          </cell>
          <cell r="C570" t="str">
            <v>-</v>
          </cell>
          <cell r="D570">
            <v>0.34576936912063427</v>
          </cell>
          <cell r="E570">
            <v>0.36263542332533444</v>
          </cell>
          <cell r="F570">
            <v>0.11469092361242769</v>
          </cell>
          <cell r="G570">
            <v>2.7002847620823889E-2</v>
          </cell>
          <cell r="H570">
            <v>2.1175194151860921E-3</v>
          </cell>
          <cell r="I570">
            <v>3.2661889432789661E-4</v>
          </cell>
          <cell r="J570">
            <v>2.3330550850492082E-4</v>
          </cell>
        </row>
        <row r="571">
          <cell r="A571" t="str">
            <v>RHSA-WHELCBR</v>
          </cell>
          <cell r="B571" t="str">
            <v>VAR_fout</v>
          </cell>
          <cell r="C571" t="str">
            <v>RHSA-WHAELCB</v>
          </cell>
          <cell r="D571">
            <v>6.6447018569694993</v>
          </cell>
          <cell r="E571">
            <v>6.9687090792831539</v>
          </cell>
          <cell r="F571">
            <v>2.8217478715063447</v>
          </cell>
          <cell r="G571">
            <v>2.2283576208579903</v>
          </cell>
          <cell r="H571">
            <v>1.9605160665126398</v>
          </cell>
          <cell r="I571">
            <v>1.8871422684339085</v>
          </cell>
          <cell r="J571">
            <v>1.6960920164211062</v>
          </cell>
        </row>
        <row r="572">
          <cell r="A572" t="str">
            <v>RHSA-WHELCBR</v>
          </cell>
          <cell r="B572" t="str">
            <v>VAR_fin</v>
          </cell>
          <cell r="C572" t="str">
            <v>RHSA_ELC</v>
          </cell>
          <cell r="D572">
            <v>8.4110150088221491</v>
          </cell>
          <cell r="E572">
            <v>8.7988751001049934</v>
          </cell>
          <cell r="F572">
            <v>6.0584792174977826</v>
          </cell>
          <cell r="G572">
            <v>4.6228790996558304</v>
          </cell>
          <cell r="H572">
            <v>3.9596420611935668</v>
          </cell>
          <cell r="I572">
            <v>3.7550464821579368</v>
          </cell>
          <cell r="J572">
            <v>3.2836234460447185</v>
          </cell>
        </row>
        <row r="573">
          <cell r="A573" t="str">
            <v>RHSA-WHELCBR</v>
          </cell>
          <cell r="B573" t="str">
            <v>VAR_ncap</v>
          </cell>
          <cell r="C573" t="str">
            <v>-</v>
          </cell>
          <cell r="D573">
            <v>1.6636851702083401E-6</v>
          </cell>
          <cell r="E573">
            <v>3.4215623050409899E-2</v>
          </cell>
          <cell r="F573">
            <v>5.9377273408906301E-8</v>
          </cell>
          <cell r="G573">
            <v>9.9758635224826499E-8</v>
          </cell>
          <cell r="H573">
            <v>6.2512903825951496E-2</v>
          </cell>
          <cell r="I573">
            <v>7.5009520444813196E-2</v>
          </cell>
          <cell r="J573">
            <v>3.81358412299731E-2</v>
          </cell>
        </row>
        <row r="574">
          <cell r="A574" t="str">
            <v>RHSA-WHELCBR</v>
          </cell>
          <cell r="B574" t="str">
            <v>VAR_cap</v>
          </cell>
          <cell r="C574" t="str">
            <v>-</v>
          </cell>
          <cell r="D574">
            <v>0.43757025245884718</v>
          </cell>
          <cell r="E574">
            <v>0.47178582009144521</v>
          </cell>
          <cell r="F574">
            <v>0.3522046534319126</v>
          </cell>
          <cell r="G574">
            <v>0.27520437112140278</v>
          </cell>
          <cell r="H574">
            <v>0.1425389113965779</v>
          </cell>
          <cell r="I574">
            <v>0.13752222708095502</v>
          </cell>
          <cell r="J574">
            <v>0.11901522104898916</v>
          </cell>
        </row>
        <row r="575">
          <cell r="A575" t="str">
            <v>ITOT-SWHLTHDH</v>
          </cell>
          <cell r="B575" t="str">
            <v>VAR_fout</v>
          </cell>
          <cell r="C575" t="str">
            <v>ITOT-SWH</v>
          </cell>
          <cell r="D575">
            <v>6.5822737364857833</v>
          </cell>
          <cell r="E575">
            <v>7.0678494946773647</v>
          </cell>
          <cell r="F575">
            <v>7.0905080570527623</v>
          </cell>
          <cell r="G575">
            <v>7.1282808160922153</v>
          </cell>
          <cell r="H575">
            <v>7.1660484800063031</v>
          </cell>
          <cell r="I575">
            <v>7.7691603395508366</v>
          </cell>
          <cell r="J575">
            <v>8.3087691204175886</v>
          </cell>
        </row>
        <row r="576">
          <cell r="A576" t="str">
            <v>ITOT-SWHLTHDH</v>
          </cell>
          <cell r="B576" t="str">
            <v>VAR_fin</v>
          </cell>
          <cell r="C576" t="str">
            <v>ITOT_LTH_DH</v>
          </cell>
          <cell r="D576">
            <v>7.1200029729715606</v>
          </cell>
          <cell r="E576">
            <v>7.6289070574065185</v>
          </cell>
          <cell r="F576">
            <v>7.6289065666842193</v>
          </cell>
          <cell r="G576">
            <v>7.6289148403193145</v>
          </cell>
          <cell r="H576">
            <v>7.6289176025207723</v>
          </cell>
          <cell r="I576">
            <v>8.2276260418181053</v>
          </cell>
          <cell r="J576">
            <v>8.7460727583343161</v>
          </cell>
        </row>
        <row r="577">
          <cell r="A577" t="str">
            <v>ITOT-SWHLTHDH</v>
          </cell>
          <cell r="B577" t="str">
            <v>VAR_fin</v>
          </cell>
          <cell r="C577" t="str">
            <v>ITOTLTHDHC</v>
          </cell>
          <cell r="D577">
            <v>6.5822737364857833</v>
          </cell>
          <cell r="E577">
            <v>7.0678494946773647</v>
          </cell>
          <cell r="F577">
            <v>7.0905080570527623</v>
          </cell>
          <cell r="G577">
            <v>7.1282808160922153</v>
          </cell>
          <cell r="H577">
            <v>7.1660484800063031</v>
          </cell>
          <cell r="I577">
            <v>7.7691603395508366</v>
          </cell>
          <cell r="J577">
            <v>8.3087691204175886</v>
          </cell>
        </row>
        <row r="578">
          <cell r="A578" t="str">
            <v>ITOT-SWHLTHDH</v>
          </cell>
          <cell r="B578" t="str">
            <v>VAR_ncap</v>
          </cell>
          <cell r="C578" t="str">
            <v>-</v>
          </cell>
          <cell r="E578">
            <v>1.36436682581397E-2</v>
          </cell>
          <cell r="F578">
            <v>0.20290055170017701</v>
          </cell>
          <cell r="G578">
            <v>2.9590954940939902E-2</v>
          </cell>
          <cell r="H578">
            <v>0.46758877469853299</v>
          </cell>
          <cell r="I578">
            <v>0.178477539717186</v>
          </cell>
          <cell r="J578">
            <v>0.43392308886998499</v>
          </cell>
        </row>
        <row r="579">
          <cell r="A579" t="str">
            <v>ITOT-SWHLTHDH</v>
          </cell>
          <cell r="B579" t="str">
            <v>VAR_cap</v>
          </cell>
          <cell r="C579" t="str">
            <v>-</v>
          </cell>
          <cell r="D579">
            <v>0.79547229253225304</v>
          </cell>
          <cell r="E579">
            <v>0.53634365847960574</v>
          </cell>
          <cell r="F579">
            <v>0.73135389126643002</v>
          </cell>
          <cell r="G579">
            <v>0.74002244853212407</v>
          </cell>
          <cell r="H579">
            <v>0.79534007131851103</v>
          </cell>
          <cell r="I579">
            <v>0.67258447911940833</v>
          </cell>
          <cell r="J579">
            <v>0.74789531509363272</v>
          </cell>
        </row>
        <row r="580">
          <cell r="A580" t="str">
            <v>RHES-SHCONBR2</v>
          </cell>
          <cell r="B580" t="str">
            <v>VAR_fout</v>
          </cell>
          <cell r="C580" t="str">
            <v>RHES-SHCON</v>
          </cell>
          <cell r="D580">
            <v>1.1465052579244071E-2</v>
          </cell>
          <cell r="E580">
            <v>0.82067581257385069</v>
          </cell>
          <cell r="F580">
            <v>0.48291247443498192</v>
          </cell>
          <cell r="G580">
            <v>0.82054051965826758</v>
          </cell>
          <cell r="H580">
            <v>0.94184583196955118</v>
          </cell>
          <cell r="I580">
            <v>1.6727557804592001</v>
          </cell>
          <cell r="J580">
            <v>3.4216926718675014</v>
          </cell>
        </row>
        <row r="581">
          <cell r="A581" t="str">
            <v>RHES-SHCONBR2</v>
          </cell>
          <cell r="B581" t="str">
            <v>VAR_fin</v>
          </cell>
          <cell r="C581" t="str">
            <v>CON</v>
          </cell>
          <cell r="D581">
            <v>1.1465052579244071E-2</v>
          </cell>
          <cell r="E581">
            <v>0.82067581257385069</v>
          </cell>
          <cell r="F581">
            <v>0.48291247443498192</v>
          </cell>
          <cell r="G581">
            <v>0.82054051965826758</v>
          </cell>
          <cell r="H581">
            <v>0.94184583196955118</v>
          </cell>
          <cell r="I581">
            <v>1.6727557804592001</v>
          </cell>
          <cell r="J581">
            <v>3.4216926718675014</v>
          </cell>
        </row>
        <row r="582">
          <cell r="A582" t="str">
            <v>RHES-SHCONBR2</v>
          </cell>
          <cell r="B582" t="str">
            <v>VAR_ncap</v>
          </cell>
          <cell r="C582" t="str">
            <v>-</v>
          </cell>
          <cell r="D582">
            <v>3.3149551196410401E-2</v>
          </cell>
          <cell r="E582">
            <v>3.3149551396962601E-2</v>
          </cell>
          <cell r="F582">
            <v>3.46699194285316E-8</v>
          </cell>
          <cell r="G582">
            <v>3.9976115802734304E-6</v>
          </cell>
          <cell r="H582">
            <v>9.7898230080104703E-3</v>
          </cell>
          <cell r="I582">
            <v>5.9046301640444998E-2</v>
          </cell>
          <cell r="J582">
            <v>0.17180226773426999</v>
          </cell>
        </row>
        <row r="583">
          <cell r="A583" t="str">
            <v>RHES-SHCONBR2</v>
          </cell>
          <cell r="B583" t="str">
            <v>VAR_cap</v>
          </cell>
          <cell r="C583" t="str">
            <v>-</v>
          </cell>
          <cell r="D583">
            <v>3.3149551196410401E-2</v>
          </cell>
          <cell r="E583">
            <v>6.6299102593373002E-2</v>
          </cell>
          <cell r="F583">
            <v>6.6298737642731226E-2</v>
          </cell>
          <cell r="G583">
            <v>6.6302957375519458E-2</v>
          </cell>
          <cell r="H583">
            <v>7.6092867514939586E-2</v>
          </cell>
          <cell r="I583">
            <v>0.1351391938325705</v>
          </cell>
          <cell r="J583">
            <v>0.27643086777385156</v>
          </cell>
        </row>
        <row r="584">
          <cell r="A584" t="str">
            <v>ITOT-SWHCONBR4</v>
          </cell>
          <cell r="B584" t="str">
            <v>VAR_fout</v>
          </cell>
          <cell r="C584" t="str">
            <v>ITOT-ELS</v>
          </cell>
          <cell r="H584">
            <v>2.6079734193307311E-5</v>
          </cell>
          <cell r="I584">
            <v>2.7927786433811348E-5</v>
          </cell>
          <cell r="J584">
            <v>2.7534046109580297E-5</v>
          </cell>
        </row>
        <row r="585">
          <cell r="A585" t="str">
            <v>ITOT-SWHCONBR4</v>
          </cell>
          <cell r="B585" t="str">
            <v>VAR_fout</v>
          </cell>
          <cell r="C585" t="str">
            <v>ITOT-SWHC</v>
          </cell>
          <cell r="H585">
            <v>2.8026686586348924E-4</v>
          </cell>
          <cell r="I585">
            <v>3.0012703029457433E-4</v>
          </cell>
          <cell r="J585">
            <v>2.9589568476710984E-4</v>
          </cell>
        </row>
        <row r="586">
          <cell r="A586" t="str">
            <v>ITOT-SWHCONBR4</v>
          </cell>
          <cell r="B586" t="str">
            <v>VAR_fin</v>
          </cell>
          <cell r="C586" t="str">
            <v>CON</v>
          </cell>
          <cell r="H586">
            <v>3.0634660005679655E-4</v>
          </cell>
          <cell r="I586">
            <v>3.2805481672838586E-4</v>
          </cell>
          <cell r="J586">
            <v>3.2342973087668992E-4</v>
          </cell>
        </row>
        <row r="587">
          <cell r="A587" t="str">
            <v>ITOT-SWHCONBR4</v>
          </cell>
          <cell r="B587" t="str">
            <v>VAR_ncap</v>
          </cell>
          <cell r="C587" t="str">
            <v>-</v>
          </cell>
          <cell r="H587">
            <v>1.60818812994504E-5</v>
          </cell>
          <cell r="I587">
            <v>1.0723653837913501E-6</v>
          </cell>
          <cell r="J587">
            <v>9.6775397046789301E-6</v>
          </cell>
        </row>
        <row r="588">
          <cell r="A588" t="str">
            <v>ITOT-SWHCONBR4</v>
          </cell>
          <cell r="B588" t="str">
            <v>VAR_cap</v>
          </cell>
          <cell r="C588" t="str">
            <v>-</v>
          </cell>
          <cell r="H588">
            <v>1.60818812994504E-5</v>
          </cell>
          <cell r="I588">
            <v>1.7154246683241798E-5</v>
          </cell>
          <cell r="J588">
            <v>1.7258340986746902E-5</v>
          </cell>
        </row>
        <row r="589">
          <cell r="A589" t="str">
            <v>D-ITOT_NKEV_GAS_ELC_CHP</v>
          </cell>
          <cell r="B589" t="str">
            <v>VAR_fout</v>
          </cell>
          <cell r="C589" t="str">
            <v>ITOT_ELC</v>
          </cell>
          <cell r="D589">
            <v>0.66873445013286725</v>
          </cell>
          <cell r="E589">
            <v>0.16503247210185953</v>
          </cell>
          <cell r="F589">
            <v>0.954267333154596</v>
          </cell>
          <cell r="G589">
            <v>1.4152141779902376</v>
          </cell>
          <cell r="H589">
            <v>0.88528610487530512</v>
          </cell>
          <cell r="I589">
            <v>0.21471718839699</v>
          </cell>
          <cell r="J589">
            <v>4.0485972357606294E-2</v>
          </cell>
        </row>
        <row r="590">
          <cell r="A590" t="str">
            <v>D-ITOT_NKEV_GAS_ELC_CHP</v>
          </cell>
          <cell r="B590" t="str">
            <v>VAR_fout</v>
          </cell>
          <cell r="C590" t="str">
            <v>ELC5</v>
          </cell>
          <cell r="D590">
            <v>1.2326112943504455E-3</v>
          </cell>
          <cell r="E590">
            <v>7.5681103270535115E-4</v>
          </cell>
          <cell r="F590">
            <v>9.1971820242533607E-4</v>
          </cell>
          <cell r="G590">
            <v>1.0656908479079279E-3</v>
          </cell>
          <cell r="H590">
            <v>1.0416562815412612E-3</v>
          </cell>
          <cell r="I590">
            <v>9.8070832766736331E-3</v>
          </cell>
          <cell r="J590">
            <v>6.9529951732896246E-4</v>
          </cell>
        </row>
        <row r="591">
          <cell r="A591" t="str">
            <v>D-ITOT_NKEV_GAS_ELC_CHP</v>
          </cell>
          <cell r="B591" t="str">
            <v>VAR_fin</v>
          </cell>
          <cell r="C591" t="str">
            <v>ITOT_NKEV_GAS_ELC_CHP</v>
          </cell>
          <cell r="D591">
            <v>0.66996706142721818</v>
          </cell>
          <cell r="E591">
            <v>0.16578928313456487</v>
          </cell>
          <cell r="F591">
            <v>0.95518478301099263</v>
          </cell>
          <cell r="G591">
            <v>1.4162798688381444</v>
          </cell>
          <cell r="H591">
            <v>0.88632776115684586</v>
          </cell>
          <cell r="I591">
            <v>0.22452427167366357</v>
          </cell>
          <cell r="J591">
            <v>4.1181271874935303E-2</v>
          </cell>
        </row>
        <row r="592">
          <cell r="A592" t="str">
            <v>SCOM-SHELCBR</v>
          </cell>
          <cell r="B592" t="str">
            <v>VAR_fout</v>
          </cell>
          <cell r="C592" t="str">
            <v>SCOM-SHAELCB</v>
          </cell>
          <cell r="D592">
            <v>2.3940419463591907</v>
          </cell>
          <cell r="E592">
            <v>0.59041170540653587</v>
          </cell>
          <cell r="F592">
            <v>0.5219560555862538</v>
          </cell>
          <cell r="G592">
            <v>0.35445132815298386</v>
          </cell>
          <cell r="H592">
            <v>0.28976659374508867</v>
          </cell>
          <cell r="I592">
            <v>0.2629550244482331</v>
          </cell>
          <cell r="J592">
            <v>0.19422991063410364</v>
          </cell>
        </row>
        <row r="593">
          <cell r="A593" t="str">
            <v>SCOM-SHELCBR</v>
          </cell>
          <cell r="B593" t="str">
            <v>VAR_fin</v>
          </cell>
          <cell r="C593" t="str">
            <v>SCOM_ELC</v>
          </cell>
          <cell r="D593">
            <v>2.6236076124484264</v>
          </cell>
          <cell r="E593">
            <v>0.64525869443337192</v>
          </cell>
          <cell r="F593">
            <v>1.1044128581295334</v>
          </cell>
          <cell r="G593">
            <v>0.72990424570184309</v>
          </cell>
          <cell r="H593">
            <v>0.58464045525278596</v>
          </cell>
          <cell r="I593">
            <v>0.52296201160220712</v>
          </cell>
          <cell r="J593">
            <v>0.3696383315484163</v>
          </cell>
        </row>
        <row r="594">
          <cell r="A594" t="str">
            <v>SCOM-SHELCBR</v>
          </cell>
          <cell r="B594" t="str">
            <v>VAR_ncap</v>
          </cell>
          <cell r="C594" t="str">
            <v>-</v>
          </cell>
          <cell r="D594">
            <v>3.2697652412209601E-7</v>
          </cell>
          <cell r="E594">
            <v>2.5034506706436499E-7</v>
          </cell>
          <cell r="F594">
            <v>2.1595262656963399E-7</v>
          </cell>
          <cell r="G594">
            <v>3.6498745224574698E-7</v>
          </cell>
          <cell r="H594">
            <v>1.5276281980359799E-2</v>
          </cell>
          <cell r="I594">
            <v>1.2476246681743399E-2</v>
          </cell>
          <cell r="J594">
            <v>4.8441142082090403E-3</v>
          </cell>
        </row>
        <row r="595">
          <cell r="A595" t="str">
            <v>SCOM-SHELCBR</v>
          </cell>
          <cell r="B595" t="str">
            <v>VAR_cap</v>
          </cell>
          <cell r="C595" t="str">
            <v>-</v>
          </cell>
          <cell r="D595">
            <v>0.18498837532796614</v>
          </cell>
          <cell r="E595">
            <v>7.7245436761137196E-2</v>
          </cell>
          <cell r="F595">
            <v>7.3518152965600755E-2</v>
          </cell>
          <cell r="G595">
            <v>4.5402731544790992E-2</v>
          </cell>
          <cell r="H595">
            <v>2.7050204357304299E-2</v>
          </cell>
          <cell r="I595">
            <v>2.7752223128369127E-2</v>
          </cell>
          <cell r="J595">
            <v>2.035983566043565E-2</v>
          </cell>
        </row>
        <row r="596">
          <cell r="A596" t="str">
            <v>RHES-SHCONBR3</v>
          </cell>
          <cell r="B596" t="str">
            <v>VAR_fout</v>
          </cell>
          <cell r="C596" t="str">
            <v>RHES-SHCON</v>
          </cell>
          <cell r="D596">
            <v>1.3808620243307259E-2</v>
          </cell>
          <cell r="E596">
            <v>1.3555251598850673</v>
          </cell>
          <cell r="F596">
            <v>0.8490677997904702</v>
          </cell>
          <cell r="G596">
            <v>1.3553393811389431</v>
          </cell>
          <cell r="H596">
            <v>1.3554663360024031</v>
          </cell>
          <cell r="I596">
            <v>1.3554939835007449</v>
          </cell>
          <cell r="J596">
            <v>0.73170577229999112</v>
          </cell>
        </row>
        <row r="597">
          <cell r="A597" t="str">
            <v>RHES-SHCONBR3</v>
          </cell>
          <cell r="B597" t="str">
            <v>VAR_fin</v>
          </cell>
          <cell r="C597" t="str">
            <v>CON</v>
          </cell>
          <cell r="D597">
            <v>1.3808620243307259E-2</v>
          </cell>
          <cell r="E597">
            <v>1.3555251598850673</v>
          </cell>
          <cell r="F597">
            <v>0.8490677997904702</v>
          </cell>
          <cell r="G597">
            <v>1.3553393811389431</v>
          </cell>
          <cell r="H597">
            <v>1.3554663360024031</v>
          </cell>
          <cell r="I597">
            <v>1.3554939835007449</v>
          </cell>
          <cell r="J597">
            <v>0.73170577229999112</v>
          </cell>
        </row>
        <row r="598">
          <cell r="A598" t="str">
            <v>RHES-SHCONBR3</v>
          </cell>
          <cell r="B598" t="str">
            <v>VAR_ncap</v>
          </cell>
          <cell r="C598" t="str">
            <v>-</v>
          </cell>
          <cell r="D598">
            <v>5.4754166879578701E-2</v>
          </cell>
          <cell r="E598">
            <v>5.4754183621679699E-2</v>
          </cell>
          <cell r="I598">
            <v>1.1967112343737699E-8</v>
          </cell>
          <cell r="J598">
            <v>1.7260427849655501E-8</v>
          </cell>
        </row>
        <row r="599">
          <cell r="A599" t="str">
            <v>RHES-SHCONBR3</v>
          </cell>
          <cell r="B599" t="str">
            <v>VAR_cap</v>
          </cell>
          <cell r="C599" t="str">
            <v>-</v>
          </cell>
          <cell r="D599">
            <v>5.4754166879578701E-2</v>
          </cell>
          <cell r="E599">
            <v>0.109508350501258</v>
          </cell>
          <cell r="F599">
            <v>0.10950794608141674</v>
          </cell>
          <cell r="G599">
            <v>0.10950817292588509</v>
          </cell>
          <cell r="H599">
            <v>0.10950826067345115</v>
          </cell>
          <cell r="I599">
            <v>0.10950829709335015</v>
          </cell>
          <cell r="J599">
            <v>5.9112968817038571E-2</v>
          </cell>
        </row>
        <row r="600">
          <cell r="A600" t="str">
            <v>ITOT-SWHCONBR5</v>
          </cell>
          <cell r="B600" t="str">
            <v>VAR_fout</v>
          </cell>
          <cell r="C600" t="str">
            <v>ITOT-ELS</v>
          </cell>
          <cell r="H600">
            <v>3.9653062579445343E-5</v>
          </cell>
          <cell r="I600">
            <v>4.3941802682225745E-5</v>
          </cell>
          <cell r="J600">
            <v>4.309263414701089E-5</v>
          </cell>
        </row>
        <row r="601">
          <cell r="A601" t="str">
            <v>ITOT-SWHCONBR5</v>
          </cell>
          <cell r="B601" t="str">
            <v>VAR_fout</v>
          </cell>
          <cell r="C601" t="str">
            <v>ITOT-SWHC</v>
          </cell>
          <cell r="H601">
            <v>1.9449337391635327E-4</v>
          </cell>
          <cell r="I601">
            <v>2.1552911436562963E-4</v>
          </cell>
          <cell r="J601">
            <v>2.1136404759161594E-4</v>
          </cell>
        </row>
        <row r="602">
          <cell r="A602" t="str">
            <v>ITOT-SWHCONBR5</v>
          </cell>
          <cell r="B602" t="str">
            <v>VAR_fin</v>
          </cell>
          <cell r="C602" t="str">
            <v>CON</v>
          </cell>
          <cell r="H602">
            <v>2.341464364957987E-4</v>
          </cell>
          <cell r="I602">
            <v>2.5947091704785555E-4</v>
          </cell>
          <cell r="J602">
            <v>2.5445668173862678E-4</v>
          </cell>
        </row>
        <row r="603">
          <cell r="A603" t="str">
            <v>ITOT-SWHCONBR5</v>
          </cell>
          <cell r="B603" t="str">
            <v>VAR_ncap</v>
          </cell>
          <cell r="C603" t="str">
            <v>-</v>
          </cell>
          <cell r="H603">
            <v>1.21639929877791E-5</v>
          </cell>
          <cell r="I603">
            <v>1.18752152251662E-6</v>
          </cell>
          <cell r="J603">
            <v>7.4871017495178202E-6</v>
          </cell>
        </row>
        <row r="604">
          <cell r="A604" t="str">
            <v>ITOT-SWHCONBR5</v>
          </cell>
          <cell r="B604" t="str">
            <v>VAR_cap</v>
          </cell>
          <cell r="C604" t="str">
            <v>-</v>
          </cell>
          <cell r="H604">
            <v>1.21639929877791E-5</v>
          </cell>
          <cell r="I604">
            <v>1.33515145102957E-5</v>
          </cell>
          <cell r="J604">
            <v>1.3494229901541099E-5</v>
          </cell>
        </row>
        <row r="605">
          <cell r="A605" t="str">
            <v>RHES-SHSTG-ELC</v>
          </cell>
          <cell r="B605" t="str">
            <v>VAR_fout</v>
          </cell>
          <cell r="C605" t="str">
            <v>RHES-SHAELCB</v>
          </cell>
          <cell r="D605">
            <v>0.70678765532460552</v>
          </cell>
          <cell r="E605">
            <v>0.77553588757180236</v>
          </cell>
          <cell r="F605">
            <v>0.19235366663334166</v>
          </cell>
          <cell r="G605">
            <v>4.6910796463698459E-2</v>
          </cell>
          <cell r="H605">
            <v>2.5174258722416875E-3</v>
          </cell>
          <cell r="I605">
            <v>4.1527109772983702E-4</v>
          </cell>
          <cell r="J605">
            <v>3.1042933467264927E-4</v>
          </cell>
        </row>
        <row r="606">
          <cell r="A606" t="str">
            <v>RHES-SHSTG-ELC</v>
          </cell>
          <cell r="B606" t="str">
            <v>VAR_fout</v>
          </cell>
          <cell r="C606" t="str">
            <v>AUX_RHES-SHSTG-ELC_OUT</v>
          </cell>
          <cell r="D606">
            <v>0.70749444297992969</v>
          </cell>
          <cell r="E606">
            <v>0.77631142345937343</v>
          </cell>
          <cell r="F606">
            <v>0.19254602029997497</v>
          </cell>
          <cell r="G606">
            <v>4.6957707260162226E-2</v>
          </cell>
          <cell r="H606">
            <v>2.51994329811393E-3</v>
          </cell>
          <cell r="I606">
            <v>4.1568636882756654E-4</v>
          </cell>
          <cell r="J606">
            <v>3.1073976400732163E-4</v>
          </cell>
        </row>
        <row r="607">
          <cell r="A607" t="str">
            <v>RHES-SHSTG-ELC</v>
          </cell>
          <cell r="B607" t="str">
            <v>VAR_fin</v>
          </cell>
          <cell r="C607" t="str">
            <v>RHES-SHAELCB</v>
          </cell>
          <cell r="D607">
            <v>0.70679387739271915</v>
          </cell>
          <cell r="E607">
            <v>0.77553587531347856</v>
          </cell>
          <cell r="F607">
            <v>0.19235334984635313</v>
          </cell>
          <cell r="G607">
            <v>4.6910656016973674E-2</v>
          </cell>
          <cell r="H607">
            <v>2.5176733921537095E-3</v>
          </cell>
          <cell r="I607">
            <v>4.1574201005667585E-4</v>
          </cell>
          <cell r="J607">
            <v>3.1087935598557556E-4</v>
          </cell>
        </row>
        <row r="608">
          <cell r="A608" t="str">
            <v>RHES-SHSTG-ELC</v>
          </cell>
          <cell r="B608" t="str">
            <v>VAR_ncap</v>
          </cell>
          <cell r="C608" t="str">
            <v>-</v>
          </cell>
          <cell r="D608">
            <v>6.39895438732829E-2</v>
          </cell>
          <cell r="E608">
            <v>1.0018282455518599E-5</v>
          </cell>
          <cell r="F608">
            <v>1.44950955352687E-6</v>
          </cell>
          <cell r="G608">
            <v>2.8690351703792601E-6</v>
          </cell>
          <cell r="H608">
            <v>7.9156994305779892E-6</v>
          </cell>
          <cell r="I608">
            <v>5.6573188703962899E-5</v>
          </cell>
          <cell r="J608">
            <v>8.5869963985647397E-6</v>
          </cell>
        </row>
        <row r="609">
          <cell r="A609" t="str">
            <v>RHES-SHSTG-ELC</v>
          </cell>
          <cell r="B609" t="str">
            <v>VAR_cap</v>
          </cell>
          <cell r="C609" t="str">
            <v>-</v>
          </cell>
          <cell r="D609">
            <v>6.39895438732829E-2</v>
          </cell>
          <cell r="E609">
            <v>6.3994823001654294E-2</v>
          </cell>
          <cell r="F609">
            <v>2.0239929830124098E-2</v>
          </cell>
          <cell r="G609">
            <v>4.7656290494883999E-3</v>
          </cell>
          <cell r="H609">
            <v>3.7382973594689978E-4</v>
          </cell>
          <cell r="I609">
            <v>5.9685559424324595E-5</v>
          </cell>
          <cell r="J609">
            <v>4.6356914477538251E-5</v>
          </cell>
        </row>
        <row r="610">
          <cell r="A610" t="str">
            <v>RHES-SHCONBR4</v>
          </cell>
          <cell r="B610" t="str">
            <v>VAR_fout</v>
          </cell>
          <cell r="C610" t="str">
            <v>RHES-SHCON</v>
          </cell>
          <cell r="E610">
            <v>0.42669815965849517</v>
          </cell>
          <cell r="F610">
            <v>0.23440658451711432</v>
          </cell>
          <cell r="G610">
            <v>0.42652139591677635</v>
          </cell>
          <cell r="H610">
            <v>0.42664294307419071</v>
          </cell>
          <cell r="I610">
            <v>0.42666966480473922</v>
          </cell>
          <cell r="J610">
            <v>0.24666364399809543</v>
          </cell>
        </row>
        <row r="611">
          <cell r="A611" t="str">
            <v>RHES-SHCONBR4</v>
          </cell>
          <cell r="B611" t="str">
            <v>VAR_fin</v>
          </cell>
          <cell r="C611" t="str">
            <v>CON</v>
          </cell>
          <cell r="E611">
            <v>0.42669815965849517</v>
          </cell>
          <cell r="F611">
            <v>0.23440658451711432</v>
          </cell>
          <cell r="G611">
            <v>0.42652139591677635</v>
          </cell>
          <cell r="H611">
            <v>0.42664294307419071</v>
          </cell>
          <cell r="I611">
            <v>0.42666966480473922</v>
          </cell>
          <cell r="J611">
            <v>0.24666364399809543</v>
          </cell>
        </row>
        <row r="612">
          <cell r="A612" t="str">
            <v>RHES-SHCONBR4</v>
          </cell>
          <cell r="B612" t="str">
            <v>VAR_ncap</v>
          </cell>
          <cell r="C612" t="str">
            <v>-</v>
          </cell>
          <cell r="E612">
            <v>3.4470619538877603E-2</v>
          </cell>
          <cell r="J612">
            <v>1.2283637499083599E-8</v>
          </cell>
        </row>
        <row r="613">
          <cell r="A613" t="str">
            <v>RHES-SHCONBR4</v>
          </cell>
          <cell r="B613" t="str">
            <v>VAR_cap</v>
          </cell>
          <cell r="C613" t="str">
            <v>-</v>
          </cell>
          <cell r="E613">
            <v>3.4470619538877603E-2</v>
          </cell>
          <cell r="F613">
            <v>3.4470425296492621E-2</v>
          </cell>
          <cell r="G613">
            <v>3.4470516807930278E-2</v>
          </cell>
          <cell r="H613">
            <v>3.447055347594468E-2</v>
          </cell>
          <cell r="I613">
            <v>3.4470569458248473E-2</v>
          </cell>
          <cell r="J613">
            <v>1.9927505811110063E-2</v>
          </cell>
        </row>
        <row r="614">
          <cell r="A614" t="str">
            <v>ITOT-SWHCONBR6</v>
          </cell>
          <cell r="B614" t="str">
            <v>VAR_fout</v>
          </cell>
          <cell r="C614" t="str">
            <v>ITOT-SWHC</v>
          </cell>
          <cell r="I614">
            <v>1.4778736587817091E-4</v>
          </cell>
          <cell r="J614">
            <v>1.4450614249484169E-4</v>
          </cell>
        </row>
        <row r="615">
          <cell r="A615" t="str">
            <v>ITOT-SWHCONBR6</v>
          </cell>
          <cell r="B615" t="str">
            <v>VAR_fin</v>
          </cell>
          <cell r="C615" t="str">
            <v>CON</v>
          </cell>
          <cell r="I615">
            <v>1.4778736587817091E-4</v>
          </cell>
          <cell r="J615">
            <v>1.4450614249484169E-4</v>
          </cell>
        </row>
        <row r="616">
          <cell r="A616" t="str">
            <v>ITOT-SWHCONBR6</v>
          </cell>
          <cell r="B616" t="str">
            <v>VAR_ncap</v>
          </cell>
          <cell r="C616" t="str">
            <v>-</v>
          </cell>
          <cell r="I616">
            <v>7.3063683341409799E-6</v>
          </cell>
          <cell r="J616">
            <v>2.1320743653638298E-6</v>
          </cell>
        </row>
        <row r="617">
          <cell r="A617" t="str">
            <v>ITOT-SWHCONBR6</v>
          </cell>
          <cell r="B617" t="str">
            <v>VAR_cap</v>
          </cell>
          <cell r="C617" t="str">
            <v>-</v>
          </cell>
          <cell r="I617">
            <v>7.3063683341409799E-6</v>
          </cell>
          <cell r="J617">
            <v>7.4345508032340397E-6</v>
          </cell>
        </row>
        <row r="618">
          <cell r="A618" t="str">
            <v>RHNM-SHNGAHP</v>
          </cell>
          <cell r="B618" t="str">
            <v>VAR_fout</v>
          </cell>
          <cell r="C618" t="str">
            <v>CO2_R</v>
          </cell>
          <cell r="F618">
            <v>6.7118828955208798</v>
          </cell>
          <cell r="G618">
            <v>19.553648811536</v>
          </cell>
          <cell r="H618">
            <v>29.002130743535101</v>
          </cell>
          <cell r="I618">
            <v>36.113929929064099</v>
          </cell>
          <cell r="J618">
            <v>48.830375599618399</v>
          </cell>
        </row>
        <row r="619">
          <cell r="A619" t="str">
            <v>RHNM-SHNGAHP</v>
          </cell>
          <cell r="B619" t="str">
            <v>VAR_fout</v>
          </cell>
          <cell r="C619" t="str">
            <v>RHNM-SHANGAH</v>
          </cell>
          <cell r="F619">
            <v>0.23080560185916929</v>
          </cell>
          <cell r="G619">
            <v>0.68264534407216015</v>
          </cell>
          <cell r="H619">
            <v>1.0223958645031259</v>
          </cell>
          <cell r="I619">
            <v>1.2822084350826988</v>
          </cell>
          <cell r="J619">
            <v>1.7479217882222309</v>
          </cell>
        </row>
        <row r="620">
          <cell r="A620" t="str">
            <v>RHNM-SHNGAHP</v>
          </cell>
          <cell r="B620" t="str">
            <v>VAR_fin</v>
          </cell>
          <cell r="C620" t="str">
            <v>RNGA</v>
          </cell>
          <cell r="F620">
            <v>0.11900501587802981</v>
          </cell>
          <cell r="G620">
            <v>0.34669590091375868</v>
          </cell>
          <cell r="H620">
            <v>0.51422217630381328</v>
          </cell>
          <cell r="I620">
            <v>0.64031790654369003</v>
          </cell>
          <cell r="J620">
            <v>0.86578680141167463</v>
          </cell>
        </row>
        <row r="621">
          <cell r="A621" t="str">
            <v>RHNM-SHNGAHP</v>
          </cell>
          <cell r="B621" t="str">
            <v>VAR_fin</v>
          </cell>
          <cell r="C621" t="str">
            <v>RHNMELCHPC</v>
          </cell>
          <cell r="F621">
            <v>0.23080560185916929</v>
          </cell>
          <cell r="G621">
            <v>0.68264534407216015</v>
          </cell>
          <cell r="H621">
            <v>1.0223958645031259</v>
          </cell>
          <cell r="I621">
            <v>1.2822084350826988</v>
          </cell>
          <cell r="J621">
            <v>1.7479217882222309</v>
          </cell>
        </row>
        <row r="622">
          <cell r="A622" t="str">
            <v>RHNM-SHNGAHP</v>
          </cell>
          <cell r="B622" t="str">
            <v>VAR_ncap</v>
          </cell>
          <cell r="C622" t="str">
            <v>-</v>
          </cell>
          <cell r="E622">
            <v>1.3929367361717799E-7</v>
          </cell>
          <cell r="F622">
            <v>1.7923030795378301E-2</v>
          </cell>
          <cell r="G622">
            <v>3.5067518844339098E-2</v>
          </cell>
          <cell r="H622">
            <v>2.6378103990327199E-2</v>
          </cell>
          <cell r="I622">
            <v>4.6029164321713098E-2</v>
          </cell>
          <cell r="J622">
            <v>9.1114670127099895E-2</v>
          </cell>
        </row>
        <row r="623">
          <cell r="A623" t="str">
            <v>RHNM-SHNGAHP</v>
          </cell>
          <cell r="B623" t="str">
            <v>VAR_cap</v>
          </cell>
          <cell r="C623" t="str">
            <v>-</v>
          </cell>
          <cell r="E623">
            <v>1.3929367361717799E-7</v>
          </cell>
          <cell r="F623">
            <v>1.7923127986319901E-2</v>
          </cell>
          <cell r="G623">
            <v>5.2990637737301671E-2</v>
          </cell>
          <cell r="H623">
            <v>7.9368577376066229E-2</v>
          </cell>
          <cell r="I623">
            <v>9.9532348525107589E-2</v>
          </cell>
          <cell r="J623">
            <v>0.13567732606379071</v>
          </cell>
        </row>
        <row r="624">
          <cell r="A624" t="str">
            <v>RHES-SHCONBR5</v>
          </cell>
          <cell r="B624" t="str">
            <v>VAR_fout</v>
          </cell>
          <cell r="C624" t="str">
            <v>RHES-SHCON</v>
          </cell>
          <cell r="E624">
            <v>4.6295887325127155E-4</v>
          </cell>
          <cell r="F624">
            <v>2.4141107389890815E-4</v>
          </cell>
          <cell r="G624">
            <v>3.7762725933150002E-4</v>
          </cell>
          <cell r="H624">
            <v>4.2856982735756365E-4</v>
          </cell>
          <cell r="I624">
            <v>4.4389889564483225E-4</v>
          </cell>
          <cell r="J624">
            <v>2.6084614264553109E-4</v>
          </cell>
        </row>
        <row r="625">
          <cell r="A625" t="str">
            <v>RHES-SHCONBR5</v>
          </cell>
          <cell r="B625" t="str">
            <v>VAR_fin</v>
          </cell>
          <cell r="C625" t="str">
            <v>CON</v>
          </cell>
          <cell r="E625">
            <v>4.6295887325127155E-4</v>
          </cell>
          <cell r="F625">
            <v>2.4141107389890815E-4</v>
          </cell>
          <cell r="G625">
            <v>3.7762725933150002E-4</v>
          </cell>
          <cell r="H625">
            <v>4.2856982735756365E-4</v>
          </cell>
          <cell r="I625">
            <v>4.4389889564483225E-4</v>
          </cell>
          <cell r="J625">
            <v>2.6084614264553109E-4</v>
          </cell>
        </row>
        <row r="626">
          <cell r="A626" t="str">
            <v>RHES-SHCONBR5</v>
          </cell>
          <cell r="B626" t="str">
            <v>VAR_ncap</v>
          </cell>
          <cell r="C626" t="str">
            <v>-</v>
          </cell>
          <cell r="E626">
            <v>3.6058374126038098E-5</v>
          </cell>
        </row>
        <row r="627">
          <cell r="A627" t="str">
            <v>RHES-SHCONBR5</v>
          </cell>
          <cell r="B627" t="str">
            <v>VAR_cap</v>
          </cell>
          <cell r="C627" t="str">
            <v>-</v>
          </cell>
          <cell r="E627">
            <v>3.6058374126038098E-5</v>
          </cell>
          <cell r="F627">
            <v>3.5997244440632287E-5</v>
          </cell>
          <cell r="G627">
            <v>3.5992042056196352E-5</v>
          </cell>
          <cell r="H627">
            <v>3.60025141122634E-5</v>
          </cell>
          <cell r="I627">
            <v>3.6012629176856516E-5</v>
          </cell>
          <cell r="J627">
            <v>2.0838687240962925E-5</v>
          </cell>
        </row>
        <row r="628">
          <cell r="A628" t="str">
            <v>RHNS-SHCONBR</v>
          </cell>
          <cell r="B628" t="str">
            <v>VAR_fout</v>
          </cell>
          <cell r="C628" t="str">
            <v>RHNS-SHCON</v>
          </cell>
          <cell r="F628">
            <v>3.8440432337272885E-4</v>
          </cell>
          <cell r="G628">
            <v>3.7596922393469628E-4</v>
          </cell>
          <cell r="H628">
            <v>4.85483409693499E-4</v>
          </cell>
          <cell r="I628">
            <v>4.3193248224700975E-3</v>
          </cell>
          <cell r="J628">
            <v>6.6953073274989047E-2</v>
          </cell>
        </row>
        <row r="629">
          <cell r="A629" t="str">
            <v>RHNS-SHCONBR</v>
          </cell>
          <cell r="B629" t="str">
            <v>VAR_fin</v>
          </cell>
          <cell r="C629" t="str">
            <v>CON</v>
          </cell>
          <cell r="F629">
            <v>3.8440432337272885E-4</v>
          </cell>
          <cell r="G629">
            <v>3.7596922393469628E-4</v>
          </cell>
          <cell r="H629">
            <v>4.85483409693499E-4</v>
          </cell>
          <cell r="I629">
            <v>4.3193248224700975E-3</v>
          </cell>
          <cell r="J629">
            <v>6.6953073274989047E-2</v>
          </cell>
        </row>
        <row r="630">
          <cell r="A630" t="str">
            <v>RHNS-SHCONBR</v>
          </cell>
          <cell r="B630" t="str">
            <v>VAR_ncap</v>
          </cell>
          <cell r="C630" t="str">
            <v>-</v>
          </cell>
          <cell r="F630">
            <v>2.6247721895260401E-5</v>
          </cell>
          <cell r="G630">
            <v>2.2183656902560601E-8</v>
          </cell>
          <cell r="H630">
            <v>7.6055516536321902E-6</v>
          </cell>
          <cell r="I630">
            <v>2.7932160391908202E-4</v>
          </cell>
          <cell r="J630">
            <v>4.5583582697373299E-3</v>
          </cell>
        </row>
        <row r="631">
          <cell r="A631" t="str">
            <v>RHNS-SHCONBR</v>
          </cell>
          <cell r="B631" t="str">
            <v>VAR_cap</v>
          </cell>
          <cell r="C631" t="str">
            <v>-</v>
          </cell>
          <cell r="F631">
            <v>2.6247721895260401E-5</v>
          </cell>
          <cell r="G631">
            <v>2.62699055521629E-5</v>
          </cell>
          <cell r="H631">
            <v>3.3875457205795098E-5</v>
          </cell>
          <cell r="I631">
            <v>3.13197061124877E-4</v>
          </cell>
          <cell r="J631">
            <v>4.8715553308622097E-3</v>
          </cell>
        </row>
        <row r="632">
          <cell r="A632" t="str">
            <v>D-RHEM_SOLELC</v>
          </cell>
          <cell r="B632" t="str">
            <v>VAR_fout</v>
          </cell>
          <cell r="C632" t="str">
            <v>ELC5</v>
          </cell>
          <cell r="D632">
            <v>7.4623419573501633E-4</v>
          </cell>
          <cell r="E632">
            <v>2.7786513289457368E-4</v>
          </cell>
          <cell r="F632">
            <v>3.0157719802075043E-4</v>
          </cell>
          <cell r="G632">
            <v>1.4950477649841788E-4</v>
          </cell>
          <cell r="H632">
            <v>2.9514968769136249E-4</v>
          </cell>
          <cell r="I632">
            <v>2.2484794199949005E-4</v>
          </cell>
          <cell r="J632">
            <v>1.3279225171443403E-4</v>
          </cell>
        </row>
        <row r="633">
          <cell r="A633" t="str">
            <v>D-RHEM_SOLELC</v>
          </cell>
          <cell r="B633" t="str">
            <v>VAR_fout</v>
          </cell>
          <cell r="C633" t="str">
            <v>RHEM_ELC</v>
          </cell>
          <cell r="D633">
            <v>0.86173699159011363</v>
          </cell>
          <cell r="E633">
            <v>1.2873053256049938</v>
          </cell>
          <cell r="F633">
            <v>1.7883043915109123</v>
          </cell>
          <cell r="G633">
            <v>1.9388689967751853</v>
          </cell>
          <cell r="H633">
            <v>2.0375896357852015</v>
          </cell>
          <cell r="I633">
            <v>2.1416338163214177</v>
          </cell>
          <cell r="J633">
            <v>2.3658094184439458</v>
          </cell>
        </row>
        <row r="634">
          <cell r="A634" t="str">
            <v>D-RHEM_SOLELC</v>
          </cell>
          <cell r="B634" t="str">
            <v>VAR_fin</v>
          </cell>
          <cell r="C634" t="str">
            <v>RHEM_SOL_ELC</v>
          </cell>
          <cell r="D634">
            <v>0.86248322578584768</v>
          </cell>
          <cell r="E634">
            <v>1.2875826188714128</v>
          </cell>
          <cell r="F634">
            <v>1.7886059687089322</v>
          </cell>
          <cell r="G634">
            <v>1.9390185015516839</v>
          </cell>
          <cell r="H634">
            <v>2.0378847854728934</v>
          </cell>
          <cell r="I634">
            <v>2.1418586642634185</v>
          </cell>
          <cell r="J634">
            <v>2.3659422106956582</v>
          </cell>
        </row>
        <row r="635">
          <cell r="A635" t="str">
            <v>ITOT-SWHCONBR7</v>
          </cell>
          <cell r="B635" t="str">
            <v>VAR_fout</v>
          </cell>
          <cell r="C635" t="str">
            <v>ITOT-ELS</v>
          </cell>
          <cell r="J635">
            <v>1.0976904464143253E-3</v>
          </cell>
        </row>
        <row r="636">
          <cell r="A636" t="str">
            <v>ITOT-SWHCONBR7</v>
          </cell>
          <cell r="B636" t="str">
            <v>VAR_fout</v>
          </cell>
          <cell r="C636" t="str">
            <v>ITOT-SWHC</v>
          </cell>
          <cell r="J636">
            <v>1.9141268171450328E-4</v>
          </cell>
        </row>
        <row r="637">
          <cell r="A637" t="str">
            <v>ITOT-SWHCONBR7</v>
          </cell>
          <cell r="B637" t="str">
            <v>VAR_fin</v>
          </cell>
          <cell r="C637" t="str">
            <v>CON</v>
          </cell>
          <cell r="J637">
            <v>1.2891031281288279E-3</v>
          </cell>
        </row>
        <row r="638">
          <cell r="A638" t="str">
            <v>ITOT-SWHCONBR7</v>
          </cell>
          <cell r="B638" t="str">
            <v>VAR_ncap</v>
          </cell>
          <cell r="C638" t="str">
            <v>-</v>
          </cell>
          <cell r="J638">
            <v>6.9882024151950194E-5</v>
          </cell>
        </row>
        <row r="639">
          <cell r="A639" t="str">
            <v>ITOT-SWHCONBR7</v>
          </cell>
          <cell r="B639" t="str">
            <v>VAR_cap</v>
          </cell>
          <cell r="C639" t="str">
            <v>-</v>
          </cell>
          <cell r="J639">
            <v>6.9882024151950194E-5</v>
          </cell>
        </row>
        <row r="640">
          <cell r="A640" t="str">
            <v>RHNS-SHSTG-ELCHP</v>
          </cell>
          <cell r="B640" t="str">
            <v>VAR_fout</v>
          </cell>
          <cell r="C640" t="str">
            <v>RHNS-SHAELCH</v>
          </cell>
          <cell r="E640">
            <v>2.3211123211717713E-5</v>
          </cell>
          <cell r="F640">
            <v>0.13803631854017906</v>
          </cell>
          <cell r="G640">
            <v>0.28729157447679154</v>
          </cell>
          <cell r="H640">
            <v>0.30765569609307125</v>
          </cell>
          <cell r="I640">
            <v>0.35674064264868771</v>
          </cell>
          <cell r="J640">
            <v>0.48370821774765571</v>
          </cell>
        </row>
        <row r="641">
          <cell r="A641" t="str">
            <v>RHNS-SHSTG-ELCHP</v>
          </cell>
          <cell r="B641" t="str">
            <v>VAR_fout</v>
          </cell>
          <cell r="C641" t="str">
            <v>AUX_RHNS-SHSTG-ELCHP_OUT</v>
          </cell>
          <cell r="E641">
            <v>2.323433433492944E-5</v>
          </cell>
          <cell r="F641">
            <v>0.13817435485871918</v>
          </cell>
          <cell r="G641">
            <v>0.28757886605126809</v>
          </cell>
          <cell r="H641">
            <v>0.30796335178916445</v>
          </cell>
          <cell r="I641">
            <v>0.35709738329133628</v>
          </cell>
          <cell r="J641">
            <v>0.48419192596540322</v>
          </cell>
        </row>
        <row r="642">
          <cell r="A642" t="str">
            <v>RHNS-SHSTG-ELCHP</v>
          </cell>
          <cell r="B642" t="str">
            <v>VAR_fin</v>
          </cell>
          <cell r="C642" t="str">
            <v>RHNS-SHAELCH</v>
          </cell>
          <cell r="E642">
            <v>2.403428181689342E-5</v>
          </cell>
          <cell r="F642">
            <v>0.13803646326691443</v>
          </cell>
          <cell r="G642">
            <v>0.28729234209198035</v>
          </cell>
          <cell r="H642">
            <v>0.30765658237117088</v>
          </cell>
          <cell r="I642">
            <v>0.35674272477638069</v>
          </cell>
          <cell r="J642">
            <v>0.48371034624068354</v>
          </cell>
        </row>
        <row r="643">
          <cell r="A643" t="str">
            <v>RHNS-SHSTG-ELCHP</v>
          </cell>
          <cell r="B643" t="str">
            <v>VAR_ncap</v>
          </cell>
          <cell r="C643" t="str">
            <v>-</v>
          </cell>
          <cell r="D643">
            <v>3.9079484732647497E-6</v>
          </cell>
          <cell r="E643">
            <v>6.6766431670196996E-6</v>
          </cell>
          <cell r="F643">
            <v>1.41621447996448E-2</v>
          </cell>
          <cell r="G643">
            <v>1.16517987464943E-2</v>
          </cell>
          <cell r="H643">
            <v>6.8812840355867598E-3</v>
          </cell>
          <cell r="I643">
            <v>2.0959816146156499E-2</v>
          </cell>
          <cell r="J643">
            <v>2.8095696319468001E-2</v>
          </cell>
        </row>
        <row r="644">
          <cell r="A644" t="str">
            <v>RHNS-SHSTG-ELCHP</v>
          </cell>
          <cell r="B644" t="str">
            <v>VAR_cap</v>
          </cell>
          <cell r="C644" t="str">
            <v>-</v>
          </cell>
          <cell r="D644">
            <v>3.9079484732647497E-6</v>
          </cell>
          <cell r="E644">
            <v>7.9781224879224899E-6</v>
          </cell>
          <cell r="F644">
            <v>1.4167611304988902E-2</v>
          </cell>
          <cell r="G644">
            <v>2.5816935521172955E-2</v>
          </cell>
          <cell r="H644">
            <v>3.2684045734398016E-2</v>
          </cell>
          <cell r="I644">
            <v>3.8292028799904947E-2</v>
          </cell>
          <cell r="J644">
            <v>4.6207372473943194E-2</v>
          </cell>
        </row>
        <row r="645">
          <cell r="A645" t="str">
            <v>RHNS-SHSOLBR</v>
          </cell>
          <cell r="B645" t="str">
            <v>VAR_fout</v>
          </cell>
          <cell r="C645" t="str">
            <v>RHNS-SHASOL</v>
          </cell>
          <cell r="E645">
            <v>1.3402597776004371E-2</v>
          </cell>
          <cell r="F645">
            <v>9.8519959457132528E-5</v>
          </cell>
          <cell r="G645">
            <v>2.1019849537185146E-4</v>
          </cell>
          <cell r="H645">
            <v>2.8684539597010613E-4</v>
          </cell>
          <cell r="I645">
            <v>3.6768474419365626E-4</v>
          </cell>
          <cell r="J645">
            <v>7.2138084718378643E-4</v>
          </cell>
        </row>
        <row r="646">
          <cell r="A646" t="str">
            <v>RHNS-SHSOLBR</v>
          </cell>
          <cell r="B646" t="str">
            <v>VAR_fin</v>
          </cell>
          <cell r="C646" t="str">
            <v>SOL</v>
          </cell>
          <cell r="E646">
            <v>1.3402597776004371E-2</v>
          </cell>
          <cell r="F646">
            <v>9.8519959457132528E-5</v>
          </cell>
          <cell r="G646">
            <v>2.1019849537185146E-4</v>
          </cell>
          <cell r="H646">
            <v>2.8684539597010613E-4</v>
          </cell>
          <cell r="I646">
            <v>3.6768474419365626E-4</v>
          </cell>
          <cell r="J646">
            <v>7.2138084718378643E-4</v>
          </cell>
        </row>
        <row r="647">
          <cell r="A647" t="str">
            <v>RHNS-SHSOLBR</v>
          </cell>
          <cell r="B647" t="str">
            <v>VAR_ncap</v>
          </cell>
          <cell r="C647" t="str">
            <v>-</v>
          </cell>
          <cell r="E647">
            <v>2.25885856364444E-3</v>
          </cell>
          <cell r="F647">
            <v>2.0226845665191E-7</v>
          </cell>
          <cell r="G647">
            <v>6.0551136685605396E-7</v>
          </cell>
          <cell r="H647">
            <v>4.56348459651125E-5</v>
          </cell>
          <cell r="I647">
            <v>5.4522556439929999E-5</v>
          </cell>
          <cell r="J647">
            <v>1.03022921941984E-4</v>
          </cell>
        </row>
        <row r="648">
          <cell r="A648" t="str">
            <v>RHNS-SHSOLBR</v>
          </cell>
          <cell r="B648" t="str">
            <v>VAR_cap</v>
          </cell>
          <cell r="C648" t="str">
            <v>-</v>
          </cell>
          <cell r="E648">
            <v>2.25885856364444E-3</v>
          </cell>
          <cell r="F648">
            <v>3.9470053739432999E-4</v>
          </cell>
          <cell r="G648">
            <v>3.5052322138435978E-4</v>
          </cell>
          <cell r="H648">
            <v>2.2672745733154495E-4</v>
          </cell>
          <cell r="I648">
            <v>1.0050490121020171E-4</v>
          </cell>
          <cell r="J648">
            <v>1.6184223326156581E-4</v>
          </cell>
        </row>
        <row r="649">
          <cell r="A649" t="str">
            <v>RHES-SHPLTBR</v>
          </cell>
          <cell r="B649" t="str">
            <v>VAR_fout</v>
          </cell>
          <cell r="C649" t="str">
            <v>RHES-SHPLT</v>
          </cell>
          <cell r="D649">
            <v>1.2957598019517329</v>
          </cell>
          <cell r="E649">
            <v>1.486884410704828</v>
          </cell>
          <cell r="F649">
            <v>3.340352734481529E-2</v>
          </cell>
          <cell r="G649">
            <v>5.9797626041686869E-2</v>
          </cell>
          <cell r="H649">
            <v>7.7884198405363828E-2</v>
          </cell>
          <cell r="I649">
            <v>9.1108704443004132E-2</v>
          </cell>
          <cell r="J649">
            <v>0.11654047876503455</v>
          </cell>
        </row>
        <row r="650">
          <cell r="A650" t="str">
            <v>RHES-SHPLTBR</v>
          </cell>
          <cell r="B650" t="str">
            <v>VAR_fin</v>
          </cell>
          <cell r="C650" t="str">
            <v>RPLT</v>
          </cell>
          <cell r="D650">
            <v>1.4397331132797024</v>
          </cell>
          <cell r="E650">
            <v>1.6520937896720305</v>
          </cell>
          <cell r="F650">
            <v>4.5289301424919839E-2</v>
          </cell>
          <cell r="G650">
            <v>8.0483946203733031E-2</v>
          </cell>
          <cell r="H650">
            <v>0.1043744812584311</v>
          </cell>
          <cell r="I650">
            <v>0.12177035063793043</v>
          </cell>
          <cell r="J650">
            <v>0.15493879428868279</v>
          </cell>
        </row>
        <row r="651">
          <cell r="A651" t="str">
            <v>RHES-SHPLTBR</v>
          </cell>
          <cell r="B651" t="str">
            <v>VAR_ncap</v>
          </cell>
          <cell r="C651" t="str">
            <v>-</v>
          </cell>
          <cell r="E651">
            <v>1.54424397447957E-2</v>
          </cell>
          <cell r="F651">
            <v>1.35528027282211E-8</v>
          </cell>
          <cell r="G651">
            <v>1.61201294613313E-7</v>
          </cell>
          <cell r="H651">
            <v>3.2346218361478801E-3</v>
          </cell>
          <cell r="I651">
            <v>4.1304905395146202E-3</v>
          </cell>
          <cell r="J651">
            <v>5.0517479914741698E-3</v>
          </cell>
        </row>
        <row r="652">
          <cell r="A652" t="str">
            <v>RHES-SHPLTBR</v>
          </cell>
          <cell r="B652" t="str">
            <v>VAR_cap</v>
          </cell>
          <cell r="C652" t="str">
            <v>-</v>
          </cell>
          <cell r="D652">
            <v>0.104681131456585</v>
          </cell>
          <cell r="E652">
            <v>0.1201235712013807</v>
          </cell>
          <cell r="F652">
            <v>5.9807326428204938E-3</v>
          </cell>
          <cell r="G652">
            <v>5.9808880077990983E-3</v>
          </cell>
          <cell r="H652">
            <v>6.299005386146396E-3</v>
          </cell>
          <cell r="I652">
            <v>7.3651720100655722E-3</v>
          </cell>
          <cell r="J652">
            <v>9.4175832430887993E-3</v>
          </cell>
        </row>
        <row r="653">
          <cell r="A653" t="str">
            <v>RHES-SHCONBR6</v>
          </cell>
          <cell r="B653" t="str">
            <v>VAR_fout</v>
          </cell>
          <cell r="C653" t="str">
            <v>RHES-SHCON</v>
          </cell>
          <cell r="E653">
            <v>7.0645036460325467E-5</v>
          </cell>
          <cell r="F653">
            <v>4.5783751513097695E-5</v>
          </cell>
          <cell r="G653">
            <v>4.7295219991675301E-5</v>
          </cell>
          <cell r="H653">
            <v>6.1401845540535311E-5</v>
          </cell>
          <cell r="I653">
            <v>6.5151545275447191E-5</v>
          </cell>
          <cell r="J653">
            <v>4.0788409503736642E-5</v>
          </cell>
        </row>
        <row r="654">
          <cell r="A654" t="str">
            <v>RHES-SHCONBR6</v>
          </cell>
          <cell r="B654" t="str">
            <v>VAR_fin</v>
          </cell>
          <cell r="C654" t="str">
            <v>CON</v>
          </cell>
          <cell r="E654">
            <v>7.0645036460325467E-5</v>
          </cell>
          <cell r="F654">
            <v>4.5783751513097695E-5</v>
          </cell>
          <cell r="G654">
            <v>4.7295219991675301E-5</v>
          </cell>
          <cell r="H654">
            <v>6.1401845540535311E-5</v>
          </cell>
          <cell r="I654">
            <v>6.5151545275447191E-5</v>
          </cell>
          <cell r="J654">
            <v>4.0788409503736642E-5</v>
          </cell>
        </row>
        <row r="655">
          <cell r="A655" t="str">
            <v>RHES-SHCONBR6</v>
          </cell>
          <cell r="B655" t="str">
            <v>VAR_ncap</v>
          </cell>
          <cell r="C655" t="str">
            <v>-</v>
          </cell>
          <cell r="E655">
            <v>4.363847369145E-6</v>
          </cell>
        </row>
        <row r="656">
          <cell r="A656" t="str">
            <v>RHES-SHCONBR6</v>
          </cell>
          <cell r="B656" t="str">
            <v>VAR_cap</v>
          </cell>
          <cell r="C656" t="str">
            <v>-</v>
          </cell>
          <cell r="E656">
            <v>4.363847369145E-6</v>
          </cell>
          <cell r="F656">
            <v>4.3480975485236594E-6</v>
          </cell>
          <cell r="G656">
            <v>4.3399519083450986E-6</v>
          </cell>
          <cell r="H656">
            <v>4.3319965521053256E-6</v>
          </cell>
          <cell r="I656">
            <v>4.363847369145E-6</v>
          </cell>
          <cell r="J656">
            <v>2.5227446806176199E-6</v>
          </cell>
        </row>
        <row r="657">
          <cell r="A657" t="str">
            <v>RHSA-WHPLTBR</v>
          </cell>
          <cell r="B657" t="str">
            <v>VAR_fout</v>
          </cell>
          <cell r="C657" t="str">
            <v>RHSA-WHPLT</v>
          </cell>
          <cell r="D657">
            <v>0.16979416290968885</v>
          </cell>
          <cell r="E657">
            <v>0.19483722509220402</v>
          </cell>
          <cell r="F657">
            <v>8.2930886575537557E-2</v>
          </cell>
          <cell r="G657">
            <v>0.13925025006472677</v>
          </cell>
          <cell r="H657">
            <v>0.18272364499888402</v>
          </cell>
          <cell r="I657">
            <v>0.22309679583210512</v>
          </cell>
          <cell r="J657">
            <v>0.30616034339538656</v>
          </cell>
        </row>
        <row r="658">
          <cell r="A658" t="str">
            <v>RHSA-WHPLTBR</v>
          </cell>
          <cell r="B658" t="str">
            <v>VAR_fin</v>
          </cell>
          <cell r="C658" t="str">
            <v>RPLT</v>
          </cell>
          <cell r="D658">
            <v>0.27167066065550233</v>
          </cell>
          <cell r="E658">
            <v>0.31173956014752607</v>
          </cell>
          <cell r="F658">
            <v>0.18178039548628347</v>
          </cell>
          <cell r="G658">
            <v>0.30016812311074098</v>
          </cell>
          <cell r="H658">
            <v>0.38913264299092359</v>
          </cell>
          <cell r="I658">
            <v>0.46953903869355462</v>
          </cell>
          <cell r="J658">
            <v>0.62894205943826842</v>
          </cell>
        </row>
        <row r="659">
          <cell r="A659" t="str">
            <v>RHSA-WHPLTBR</v>
          </cell>
          <cell r="B659" t="str">
            <v>VAR_ncap</v>
          </cell>
          <cell r="C659" t="str">
            <v>-</v>
          </cell>
          <cell r="E659">
            <v>1.95022187787249E-3</v>
          </cell>
          <cell r="F659">
            <v>2.8862713371546399E-8</v>
          </cell>
          <cell r="G659">
            <v>2.5657198421957902E-7</v>
          </cell>
          <cell r="H659">
            <v>8.8172043994549504E-3</v>
          </cell>
          <cell r="I659">
            <v>6.4340104501330701E-3</v>
          </cell>
          <cell r="J659">
            <v>1.2528290646131099E-2</v>
          </cell>
        </row>
        <row r="660">
          <cell r="A660" t="str">
            <v>RHSA-WHPLTBR</v>
          </cell>
          <cell r="B660" t="str">
            <v>VAR_cap</v>
          </cell>
          <cell r="C660" t="str">
            <v>-</v>
          </cell>
          <cell r="D660">
            <v>1.12410901121583E-2</v>
          </cell>
          <cell r="E660">
            <v>1.3191297702973838E-2</v>
          </cell>
          <cell r="F660">
            <v>1.2273591885311245E-2</v>
          </cell>
          <cell r="G660">
            <v>1.2273627151775995E-2</v>
          </cell>
          <cell r="H660">
            <v>1.2493590937314794E-2</v>
          </cell>
          <cell r="I660">
            <v>1.525131345514175E-2</v>
          </cell>
          <cell r="J660">
            <v>2.0927251009808391E-2</v>
          </cell>
        </row>
        <row r="661">
          <cell r="A661" t="str">
            <v>ITOT-SWHCONBR8</v>
          </cell>
          <cell r="B661" t="str">
            <v>VAR_fout</v>
          </cell>
          <cell r="C661" t="str">
            <v>ITOT-ELS</v>
          </cell>
          <cell r="J661">
            <v>2.32056030402856E-5</v>
          </cell>
        </row>
        <row r="662">
          <cell r="A662" t="str">
            <v>ITOT-SWHCONBR8</v>
          </cell>
          <cell r="B662" t="str">
            <v>VAR_fout</v>
          </cell>
          <cell r="C662" t="str">
            <v>ITOT-SWHC</v>
          </cell>
          <cell r="J662">
            <v>8.9597314474662934E-5</v>
          </cell>
        </row>
        <row r="663">
          <cell r="A663" t="str">
            <v>ITOT-SWHCONBR8</v>
          </cell>
          <cell r="B663" t="str">
            <v>VAR_fin</v>
          </cell>
          <cell r="C663" t="str">
            <v>CON</v>
          </cell>
          <cell r="J663">
            <v>1.1280291751494836E-4</v>
          </cell>
        </row>
        <row r="664">
          <cell r="A664" t="str">
            <v>ITOT-SWHCONBR8</v>
          </cell>
          <cell r="B664" t="str">
            <v>VAR_ncap</v>
          </cell>
          <cell r="C664" t="str">
            <v>-</v>
          </cell>
          <cell r="J664">
            <v>5.6715091163901699E-6</v>
          </cell>
        </row>
        <row r="665">
          <cell r="A665" t="str">
            <v>ITOT-SWHCONBR8</v>
          </cell>
          <cell r="B665" t="str">
            <v>VAR_cap</v>
          </cell>
          <cell r="C665" t="str">
            <v>-</v>
          </cell>
          <cell r="J665">
            <v>5.6715091163901699E-6</v>
          </cell>
        </row>
        <row r="666">
          <cell r="A666" t="str">
            <v>SCOM-ELCSPECADV</v>
          </cell>
          <cell r="B666" t="str">
            <v>VAR_ncap</v>
          </cell>
          <cell r="C666" t="str">
            <v>-</v>
          </cell>
          <cell r="G666">
            <v>1.34498540841614E-8</v>
          </cell>
          <cell r="H666">
            <v>2.7223763929772499E-8</v>
          </cell>
          <cell r="I666">
            <v>1.97519389500762E-8</v>
          </cell>
          <cell r="J666">
            <v>1.53808243050535E-8</v>
          </cell>
        </row>
        <row r="667">
          <cell r="A667" t="str">
            <v>SCOM-ELCSPECADV</v>
          </cell>
          <cell r="B667" t="str">
            <v>VAR_cap</v>
          </cell>
          <cell r="C667" t="str">
            <v>-</v>
          </cell>
          <cell r="G667">
            <v>-1.8611491851515E-8</v>
          </cell>
          <cell r="H667">
            <v>-4.9043697159121007E-8</v>
          </cell>
          <cell r="I667">
            <v>-9.7770977377724991E-8</v>
          </cell>
          <cell r="J667">
            <v>-4.33971790535868E-8</v>
          </cell>
        </row>
        <row r="668">
          <cell r="A668" t="str">
            <v>RHSA-WHLTHRD</v>
          </cell>
          <cell r="B668" t="str">
            <v>VAR_fout</v>
          </cell>
          <cell r="C668" t="str">
            <v>RHSA-WHLTHRD</v>
          </cell>
          <cell r="D668">
            <v>1.3170438726158857</v>
          </cell>
          <cell r="E668">
            <v>1.4633760879942763</v>
          </cell>
          <cell r="F668">
            <v>0.95324676538258801</v>
          </cell>
          <cell r="G668">
            <v>1.1752061558608065</v>
          </cell>
          <cell r="H668">
            <v>1.3268371113933075</v>
          </cell>
          <cell r="I668">
            <v>1.4469580706705889</v>
          </cell>
          <cell r="J668">
            <v>1.6804127313284261</v>
          </cell>
        </row>
        <row r="669">
          <cell r="A669" t="str">
            <v>RHSA-WHLTHRD</v>
          </cell>
          <cell r="B669" t="str">
            <v>VAR_fin</v>
          </cell>
          <cell r="C669" t="str">
            <v>RHSA_LTH</v>
          </cell>
          <cell r="D669">
            <v>1.7104465878128388</v>
          </cell>
          <cell r="E669">
            <v>1.8955648808216019</v>
          </cell>
          <cell r="F669">
            <v>1.759987158317069</v>
          </cell>
          <cell r="G669">
            <v>2.1163499489384674</v>
          </cell>
          <cell r="H669">
            <v>2.3499034594077752</v>
          </cell>
          <cell r="I669">
            <v>2.5308156835622184</v>
          </cell>
          <cell r="J669">
            <v>2.8559804928285444</v>
          </cell>
        </row>
        <row r="670">
          <cell r="A670" t="str">
            <v>RHSA-WHLTHRD</v>
          </cell>
          <cell r="B670" t="str">
            <v>VAR_ncap</v>
          </cell>
          <cell r="C670" t="str">
            <v>-</v>
          </cell>
          <cell r="E670">
            <v>1.37242403027755E-2</v>
          </cell>
          <cell r="F670">
            <v>1.06351583816536E-2</v>
          </cell>
          <cell r="G670">
            <v>9.4423014519040803E-3</v>
          </cell>
          <cell r="H670">
            <v>4.7861044089935897E-2</v>
          </cell>
          <cell r="I670">
            <v>2.8202453855260601E-2</v>
          </cell>
          <cell r="J670">
            <v>3.5096514774873099E-2</v>
          </cell>
        </row>
        <row r="671">
          <cell r="A671" t="str">
            <v>RHSA-WHLTHRD</v>
          </cell>
          <cell r="B671" t="str">
            <v>VAR_cap</v>
          </cell>
          <cell r="C671" t="str">
            <v>-</v>
          </cell>
          <cell r="D671">
            <v>0.13737412127568699</v>
          </cell>
          <cell r="E671">
            <v>0.13887036865173288</v>
          </cell>
          <cell r="F671">
            <v>9.4153214916445085E-2</v>
          </cell>
          <cell r="G671">
            <v>8.7417328913888787E-2</v>
          </cell>
          <cell r="H671">
            <v>0.12728740590616611</v>
          </cell>
          <cell r="I671">
            <v>0.14212271344058799</v>
          </cell>
          <cell r="J671">
            <v>0.16109797580949498</v>
          </cell>
        </row>
        <row r="672">
          <cell r="A672" t="str">
            <v>RHES-SHCONBR7</v>
          </cell>
          <cell r="B672" t="str">
            <v>VAR_fout</v>
          </cell>
          <cell r="C672" t="str">
            <v>RHES-SHCON</v>
          </cell>
          <cell r="E672">
            <v>6.6229839005960307E-5</v>
          </cell>
          <cell r="F672">
            <v>4.3585643598653752E-5</v>
          </cell>
          <cell r="G672">
            <v>4.4300847627605135E-5</v>
          </cell>
          <cell r="H672">
            <v>5.7720239580990493E-5</v>
          </cell>
          <cell r="I672">
            <v>6.1185165459068638E-5</v>
          </cell>
          <cell r="J672">
            <v>3.8453575455548033E-5</v>
          </cell>
        </row>
        <row r="673">
          <cell r="A673" t="str">
            <v>RHES-SHCONBR7</v>
          </cell>
          <cell r="B673" t="str">
            <v>VAR_fin</v>
          </cell>
          <cell r="C673" t="str">
            <v>CON</v>
          </cell>
          <cell r="E673">
            <v>6.6229839005960307E-5</v>
          </cell>
          <cell r="F673">
            <v>4.3585643598653752E-5</v>
          </cell>
          <cell r="G673">
            <v>4.4300847627605135E-5</v>
          </cell>
          <cell r="H673">
            <v>5.7720239580990493E-5</v>
          </cell>
          <cell r="I673">
            <v>6.1185165459068638E-5</v>
          </cell>
          <cell r="J673">
            <v>3.8453575455548033E-5</v>
          </cell>
        </row>
        <row r="674">
          <cell r="A674" t="str">
            <v>RHES-SHCONBR7</v>
          </cell>
          <cell r="B674" t="str">
            <v>VAR_ncap</v>
          </cell>
          <cell r="C674" t="str">
            <v>-</v>
          </cell>
          <cell r="E674">
            <v>4.0071348101436602E-6</v>
          </cell>
        </row>
        <row r="675">
          <cell r="A675" t="str">
            <v>RHES-SHCONBR7</v>
          </cell>
          <cell r="B675" t="str">
            <v>VAR_cap</v>
          </cell>
          <cell r="C675" t="str">
            <v>-</v>
          </cell>
          <cell r="E675">
            <v>4.0071348101436602E-6</v>
          </cell>
          <cell r="F675">
            <v>3.9920224589859286E-6</v>
          </cell>
          <cell r="G675">
            <v>3.9842070966271104E-6</v>
          </cell>
          <cell r="H675">
            <v>3.9761159323976148E-6</v>
          </cell>
          <cell r="I675">
            <v>4.0071348101436602E-6</v>
          </cell>
          <cell r="J675">
            <v>2.31652878106694E-6</v>
          </cell>
        </row>
        <row r="676">
          <cell r="A676" t="str">
            <v>ITOT-SWHCONBR9</v>
          </cell>
          <cell r="B676" t="str">
            <v>VAR_fout</v>
          </cell>
          <cell r="C676" t="str">
            <v>ITOT-ELS</v>
          </cell>
          <cell r="J676">
            <v>9.6785404788805918E-6</v>
          </cell>
        </row>
        <row r="677">
          <cell r="A677" t="str">
            <v>ITOT-SWHCONBR9</v>
          </cell>
          <cell r="B677" t="str">
            <v>VAR_fout</v>
          </cell>
          <cell r="C677" t="str">
            <v>ITOT-SWHC</v>
          </cell>
          <cell r="J677">
            <v>5.6976312308012816E-5</v>
          </cell>
        </row>
        <row r="678">
          <cell r="A678" t="str">
            <v>ITOT-SWHCONBR9</v>
          </cell>
          <cell r="B678" t="str">
            <v>VAR_fin</v>
          </cell>
          <cell r="C678" t="str">
            <v>CON</v>
          </cell>
          <cell r="J678">
            <v>6.6793054354113613E-5</v>
          </cell>
        </row>
        <row r="679">
          <cell r="A679" t="str">
            <v>ITOT-SWHCONBR9</v>
          </cell>
          <cell r="B679" t="str">
            <v>VAR_ncap</v>
          </cell>
          <cell r="C679" t="str">
            <v>-</v>
          </cell>
          <cell r="J679">
            <v>3.1683736697581501E-6</v>
          </cell>
        </row>
        <row r="680">
          <cell r="A680" t="str">
            <v>ITOT-SWHCONBR9</v>
          </cell>
          <cell r="B680" t="str">
            <v>VAR_cap</v>
          </cell>
          <cell r="C680" t="str">
            <v>-</v>
          </cell>
          <cell r="J680">
            <v>3.1683736697581501E-6</v>
          </cell>
        </row>
        <row r="681">
          <cell r="A681" t="str">
            <v>SCOM-SHPLTBR</v>
          </cell>
          <cell r="B681" t="str">
            <v>VAR_fout</v>
          </cell>
          <cell r="C681" t="str">
            <v>SCOM-SHPLT</v>
          </cell>
          <cell r="D681">
            <v>1.8770715308791384</v>
          </cell>
          <cell r="E681">
            <v>2.1600830818836454</v>
          </cell>
          <cell r="F681">
            <v>0.42489618913846366</v>
          </cell>
          <cell r="G681">
            <v>0.71393835559870633</v>
          </cell>
          <cell r="H681">
            <v>0.86669651353355481</v>
          </cell>
          <cell r="I681">
            <v>1.016197433970635</v>
          </cell>
          <cell r="J681">
            <v>1.2444736950603308</v>
          </cell>
        </row>
        <row r="682">
          <cell r="A682" t="str">
            <v>SCOM-SHPLTBR</v>
          </cell>
          <cell r="B682" t="str">
            <v>VAR_fin</v>
          </cell>
          <cell r="C682" t="str">
            <v>SCOMPLTBRC</v>
          </cell>
          <cell r="D682">
            <v>1.8770715308791384</v>
          </cell>
          <cell r="E682">
            <v>2.1600830818836454</v>
          </cell>
          <cell r="F682">
            <v>0.42489618913846366</v>
          </cell>
          <cell r="G682">
            <v>0.71393835559870633</v>
          </cell>
          <cell r="H682">
            <v>0.86669651353355481</v>
          </cell>
          <cell r="I682">
            <v>1.016197433970635</v>
          </cell>
          <cell r="J682">
            <v>1.2444736950603308</v>
          </cell>
        </row>
        <row r="683">
          <cell r="A683" t="str">
            <v>SCOM-SHPLTBR</v>
          </cell>
          <cell r="B683" t="str">
            <v>VAR_fin</v>
          </cell>
          <cell r="C683" t="str">
            <v>SPLT</v>
          </cell>
          <cell r="D683">
            <v>2.0856350343101524</v>
          </cell>
          <cell r="E683">
            <v>2.4000923132040493</v>
          </cell>
          <cell r="F683">
            <v>0.63650852920184731</v>
          </cell>
          <cell r="G683">
            <v>1.0634489422894986</v>
          </cell>
          <cell r="H683">
            <v>1.2909844397842793</v>
          </cell>
          <cell r="I683">
            <v>1.5136729576263734</v>
          </cell>
          <cell r="J683">
            <v>1.8537009794738641</v>
          </cell>
        </row>
        <row r="684">
          <cell r="A684" t="str">
            <v>SCOM-SHPLTBR</v>
          </cell>
          <cell r="B684" t="str">
            <v>VAR_ncap</v>
          </cell>
          <cell r="C684" t="str">
            <v>-</v>
          </cell>
          <cell r="D684">
            <v>2.8025201039842002E-7</v>
          </cell>
          <cell r="E684">
            <v>2.43370912856242E-2</v>
          </cell>
          <cell r="F684">
            <v>7.7838366621668505E-8</v>
          </cell>
          <cell r="G684">
            <v>4.6126795791049901E-7</v>
          </cell>
          <cell r="H684">
            <v>4.7313580169218897E-2</v>
          </cell>
          <cell r="I684">
            <v>3.7466372182546399E-2</v>
          </cell>
          <cell r="J684">
            <v>5.7401893675413602E-2</v>
          </cell>
        </row>
        <row r="685">
          <cell r="A685" t="str">
            <v>SCOM-SHPLTBR</v>
          </cell>
          <cell r="B685" t="str">
            <v>VAR_cap</v>
          </cell>
          <cell r="C685" t="str">
            <v>-</v>
          </cell>
          <cell r="D685">
            <v>0.15051114837620441</v>
          </cell>
          <cell r="E685">
            <v>0.17484821030851186</v>
          </cell>
          <cell r="F685">
            <v>7.2127868261988193E-2</v>
          </cell>
          <cell r="G685">
            <v>7.2127131677862111E-2</v>
          </cell>
          <cell r="H685">
            <v>7.217583572267279E-2</v>
          </cell>
          <cell r="I685">
            <v>8.4780113504563548E-2</v>
          </cell>
          <cell r="J685">
            <v>0.10460577266053946</v>
          </cell>
        </row>
        <row r="686">
          <cell r="A686" t="str">
            <v>ITOT-SWHELCHP</v>
          </cell>
          <cell r="B686" t="str">
            <v>VAR_fout</v>
          </cell>
          <cell r="C686" t="str">
            <v>ITOT-SWHAELCH</v>
          </cell>
          <cell r="D686">
            <v>1.1081457819623317</v>
          </cell>
          <cell r="E686">
            <v>1.4007935947799854</v>
          </cell>
          <cell r="F686">
            <v>1.4010974392223721</v>
          </cell>
          <cell r="G686">
            <v>3.9852394058452272</v>
          </cell>
          <cell r="H686">
            <v>6.455452827774991</v>
          </cell>
          <cell r="I686">
            <v>10.219032562890789</v>
          </cell>
          <cell r="J686">
            <v>13.127037396767655</v>
          </cell>
        </row>
        <row r="687">
          <cell r="A687" t="str">
            <v>ITOT-SWHELCHP</v>
          </cell>
          <cell r="B687" t="str">
            <v>VAR_fin</v>
          </cell>
          <cell r="C687" t="str">
            <v>ITOT_ELC</v>
          </cell>
          <cell r="D687">
            <v>0.35967312881337293</v>
          </cell>
          <cell r="E687">
            <v>0.45106317504486559</v>
          </cell>
          <cell r="F687">
            <v>0.44587235566669875</v>
          </cell>
          <cell r="G687">
            <v>1.2439231165158215</v>
          </cell>
          <cell r="H687">
            <v>1.9770709654510268</v>
          </cell>
          <cell r="I687">
            <v>3.0719583159627208</v>
          </cell>
          <cell r="J687">
            <v>3.8056668471524233</v>
          </cell>
        </row>
        <row r="688">
          <cell r="A688" t="str">
            <v>ITOT-SWHELCHP</v>
          </cell>
          <cell r="B688" t="str">
            <v>VAR_fin</v>
          </cell>
          <cell r="C688" t="str">
            <v>ITOTELCHPC</v>
          </cell>
          <cell r="D688">
            <v>1.1081457819623317</v>
          </cell>
          <cell r="E688">
            <v>1.4007935947799854</v>
          </cell>
          <cell r="F688">
            <v>1.4010974392223721</v>
          </cell>
          <cell r="G688">
            <v>3.9852394058452272</v>
          </cell>
          <cell r="H688">
            <v>6.455452827774991</v>
          </cell>
          <cell r="I688">
            <v>10.219032562890789</v>
          </cell>
          <cell r="J688">
            <v>13.127037396767655</v>
          </cell>
        </row>
        <row r="689">
          <cell r="A689" t="str">
            <v>ITOT-SWHELCHP</v>
          </cell>
          <cell r="B689" t="str">
            <v>VAR_ncap</v>
          </cell>
          <cell r="C689" t="str">
            <v>-</v>
          </cell>
          <cell r="E689">
            <v>1.59540554301748E-2</v>
          </cell>
          <cell r="F689">
            <v>1.1740247885521399E-5</v>
          </cell>
          <cell r="G689">
            <v>0.14051828064961</v>
          </cell>
          <cell r="H689">
            <v>0.18677762822258701</v>
          </cell>
          <cell r="I689">
            <v>0.27713360753953198</v>
          </cell>
          <cell r="J689">
            <v>0.45674167690374801</v>
          </cell>
        </row>
        <row r="690">
          <cell r="A690" t="str">
            <v>ITOT-SWHELCHP</v>
          </cell>
          <cell r="B690" t="str">
            <v>VAR_cap</v>
          </cell>
          <cell r="C690" t="str">
            <v>-</v>
          </cell>
          <cell r="D690">
            <v>6.02631234918991E-2</v>
          </cell>
          <cell r="E690">
            <v>7.6217067733232891E-2</v>
          </cell>
          <cell r="F690">
            <v>7.6228672467127959E-2</v>
          </cell>
          <cell r="G690">
            <v>0.2167468440477868</v>
          </cell>
          <cell r="H690">
            <v>0.35110883282052974</v>
          </cell>
          <cell r="I690">
            <v>0.55988485751855199</v>
          </cell>
          <cell r="J690">
            <v>0.73687250139544347</v>
          </cell>
        </row>
        <row r="691">
          <cell r="A691" t="str">
            <v>RHES-SHCONBR8</v>
          </cell>
          <cell r="B691" t="str">
            <v>VAR_fout</v>
          </cell>
          <cell r="C691" t="str">
            <v>RHES-SHCON</v>
          </cell>
          <cell r="E691">
            <v>1.6678223979497034E-5</v>
          </cell>
          <cell r="F691">
            <v>1.8152529341927135E-5</v>
          </cell>
          <cell r="G691">
            <v>1.3009020817469024E-5</v>
          </cell>
          <cell r="H691">
            <v>1.6836512061471786E-5</v>
          </cell>
          <cell r="I691">
            <v>1.6303315832597698E-5</v>
          </cell>
          <cell r="J691">
            <v>1.1838920996365434E-5</v>
          </cell>
        </row>
        <row r="692">
          <cell r="A692" t="str">
            <v>RHES-SHCONBR8</v>
          </cell>
          <cell r="B692" t="str">
            <v>VAR_fin</v>
          </cell>
          <cell r="C692" t="str">
            <v>CON</v>
          </cell>
          <cell r="E692">
            <v>1.6678223979497034E-5</v>
          </cell>
          <cell r="F692">
            <v>1.8152529341927135E-5</v>
          </cell>
          <cell r="G692">
            <v>1.3009020817469024E-5</v>
          </cell>
          <cell r="H692">
            <v>1.6836512061471786E-5</v>
          </cell>
          <cell r="I692">
            <v>1.6303315832597698E-5</v>
          </cell>
          <cell r="J692">
            <v>1.1838920996365434E-5</v>
          </cell>
        </row>
        <row r="693">
          <cell r="A693" t="str">
            <v>RHEM-SHWODBR</v>
          </cell>
          <cell r="B693" t="str">
            <v>VAR_fout</v>
          </cell>
          <cell r="C693" t="str">
            <v>RHEM-SHWOD</v>
          </cell>
          <cell r="D693">
            <v>4.7439202995079821</v>
          </cell>
          <cell r="E693">
            <v>3.9932745887383971</v>
          </cell>
          <cell r="F693">
            <v>4.6463843033941696</v>
          </cell>
          <cell r="G693">
            <v>4.6217292656752891</v>
          </cell>
          <cell r="H693">
            <v>4.310715349433468</v>
          </cell>
          <cell r="I693">
            <v>3.9960401972782882</v>
          </cell>
          <cell r="J693">
            <v>3.3048775053853259</v>
          </cell>
        </row>
        <row r="694">
          <cell r="A694" t="str">
            <v>RHEM-SHWODBR</v>
          </cell>
          <cell r="B694" t="str">
            <v>VAR_fin</v>
          </cell>
          <cell r="C694" t="str">
            <v>RHEMWODBRC</v>
          </cell>
          <cell r="D694">
            <v>4.7439202995079821</v>
          </cell>
          <cell r="E694">
            <v>3.9932745887383971</v>
          </cell>
          <cell r="F694">
            <v>4.6463843033941696</v>
          </cell>
          <cell r="G694">
            <v>4.6217292656752891</v>
          </cell>
          <cell r="H694">
            <v>4.310715349433468</v>
          </cell>
          <cell r="I694">
            <v>3.9960401972782882</v>
          </cell>
          <cell r="J694">
            <v>3.3048775053853259</v>
          </cell>
        </row>
        <row r="695">
          <cell r="A695" t="str">
            <v>RHEM-SHWODBR</v>
          </cell>
          <cell r="B695" t="str">
            <v>VAR_fin</v>
          </cell>
          <cell r="C695" t="str">
            <v>RWOD</v>
          </cell>
          <cell r="D695">
            <v>6.5887781937610832</v>
          </cell>
          <cell r="E695">
            <v>5.546214706581102</v>
          </cell>
          <cell r="F695">
            <v>6.4256077088919969</v>
          </cell>
          <cell r="G695">
            <v>6.3141439717262777</v>
          </cell>
          <cell r="H695">
            <v>5.8543928180474891</v>
          </cell>
          <cell r="I695">
            <v>5.4103576869172727</v>
          </cell>
          <cell r="J695">
            <v>4.4175557836624701</v>
          </cell>
        </row>
        <row r="696">
          <cell r="A696" t="str">
            <v>RHEM-SHWODBR</v>
          </cell>
          <cell r="B696" t="str">
            <v>VAR_ncap</v>
          </cell>
          <cell r="C696" t="str">
            <v>-</v>
          </cell>
          <cell r="D696">
            <v>1.07410737776391E-7</v>
          </cell>
          <cell r="E696">
            <v>4.0310259750215998E-8</v>
          </cell>
          <cell r="F696">
            <v>8.3487264201494901E-8</v>
          </cell>
          <cell r="G696">
            <v>1.4322524705677401E-7</v>
          </cell>
          <cell r="H696">
            <v>0.21751845097849501</v>
          </cell>
          <cell r="I696">
            <v>6.4668350313036402E-2</v>
          </cell>
          <cell r="J696">
            <v>9.4434575111173494E-2</v>
          </cell>
        </row>
        <row r="697">
          <cell r="A697" t="str">
            <v>RHEM-SHWODBR</v>
          </cell>
          <cell r="B697" t="str">
            <v>VAR_cap</v>
          </cell>
          <cell r="C697" t="str">
            <v>-</v>
          </cell>
          <cell r="D697">
            <v>0.33507188636573082</v>
          </cell>
          <cell r="E697">
            <v>0.33507111188807109</v>
          </cell>
          <cell r="F697">
            <v>0.3350705189487565</v>
          </cell>
          <cell r="G697">
            <v>0.33507029797479121</v>
          </cell>
          <cell r="H697">
            <v>0.30441386301700635</v>
          </cell>
          <cell r="I697">
            <v>0.28218678510511036</v>
          </cell>
          <cell r="J697">
            <v>0.23337564773089553</v>
          </cell>
        </row>
        <row r="698">
          <cell r="A698" t="str">
            <v>RHES-SHCONBR9</v>
          </cell>
          <cell r="B698" t="str">
            <v>VAR_fout</v>
          </cell>
          <cell r="C698" t="str">
            <v>RHES-SHCON</v>
          </cell>
          <cell r="E698">
            <v>1.6641097656632833E-5</v>
          </cell>
          <cell r="F698">
            <v>1.8100284704575825E-5</v>
          </cell>
          <cell r="G698">
            <v>1.2922384800776979E-5</v>
          </cell>
          <cell r="H698">
            <v>1.6718028248785982E-5</v>
          </cell>
          <cell r="I698">
            <v>1.6161406198712233E-5</v>
          </cell>
          <cell r="J698">
            <v>1.1707241372526248E-5</v>
          </cell>
        </row>
        <row r="699">
          <cell r="A699" t="str">
            <v>RHES-SHCONBR9</v>
          </cell>
          <cell r="B699" t="str">
            <v>VAR_fin</v>
          </cell>
          <cell r="C699" t="str">
            <v>CON</v>
          </cell>
          <cell r="E699">
            <v>1.6641097656632833E-5</v>
          </cell>
          <cell r="F699">
            <v>1.8100284704575825E-5</v>
          </cell>
          <cell r="G699">
            <v>1.2922384800776979E-5</v>
          </cell>
          <cell r="H699">
            <v>1.6718028248785982E-5</v>
          </cell>
          <cell r="I699">
            <v>1.6161406198712233E-5</v>
          </cell>
          <cell r="J699">
            <v>1.1707241372526248E-5</v>
          </cell>
        </row>
        <row r="700">
          <cell r="A700" t="str">
            <v>D-RHNS_LTH_CHPNGA</v>
          </cell>
          <cell r="B700" t="str">
            <v>VAR_fout</v>
          </cell>
          <cell r="C700" t="str">
            <v>RHSA_LTH</v>
          </cell>
          <cell r="D700">
            <v>1.2886592562924125E-5</v>
          </cell>
          <cell r="E700">
            <v>8.3692246615349884E-6</v>
          </cell>
          <cell r="F700">
            <v>3.1547440083461448E-5</v>
          </cell>
          <cell r="G700">
            <v>8.5128242076809657E-6</v>
          </cell>
          <cell r="H700">
            <v>7.5953186283898488E-6</v>
          </cell>
          <cell r="I700">
            <v>8.7804473256846579E-6</v>
          </cell>
          <cell r="J700">
            <v>6.5625253653876114E-6</v>
          </cell>
        </row>
        <row r="701">
          <cell r="A701" t="str">
            <v>D-RHNS_LTH_CHPNGA</v>
          </cell>
          <cell r="B701" t="str">
            <v>VAR_fout</v>
          </cell>
          <cell r="C701" t="str">
            <v>RHNS_LTH_CHPNGA_ON</v>
          </cell>
          <cell r="D701">
            <v>1.1205069847766543E-5</v>
          </cell>
          <cell r="E701">
            <v>8.8270396815378E-4</v>
          </cell>
          <cell r="F701">
            <v>7.4343703143157089E-4</v>
          </cell>
          <cell r="G701">
            <v>3.7377892923599205E-6</v>
          </cell>
          <cell r="H701">
            <v>3.3759568252159679E-6</v>
          </cell>
          <cell r="I701">
            <v>1.153606029611962E-6</v>
          </cell>
          <cell r="J701">
            <v>1.2997636310218544E-6</v>
          </cell>
        </row>
        <row r="702">
          <cell r="A702" t="str">
            <v>D-RHNS_LTH_CHPNGA</v>
          </cell>
          <cell r="B702" t="str">
            <v>VAR_fin</v>
          </cell>
          <cell r="C702" t="str">
            <v>RHNS_LTH_CHPNGA</v>
          </cell>
          <cell r="D702">
            <v>2.4091662410690671E-5</v>
          </cell>
          <cell r="E702">
            <v>8.9122223556240443E-4</v>
          </cell>
          <cell r="F702">
            <v>7.752551482522658E-4</v>
          </cell>
          <cell r="G702">
            <v>1.2792983106125457E-5</v>
          </cell>
          <cell r="H702">
            <v>1.1772698560139118E-5</v>
          </cell>
          <cell r="I702">
            <v>1.0730760090806958E-5</v>
          </cell>
          <cell r="J702">
            <v>8.8835516909510637E-6</v>
          </cell>
        </row>
        <row r="703">
          <cell r="A703" t="str">
            <v>D-SLFO</v>
          </cell>
          <cell r="B703" t="str">
            <v>VAR_fout</v>
          </cell>
          <cell r="C703" t="str">
            <v>CO2</v>
          </cell>
          <cell r="D703">
            <v>2267.7886430973299</v>
          </cell>
          <cell r="E703">
            <v>1978.75493190877</v>
          </cell>
          <cell r="F703">
            <v>2028.0269831825201</v>
          </cell>
          <cell r="G703">
            <v>1465.8414138988501</v>
          </cell>
          <cell r="H703">
            <v>1139.17981411187</v>
          </cell>
          <cell r="I703">
            <v>915.12625578130201</v>
          </cell>
          <cell r="J703">
            <v>390.39843563175998</v>
          </cell>
        </row>
        <row r="704">
          <cell r="A704" t="str">
            <v>D-SLFO</v>
          </cell>
          <cell r="B704" t="str">
            <v>VAR_fout</v>
          </cell>
          <cell r="C704" t="str">
            <v>SLFO</v>
          </cell>
          <cell r="D704">
            <v>30.256634055456193</v>
          </cell>
          <cell r="E704">
            <v>26.400372028683567</v>
          </cell>
          <cell r="F704">
            <v>27.057776964062349</v>
          </cell>
          <cell r="G704">
            <v>19.557191665279888</v>
          </cell>
          <cell r="H704">
            <v>15.198951038817778</v>
          </cell>
          <cell r="I704">
            <v>12.209611921356656</v>
          </cell>
          <cell r="J704">
            <v>5.2087158042328978</v>
          </cell>
        </row>
        <row r="705">
          <cell r="A705" t="str">
            <v>D-SLFO</v>
          </cell>
          <cell r="B705" t="str">
            <v>VAR_fin</v>
          </cell>
          <cell r="C705" t="str">
            <v>LFO</v>
          </cell>
          <cell r="D705">
            <v>30.770537898199827</v>
          </cell>
          <cell r="E705">
            <v>26.848777909209947</v>
          </cell>
          <cell r="F705">
            <v>27.517326773168527</v>
          </cell>
          <cell r="G705">
            <v>19.889300052901671</v>
          </cell>
          <cell r="H705">
            <v>15.456985266104047</v>
          </cell>
          <cell r="I705">
            <v>12.416909847778843</v>
          </cell>
          <cell r="J705">
            <v>5.2971293844200833</v>
          </cell>
        </row>
        <row r="706">
          <cell r="A706" t="str">
            <v>D-SLFO</v>
          </cell>
          <cell r="B706" t="str">
            <v>VAR_fin</v>
          </cell>
          <cell r="C706" t="str">
            <v>BDS</v>
          </cell>
          <cell r="F706">
            <v>2.1748458666761112E-5</v>
          </cell>
          <cell r="G706">
            <v>6.7070901476700952E-5</v>
          </cell>
          <cell r="H706">
            <v>1.1745643703875409E-4</v>
          </cell>
          <cell r="I706">
            <v>8.0353449601615413E-5</v>
          </cell>
          <cell r="J706">
            <v>5.5506108495715396E-5</v>
          </cell>
        </row>
        <row r="707">
          <cell r="A707" t="str">
            <v>D-RCOA</v>
          </cell>
          <cell r="B707" t="str">
            <v>VAR_fout</v>
          </cell>
          <cell r="C707" t="str">
            <v>CO2</v>
          </cell>
          <cell r="D707">
            <v>9.2700810955579893</v>
          </cell>
          <cell r="E707">
            <v>9.27005946500765</v>
          </cell>
          <cell r="F707">
            <v>2.4985699249556999</v>
          </cell>
          <cell r="G707">
            <v>0.561906252020832</v>
          </cell>
          <cell r="H707">
            <v>2.1079306007833799E-2</v>
          </cell>
        </row>
        <row r="708">
          <cell r="A708" t="str">
            <v>D-RCOA</v>
          </cell>
          <cell r="B708" t="str">
            <v>VAR_fout</v>
          </cell>
          <cell r="C708" t="str">
            <v>RCOA</v>
          </cell>
          <cell r="D708">
            <v>0.10000087481723838</v>
          </cell>
          <cell r="E708">
            <v>0.10000064147796808</v>
          </cell>
          <cell r="F708">
            <v>2.6953289373847958E-2</v>
          </cell>
          <cell r="G708">
            <v>6.0615561167295905E-3</v>
          </cell>
          <cell r="H708">
            <v>2.2739272931859565E-4</v>
          </cell>
        </row>
        <row r="709">
          <cell r="A709" t="str">
            <v>D-RCOA</v>
          </cell>
          <cell r="B709" t="str">
            <v>VAR_fin</v>
          </cell>
          <cell r="C709" t="str">
            <v>COA</v>
          </cell>
          <cell r="D709">
            <v>0.10000087481723838</v>
          </cell>
          <cell r="E709">
            <v>0.10000064147796808</v>
          </cell>
          <cell r="F709">
            <v>2.6953289373847958E-2</v>
          </cell>
          <cell r="G709">
            <v>6.0615561167295905E-3</v>
          </cell>
          <cell r="H709">
            <v>2.2739272931859565E-4</v>
          </cell>
        </row>
        <row r="710">
          <cell r="A710" t="str">
            <v>SCOM-ELCSPECDC</v>
          </cell>
          <cell r="B710" t="str">
            <v>VAR_fout</v>
          </cell>
          <cell r="C710" t="str">
            <v>SCOM-ELSDC</v>
          </cell>
          <cell r="F710">
            <v>13.290698929185066</v>
          </cell>
          <cell r="G710">
            <v>14.089335245285167</v>
          </cell>
          <cell r="H710">
            <v>14.899648223985468</v>
          </cell>
          <cell r="I710">
            <v>15.634211432487488</v>
          </cell>
          <cell r="J710">
            <v>16.899531980738132</v>
          </cell>
        </row>
        <row r="711">
          <cell r="A711" t="str">
            <v>SCOM-ELCSPECDC</v>
          </cell>
          <cell r="B711" t="str">
            <v>VAR_fin</v>
          </cell>
          <cell r="C711" t="str">
            <v>SCOM_ELC</v>
          </cell>
          <cell r="F711">
            <v>13.290698929185066</v>
          </cell>
          <cell r="G711">
            <v>14.089335245285167</v>
          </cell>
          <cell r="H711">
            <v>14.899648223985468</v>
          </cell>
          <cell r="I711">
            <v>15.634211432487488</v>
          </cell>
          <cell r="J711">
            <v>16.899531980738132</v>
          </cell>
        </row>
        <row r="712">
          <cell r="A712" t="str">
            <v>RHES-SHSTG-SOL</v>
          </cell>
          <cell r="B712" t="str">
            <v>VAR_fout</v>
          </cell>
          <cell r="C712" t="str">
            <v>AUX_RHES-SHSTG-SOL_OUT</v>
          </cell>
          <cell r="D712">
            <v>5.7169332853059522E-2</v>
          </cell>
          <cell r="E712">
            <v>6.3440238500099944E-2</v>
          </cell>
          <cell r="F712">
            <v>9.0716700097932187E-3</v>
          </cell>
          <cell r="G712">
            <v>1.2022736688561316E-2</v>
          </cell>
          <cell r="H712">
            <v>8.7869525520069512E-3</v>
          </cell>
          <cell r="I712">
            <v>4.4121006507339645E-3</v>
          </cell>
          <cell r="J712">
            <v>5.2814016532665179E-3</v>
          </cell>
        </row>
        <row r="713">
          <cell r="A713" t="str">
            <v>RHES-SHSTG-SOL</v>
          </cell>
          <cell r="B713" t="str">
            <v>VAR_fout</v>
          </cell>
          <cell r="C713" t="str">
            <v>RHES-SHASOL</v>
          </cell>
          <cell r="D713">
            <v>5.7112220632427144E-2</v>
          </cell>
          <cell r="E713">
            <v>6.3376861638461443E-2</v>
          </cell>
          <cell r="F713">
            <v>9.0626074023908293E-3</v>
          </cell>
          <cell r="G713">
            <v>1.2010725962598716E-2</v>
          </cell>
          <cell r="H713">
            <v>8.7781743776293216E-3</v>
          </cell>
          <cell r="I713">
            <v>4.4076929577761903E-3</v>
          </cell>
          <cell r="J713">
            <v>5.2761255277387767E-3</v>
          </cell>
        </row>
        <row r="714">
          <cell r="A714" t="str">
            <v>RHES-SHSTG-SOL</v>
          </cell>
          <cell r="B714" t="str">
            <v>VAR_fin</v>
          </cell>
          <cell r="C714" t="str">
            <v>RHES-SHASOL</v>
          </cell>
          <cell r="D714">
            <v>5.7104749321707685E-2</v>
          </cell>
          <cell r="E714">
            <v>6.3380090099798697E-2</v>
          </cell>
          <cell r="F714">
            <v>9.0658851367261418E-3</v>
          </cell>
          <cell r="G714">
            <v>1.2013864920440365E-2</v>
          </cell>
          <cell r="H714">
            <v>8.7799101975671659E-3</v>
          </cell>
          <cell r="I714">
            <v>4.4091077065571182E-3</v>
          </cell>
          <cell r="J714">
            <v>5.2779172401280858E-3</v>
          </cell>
        </row>
        <row r="715">
          <cell r="A715" t="str">
            <v>RHES-SHSTG-SOL</v>
          </cell>
          <cell r="B715" t="str">
            <v>VAR_ncap</v>
          </cell>
          <cell r="C715" t="str">
            <v>-</v>
          </cell>
          <cell r="D715">
            <v>9.9936488466279508E-3</v>
          </cell>
          <cell r="E715">
            <v>1.1673644388531801E-3</v>
          </cell>
          <cell r="F715">
            <v>1.1712232878810301E-7</v>
          </cell>
          <cell r="G715">
            <v>1.4383349910400799E-7</v>
          </cell>
          <cell r="H715">
            <v>6.4607433072192501E-5</v>
          </cell>
          <cell r="I715">
            <v>6.1124625509670501E-4</v>
          </cell>
          <cell r="J715">
            <v>2.3205258705235801E-4</v>
          </cell>
        </row>
        <row r="716">
          <cell r="A716" t="str">
            <v>RHES-SHSTG-SOL</v>
          </cell>
          <cell r="B716" t="str">
            <v>VAR_cap</v>
          </cell>
          <cell r="C716" t="str">
            <v>-</v>
          </cell>
          <cell r="D716">
            <v>9.9936488466279508E-3</v>
          </cell>
          <cell r="E716">
            <v>1.11610132854811E-2</v>
          </cell>
          <cell r="F716">
            <v>1.11611304078099E-2</v>
          </cell>
          <cell r="G716">
            <v>1.1161274241308999E-2</v>
          </cell>
          <cell r="H716">
            <v>3.2546584014809302E-3</v>
          </cell>
          <cell r="I716">
            <v>6.7597266941178701E-4</v>
          </cell>
          <cell r="J716">
            <v>7.0298308434609902E-4</v>
          </cell>
        </row>
        <row r="717">
          <cell r="A717" t="str">
            <v>D-ITOT_LTH</v>
          </cell>
          <cell r="B717" t="str">
            <v>VAR_fout</v>
          </cell>
          <cell r="C717" t="str">
            <v>ITOT_LTH_DH</v>
          </cell>
          <cell r="D717">
            <v>7.1200029729715606</v>
          </cell>
          <cell r="E717">
            <v>7.6289070574065185</v>
          </cell>
          <cell r="F717">
            <v>7.6289065666842193</v>
          </cell>
          <cell r="G717">
            <v>7.6289148403193145</v>
          </cell>
          <cell r="H717">
            <v>7.6289176025207723</v>
          </cell>
          <cell r="I717">
            <v>8.2276260418181053</v>
          </cell>
          <cell r="J717">
            <v>8.7460727583343161</v>
          </cell>
        </row>
        <row r="718">
          <cell r="A718" t="str">
            <v>D-ITOT_LTH</v>
          </cell>
          <cell r="B718" t="str">
            <v>VAR_fin</v>
          </cell>
          <cell r="C718" t="str">
            <v>LTH</v>
          </cell>
          <cell r="D718">
            <v>7.7403389225368366</v>
          </cell>
          <cell r="E718">
            <v>8.2914020285312908</v>
          </cell>
          <cell r="F718">
            <v>8.2881341624104916</v>
          </cell>
          <cell r="G718">
            <v>8.2827033090642388</v>
          </cell>
          <cell r="H718">
            <v>8.2772736001854632</v>
          </cell>
          <cell r="I718">
            <v>8.9210128728026579</v>
          </cell>
          <cell r="J718">
            <v>9.4707361634128748</v>
          </cell>
        </row>
        <row r="719">
          <cell r="A719" t="str">
            <v>D-ITOT_LTH</v>
          </cell>
          <cell r="B719" t="str">
            <v>VAR_ncap</v>
          </cell>
          <cell r="C719" t="str">
            <v>-</v>
          </cell>
          <cell r="D719">
            <v>0.79547235099867997</v>
          </cell>
          <cell r="E719">
            <v>1.09713184330323E-8</v>
          </cell>
          <cell r="F719">
            <v>1.25058691654534E-8</v>
          </cell>
          <cell r="G719">
            <v>1.43675958981846E-8</v>
          </cell>
          <cell r="H719">
            <v>2.0690942883228999E-8</v>
          </cell>
          <cell r="I719">
            <v>2.0815546208221699E-8</v>
          </cell>
          <cell r="J719">
            <v>3.0142960252231497E-8</v>
          </cell>
        </row>
        <row r="720">
          <cell r="A720" t="str">
            <v>D-ITOT_LTH</v>
          </cell>
          <cell r="B720" t="str">
            <v>VAR_cap</v>
          </cell>
          <cell r="C720" t="str">
            <v>-</v>
          </cell>
          <cell r="D720">
            <v>0.79547235099867997</v>
          </cell>
          <cell r="E720">
            <v>0.79547236196999904</v>
          </cell>
          <cell r="F720">
            <v>0.79547237447586805</v>
          </cell>
          <cell r="G720">
            <v>0.79547238884346405</v>
          </cell>
          <cell r="H720">
            <v>0.79547240953440701</v>
          </cell>
          <cell r="I720">
            <v>0.79547243034995296</v>
          </cell>
          <cell r="J720">
            <v>0.79547246049291298</v>
          </cell>
        </row>
        <row r="721">
          <cell r="A721" t="str">
            <v>D-RHNM_LTH_CHPWOD</v>
          </cell>
          <cell r="B721" t="str">
            <v>VAR_fout</v>
          </cell>
          <cell r="C721" t="str">
            <v>RHNM_LTH_CHPWOD_ON</v>
          </cell>
          <cell r="D721">
            <v>8.5716345426750247E-6</v>
          </cell>
          <cell r="E721">
            <v>9.9965059521486707E-6</v>
          </cell>
          <cell r="F721">
            <v>2.2096579684526258E-6</v>
          </cell>
          <cell r="G721">
            <v>3.2739296521456203E-6</v>
          </cell>
          <cell r="H721">
            <v>2.7685241155245884E-6</v>
          </cell>
          <cell r="I721">
            <v>1.8725496316992412E-6</v>
          </cell>
          <cell r="J721">
            <v>1.0228873073846404E-6</v>
          </cell>
        </row>
        <row r="722">
          <cell r="A722" t="str">
            <v>D-RHNM_LTH_CHPWOD</v>
          </cell>
          <cell r="B722" t="str">
            <v>VAR_fout</v>
          </cell>
          <cell r="C722" t="str">
            <v>RHSA_LTH</v>
          </cell>
          <cell r="D722">
            <v>1.677700701580343E-5</v>
          </cell>
          <cell r="E722">
            <v>1.1459327317006161E-5</v>
          </cell>
          <cell r="F722">
            <v>3.3233450588244445E-6</v>
          </cell>
          <cell r="G722">
            <v>9.1120791515427845E-6</v>
          </cell>
          <cell r="H722">
            <v>8.2288797285250209E-6</v>
          </cell>
          <cell r="I722">
            <v>8.821790312412785E-6</v>
          </cell>
          <cell r="J722">
            <v>6.8394145386439137E-6</v>
          </cell>
        </row>
        <row r="723">
          <cell r="A723" t="str">
            <v>D-RHNM_LTH_CHPWOD</v>
          </cell>
          <cell r="B723" t="str">
            <v>VAR_fin</v>
          </cell>
          <cell r="C723" t="str">
            <v>RHNM_LTH_CHPWOD</v>
          </cell>
          <cell r="D723">
            <v>2.534864155847845E-5</v>
          </cell>
          <cell r="E723">
            <v>2.1885817460493615E-5</v>
          </cell>
          <cell r="F723">
            <v>5.8056150191736285E-6</v>
          </cell>
          <cell r="G723">
            <v>1.3156472519828331E-5</v>
          </cell>
          <cell r="H723">
            <v>1.1991606790793846E-5</v>
          </cell>
          <cell r="I723">
            <v>1.1623322387278749E-5</v>
          </cell>
          <cell r="J723">
            <v>8.883564008710608E-6</v>
          </cell>
        </row>
        <row r="724">
          <cell r="A724" t="str">
            <v>RHNS-SHWODBR</v>
          </cell>
          <cell r="B724" t="str">
            <v>VAR_fout</v>
          </cell>
          <cell r="C724" t="str">
            <v>RHNS-SHWOD</v>
          </cell>
          <cell r="E724">
            <v>2.6569937457460852E-2</v>
          </cell>
          <cell r="F724">
            <v>4.8806251185897126E-2</v>
          </cell>
          <cell r="G724">
            <v>8.705120118770053E-2</v>
          </cell>
          <cell r="H724">
            <v>0.10853421668924661</v>
          </cell>
          <cell r="I724">
            <v>0.12574368252850768</v>
          </cell>
          <cell r="J724">
            <v>0.14392606353493387</v>
          </cell>
        </row>
        <row r="725">
          <cell r="A725" t="str">
            <v>RHNS-SHWODBR</v>
          </cell>
          <cell r="B725" t="str">
            <v>VAR_fin</v>
          </cell>
          <cell r="C725" t="str">
            <v>RHNSWODBRC</v>
          </cell>
          <cell r="E725">
            <v>2.6569937457460852E-2</v>
          </cell>
          <cell r="F725">
            <v>4.8806251185897126E-2</v>
          </cell>
          <cell r="G725">
            <v>8.705120118770053E-2</v>
          </cell>
          <cell r="H725">
            <v>0.10853421668924661</v>
          </cell>
          <cell r="I725">
            <v>0.12574368252850768</v>
          </cell>
          <cell r="J725">
            <v>0.14392606353493387</v>
          </cell>
        </row>
        <row r="726">
          <cell r="A726" t="str">
            <v>RHNS-SHWODBR</v>
          </cell>
          <cell r="B726" t="str">
            <v>VAR_fin</v>
          </cell>
          <cell r="C726" t="str">
            <v>RWOD</v>
          </cell>
          <cell r="E726">
            <v>3.6902690913140052E-2</v>
          </cell>
          <cell r="F726">
            <v>6.5697663030038919E-2</v>
          </cell>
          <cell r="G726">
            <v>0.11675604511971283</v>
          </cell>
          <cell r="H726">
            <v>0.14525321155791993</v>
          </cell>
          <cell r="I726">
            <v>0.16800572951040554</v>
          </cell>
          <cell r="J726">
            <v>0.19223264693280268</v>
          </cell>
        </row>
        <row r="727">
          <cell r="A727" t="str">
            <v>RHNS-SHWODBR</v>
          </cell>
          <cell r="B727" t="str">
            <v>VAR_ncap</v>
          </cell>
          <cell r="C727" t="str">
            <v>-</v>
          </cell>
          <cell r="E727">
            <v>1.9496815430832201E-3</v>
          </cell>
          <cell r="F727">
            <v>4.3977992049085302E-3</v>
          </cell>
          <cell r="H727">
            <v>2.47906095331068E-2</v>
          </cell>
        </row>
        <row r="728">
          <cell r="A728" t="str">
            <v>RHNS-SHWODBR</v>
          </cell>
          <cell r="B728" t="str">
            <v>VAR_cap</v>
          </cell>
          <cell r="C728" t="str">
            <v>-</v>
          </cell>
          <cell r="E728">
            <v>1.9496815430832201E-3</v>
          </cell>
          <cell r="F728">
            <v>6.3473956596048825E-3</v>
          </cell>
          <cell r="G728">
            <v>6.3474233229295733E-3</v>
          </cell>
          <cell r="H728">
            <v>2.4834432960746368E-2</v>
          </cell>
          <cell r="I728">
            <v>2.4794350170723893E-2</v>
          </cell>
          <cell r="J728">
            <v>1.0486287161320744E-2</v>
          </cell>
        </row>
        <row r="729">
          <cell r="A729" t="str">
            <v>D-RHNM_NKEV_GAS_ELC_CHP</v>
          </cell>
          <cell r="B729" t="str">
            <v>VAR_fout</v>
          </cell>
          <cell r="C729" t="str">
            <v>ELC5</v>
          </cell>
          <cell r="E729">
            <v>1.6983855891565858E-4</v>
          </cell>
          <cell r="F729">
            <v>2.4720442365675307E-4</v>
          </cell>
        </row>
        <row r="730">
          <cell r="A730" t="str">
            <v>D-RHNM_NKEV_GAS_ELC_CHP</v>
          </cell>
          <cell r="B730" t="str">
            <v>VAR_fout</v>
          </cell>
          <cell r="C730" t="str">
            <v>RHNM_ELC</v>
          </cell>
          <cell r="E730">
            <v>1.0540696192303653E-3</v>
          </cell>
          <cell r="F730">
            <v>1.1717540652769543E-3</v>
          </cell>
        </row>
        <row r="731">
          <cell r="A731" t="str">
            <v>D-RHNM_NKEV_GAS_ELC_CHP</v>
          </cell>
          <cell r="B731" t="str">
            <v>VAR_fin</v>
          </cell>
          <cell r="C731" t="str">
            <v>RHNM_NKEV_GAS_ELC_CHP</v>
          </cell>
          <cell r="E731">
            <v>1.2239081781460252E-3</v>
          </cell>
          <cell r="F731">
            <v>1.4166957585220418E-3</v>
          </cell>
        </row>
        <row r="732">
          <cell r="A732" t="str">
            <v>D-RLFO</v>
          </cell>
          <cell r="B732" t="str">
            <v>VAR_fout</v>
          </cell>
          <cell r="C732" t="str">
            <v>CO2</v>
          </cell>
          <cell r="D732">
            <v>4514.4829169642198</v>
          </cell>
          <cell r="E732">
            <v>3846.5261273986298</v>
          </cell>
          <cell r="F732">
            <v>3821.8849419166399</v>
          </cell>
          <cell r="G732">
            <v>2498.3393055747301</v>
          </cell>
          <cell r="H732">
            <v>1776.82819917592</v>
          </cell>
          <cell r="I732">
            <v>1328.0358561160101</v>
          </cell>
          <cell r="J732">
            <v>443.67710916106398</v>
          </cell>
        </row>
        <row r="733">
          <cell r="A733" t="str">
            <v>D-RLFO</v>
          </cell>
          <cell r="B733" t="str">
            <v>VAR_fout</v>
          </cell>
          <cell r="C733" t="str">
            <v>RLFO</v>
          </cell>
          <cell r="D733">
            <v>60.23182891578346</v>
          </cell>
          <cell r="E733">
            <v>51.320008932797357</v>
          </cell>
          <cell r="F733">
            <v>50.991269920340663</v>
          </cell>
          <cell r="G733">
            <v>33.332686750772716</v>
          </cell>
          <cell r="H733">
            <v>23.706399194375098</v>
          </cell>
          <cell r="I733">
            <v>17.718615349263267</v>
          </cell>
          <cell r="J733">
            <v>5.9195549548796409</v>
          </cell>
        </row>
        <row r="734">
          <cell r="A734" t="str">
            <v>D-RLFO</v>
          </cell>
          <cell r="B734" t="str">
            <v>VAR_fin</v>
          </cell>
          <cell r="C734" t="str">
            <v>LFO</v>
          </cell>
          <cell r="D734">
            <v>61.2548564038565</v>
          </cell>
          <cell r="E734">
            <v>52.19167065669776</v>
          </cell>
          <cell r="F734">
            <v>51.857326213251604</v>
          </cell>
          <cell r="G734">
            <v>33.898769410783331</v>
          </cell>
          <cell r="H734">
            <v>24.108930789361121</v>
          </cell>
          <cell r="I734">
            <v>18.019482443907844</v>
          </cell>
          <cell r="J734">
            <v>6.020042186717296</v>
          </cell>
        </row>
        <row r="735">
          <cell r="A735" t="str">
            <v>D-RLFO</v>
          </cell>
          <cell r="B735" t="str">
            <v>VAR_fin</v>
          </cell>
          <cell r="C735" t="str">
            <v>BDS</v>
          </cell>
          <cell r="F735">
            <v>2.1821238439786504E-5</v>
          </cell>
          <cell r="G735">
            <v>6.7404143322154079E-5</v>
          </cell>
          <cell r="H735">
            <v>1.1758878528453901E-4</v>
          </cell>
          <cell r="I735">
            <v>8.0611608252501783E-5</v>
          </cell>
          <cell r="J735">
            <v>5.557743387793354E-5</v>
          </cell>
        </row>
        <row r="736">
          <cell r="A736" t="str">
            <v>D-SCOM_LTH_CHPBIO</v>
          </cell>
          <cell r="B736" t="str">
            <v>VAR_fout</v>
          </cell>
          <cell r="C736" t="str">
            <v>SCOM_LTH_CHPBIO_ON</v>
          </cell>
          <cell r="D736">
            <v>1.4243088839891145</v>
          </cell>
          <cell r="E736">
            <v>1.5427983544296469</v>
          </cell>
        </row>
        <row r="737">
          <cell r="A737" t="str">
            <v>D-SCOM_LTH_CHPBIO</v>
          </cell>
          <cell r="B737" t="str">
            <v>VAR_fout</v>
          </cell>
          <cell r="C737" t="str">
            <v>LTH</v>
          </cell>
          <cell r="E737">
            <v>3.551917641751736E-2</v>
          </cell>
        </row>
        <row r="738">
          <cell r="A738" t="str">
            <v>D-SCOM_LTH_CHPBIO</v>
          </cell>
          <cell r="B738" t="str">
            <v>VAR_fin</v>
          </cell>
          <cell r="C738" t="str">
            <v>SCOM_LTH_CHPBIO</v>
          </cell>
          <cell r="D738">
            <v>1.4243088839891145</v>
          </cell>
          <cell r="E738">
            <v>1.5783175308471638</v>
          </cell>
        </row>
        <row r="739">
          <cell r="A739" t="str">
            <v>D-SCOM_NKEV_GAS_ELC_CHP</v>
          </cell>
          <cell r="B739" t="str">
            <v>VAR_fout</v>
          </cell>
          <cell r="C739" t="str">
            <v>ELC5</v>
          </cell>
          <cell r="D739">
            <v>1.2698988878990171E-3</v>
          </cell>
          <cell r="E739">
            <v>4.6950327567296343E-4</v>
          </cell>
          <cell r="F739">
            <v>3.7715436236622653E-4</v>
          </cell>
        </row>
        <row r="740">
          <cell r="A740" t="str">
            <v>D-SCOM_NKEV_GAS_ELC_CHP</v>
          </cell>
          <cell r="B740" t="str">
            <v>VAR_fout</v>
          </cell>
          <cell r="C740" t="str">
            <v>SCOM_ELC</v>
          </cell>
          <cell r="D740">
            <v>0.59313019211499662</v>
          </cell>
          <cell r="E740">
            <v>0.62540042670765494</v>
          </cell>
          <cell r="F740">
            <v>1.4698818430808737E-2</v>
          </cell>
        </row>
        <row r="741">
          <cell r="A741" t="str">
            <v>D-SCOM_NKEV_GAS_ELC_CHP</v>
          </cell>
          <cell r="B741" t="str">
            <v>VAR_fin</v>
          </cell>
          <cell r="C741" t="str">
            <v>SCOM_NKEV_GAS_ELC_CHP</v>
          </cell>
          <cell r="D741">
            <v>0.59440009100289515</v>
          </cell>
          <cell r="E741">
            <v>0.6258699299833278</v>
          </cell>
          <cell r="F741">
            <v>1.5073805788654335E-2</v>
          </cell>
        </row>
        <row r="742">
          <cell r="A742" t="str">
            <v>RHEM-SHLTHDH</v>
          </cell>
          <cell r="B742" t="str">
            <v>VAR_fout</v>
          </cell>
          <cell r="C742" t="str">
            <v>RHEM-SHLTHD</v>
          </cell>
          <cell r="D742">
            <v>3.4061770831617904</v>
          </cell>
          <cell r="E742">
            <v>3.7887325621664618</v>
          </cell>
          <cell r="F742">
            <v>4.3967298065868388</v>
          </cell>
          <cell r="G742">
            <v>4.8782339276176439</v>
          </cell>
          <cell r="H742">
            <v>5.0391339645166306</v>
          </cell>
          <cell r="I742">
            <v>5.0868127177191536</v>
          </cell>
          <cell r="J742">
            <v>5.186801805329158</v>
          </cell>
        </row>
        <row r="743">
          <cell r="A743" t="str">
            <v>RHEM-SHLTHDH</v>
          </cell>
          <cell r="B743" t="str">
            <v>VAR_fin</v>
          </cell>
          <cell r="C743" t="str">
            <v>RHEMLTHDHC</v>
          </cell>
          <cell r="D743">
            <v>3.4061770831617904</v>
          </cell>
          <cell r="E743">
            <v>3.7887325621664618</v>
          </cell>
          <cell r="F743">
            <v>4.3967298065868388</v>
          </cell>
          <cell r="G743">
            <v>4.8782339276176439</v>
          </cell>
          <cell r="H743">
            <v>5.0391339645166306</v>
          </cell>
          <cell r="I743">
            <v>5.0868127177191536</v>
          </cell>
          <cell r="J743">
            <v>5.186801805329158</v>
          </cell>
        </row>
        <row r="744">
          <cell r="A744" t="str">
            <v>RHEM-SHLTHDH</v>
          </cell>
          <cell r="B744" t="str">
            <v>VAR_fin</v>
          </cell>
          <cell r="C744" t="str">
            <v>RHEM_LTH_DH</v>
          </cell>
          <cell r="D744">
            <v>3.4405829122846385</v>
          </cell>
          <cell r="E744">
            <v>3.8270025880469305</v>
          </cell>
          <cell r="F744">
            <v>4.9258931786716271</v>
          </cell>
          <cell r="G744">
            <v>5.4323626322235707</v>
          </cell>
          <cell r="H744">
            <v>5.5901889014560489</v>
          </cell>
          <cell r="I744">
            <v>5.6305479889259704</v>
          </cell>
          <cell r="J744">
            <v>5.6986089483702225</v>
          </cell>
        </row>
        <row r="745">
          <cell r="A745" t="str">
            <v>RHEM-SHLTHDH</v>
          </cell>
          <cell r="B745" t="str">
            <v>VAR_ncap</v>
          </cell>
          <cell r="C745" t="str">
            <v>-</v>
          </cell>
          <cell r="E745">
            <v>1.20481398170503E-2</v>
          </cell>
          <cell r="F745">
            <v>0.17394531628360901</v>
          </cell>
          <cell r="G745">
            <v>1.14649077291813E-2</v>
          </cell>
          <cell r="H745">
            <v>9.3280461880286408E-3</v>
          </cell>
          <cell r="I745">
            <v>1.84302996597656E-2</v>
          </cell>
          <cell r="J745">
            <v>5.6483873856115203E-2</v>
          </cell>
        </row>
        <row r="746">
          <cell r="A746" t="str">
            <v>RHEM-SHLTHDH</v>
          </cell>
          <cell r="B746" t="str">
            <v>VAR_cap</v>
          </cell>
          <cell r="C746" t="str">
            <v>-</v>
          </cell>
          <cell r="D746">
            <v>0.31562546711168799</v>
          </cell>
          <cell r="E746">
            <v>0.27749747533714297</v>
          </cell>
          <cell r="F746">
            <v>0.4482029158994964</v>
          </cell>
          <cell r="G746">
            <v>0.42985815407951922</v>
          </cell>
          <cell r="H746">
            <v>0.38579096852378092</v>
          </cell>
          <cell r="I746">
            <v>0.39009919346952504</v>
          </cell>
          <cell r="J746">
            <v>0.43157483538969599</v>
          </cell>
        </row>
        <row r="747">
          <cell r="A747" t="str">
            <v>D-ITOT_SOLELC</v>
          </cell>
          <cell r="B747" t="str">
            <v>VAR_fout</v>
          </cell>
          <cell r="C747" t="str">
            <v>ITOT_ELC</v>
          </cell>
          <cell r="D747">
            <v>3.5171718151027442</v>
          </cell>
          <cell r="E747">
            <v>4.8481147307875121</v>
          </cell>
          <cell r="F747">
            <v>11.160830652455379</v>
          </cell>
          <cell r="G747">
            <v>19.455947681008112</v>
          </cell>
          <cell r="H747">
            <v>21.231781120015118</v>
          </cell>
          <cell r="I747">
            <v>31.301018206403793</v>
          </cell>
          <cell r="J747">
            <v>33.900295604911335</v>
          </cell>
        </row>
        <row r="748">
          <cell r="A748" t="str">
            <v>D-ITOT_SOLELC</v>
          </cell>
          <cell r="B748" t="str">
            <v>VAR_fout</v>
          </cell>
          <cell r="C748" t="str">
            <v>ELC5</v>
          </cell>
          <cell r="D748">
            <v>7.8218460478986923E-4</v>
          </cell>
          <cell r="E748">
            <v>5.0780256687334992E-4</v>
          </cell>
          <cell r="F748">
            <v>5.6868485580164826E-4</v>
          </cell>
          <cell r="G748">
            <v>2.1114308204961095E-2</v>
          </cell>
          <cell r="H748">
            <v>6.4425348541698971E-4</v>
          </cell>
          <cell r="I748">
            <v>0.24259156270233725</v>
          </cell>
          <cell r="J748">
            <v>0.13736030009013242</v>
          </cell>
        </row>
        <row r="749">
          <cell r="A749" t="str">
            <v>D-ITOT_SOLELC</v>
          </cell>
          <cell r="B749" t="str">
            <v>VAR_fin</v>
          </cell>
          <cell r="C749" t="str">
            <v>ITOT_SOL_ELC</v>
          </cell>
          <cell r="D749">
            <v>3.517953999707534</v>
          </cell>
          <cell r="E749">
            <v>4.8486222706482938</v>
          </cell>
          <cell r="F749">
            <v>11.161399337311176</v>
          </cell>
          <cell r="G749">
            <v>19.477061989213073</v>
          </cell>
          <cell r="H749">
            <v>21.232425373500522</v>
          </cell>
          <cell r="I749">
            <v>31.543609769106133</v>
          </cell>
          <cell r="J749">
            <v>34.037655905001465</v>
          </cell>
        </row>
        <row r="750">
          <cell r="A750" t="str">
            <v>D-SWOD</v>
          </cell>
          <cell r="B750" t="str">
            <v>VAR_fout</v>
          </cell>
          <cell r="C750" t="str">
            <v>SWOD</v>
          </cell>
          <cell r="D750">
            <v>8.5743688934399689</v>
          </cell>
          <cell r="E750">
            <v>9.5565744194355364</v>
          </cell>
          <cell r="F750">
            <v>9.1019400082607795</v>
          </cell>
          <cell r="G750">
            <v>9.2582715634484316</v>
          </cell>
          <cell r="H750">
            <v>8.6235213636323707</v>
          </cell>
          <cell r="I750">
            <v>7.8969858972910796</v>
          </cell>
          <cell r="J750">
            <v>6.8754691685169362</v>
          </cell>
        </row>
        <row r="751">
          <cell r="A751" t="str">
            <v>D-SWOD</v>
          </cell>
          <cell r="B751" t="str">
            <v>VAR_fin</v>
          </cell>
          <cell r="C751" t="str">
            <v>WOD</v>
          </cell>
          <cell r="D751">
            <v>8.5743688934399689</v>
          </cell>
          <cell r="E751">
            <v>9.5565744194355364</v>
          </cell>
          <cell r="F751">
            <v>9.1019400082607795</v>
          </cell>
          <cell r="G751">
            <v>9.2582715634484316</v>
          </cell>
          <cell r="H751">
            <v>8.6235213636323707</v>
          </cell>
          <cell r="I751">
            <v>7.8969858972910796</v>
          </cell>
          <cell r="J751">
            <v>6.8754691685169362</v>
          </cell>
        </row>
        <row r="752">
          <cell r="A752" t="str">
            <v>SCOM-SHLTHCHPBIO</v>
          </cell>
          <cell r="B752" t="str">
            <v>VAR_fout</v>
          </cell>
          <cell r="C752" t="str">
            <v>SCOM-SHLTHC-BIO</v>
          </cell>
          <cell r="D752">
            <v>1.4100657951492237</v>
          </cell>
          <cell r="E752">
            <v>1.5273703708853485</v>
          </cell>
        </row>
        <row r="753">
          <cell r="A753" t="str">
            <v>SCOM-SHLTHCHPBIO</v>
          </cell>
          <cell r="B753" t="str">
            <v>VAR_fin</v>
          </cell>
          <cell r="C753" t="str">
            <v>SCOM_LTH_CHPBIO_ON</v>
          </cell>
          <cell r="D753">
            <v>1.4243088839891145</v>
          </cell>
          <cell r="E753">
            <v>1.5427983544296469</v>
          </cell>
        </row>
        <row r="754">
          <cell r="A754" t="str">
            <v>SCOM-SHLTHCHPBIO</v>
          </cell>
          <cell r="B754" t="str">
            <v>VAR_fin</v>
          </cell>
          <cell r="C754" t="str">
            <v>SCOMLTHCHPC</v>
          </cell>
          <cell r="D754">
            <v>1.4100657951492237</v>
          </cell>
          <cell r="E754">
            <v>1.5273703708853485</v>
          </cell>
        </row>
        <row r="755">
          <cell r="A755" t="str">
            <v>SCOM-SHLTHCHPBIO</v>
          </cell>
          <cell r="B755" t="str">
            <v>VAR_ncap</v>
          </cell>
          <cell r="C755" t="str">
            <v>-</v>
          </cell>
          <cell r="D755">
            <v>6.07493634871894E-8</v>
          </cell>
          <cell r="E755">
            <v>1.8687485075666001E-2</v>
          </cell>
          <cell r="F755">
            <v>1.7856228475829398E-2</v>
          </cell>
          <cell r="G755">
            <v>1.6103218650763602E-2</v>
          </cell>
          <cell r="H755">
            <v>5.92934099226958E-2</v>
          </cell>
          <cell r="I755">
            <v>1.9880397593832901E-2</v>
          </cell>
          <cell r="J755">
            <v>4.8795349268527702E-2</v>
          </cell>
        </row>
        <row r="756">
          <cell r="A756" t="str">
            <v>SCOM-SHLTHCHPBIO</v>
          </cell>
          <cell r="B756" t="str">
            <v>VAR_cap</v>
          </cell>
          <cell r="C756" t="str">
            <v>-</v>
          </cell>
          <cell r="D756">
            <v>0.10913974832840248</v>
          </cell>
          <cell r="E756">
            <v>0.12094081930935728</v>
          </cell>
          <cell r="F756">
            <v>8.8715953390579999E-2</v>
          </cell>
          <cell r="G756">
            <v>7.2987619280590096E-2</v>
          </cell>
          <cell r="H756">
            <v>8.9262973162966594E-2</v>
          </cell>
          <cell r="I756">
            <v>7.7079198102913096E-2</v>
          </cell>
          <cell r="J756">
            <v>7.7079328902744798E-2</v>
          </cell>
        </row>
        <row r="757">
          <cell r="A757" t="str">
            <v>RHES-SHNGABR</v>
          </cell>
          <cell r="B757" t="str">
            <v>VAR_fout</v>
          </cell>
          <cell r="C757" t="str">
            <v>CO2_R</v>
          </cell>
          <cell r="D757">
            <v>1043.1351539852501</v>
          </cell>
          <cell r="E757">
            <v>1118.51232911796</v>
          </cell>
          <cell r="F757">
            <v>662.27993071869105</v>
          </cell>
          <cell r="G757">
            <v>545.11286036191996</v>
          </cell>
          <cell r="H757">
            <v>420.608632092238</v>
          </cell>
          <cell r="I757">
            <v>315.78943622767099</v>
          </cell>
          <cell r="J757">
            <v>144.90840167209799</v>
          </cell>
        </row>
        <row r="758">
          <cell r="A758" t="str">
            <v>RHES-SHNGABR</v>
          </cell>
          <cell r="B758" t="str">
            <v>VAR_fout</v>
          </cell>
          <cell r="C758" t="str">
            <v>RHES-SHNGA</v>
          </cell>
          <cell r="D758">
            <v>17.570538941240851</v>
          </cell>
          <cell r="E758">
            <v>18.840189940816696</v>
          </cell>
          <cell r="F758">
            <v>10.778358045130819</v>
          </cell>
          <cell r="G758">
            <v>8.9344547857268921</v>
          </cell>
          <cell r="H758">
            <v>6.9396926431527239</v>
          </cell>
          <cell r="I758">
            <v>5.2385549979032486</v>
          </cell>
          <cell r="J758">
            <v>2.4338997750700755</v>
          </cell>
        </row>
        <row r="759">
          <cell r="A759" t="str">
            <v>RHES-SHNGABR</v>
          </cell>
          <cell r="B759" t="str">
            <v>VAR_fin</v>
          </cell>
          <cell r="C759" t="str">
            <v>RNGA</v>
          </cell>
          <cell r="D759">
            <v>18.49530414867457</v>
          </cell>
          <cell r="E759">
            <v>19.831778885070207</v>
          </cell>
          <cell r="F759">
            <v>11.742551963097362</v>
          </cell>
          <cell r="G759">
            <v>9.6651216376226916</v>
          </cell>
          <cell r="H759">
            <v>7.4575998597914541</v>
          </cell>
          <cell r="I759">
            <v>5.5991034792140173</v>
          </cell>
          <cell r="J759">
            <v>2.5692979019875475</v>
          </cell>
        </row>
        <row r="760">
          <cell r="A760" t="str">
            <v>RHES-SHNGABR</v>
          </cell>
          <cell r="B760" t="str">
            <v>VAR_ncap</v>
          </cell>
          <cell r="C760" t="str">
            <v>-</v>
          </cell>
          <cell r="E760">
            <v>0.100139726999943</v>
          </cell>
          <cell r="F760">
            <v>2.00327497745427E-8</v>
          </cell>
          <cell r="G760">
            <v>4.7915454824340903E-8</v>
          </cell>
          <cell r="H760">
            <v>0.14064056893339</v>
          </cell>
          <cell r="I760">
            <v>0.28257591535319998</v>
          </cell>
          <cell r="J760">
            <v>2.9570154555580801E-8</v>
          </cell>
        </row>
        <row r="761">
          <cell r="A761" t="str">
            <v>RHES-SHNGABR</v>
          </cell>
          <cell r="B761" t="str">
            <v>VAR_cap</v>
          </cell>
          <cell r="C761" t="str">
            <v>-</v>
          </cell>
          <cell r="D761">
            <v>1.4219190615860799</v>
          </cell>
          <cell r="E761">
            <v>1.5220587741994627</v>
          </cell>
          <cell r="F761">
            <v>1.5220295077168677</v>
          </cell>
          <cell r="G761">
            <v>1.5220263747989373</v>
          </cell>
          <cell r="H761">
            <v>0.56068985260480875</v>
          </cell>
          <cell r="I761">
            <v>0.42321645697885169</v>
          </cell>
          <cell r="J761">
            <v>0.20202938152462641</v>
          </cell>
        </row>
        <row r="762">
          <cell r="A762" t="str">
            <v>RHSA-WHNGABR</v>
          </cell>
          <cell r="B762" t="str">
            <v>VAR_fout</v>
          </cell>
          <cell r="C762" t="str">
            <v>RHSA-WHNGA</v>
          </cell>
          <cell r="D762">
            <v>6.3804513018395879</v>
          </cell>
          <cell r="E762">
            <v>5.1513552970312961</v>
          </cell>
          <cell r="F762">
            <v>5.4192366743082161</v>
          </cell>
          <cell r="G762">
            <v>4.4448850076039506</v>
          </cell>
          <cell r="H762">
            <v>3.6415119960522659</v>
          </cell>
          <cell r="I762">
            <v>3.041085392668065</v>
          </cell>
          <cell r="J762">
            <v>1.9312561002354449</v>
          </cell>
        </row>
        <row r="763">
          <cell r="A763" t="str">
            <v>RHSA-WHNGABR</v>
          </cell>
          <cell r="B763" t="str">
            <v>VAR_fout</v>
          </cell>
          <cell r="C763" t="str">
            <v>CO2_R</v>
          </cell>
          <cell r="D763">
            <v>479.80993789833701</v>
          </cell>
          <cell r="E763">
            <v>385.32684184690299</v>
          </cell>
          <cell r="F763">
            <v>575.71248734760798</v>
          </cell>
          <cell r="G763">
            <v>454.91646823493898</v>
          </cell>
          <cell r="H763">
            <v>364.37274457356102</v>
          </cell>
          <cell r="I763">
            <v>300.69375272121198</v>
          </cell>
          <cell r="J763">
            <v>185.24965696391001</v>
          </cell>
        </row>
        <row r="764">
          <cell r="A764" t="str">
            <v>RHSA-WHNGABR</v>
          </cell>
          <cell r="B764" t="str">
            <v>VAR_fin</v>
          </cell>
          <cell r="C764" t="str">
            <v>RNGA</v>
          </cell>
          <cell r="D764">
            <v>8.5072684024527749</v>
          </cell>
          <cell r="E764">
            <v>6.8320362029592774</v>
          </cell>
          <cell r="F764">
            <v>10.207668215383134</v>
          </cell>
          <cell r="G764">
            <v>8.0658948268606263</v>
          </cell>
          <cell r="H764">
            <v>6.4605096555595907</v>
          </cell>
          <cell r="I764">
            <v>5.3314495163335529</v>
          </cell>
          <cell r="J764">
            <v>3.2845683858849242</v>
          </cell>
        </row>
        <row r="765">
          <cell r="A765" t="str">
            <v>RHSA-WHNGABR</v>
          </cell>
          <cell r="B765" t="str">
            <v>VAR_ncap</v>
          </cell>
          <cell r="C765" t="str">
            <v>-</v>
          </cell>
          <cell r="E765">
            <v>4.19565027487613E-8</v>
          </cell>
          <cell r="F765">
            <v>4.8523353225387798E-8</v>
          </cell>
          <cell r="G765">
            <v>5.8953645705452597E-8</v>
          </cell>
          <cell r="H765">
            <v>0.135809787297762</v>
          </cell>
          <cell r="I765">
            <v>7.4188158747640204E-2</v>
          </cell>
          <cell r="J765">
            <v>2.1067144205718001E-2</v>
          </cell>
        </row>
        <row r="766">
          <cell r="A766" t="str">
            <v>RHSA-WHNGABR</v>
          </cell>
          <cell r="B766" t="str">
            <v>VAR_cap</v>
          </cell>
          <cell r="C766" t="str">
            <v>-</v>
          </cell>
          <cell r="D766">
            <v>0.43610075802020798</v>
          </cell>
          <cell r="E766">
            <v>0.43609917735318754</v>
          </cell>
          <cell r="F766">
            <v>0.43609735997989491</v>
          </cell>
          <cell r="G766">
            <v>0.43609639975367326</v>
          </cell>
          <cell r="H766">
            <v>0.2489049612208904</v>
          </cell>
          <cell r="I766">
            <v>0.20999776859762512</v>
          </cell>
          <cell r="J766">
            <v>0.13235469095710403</v>
          </cell>
        </row>
        <row r="767">
          <cell r="A767" t="str">
            <v>ITOT-SWHWSTBR</v>
          </cell>
          <cell r="B767" t="str">
            <v>VAR_fout</v>
          </cell>
          <cell r="C767" t="str">
            <v>ITOT-SWH</v>
          </cell>
          <cell r="D767">
            <v>4.1173680544385762</v>
          </cell>
          <cell r="E767">
            <v>4.2663195310465181</v>
          </cell>
          <cell r="F767">
            <v>5.8273522521345233</v>
          </cell>
          <cell r="G767">
            <v>5.7625103449308108</v>
          </cell>
          <cell r="H767">
            <v>5.694996388200936</v>
          </cell>
          <cell r="I767">
            <v>5.6683123432779032</v>
          </cell>
          <cell r="J767">
            <v>5.7825370182260913</v>
          </cell>
        </row>
        <row r="768">
          <cell r="A768" t="str">
            <v>ITOT-SWHWSTBR</v>
          </cell>
          <cell r="B768" t="str">
            <v>VAR_fout</v>
          </cell>
          <cell r="C768" t="str">
            <v>CO2_I</v>
          </cell>
          <cell r="D768">
            <v>723.65862774980997</v>
          </cell>
          <cell r="E768">
            <v>749.83797818393305</v>
          </cell>
          <cell r="F768">
            <v>1024.20130492061</v>
          </cell>
          <cell r="G768">
            <v>1012.80484850299</v>
          </cell>
          <cell r="H768">
            <v>1000.93875913835</v>
          </cell>
          <cell r="I768">
            <v>996.24883609126698</v>
          </cell>
          <cell r="J768">
            <v>986.43278546209797</v>
          </cell>
        </row>
        <row r="769">
          <cell r="A769" t="str">
            <v>ITOT-SWHWSTBR</v>
          </cell>
          <cell r="B769" t="str">
            <v>VAR_fin</v>
          </cell>
          <cell r="C769" t="str">
            <v>IWST</v>
          </cell>
          <cell r="D769">
            <v>7.7980455576488188</v>
          </cell>
          <cell r="E769">
            <v>8.0801506269820464</v>
          </cell>
          <cell r="F769">
            <v>11.036651992679024</v>
          </cell>
          <cell r="G769">
            <v>10.913845350247737</v>
          </cell>
          <cell r="H769">
            <v>10.785978007956317</v>
          </cell>
          <cell r="I769">
            <v>10.735440044086936</v>
          </cell>
          <cell r="J769">
            <v>10.62966363644502</v>
          </cell>
        </row>
        <row r="770">
          <cell r="A770" t="str">
            <v>ITOT-SWHWSTBR</v>
          </cell>
          <cell r="B770" t="str">
            <v>VAR_ncap</v>
          </cell>
          <cell r="C770" t="str">
            <v>-</v>
          </cell>
          <cell r="E770">
            <v>1.4492271491925E-6</v>
          </cell>
          <cell r="F770">
            <v>1.7928553444033201E-6</v>
          </cell>
          <cell r="G770">
            <v>2.1562880335145002E-6</v>
          </cell>
          <cell r="H770">
            <v>0.22513755910768099</v>
          </cell>
          <cell r="I770">
            <v>8.9473591554761603E-2</v>
          </cell>
          <cell r="J770">
            <v>0.177540418931776</v>
          </cell>
        </row>
        <row r="771">
          <cell r="A771" t="str">
            <v>ITOT-SWHWSTBR</v>
          </cell>
          <cell r="B771" t="str">
            <v>VAR_cap</v>
          </cell>
          <cell r="C771" t="str">
            <v>-</v>
          </cell>
          <cell r="D771">
            <v>0.35954682816669398</v>
          </cell>
          <cell r="E771">
            <v>0.35954187196553883</v>
          </cell>
          <cell r="F771">
            <v>0.35953735699452749</v>
          </cell>
          <cell r="G771">
            <v>0.35953224111943305</v>
          </cell>
          <cell r="H771">
            <v>0.3183741889175658</v>
          </cell>
          <cell r="I771">
            <v>0.31460931421447713</v>
          </cell>
          <cell r="J771">
            <v>0.33770378359780873</v>
          </cell>
        </row>
        <row r="772">
          <cell r="A772" t="str">
            <v>SCOM-SHSTG-ELC</v>
          </cell>
          <cell r="B772" t="str">
            <v>VAR_fout</v>
          </cell>
          <cell r="C772" t="str">
            <v>SCOM-SHAELCB</v>
          </cell>
          <cell r="D772">
            <v>8.1362906319733551E-6</v>
          </cell>
          <cell r="E772">
            <v>3.6420947938498171E-5</v>
          </cell>
          <cell r="F772">
            <v>1.6161075110592537E-5</v>
          </cell>
          <cell r="G772">
            <v>6.9798662515752865E-6</v>
          </cell>
          <cell r="H772">
            <v>6.2700290252831672E-6</v>
          </cell>
          <cell r="I772">
            <v>6.3779802307236908E-6</v>
          </cell>
          <cell r="J772">
            <v>1.1849439430655224E-7</v>
          </cell>
        </row>
        <row r="773">
          <cell r="A773" t="str">
            <v>SCOM-SHSTG-ELC</v>
          </cell>
          <cell r="B773" t="str">
            <v>VAR_fin</v>
          </cell>
          <cell r="C773" t="str">
            <v>SCOM-SHAELCB</v>
          </cell>
          <cell r="D773">
            <v>6.8355968396402209E-6</v>
          </cell>
          <cell r="E773">
            <v>4.9877347121680985E-5</v>
          </cell>
          <cell r="F773">
            <v>1.9593923862400651E-5</v>
          </cell>
          <cell r="G773">
            <v>8.6215733030372296E-6</v>
          </cell>
          <cell r="H773">
            <v>7.5781881185527127E-6</v>
          </cell>
          <cell r="I773">
            <v>7.2164488375419224E-6</v>
          </cell>
        </row>
        <row r="774">
          <cell r="A774" t="str">
            <v>SCOM-SHSTG-ELC</v>
          </cell>
          <cell r="B774" t="str">
            <v>VAR_ncap</v>
          </cell>
          <cell r="C774" t="str">
            <v>-</v>
          </cell>
          <cell r="D774">
            <v>3.9258507858647299E-3</v>
          </cell>
          <cell r="E774">
            <v>1.42583265826942E-2</v>
          </cell>
          <cell r="F774">
            <v>3.6102936906438401E-6</v>
          </cell>
          <cell r="G774">
            <v>7.2086509103585297E-6</v>
          </cell>
          <cell r="H774">
            <v>1.00975079665159E-3</v>
          </cell>
          <cell r="I774">
            <v>5.5251053134608196E-3</v>
          </cell>
          <cell r="J774">
            <v>3.7083056957650602E-4</v>
          </cell>
        </row>
        <row r="775">
          <cell r="A775" t="str">
            <v>SCOM-SHSTG-ELC</v>
          </cell>
          <cell r="B775" t="str">
            <v>VAR_cap</v>
          </cell>
          <cell r="C775" t="str">
            <v>-</v>
          </cell>
          <cell r="D775">
            <v>3.9258507858647299E-3</v>
          </cell>
          <cell r="E775">
            <v>1.8175774076611917E-2</v>
          </cell>
          <cell r="F775">
            <v>1.7298738014399649E-2</v>
          </cell>
          <cell r="G775">
            <v>1.0683343487200899E-2</v>
          </cell>
          <cell r="H775">
            <v>6.3641540014384096E-3</v>
          </cell>
          <cell r="I775">
            <v>6.5299245280327975E-3</v>
          </cell>
          <cell r="J775">
            <v>4.7905378207789128E-3</v>
          </cell>
        </row>
        <row r="776">
          <cell r="A776" t="str">
            <v>SCOM-SHNGABR</v>
          </cell>
          <cell r="B776" t="str">
            <v>VAR_fout</v>
          </cell>
          <cell r="C776" t="str">
            <v>CO2_S</v>
          </cell>
          <cell r="D776">
            <v>1440.9459833399401</v>
          </cell>
          <cell r="E776">
            <v>1508.68769510365</v>
          </cell>
          <cell r="F776">
            <v>1354.3988583468399</v>
          </cell>
          <cell r="G776">
            <v>1179.9880889321</v>
          </cell>
          <cell r="H776">
            <v>988.36931609475096</v>
          </cell>
          <cell r="I776">
            <v>795.20471851204798</v>
          </cell>
          <cell r="J776">
            <v>465.81614631755298</v>
          </cell>
        </row>
        <row r="777">
          <cell r="A777" t="str">
            <v>SCOM-SHNGABR</v>
          </cell>
          <cell r="B777" t="str">
            <v>VAR_fout</v>
          </cell>
          <cell r="C777" t="str">
            <v>SCOM-SHNGA</v>
          </cell>
          <cell r="D777">
            <v>24.189714900644145</v>
          </cell>
          <cell r="E777">
            <v>25.326921092542829</v>
          </cell>
          <cell r="F777">
            <v>20.5470425238986</v>
          </cell>
          <cell r="G777">
            <v>18.075175015545405</v>
          </cell>
          <cell r="H777">
            <v>15.165487718011574</v>
          </cell>
          <cell r="I777">
            <v>12.201580113342146</v>
          </cell>
          <cell r="J777">
            <v>7.1474588807986725</v>
          </cell>
        </row>
        <row r="778">
          <cell r="A778" t="str">
            <v>SCOM-SHNGABR</v>
          </cell>
          <cell r="B778" t="str">
            <v>VAR_fin</v>
          </cell>
          <cell r="C778" t="str">
            <v>SNGA</v>
          </cell>
          <cell r="D778">
            <v>25.54868764787135</v>
          </cell>
          <cell r="E778">
            <v>26.749781828078916</v>
          </cell>
          <cell r="F778">
            <v>24.014164155085886</v>
          </cell>
          <cell r="G778">
            <v>20.92177462645563</v>
          </cell>
          <cell r="H778">
            <v>17.52427865416227</v>
          </cell>
          <cell r="I778">
            <v>14.099374441702965</v>
          </cell>
          <cell r="J778">
            <v>8.2591515304530745</v>
          </cell>
        </row>
        <row r="779">
          <cell r="A779" t="str">
            <v>SCOM-SHNGABR</v>
          </cell>
          <cell r="B779" t="str">
            <v>VAR_ncap</v>
          </cell>
          <cell r="C779" t="str">
            <v>-</v>
          </cell>
          <cell r="D779">
            <v>5.5688919380623699E-8</v>
          </cell>
          <cell r="E779">
            <v>1.3072988736704301E-7</v>
          </cell>
          <cell r="F779">
            <v>1.15745871262084E-7</v>
          </cell>
          <cell r="G779">
            <v>2.0984510685494E-7</v>
          </cell>
          <cell r="H779">
            <v>0.50360470893345399</v>
          </cell>
          <cell r="I779">
            <v>0.63561370097884495</v>
          </cell>
          <cell r="J779">
            <v>2.7203941263451398E-2</v>
          </cell>
        </row>
        <row r="780">
          <cell r="A780" t="str">
            <v>SCOM-SHNGABR</v>
          </cell>
          <cell r="B780" t="str">
            <v>VAR_cap</v>
          </cell>
          <cell r="C780" t="str">
            <v>-</v>
          </cell>
          <cell r="D780">
            <v>2.7746815535641391</v>
          </cell>
          <cell r="E780">
            <v>2.7746679456434129</v>
          </cell>
          <cell r="F780">
            <v>2.7746565663103984</v>
          </cell>
          <cell r="G780">
            <v>2.7746532885591715</v>
          </cell>
          <cell r="H780">
            <v>1.2231677162578904</v>
          </cell>
          <cell r="I780">
            <v>1.1392181731023341</v>
          </cell>
          <cell r="J780">
            <v>0.70151189764988686</v>
          </cell>
        </row>
        <row r="781">
          <cell r="A781" t="str">
            <v>RHEM-SHELCHP</v>
          </cell>
          <cell r="B781" t="str">
            <v>VAR_fout</v>
          </cell>
          <cell r="C781" t="str">
            <v>RHEM-SHAELCH</v>
          </cell>
          <cell r="D781">
            <v>9.9025308214983543</v>
          </cell>
          <cell r="E781">
            <v>11.655198161598323</v>
          </cell>
          <cell r="F781">
            <v>9.6234113241394041</v>
          </cell>
          <cell r="G781">
            <v>13.22590301199755</v>
          </cell>
          <cell r="H781">
            <v>15.510883816352161</v>
          </cell>
          <cell r="I781">
            <v>17.466701178890862</v>
          </cell>
          <cell r="J781">
            <v>21.579142685052656</v>
          </cell>
        </row>
        <row r="782">
          <cell r="A782" t="str">
            <v>RHEM-SHELCHP</v>
          </cell>
          <cell r="B782" t="str">
            <v>VAR_fin</v>
          </cell>
          <cell r="C782" t="str">
            <v>RHEMELCHPC</v>
          </cell>
          <cell r="D782">
            <v>9.9025308214983543</v>
          </cell>
          <cell r="E782">
            <v>11.655198161598323</v>
          </cell>
          <cell r="F782">
            <v>9.6234113241394041</v>
          </cell>
          <cell r="G782">
            <v>13.22590301199755</v>
          </cell>
          <cell r="H782">
            <v>15.510883816352161</v>
          </cell>
          <cell r="I782">
            <v>17.466701178890862</v>
          </cell>
          <cell r="J782">
            <v>21.579142685052656</v>
          </cell>
        </row>
        <row r="783">
          <cell r="A783" t="str">
            <v>RHEM-SHELCHP</v>
          </cell>
          <cell r="B783" t="str">
            <v>VAR_fin</v>
          </cell>
          <cell r="C783" t="str">
            <v>RHEM_ELC</v>
          </cell>
          <cell r="D783">
            <v>3.0945408817182347</v>
          </cell>
          <cell r="E783">
            <v>3.5825404185240748</v>
          </cell>
          <cell r="F783">
            <v>3.1035416647441769</v>
          </cell>
          <cell r="G783">
            <v>4.0066372862386608</v>
          </cell>
          <cell r="H783">
            <v>4.5169642086530288</v>
          </cell>
          <cell r="I783">
            <v>4.9092110103052304</v>
          </cell>
          <cell r="J783">
            <v>5.5951423833858263</v>
          </cell>
        </row>
        <row r="784">
          <cell r="A784" t="str">
            <v>RHEM-SHELCHP</v>
          </cell>
          <cell r="B784" t="str">
            <v>VAR_ncap</v>
          </cell>
          <cell r="C784" t="str">
            <v>-</v>
          </cell>
          <cell r="D784">
            <v>2.3377229151016999E-7</v>
          </cell>
          <cell r="E784">
            <v>0.123762363941017</v>
          </cell>
          <cell r="F784">
            <v>6.0081750369690006E-8</v>
          </cell>
          <cell r="G784">
            <v>0.110921132986798</v>
          </cell>
          <cell r="H784">
            <v>0.73961855688330302</v>
          </cell>
          <cell r="I784">
            <v>0.41801596576858702</v>
          </cell>
          <cell r="J784">
            <v>0.90756107560015298</v>
          </cell>
        </row>
        <row r="785">
          <cell r="A785" t="str">
            <v>RHEM-SHELCHP</v>
          </cell>
          <cell r="B785" t="str">
            <v>VAR_cap</v>
          </cell>
          <cell r="C785" t="str">
            <v>-</v>
          </cell>
          <cell r="D785">
            <v>0.69925218416429058</v>
          </cell>
          <cell r="E785">
            <v>0.8230145344919102</v>
          </cell>
          <cell r="F785">
            <v>0.82301395147959777</v>
          </cell>
          <cell r="G785">
            <v>0.93393562769729921</v>
          </cell>
          <cell r="H785">
            <v>1.0952886494775167</v>
          </cell>
          <cell r="I785">
            <v>1.2333920699831853</v>
          </cell>
          <cell r="J785">
            <v>1.5237839338926904</v>
          </cell>
        </row>
        <row r="786">
          <cell r="A786" t="str">
            <v>RHNM-SHSTG-ELC</v>
          </cell>
          <cell r="B786" t="str">
            <v>VAR_fout</v>
          </cell>
          <cell r="C786" t="str">
            <v>RHNM-SHAELCB</v>
          </cell>
          <cell r="E786">
            <v>2.3459512732977413E-2</v>
          </cell>
          <cell r="F786">
            <v>5.3058802423173296E-4</v>
          </cell>
          <cell r="G786">
            <v>9.9363810912639306E-4</v>
          </cell>
          <cell r="H786">
            <v>8.6872098729821607E-4</v>
          </cell>
          <cell r="I786">
            <v>1.152914219157098E-3</v>
          </cell>
          <cell r="J786">
            <v>1.0753600504912217E-3</v>
          </cell>
        </row>
        <row r="787">
          <cell r="A787" t="str">
            <v>RHNM-SHSTG-ELC</v>
          </cell>
          <cell r="B787" t="str">
            <v>VAR_fout</v>
          </cell>
          <cell r="C787" t="str">
            <v>AUX_RHNM-SHSTG-ELC_OUT</v>
          </cell>
          <cell r="E787">
            <v>2.3482972245710367E-2</v>
          </cell>
          <cell r="F787">
            <v>5.3111861225596448E-4</v>
          </cell>
          <cell r="G787">
            <v>9.946317472355195E-4</v>
          </cell>
          <cell r="H787">
            <v>8.6958970828551437E-4</v>
          </cell>
          <cell r="I787">
            <v>1.1540671333762549E-3</v>
          </cell>
          <cell r="J787">
            <v>1.0764354105417125E-3</v>
          </cell>
        </row>
        <row r="788">
          <cell r="A788" t="str">
            <v>RHNM-SHSTG-ELC</v>
          </cell>
          <cell r="B788" t="str">
            <v>VAR_fin</v>
          </cell>
          <cell r="C788" t="str">
            <v>RHNM-SHAELCB</v>
          </cell>
          <cell r="E788">
            <v>2.345811012007849E-2</v>
          </cell>
          <cell r="F788">
            <v>5.2911902363287808E-4</v>
          </cell>
          <cell r="G788">
            <v>9.9220939530296655E-4</v>
          </cell>
          <cell r="H788">
            <v>8.6805440226168191E-4</v>
          </cell>
          <cell r="I788">
            <v>1.1521210509506975E-3</v>
          </cell>
          <cell r="J788">
            <v>1.0754231094074937E-3</v>
          </cell>
        </row>
        <row r="789">
          <cell r="A789" t="str">
            <v>RHNM-SHSTG-ELC</v>
          </cell>
          <cell r="B789" t="str">
            <v>VAR_ncap</v>
          </cell>
          <cell r="C789" t="str">
            <v>-</v>
          </cell>
          <cell r="D789">
            <v>2.01469794317124E-4</v>
          </cell>
          <cell r="E789">
            <v>2.2359161090992502E-3</v>
          </cell>
          <cell r="F789">
            <v>9.0321522083130801E-5</v>
          </cell>
          <cell r="G789">
            <v>1.16735151817897E-5</v>
          </cell>
          <cell r="H789">
            <v>3.3068995461932099E-4</v>
          </cell>
          <cell r="I789">
            <v>2.3755846393633198E-5</v>
          </cell>
          <cell r="J789">
            <v>9.7441573413550008E-6</v>
          </cell>
        </row>
        <row r="790">
          <cell r="A790" t="str">
            <v>RHNM-SHSTG-ELC</v>
          </cell>
          <cell r="B790" t="str">
            <v>VAR_cap</v>
          </cell>
          <cell r="C790" t="str">
            <v>-</v>
          </cell>
          <cell r="D790">
            <v>2.01469794317124E-4</v>
          </cell>
          <cell r="E790">
            <v>2.4349745304397753E-3</v>
          </cell>
          <cell r="F790">
            <v>1.22274446727558E-3</v>
          </cell>
          <cell r="G790">
            <v>1.0679758764490302E-3</v>
          </cell>
          <cell r="H790">
            <v>8.8225997149492599E-4</v>
          </cell>
          <cell r="I790">
            <v>3.3935617367516059E-4</v>
          </cell>
          <cell r="J790">
            <v>1.4354115638646998E-4</v>
          </cell>
        </row>
        <row r="791">
          <cell r="A791" t="str">
            <v>D-RWOD</v>
          </cell>
          <cell r="B791" t="str">
            <v>VAR_fout</v>
          </cell>
          <cell r="C791" t="str">
            <v>RWOD</v>
          </cell>
          <cell r="D791">
            <v>13.722996182627357</v>
          </cell>
          <cell r="E791">
            <v>13.882341117139855</v>
          </cell>
          <cell r="F791">
            <v>16.367566608176794</v>
          </cell>
          <cell r="G791">
            <v>15.497554640874373</v>
          </cell>
          <cell r="H791">
            <v>13.993119004726987</v>
          </cell>
          <cell r="I791">
            <v>12.744310816309323</v>
          </cell>
          <cell r="J791">
            <v>10.108035173645831</v>
          </cell>
        </row>
        <row r="792">
          <cell r="A792" t="str">
            <v>D-RWOD</v>
          </cell>
          <cell r="B792" t="str">
            <v>VAR_fin</v>
          </cell>
          <cell r="C792" t="str">
            <v>WOD</v>
          </cell>
          <cell r="D792">
            <v>13.722996182627357</v>
          </cell>
          <cell r="E792">
            <v>13.882341117139855</v>
          </cell>
          <cell r="F792">
            <v>16.367566608176794</v>
          </cell>
          <cell r="G792">
            <v>15.497554640874373</v>
          </cell>
          <cell r="H792">
            <v>13.993119004726987</v>
          </cell>
          <cell r="I792">
            <v>12.744310816309323</v>
          </cell>
          <cell r="J792">
            <v>10.108035173645831</v>
          </cell>
        </row>
        <row r="793">
          <cell r="A793" t="str">
            <v>RHNS-SHLTHCHPWOD</v>
          </cell>
          <cell r="B793" t="str">
            <v>VAR_ncap</v>
          </cell>
          <cell r="C793" t="str">
            <v>-</v>
          </cell>
          <cell r="G793">
            <v>2.19691986644669E-6</v>
          </cell>
          <cell r="H793">
            <v>3.5616917002796501E-6</v>
          </cell>
          <cell r="I793">
            <v>2.1700320658973498E-6</v>
          </cell>
          <cell r="J793">
            <v>1.1384580447522801E-6</v>
          </cell>
        </row>
        <row r="794">
          <cell r="A794" t="str">
            <v>RHNS-SHLTHCHPWOD</v>
          </cell>
          <cell r="B794" t="str">
            <v>VAR_cap</v>
          </cell>
          <cell r="C794" t="str">
            <v>-</v>
          </cell>
          <cell r="G794">
            <v>2.19691986644669E-6</v>
          </cell>
          <cell r="H794">
            <v>4.6111376790152904E-6</v>
          </cell>
          <cell r="I794">
            <v>3.9216225265610099E-6</v>
          </cell>
          <cell r="J794">
            <v>1.9385611930681702E-6</v>
          </cell>
        </row>
        <row r="795">
          <cell r="A795" t="str">
            <v>RHNM-SHELCBR</v>
          </cell>
          <cell r="B795" t="str">
            <v>VAR_fout</v>
          </cell>
          <cell r="C795" t="str">
            <v>RHNM-SHAELCB</v>
          </cell>
          <cell r="E795">
            <v>0.15438659894549148</v>
          </cell>
          <cell r="F795">
            <v>1.350956598447669E-3</v>
          </cell>
          <cell r="G795">
            <v>3.8196717426925821E-3</v>
          </cell>
          <cell r="H795">
            <v>5.1230695775825851E-3</v>
          </cell>
          <cell r="I795">
            <v>5.9063576112642251E-3</v>
          </cell>
          <cell r="J795">
            <v>7.4758273663606146E-3</v>
          </cell>
        </row>
        <row r="796">
          <cell r="A796" t="str">
            <v>RHNM-SHELCBR</v>
          </cell>
          <cell r="B796" t="str">
            <v>VAR_fin</v>
          </cell>
          <cell r="C796" t="str">
            <v>RHNM_ELC</v>
          </cell>
          <cell r="E796">
            <v>0.16251220941630673</v>
          </cell>
          <cell r="F796">
            <v>1.4220595773133361E-3</v>
          </cell>
          <cell r="G796">
            <v>4.0207070975711353E-3</v>
          </cell>
          <cell r="H796">
            <v>5.3927048185079896E-3</v>
          </cell>
          <cell r="I796">
            <v>6.2172185381728726E-3</v>
          </cell>
          <cell r="J796">
            <v>7.8692919645901287E-3</v>
          </cell>
        </row>
        <row r="797">
          <cell r="A797" t="str">
            <v>RHNM-SHELCBR</v>
          </cell>
          <cell r="B797" t="str">
            <v>VAR_ncap</v>
          </cell>
          <cell r="C797" t="str">
            <v>-</v>
          </cell>
          <cell r="E797">
            <v>1.2012356929741499E-2</v>
          </cell>
          <cell r="H797">
            <v>1.4403090765122801E-3</v>
          </cell>
        </row>
        <row r="798">
          <cell r="A798" t="str">
            <v>RHNM-SHELCBR</v>
          </cell>
          <cell r="B798" t="str">
            <v>VAR_cap</v>
          </cell>
          <cell r="C798" t="str">
            <v>-</v>
          </cell>
          <cell r="E798">
            <v>1.2012356929741499E-2</v>
          </cell>
          <cell r="F798">
            <v>5.1975741927703187E-3</v>
          </cell>
          <cell r="G798">
            <v>4.5381903010538894E-3</v>
          </cell>
          <cell r="H798">
            <v>3.7521056273285298E-3</v>
          </cell>
          <cell r="I798">
            <v>1.4402183588580202E-3</v>
          </cell>
          <cell r="J798">
            <v>6.0910001869692693E-4</v>
          </cell>
        </row>
        <row r="799">
          <cell r="A799" t="str">
            <v>RHNS-SHSTG-NGAHP</v>
          </cell>
          <cell r="B799" t="str">
            <v>VAR_fout</v>
          </cell>
          <cell r="C799" t="str">
            <v>RHNS-SHANGAH</v>
          </cell>
          <cell r="F799">
            <v>7.2326017492354592E-3</v>
          </cell>
          <cell r="G799">
            <v>2.5958260371447533E-2</v>
          </cell>
          <cell r="H799">
            <v>3.793640166073256E-2</v>
          </cell>
          <cell r="I799">
            <v>4.5654504983775955E-2</v>
          </cell>
          <cell r="J799">
            <v>6.1718649259432587E-2</v>
          </cell>
        </row>
        <row r="800">
          <cell r="A800" t="str">
            <v>RHNS-SHSTG-NGAHP</v>
          </cell>
          <cell r="B800" t="str">
            <v>VAR_fout</v>
          </cell>
          <cell r="C800" t="str">
            <v>AUX_RHNS-SHSTG-NGAHP_OUT</v>
          </cell>
          <cell r="F800">
            <v>7.239834350984695E-3</v>
          </cell>
          <cell r="G800">
            <v>2.5984218631818972E-2</v>
          </cell>
          <cell r="H800">
            <v>3.7974338062393281E-2</v>
          </cell>
          <cell r="I800">
            <v>4.5700159488759717E-2</v>
          </cell>
          <cell r="J800">
            <v>6.1780367908692041E-2</v>
          </cell>
        </row>
        <row r="801">
          <cell r="A801" t="str">
            <v>RHNS-SHSTG-NGAHP</v>
          </cell>
          <cell r="B801" t="str">
            <v>VAR_fin</v>
          </cell>
          <cell r="C801" t="str">
            <v>RHNS-SHANGAH</v>
          </cell>
          <cell r="F801">
            <v>7.2455451976143797E-3</v>
          </cell>
          <cell r="G801">
            <v>2.5968956101271472E-2</v>
          </cell>
          <cell r="H801">
            <v>3.7942753097109233E-2</v>
          </cell>
          <cell r="I801">
            <v>4.5661277881458913E-2</v>
          </cell>
          <cell r="J801">
            <v>6.1725336993886916E-2</v>
          </cell>
        </row>
        <row r="802">
          <cell r="A802" t="str">
            <v>RHNS-SHSTG-NGAHP</v>
          </cell>
          <cell r="B802" t="str">
            <v>VAR_ncap</v>
          </cell>
          <cell r="C802" t="str">
            <v>-</v>
          </cell>
          <cell r="D802">
            <v>2.37427598075202E-6</v>
          </cell>
          <cell r="E802">
            <v>3.43862785794108E-6</v>
          </cell>
          <cell r="F802">
            <v>2.1451407450883901E-3</v>
          </cell>
          <cell r="G802">
            <v>4.7811758099429004E-3</v>
          </cell>
          <cell r="H802">
            <v>3.0488395555876E-3</v>
          </cell>
          <cell r="I802">
            <v>5.8172993227092098E-3</v>
          </cell>
          <cell r="J802">
            <v>1.1236417559480899E-2</v>
          </cell>
        </row>
        <row r="803">
          <cell r="A803" t="str">
            <v>RHNS-SHSTG-NGAHP</v>
          </cell>
          <cell r="B803" t="str">
            <v>VAR_cap</v>
          </cell>
          <cell r="C803" t="str">
            <v>-</v>
          </cell>
          <cell r="D803">
            <v>2.37427598075202E-6</v>
          </cell>
          <cell r="E803">
            <v>3.4495045143778985E-7</v>
          </cell>
          <cell r="F803">
            <v>2.144848540388153E-3</v>
          </cell>
          <cell r="G803">
            <v>6.9253885242626127E-3</v>
          </cell>
          <cell r="H803">
            <v>9.9632335911700835E-3</v>
          </cell>
          <cell r="I803">
            <v>1.2496627074607695E-2</v>
          </cell>
          <cell r="J803">
            <v>1.6737671196031846E-2</v>
          </cell>
        </row>
        <row r="804">
          <cell r="A804" t="str">
            <v>RHNS-SHLTHDH</v>
          </cell>
          <cell r="B804" t="str">
            <v>VAR_fout</v>
          </cell>
          <cell r="C804" t="str">
            <v>RHNS-SHLTHD</v>
          </cell>
          <cell r="E804">
            <v>5.3922243184483298E-2</v>
          </cell>
          <cell r="F804">
            <v>4.1011425430080564E-3</v>
          </cell>
          <cell r="G804">
            <v>6.5639675716872804E-3</v>
          </cell>
          <cell r="H804">
            <v>8.5810744891287975E-3</v>
          </cell>
          <cell r="I804">
            <v>1.036838731732311E-2</v>
          </cell>
          <cell r="J804">
            <v>1.281722955619893E-2</v>
          </cell>
        </row>
        <row r="805">
          <cell r="A805" t="str">
            <v>RHNS-SHLTHDH</v>
          </cell>
          <cell r="B805" t="str">
            <v>VAR_fin</v>
          </cell>
          <cell r="C805" t="str">
            <v>RHNS_LTH_DH</v>
          </cell>
          <cell r="E805">
            <v>5.4466912307558943E-2</v>
          </cell>
          <cell r="F805">
            <v>4.5359512516003819E-3</v>
          </cell>
          <cell r="G805">
            <v>7.2450137821379679E-3</v>
          </cell>
          <cell r="H805">
            <v>9.4539097022121737E-3</v>
          </cell>
          <cell r="I805">
            <v>1.1406278450731302E-2</v>
          </cell>
          <cell r="J805">
            <v>1.4097829013283216E-2</v>
          </cell>
        </row>
        <row r="806">
          <cell r="A806" t="str">
            <v>RHNS-SHLTHDH</v>
          </cell>
          <cell r="B806" t="str">
            <v>VAR_fin</v>
          </cell>
          <cell r="C806" t="str">
            <v>RHNSLTHDHC</v>
          </cell>
          <cell r="E806">
            <v>5.3922243184483298E-2</v>
          </cell>
          <cell r="F806">
            <v>4.1011425430080564E-3</v>
          </cell>
          <cell r="G806">
            <v>6.5639675716872804E-3</v>
          </cell>
          <cell r="H806">
            <v>8.5810744891287975E-3</v>
          </cell>
          <cell r="I806">
            <v>1.036838731732311E-2</v>
          </cell>
          <cell r="J806">
            <v>1.281722955619893E-2</v>
          </cell>
        </row>
        <row r="807">
          <cell r="A807" t="str">
            <v>RHNS-SHLTHDH</v>
          </cell>
          <cell r="B807" t="str">
            <v>VAR_ncap</v>
          </cell>
          <cell r="C807" t="str">
            <v>-</v>
          </cell>
          <cell r="E807">
            <v>5.3354651007589404E-3</v>
          </cell>
          <cell r="F807">
            <v>5.5064724586719599E-3</v>
          </cell>
          <cell r="G807">
            <v>2.91408037560008E-3</v>
          </cell>
          <cell r="H807">
            <v>2.9298734369950299E-2</v>
          </cell>
          <cell r="I807">
            <v>9.7953460896583397E-3</v>
          </cell>
          <cell r="J807">
            <v>4.2648068348909602E-4</v>
          </cell>
        </row>
        <row r="808">
          <cell r="A808" t="str">
            <v>RHNS-SHLTHDH</v>
          </cell>
          <cell r="B808" t="str">
            <v>VAR_cap</v>
          </cell>
          <cell r="C808" t="str">
            <v>-</v>
          </cell>
          <cell r="E808">
            <v>5.3354651007589404E-3</v>
          </cell>
          <cell r="F808">
            <v>7.9105838198784608E-3</v>
          </cell>
          <cell r="G808">
            <v>5.87208634703827E-3</v>
          </cell>
          <cell r="H808">
            <v>3.356173104758068E-2</v>
          </cell>
          <cell r="I808">
            <v>3.7493909892304299E-2</v>
          </cell>
          <cell r="J808">
            <v>2.172992290413199E-3</v>
          </cell>
        </row>
        <row r="809">
          <cell r="A809" t="str">
            <v>ITOT-SWHNGAHP</v>
          </cell>
          <cell r="B809" t="str">
            <v>VAR_fout</v>
          </cell>
          <cell r="C809" t="str">
            <v>ITOT-SWHANGAH</v>
          </cell>
          <cell r="F809">
            <v>2.642700299469216E-2</v>
          </cell>
          <cell r="G809">
            <v>2.7232758394501656E-2</v>
          </cell>
          <cell r="H809">
            <v>1.2728069284971022E-2</v>
          </cell>
          <cell r="I809">
            <v>0.14232722773976317</v>
          </cell>
          <cell r="J809">
            <v>0.1033640009270524</v>
          </cell>
        </row>
        <row r="810">
          <cell r="A810" t="str">
            <v>ITOT-SWHNGAHP</v>
          </cell>
          <cell r="B810" t="str">
            <v>VAR_fout</v>
          </cell>
          <cell r="C810" t="str">
            <v>CO2_I</v>
          </cell>
          <cell r="F810">
            <v>0.79052930679071198</v>
          </cell>
          <cell r="G810">
            <v>0.799021764792891</v>
          </cell>
          <cell r="H810">
            <v>0.366425703771184</v>
          </cell>
          <cell r="I810">
            <v>4.0218084213271101</v>
          </cell>
          <cell r="J810">
            <v>2.8168337093115898</v>
          </cell>
        </row>
        <row r="811">
          <cell r="A811" t="str">
            <v>ITOT-SWHNGAHP</v>
          </cell>
          <cell r="B811" t="str">
            <v>VAR_fin</v>
          </cell>
          <cell r="C811" t="str">
            <v>ITOTELCHPC</v>
          </cell>
          <cell r="F811">
            <v>2.642700299469216E-2</v>
          </cell>
          <cell r="G811">
            <v>2.7232758394501656E-2</v>
          </cell>
          <cell r="H811">
            <v>1.2728069284971022E-2</v>
          </cell>
          <cell r="I811">
            <v>0.14232722773976317</v>
          </cell>
          <cell r="J811">
            <v>0.1033640009270524</v>
          </cell>
        </row>
        <row r="812">
          <cell r="A812" t="str">
            <v>ITOT-SWHNGAHP</v>
          </cell>
          <cell r="B812" t="str">
            <v>VAR_fin</v>
          </cell>
          <cell r="C812" t="str">
            <v>INGA</v>
          </cell>
          <cell r="F812">
            <v>1.4016477070757295E-2</v>
          </cell>
          <cell r="G812">
            <v>1.4167052567249852E-2</v>
          </cell>
          <cell r="H812">
            <v>6.4969096413330521E-3</v>
          </cell>
          <cell r="I812">
            <v>7.1308659952608197E-2</v>
          </cell>
          <cell r="J812">
            <v>4.9943860094177041E-2</v>
          </cell>
        </row>
        <row r="813">
          <cell r="A813" t="str">
            <v>ITOT-SWHNGAHP</v>
          </cell>
          <cell r="B813" t="str">
            <v>VAR_ncap</v>
          </cell>
          <cell r="C813" t="str">
            <v>-</v>
          </cell>
          <cell r="E813">
            <v>1.48733475667684E-3</v>
          </cell>
          <cell r="F813">
            <v>1.9621509136356099E-5</v>
          </cell>
          <cell r="G813">
            <v>4.2318925798125303E-6</v>
          </cell>
          <cell r="H813">
            <v>8.3802821483340199E-6</v>
          </cell>
          <cell r="I813">
            <v>7.7681610886865503E-3</v>
          </cell>
          <cell r="J813">
            <v>6.2930400495448299E-6</v>
          </cell>
        </row>
        <row r="814">
          <cell r="A814" t="str">
            <v>ITOT-SWHNGAHP</v>
          </cell>
          <cell r="B814" t="str">
            <v>VAR_cap</v>
          </cell>
          <cell r="C814" t="str">
            <v>-</v>
          </cell>
          <cell r="E814">
            <v>1.48733475667684E-3</v>
          </cell>
          <cell r="F814">
            <v>1.5068196845644504E-3</v>
          </cell>
          <cell r="G814">
            <v>1.5108812864804953E-3</v>
          </cell>
          <cell r="H814">
            <v>7.9314666816771712E-4</v>
          </cell>
          <cell r="I814">
            <v>7.7823665463980507E-3</v>
          </cell>
          <cell r="J814">
            <v>5.6472040115120017E-3</v>
          </cell>
        </row>
        <row r="815">
          <cell r="A815" t="str">
            <v>RHSA-WHLFOBR</v>
          </cell>
          <cell r="B815" t="str">
            <v>VAR_fout</v>
          </cell>
          <cell r="C815" t="str">
            <v>CO2_R</v>
          </cell>
          <cell r="D815">
            <v>726.71233880881096</v>
          </cell>
          <cell r="E815">
            <v>611.83978968743895</v>
          </cell>
          <cell r="F815">
            <v>683.86181054192105</v>
          </cell>
          <cell r="G815">
            <v>434.66293770929002</v>
          </cell>
          <cell r="H815">
            <v>302.70275882150298</v>
          </cell>
          <cell r="I815">
            <v>238.240844107143</v>
          </cell>
          <cell r="J815">
            <v>106.61851103859701</v>
          </cell>
        </row>
        <row r="816">
          <cell r="A816" t="str">
            <v>RHSA-WHLFOBR</v>
          </cell>
          <cell r="B816" t="str">
            <v>VAR_fout</v>
          </cell>
          <cell r="C816" t="str">
            <v>RHSA-WHLFO</v>
          </cell>
          <cell r="D816">
            <v>6.9844582540421731</v>
          </cell>
          <cell r="E816">
            <v>5.9323000865782296</v>
          </cell>
          <cell r="F816">
            <v>4.6761390939225889</v>
          </cell>
          <cell r="G816">
            <v>3.1017927696240957</v>
          </cell>
          <cell r="H816">
            <v>2.2348957961090803</v>
          </cell>
          <cell r="I816">
            <v>1.787342897557235</v>
          </cell>
          <cell r="J816">
            <v>0.82112393365171088</v>
          </cell>
        </row>
        <row r="817">
          <cell r="A817" t="str">
            <v>RHSA-WHLFOBR</v>
          </cell>
          <cell r="B817" t="str">
            <v>VAR_fin</v>
          </cell>
          <cell r="C817" t="str">
            <v>RLFO</v>
          </cell>
          <cell r="D817">
            <v>9.8604116527654213</v>
          </cell>
          <cell r="E817">
            <v>8.3017610541036557</v>
          </cell>
          <cell r="F817">
            <v>9.2789933587777718</v>
          </cell>
          <cell r="G817">
            <v>5.8977332117949812</v>
          </cell>
          <cell r="H817">
            <v>4.1072287492741264</v>
          </cell>
          <cell r="I817">
            <v>3.2325759037604227</v>
          </cell>
          <cell r="J817">
            <v>1.4466555093432427</v>
          </cell>
        </row>
        <row r="818">
          <cell r="A818" t="str">
            <v>RHSA-WHLFOBR</v>
          </cell>
          <cell r="B818" t="str">
            <v>VAR_ncap</v>
          </cell>
          <cell r="C818" t="str">
            <v>-</v>
          </cell>
          <cell r="E818">
            <v>2.7822498894335399E-8</v>
          </cell>
          <cell r="F818">
            <v>2.4241944666567001E-8</v>
          </cell>
          <cell r="G818">
            <v>4.9853241502545902E-8</v>
          </cell>
          <cell r="H818">
            <v>4.1535833854484699E-2</v>
          </cell>
          <cell r="I818">
            <v>8.0630213134870302E-2</v>
          </cell>
        </row>
        <row r="819">
          <cell r="A819" t="str">
            <v>RHSA-WHLFOBR</v>
          </cell>
          <cell r="B819" t="str">
            <v>VAR_cap</v>
          </cell>
          <cell r="C819" t="str">
            <v>-</v>
          </cell>
          <cell r="D819">
            <v>0.47738433216181703</v>
          </cell>
          <cell r="E819">
            <v>0.45689174870563454</v>
          </cell>
          <cell r="F819">
            <v>0.43902724164701568</v>
          </cell>
          <cell r="G819">
            <v>0.4390011972085186</v>
          </cell>
          <cell r="H819">
            <v>0.15538368350550044</v>
          </cell>
          <cell r="I819">
            <v>0.12216600597785181</v>
          </cell>
          <cell r="J819">
            <v>6.9566927818415364E-2</v>
          </cell>
        </row>
        <row r="820">
          <cell r="A820" t="str">
            <v>D-IWST</v>
          </cell>
          <cell r="B820" t="str">
            <v>VAR_fout</v>
          </cell>
          <cell r="C820" t="str">
            <v>CO2</v>
          </cell>
          <cell r="D820">
            <v>1068.12878236547</v>
          </cell>
          <cell r="E820">
            <v>1094.4819841784099</v>
          </cell>
          <cell r="F820">
            <v>1024.6412594920901</v>
          </cell>
          <cell r="G820">
            <v>1013.1979718591</v>
          </cell>
          <cell r="H820">
            <v>1001.75486510258</v>
          </cell>
          <cell r="I820">
            <v>996.698291047005</v>
          </cell>
          <cell r="J820">
            <v>986.585127892983</v>
          </cell>
        </row>
        <row r="821">
          <cell r="A821" t="str">
            <v>D-IWST</v>
          </cell>
          <cell r="B821" t="str">
            <v>VAR_fout</v>
          </cell>
          <cell r="C821" t="str">
            <v>IWST</v>
          </cell>
          <cell r="D821">
            <v>11.510008430662419</v>
          </cell>
          <cell r="E821">
            <v>11.793986898474298</v>
          </cell>
          <cell r="F821">
            <v>11.041392882457835</v>
          </cell>
          <cell r="G821">
            <v>10.91808159330926</v>
          </cell>
          <cell r="H821">
            <v>10.794772253260559</v>
          </cell>
          <cell r="I821">
            <v>10.740283308696172</v>
          </cell>
          <cell r="J821">
            <v>10.631305257467478</v>
          </cell>
        </row>
        <row r="822">
          <cell r="A822" t="str">
            <v>D-IWST</v>
          </cell>
          <cell r="B822" t="str">
            <v>VAR_fin</v>
          </cell>
          <cell r="C822" t="str">
            <v>WSTNREN</v>
          </cell>
          <cell r="D822">
            <v>11.510008430662419</v>
          </cell>
          <cell r="E822">
            <v>11.793986898474298</v>
          </cell>
          <cell r="F822">
            <v>11.041392882457835</v>
          </cell>
          <cell r="G822">
            <v>10.91808159330926</v>
          </cell>
          <cell r="H822">
            <v>10.794772253260559</v>
          </cell>
          <cell r="I822">
            <v>10.740283308696172</v>
          </cell>
          <cell r="J822">
            <v>10.631305257467478</v>
          </cell>
        </row>
        <row r="823">
          <cell r="A823" t="str">
            <v>RHES-SHLFOBR</v>
          </cell>
          <cell r="B823" t="str">
            <v>VAR_fout</v>
          </cell>
          <cell r="C823" t="str">
            <v>CO2_R</v>
          </cell>
          <cell r="D823">
            <v>1783.6627964122099</v>
          </cell>
          <cell r="E823">
            <v>1640.9695176927601</v>
          </cell>
          <cell r="F823">
            <v>1268.43626846142</v>
          </cell>
          <cell r="G823">
            <v>812.78237537771997</v>
          </cell>
          <cell r="H823">
            <v>551.27818116813796</v>
          </cell>
          <cell r="I823">
            <v>386.81003362253102</v>
          </cell>
          <cell r="J823">
            <v>108.330671289251</v>
          </cell>
        </row>
        <row r="824">
          <cell r="A824" t="str">
            <v>RHES-SHLFOBR</v>
          </cell>
          <cell r="B824" t="str">
            <v>VAR_fout</v>
          </cell>
          <cell r="C824" t="str">
            <v>RHES-SHLFO</v>
          </cell>
          <cell r="D824">
            <v>21.680659273441051</v>
          </cell>
          <cell r="E824">
            <v>19.946203431928069</v>
          </cell>
          <cell r="F824">
            <v>14.636431577415307</v>
          </cell>
          <cell r="G824">
            <v>9.5255365438414739</v>
          </cell>
          <cell r="H824">
            <v>6.5348431739919901</v>
          </cell>
          <cell r="I824">
            <v>4.6077547669595686</v>
          </cell>
          <cell r="J824">
            <v>1.2947517719618822</v>
          </cell>
        </row>
        <row r="825">
          <cell r="A825" t="str">
            <v>RHES-SHLFOBR</v>
          </cell>
          <cell r="B825" t="str">
            <v>VAR_fin</v>
          </cell>
          <cell r="C825" t="str">
            <v>RLFO</v>
          </cell>
          <cell r="D825">
            <v>24.201666165701621</v>
          </cell>
          <cell r="E825">
            <v>22.265529412384808</v>
          </cell>
          <cell r="F825">
            <v>17.210804185365284</v>
          </cell>
          <cell r="G825">
            <v>11.028254754107465</v>
          </cell>
          <cell r="H825">
            <v>7.4800295952257532</v>
          </cell>
          <cell r="I825">
            <v>5.2484400762894206</v>
          </cell>
          <cell r="J825">
            <v>1.4698869917130373</v>
          </cell>
        </row>
        <row r="826">
          <cell r="A826" t="str">
            <v>RHES-SHLFOBR</v>
          </cell>
          <cell r="B826" t="str">
            <v>VAR_ncap</v>
          </cell>
          <cell r="C826" t="str">
            <v>-</v>
          </cell>
          <cell r="E826">
            <v>1.5814300917477999E-8</v>
          </cell>
          <cell r="F826">
            <v>1.5579360450329E-8</v>
          </cell>
          <cell r="G826">
            <v>3.4252618474154399E-8</v>
          </cell>
          <cell r="H826">
            <v>8.4546459781613806E-2</v>
          </cell>
          <cell r="I826">
            <v>0.28770747853020101</v>
          </cell>
          <cell r="J826">
            <v>2.0193244814949201E-8</v>
          </cell>
        </row>
        <row r="827">
          <cell r="A827" t="str">
            <v>RHES-SHLFOBR</v>
          </cell>
          <cell r="B827" t="str">
            <v>VAR_cap</v>
          </cell>
          <cell r="C827" t="str">
            <v>-</v>
          </cell>
          <cell r="D827">
            <v>1.7515307393373001</v>
          </cell>
          <cell r="E827">
            <v>1.7515196698299593</v>
          </cell>
          <cell r="F827">
            <v>1.7098722115754466</v>
          </cell>
          <cell r="G827">
            <v>1.7098652020202618</v>
          </cell>
          <cell r="H827">
            <v>0.52797328319720715</v>
          </cell>
          <cell r="I827">
            <v>0.37225391761976118</v>
          </cell>
          <cell r="J827">
            <v>0.11125563832670099</v>
          </cell>
        </row>
        <row r="828">
          <cell r="A828" t="str">
            <v>ITOT-SWHSTG</v>
          </cell>
          <cell r="B828" t="str">
            <v>VAR_fout</v>
          </cell>
          <cell r="C828" t="str">
            <v>ITOT-SWH</v>
          </cell>
          <cell r="D828">
            <v>3.1462681668827203E-6</v>
          </cell>
          <cell r="E828">
            <v>7.1609809254594527E-5</v>
          </cell>
          <cell r="F828">
            <v>1.1589102693310253E-3</v>
          </cell>
          <cell r="G828">
            <v>4.6870481600362797E-4</v>
          </cell>
          <cell r="H828">
            <v>1.0659940304128767E-3</v>
          </cell>
          <cell r="I828">
            <v>9.4374362047953541E-4</v>
          </cell>
          <cell r="J828">
            <v>3.4454711225630659E-3</v>
          </cell>
        </row>
        <row r="829">
          <cell r="A829" t="str">
            <v>ITOT-SWHSTG</v>
          </cell>
          <cell r="B829" t="str">
            <v>VAR_fout</v>
          </cell>
          <cell r="C829" t="str">
            <v>AUX_ITOT-STG_OUT</v>
          </cell>
          <cell r="D829">
            <v>3.1462681668827148E-6</v>
          </cell>
          <cell r="E829">
            <v>7.155132541262246E-5</v>
          </cell>
          <cell r="F829">
            <v>1.1574320674568777E-3</v>
          </cell>
          <cell r="G829">
            <v>4.6870481600362867E-4</v>
          </cell>
          <cell r="H829">
            <v>1.0648095926013082E-3</v>
          </cell>
          <cell r="I829">
            <v>9.4374362047953617E-4</v>
          </cell>
          <cell r="J829">
            <v>3.4454711225630663E-3</v>
          </cell>
        </row>
        <row r="830">
          <cell r="A830" t="str">
            <v>ITOT-SWHSTG</v>
          </cell>
          <cell r="B830" t="str">
            <v>VAR_fin</v>
          </cell>
          <cell r="C830" t="str">
            <v>AUX_ITOT-STG_IN</v>
          </cell>
          <cell r="D830">
            <v>3.8844038686740702E-6</v>
          </cell>
          <cell r="E830">
            <v>8.7112769578523007E-5</v>
          </cell>
          <cell r="F830">
            <v>1.3796550832848398E-3</v>
          </cell>
          <cell r="G830">
            <v>5.3874116762491766E-4</v>
          </cell>
          <cell r="H830">
            <v>1.1844378149960825E-3</v>
          </cell>
          <cell r="I830">
            <v>1.0147780857810323E-3</v>
          </cell>
          <cell r="J830">
            <v>3.4802738583215608E-3</v>
          </cell>
        </row>
        <row r="831">
          <cell r="A831" t="str">
            <v>ITOT-SWHSTG</v>
          </cell>
          <cell r="B831" t="str">
            <v>VAR_fin</v>
          </cell>
          <cell r="C831" t="str">
            <v>ITOT-SWH</v>
          </cell>
          <cell r="D831">
            <v>3.8844038686740702E-6</v>
          </cell>
          <cell r="E831">
            <v>8.7112769578523007E-5</v>
          </cell>
          <cell r="F831">
            <v>1.3796550832848398E-3</v>
          </cell>
          <cell r="G831">
            <v>5.3874116762491766E-4</v>
          </cell>
          <cell r="H831">
            <v>1.1844378149960825E-3</v>
          </cell>
          <cell r="I831">
            <v>1.0147780857810323E-3</v>
          </cell>
          <cell r="J831">
            <v>3.4802738583215608E-3</v>
          </cell>
        </row>
        <row r="832">
          <cell r="A832" t="str">
            <v>ITOT-SWHSTG</v>
          </cell>
          <cell r="B832" t="str">
            <v>VAR_ncap</v>
          </cell>
          <cell r="C832" t="str">
            <v>-</v>
          </cell>
          <cell r="D832">
            <v>2.6198790299127099E-4</v>
          </cell>
          <cell r="E832">
            <v>9.5666558762462294E-7</v>
          </cell>
          <cell r="F832">
            <v>1.06654749316858E-6</v>
          </cell>
          <cell r="G832">
            <v>7.3194310664575697E-7</v>
          </cell>
          <cell r="H832">
            <v>3.2783138102901699E-4</v>
          </cell>
          <cell r="I832">
            <v>2.29283154005773E-5</v>
          </cell>
          <cell r="J832">
            <v>4.0634121471459301E-4</v>
          </cell>
        </row>
        <row r="833">
          <cell r="A833" t="str">
            <v>ITOT-SWHSTG</v>
          </cell>
          <cell r="B833" t="str">
            <v>VAR_cap</v>
          </cell>
          <cell r="C833" t="str">
            <v>-</v>
          </cell>
          <cell r="D833">
            <v>2.6198790299127099E-4</v>
          </cell>
          <cell r="E833">
            <v>2.6267985736652232E-4</v>
          </cell>
          <cell r="F833">
            <v>2.6350633702826673E-4</v>
          </cell>
          <cell r="G833">
            <v>2.6366706409023538E-4</v>
          </cell>
          <cell r="H833">
            <v>3.9600010585527976E-4</v>
          </cell>
          <cell r="I833">
            <v>3.5036045199292906E-4</v>
          </cell>
          <cell r="J833">
            <v>5.6048911452507579E-4</v>
          </cell>
        </row>
        <row r="834">
          <cell r="A834" t="str">
            <v>SCOM-SHLFOBR</v>
          </cell>
          <cell r="B834" t="str">
            <v>VAR_fout</v>
          </cell>
          <cell r="C834" t="str">
            <v>CO2_S</v>
          </cell>
          <cell r="D834">
            <v>2229.91392988712</v>
          </cell>
          <cell r="E834">
            <v>1945.70741851398</v>
          </cell>
          <cell r="F834">
            <v>1994.1581622514</v>
          </cell>
          <cell r="G834">
            <v>1441.3650257311299</v>
          </cell>
          <cell r="H834">
            <v>1120.1626915608699</v>
          </cell>
          <cell r="I834">
            <v>899.84839860398495</v>
          </cell>
          <cell r="J834">
            <v>383.88235477196503</v>
          </cell>
        </row>
        <row r="835">
          <cell r="A835" t="str">
            <v>SCOM-SHLFOBR</v>
          </cell>
          <cell r="B835" t="str">
            <v>VAR_fout</v>
          </cell>
          <cell r="C835" t="str">
            <v>SCOM-SHLFO</v>
          </cell>
          <cell r="D835">
            <v>24.843069628867219</v>
          </cell>
          <cell r="E835">
            <v>21.719700361978994</v>
          </cell>
          <cell r="F835">
            <v>21.493883801556422</v>
          </cell>
          <cell r="G835">
            <v>15.849715032645875</v>
          </cell>
          <cell r="H835">
            <v>12.424579567967138</v>
          </cell>
          <cell r="I835">
            <v>9.9809055521962939</v>
          </cell>
          <cell r="J835">
            <v>4.257932260676152</v>
          </cell>
        </row>
        <row r="836">
          <cell r="A836" t="str">
            <v>SCOM-SHLFOBR</v>
          </cell>
          <cell r="B836" t="str">
            <v>VAR_fin</v>
          </cell>
          <cell r="C836" t="str">
            <v>SLFO</v>
          </cell>
          <cell r="D836">
            <v>30.256634055456193</v>
          </cell>
          <cell r="E836">
            <v>26.400372028683567</v>
          </cell>
          <cell r="F836">
            <v>27.057776964062349</v>
          </cell>
          <cell r="G836">
            <v>19.557191665279888</v>
          </cell>
          <cell r="H836">
            <v>15.198951038817778</v>
          </cell>
          <cell r="I836">
            <v>12.209611921356656</v>
          </cell>
          <cell r="J836">
            <v>5.2087158042328978</v>
          </cell>
        </row>
        <row r="837">
          <cell r="A837" t="str">
            <v>SCOM-SHLFOBR</v>
          </cell>
          <cell r="B837" t="str">
            <v>VAR_ncap</v>
          </cell>
          <cell r="C837" t="str">
            <v>-</v>
          </cell>
          <cell r="D837">
            <v>2.0306033124240299E-7</v>
          </cell>
          <cell r="E837">
            <v>1.23126981567458E-7</v>
          </cell>
          <cell r="F837">
            <v>9.3180723348508404E-8</v>
          </cell>
          <cell r="G837">
            <v>1.61562859752977E-7</v>
          </cell>
          <cell r="H837">
            <v>0.48299020413327198</v>
          </cell>
          <cell r="I837">
            <v>0.29176500191292898</v>
          </cell>
          <cell r="J837">
            <v>2.2799434292455599E-7</v>
          </cell>
        </row>
        <row r="838">
          <cell r="A838" t="str">
            <v>SCOM-SHLFOBR</v>
          </cell>
          <cell r="B838" t="str">
            <v>VAR_cap</v>
          </cell>
          <cell r="C838" t="str">
            <v>-</v>
          </cell>
          <cell r="D838">
            <v>1.9285738602854512</v>
          </cell>
          <cell r="E838">
            <v>1.8575079408170125</v>
          </cell>
          <cell r="F838">
            <v>1.8575017232625175</v>
          </cell>
          <cell r="G838">
            <v>1.8574993702730802</v>
          </cell>
          <cell r="H838">
            <v>0.96470355159341881</v>
          </cell>
          <cell r="I838">
            <v>0.77475511418207477</v>
          </cell>
          <cell r="J838">
            <v>0.41604581903412979</v>
          </cell>
        </row>
        <row r="839">
          <cell r="A839" t="str">
            <v>RHNM-SHPLTBR</v>
          </cell>
          <cell r="B839" t="str">
            <v>VAR_fout</v>
          </cell>
          <cell r="C839" t="str">
            <v>RHNM-SHPLT</v>
          </cell>
          <cell r="E839">
            <v>7.3539336176421347E-2</v>
          </cell>
          <cell r="F839">
            <v>1.9250443630456936E-2</v>
          </cell>
          <cell r="G839">
            <v>3.7500989849374611E-2</v>
          </cell>
          <cell r="H839">
            <v>5.2554183813083924E-2</v>
          </cell>
          <cell r="I839">
            <v>6.4710185733569417E-2</v>
          </cell>
          <cell r="J839">
            <v>9.3493659673652627E-2</v>
          </cell>
        </row>
        <row r="840">
          <cell r="A840" t="str">
            <v>RHNM-SHPLTBR</v>
          </cell>
          <cell r="B840" t="str">
            <v>VAR_fin</v>
          </cell>
          <cell r="C840" t="str">
            <v>RPLT</v>
          </cell>
          <cell r="E840">
            <v>8.1710373529357019E-2</v>
          </cell>
          <cell r="F840">
            <v>2.5909990245360517E-2</v>
          </cell>
          <cell r="G840">
            <v>5.0271590093896895E-2</v>
          </cell>
          <cell r="H840">
            <v>7.0241334885060541E-2</v>
          </cell>
          <cell r="I840">
            <v>8.6302596873482212E-2</v>
          </cell>
          <cell r="J840">
            <v>0.12469050319625331</v>
          </cell>
        </row>
        <row r="841">
          <cell r="A841" t="str">
            <v>RHNM-SHPLTBR</v>
          </cell>
          <cell r="B841" t="str">
            <v>VAR_fin</v>
          </cell>
          <cell r="C841" t="str">
            <v>RHNMPLTBRC</v>
          </cell>
          <cell r="E841">
            <v>7.3539336176421347E-2</v>
          </cell>
          <cell r="F841">
            <v>1.9250443630456936E-2</v>
          </cell>
          <cell r="G841">
            <v>3.7500989849374611E-2</v>
          </cell>
          <cell r="H841">
            <v>5.2554183813083924E-2</v>
          </cell>
          <cell r="I841">
            <v>6.4710185733569417E-2</v>
          </cell>
          <cell r="J841">
            <v>9.3493659673652627E-2</v>
          </cell>
        </row>
        <row r="842">
          <cell r="A842" t="str">
            <v>RHNM-SHPLTBR</v>
          </cell>
          <cell r="B842" t="str">
            <v>VAR_ncap</v>
          </cell>
          <cell r="C842" t="str">
            <v>-</v>
          </cell>
          <cell r="E842">
            <v>5.7530955473680404E-3</v>
          </cell>
          <cell r="F842">
            <v>3.0620029683270802E-7</v>
          </cell>
          <cell r="G842">
            <v>1.2532342909346299E-6</v>
          </cell>
          <cell r="H842">
            <v>1.1522451623411801E-3</v>
          </cell>
          <cell r="I842">
            <v>3.8816981413002899E-3</v>
          </cell>
          <cell r="J842">
            <v>3.9592157311271097E-3</v>
          </cell>
        </row>
        <row r="843">
          <cell r="A843" t="str">
            <v>RHNM-SHPLTBR</v>
          </cell>
          <cell r="B843" t="str">
            <v>VAR_cap</v>
          </cell>
          <cell r="C843" t="str">
            <v>-</v>
          </cell>
          <cell r="E843">
            <v>5.7530955473680404E-3</v>
          </cell>
          <cell r="F843">
            <v>5.7530826869817255E-3</v>
          </cell>
          <cell r="G843">
            <v>5.7540537617907705E-3</v>
          </cell>
          <cell r="H843">
            <v>4.1009325925881147E-3</v>
          </cell>
          <cell r="I843">
            <v>5.0347519838971023E-3</v>
          </cell>
          <cell r="J843">
            <v>7.2636356071495416E-3</v>
          </cell>
        </row>
        <row r="844">
          <cell r="A844" t="str">
            <v>D-RHES_NKEV_GAS_ELC_CHP</v>
          </cell>
          <cell r="B844" t="str">
            <v>VAR_fout</v>
          </cell>
          <cell r="C844" t="str">
            <v>RHES_ELC</v>
          </cell>
          <cell r="D844">
            <v>1.2337575856602214E-2</v>
          </cell>
          <cell r="E844">
            <v>3.2861823851992758E-4</v>
          </cell>
          <cell r="F844">
            <v>1.2833397611727014E-3</v>
          </cell>
        </row>
        <row r="845">
          <cell r="A845" t="str">
            <v>D-RHES_NKEV_GAS_ELC_CHP</v>
          </cell>
          <cell r="B845" t="str">
            <v>VAR_fout</v>
          </cell>
          <cell r="C845" t="str">
            <v>ELC5</v>
          </cell>
          <cell r="D845">
            <v>8.0706042529353342E-4</v>
          </cell>
          <cell r="E845">
            <v>1.469525306628522E-4</v>
          </cell>
          <cell r="F845">
            <v>3.0993284580036655E-4</v>
          </cell>
        </row>
        <row r="846">
          <cell r="A846" t="str">
            <v>D-RHES_NKEV_GAS_ELC_CHP</v>
          </cell>
          <cell r="B846" t="str">
            <v>VAR_fin</v>
          </cell>
          <cell r="C846" t="str">
            <v>RHES_NKEV_GAS_ELC_CHP</v>
          </cell>
          <cell r="D846">
            <v>1.3144636281895751E-2</v>
          </cell>
          <cell r="E846">
            <v>4.7557076918277956E-4</v>
          </cell>
          <cell r="F846">
            <v>1.5902880960848922E-3</v>
          </cell>
        </row>
        <row r="847">
          <cell r="A847" t="str">
            <v>SCOM-SHSTG-SOL</v>
          </cell>
          <cell r="B847" t="str">
            <v>VAR_fout</v>
          </cell>
          <cell r="C847" t="str">
            <v>SCOM-SHASOL</v>
          </cell>
          <cell r="D847">
            <v>1.7546545553780646E-5</v>
          </cell>
          <cell r="E847">
            <v>1.795206433332022E-5</v>
          </cell>
          <cell r="F847">
            <v>1.8328106838913914E-5</v>
          </cell>
          <cell r="G847">
            <v>9.0742111421332013E-6</v>
          </cell>
          <cell r="H847">
            <v>7.8143558703205015E-6</v>
          </cell>
          <cell r="I847">
            <v>8.1194388841339165E-6</v>
          </cell>
          <cell r="J847">
            <v>4.625170748538671E-6</v>
          </cell>
        </row>
        <row r="848">
          <cell r="A848" t="str">
            <v>SCOM-SHSTG-SOL</v>
          </cell>
          <cell r="B848" t="str">
            <v>VAR_fin</v>
          </cell>
          <cell r="C848" t="str">
            <v>SCOM-SHASOL</v>
          </cell>
          <cell r="D848">
            <v>1.6189098508192763E-5</v>
          </cell>
          <cell r="E848">
            <v>1.698316330644772E-5</v>
          </cell>
          <cell r="F848">
            <v>1.740269126666336E-5</v>
          </cell>
          <cell r="G848">
            <v>6.8386383022816675E-6</v>
          </cell>
          <cell r="H848">
            <v>6.1594722571664722E-6</v>
          </cell>
          <cell r="I848">
            <v>5.9480450641404623E-6</v>
          </cell>
        </row>
        <row r="849">
          <cell r="A849" t="str">
            <v>SCOM-SHSTG-SOL</v>
          </cell>
          <cell r="B849" t="str">
            <v>VAR_ncap</v>
          </cell>
          <cell r="C849" t="str">
            <v>-</v>
          </cell>
          <cell r="D849">
            <v>3.5922865130685001E-3</v>
          </cell>
          <cell r="E849">
            <v>1.9895901851838201E-2</v>
          </cell>
          <cell r="F849">
            <v>7.1541380668105596E-8</v>
          </cell>
          <cell r="G849">
            <v>1.12477198261519E-7</v>
          </cell>
          <cell r="H849">
            <v>1.21540457686924E-2</v>
          </cell>
          <cell r="I849">
            <v>1.29521503728601E-2</v>
          </cell>
          <cell r="J849">
            <v>1.5504668424144901E-2</v>
          </cell>
        </row>
        <row r="850">
          <cell r="A850" t="str">
            <v>SCOM-SHSTG-SOL</v>
          </cell>
          <cell r="B850" t="str">
            <v>VAR_cap</v>
          </cell>
          <cell r="C850" t="str">
            <v>-</v>
          </cell>
          <cell r="D850">
            <v>3.5922865130685001E-3</v>
          </cell>
          <cell r="E850">
            <v>2.3488188364906699E-2</v>
          </cell>
          <cell r="F850">
            <v>2.34882599062874E-2</v>
          </cell>
          <cell r="G850">
            <v>2.3488372383485601E-2</v>
          </cell>
          <cell r="H850">
            <v>2.32793756056867E-2</v>
          </cell>
          <cell r="I850">
            <v>2.5106285633485999E-2</v>
          </cell>
          <cell r="J850">
            <v>3.0045574508348698E-2</v>
          </cell>
        </row>
        <row r="851">
          <cell r="A851" t="str">
            <v>RHNM-SHELCBRA</v>
          </cell>
          <cell r="B851" t="str">
            <v>VAR_fout</v>
          </cell>
          <cell r="C851" t="str">
            <v>RHNM-SHELCB</v>
          </cell>
          <cell r="E851">
            <v>0.15438800155839053</v>
          </cell>
          <cell r="F851">
            <v>1.3524250193115272E-3</v>
          </cell>
          <cell r="G851">
            <v>3.8211089879762522E-3</v>
          </cell>
          <cell r="H851">
            <v>5.1237427641558763E-3</v>
          </cell>
          <cell r="I851">
            <v>5.9071507794706251E-3</v>
          </cell>
          <cell r="J851">
            <v>7.475764307444348E-3</v>
          </cell>
        </row>
        <row r="852">
          <cell r="A852" t="str">
            <v>RHNM-SHELCBRA</v>
          </cell>
          <cell r="B852" t="str">
            <v>VAR_fin</v>
          </cell>
          <cell r="C852" t="str">
            <v>RHNM-SHAELCB</v>
          </cell>
          <cell r="E852">
            <v>0.15438800155839053</v>
          </cell>
          <cell r="F852">
            <v>1.3524250193115272E-3</v>
          </cell>
          <cell r="G852">
            <v>3.8211089879762522E-3</v>
          </cell>
          <cell r="H852">
            <v>5.1237427641558763E-3</v>
          </cell>
          <cell r="I852">
            <v>5.9071507794706251E-3</v>
          </cell>
          <cell r="J852">
            <v>7.475764307444348E-3</v>
          </cell>
        </row>
        <row r="853">
          <cell r="A853" t="str">
            <v>RHNM-SHELCBRA</v>
          </cell>
          <cell r="B853" t="str">
            <v>VAR_ncap</v>
          </cell>
          <cell r="C853" t="str">
            <v>-</v>
          </cell>
          <cell r="E853">
            <v>1.2012356929741499E-2</v>
          </cell>
          <cell r="H853">
            <v>1.45469159047644E-3</v>
          </cell>
        </row>
        <row r="854">
          <cell r="A854" t="str">
            <v>RHNM-SHELCBRA</v>
          </cell>
          <cell r="B854" t="str">
            <v>VAR_cap</v>
          </cell>
          <cell r="C854" t="str">
            <v>-</v>
          </cell>
          <cell r="E854">
            <v>1.2012356929741499E-2</v>
          </cell>
          <cell r="F854">
            <v>5.197394286755759E-3</v>
          </cell>
          <cell r="G854">
            <v>4.5382962192405188E-3</v>
          </cell>
          <cell r="H854">
            <v>3.75195578879833E-3</v>
          </cell>
          <cell r="I854">
            <v>1.4431121268661759E-3</v>
          </cell>
          <cell r="J854">
            <v>6.103576437100596E-4</v>
          </cell>
        </row>
        <row r="855">
          <cell r="A855" t="str">
            <v>RHNM-SHSTG-SOL</v>
          </cell>
          <cell r="B855" t="str">
            <v>VAR_fout</v>
          </cell>
          <cell r="C855" t="str">
            <v>AUX_RHNM-SHSTG-SOL_OUT</v>
          </cell>
          <cell r="E855">
            <v>1.0899416638171093E-4</v>
          </cell>
          <cell r="F855">
            <v>7.1103203172046629E-6</v>
          </cell>
          <cell r="G855">
            <v>1.0358672284697983E-5</v>
          </cell>
          <cell r="H855">
            <v>1.3214693457661225E-5</v>
          </cell>
          <cell r="I855">
            <v>1.6880139509987016E-5</v>
          </cell>
          <cell r="J855">
            <v>3.2840622789490196E-5</v>
          </cell>
        </row>
        <row r="856">
          <cell r="A856" t="str">
            <v>RHNM-SHSTG-SOL</v>
          </cell>
          <cell r="B856" t="str">
            <v>VAR_fout</v>
          </cell>
          <cell r="C856" t="str">
            <v>RHNM-SHASOL</v>
          </cell>
          <cell r="E856">
            <v>1.0888528110061034E-4</v>
          </cell>
          <cell r="F856">
            <v>7.1032171001045575E-6</v>
          </cell>
          <cell r="G856">
            <v>1.0348323960737242E-5</v>
          </cell>
          <cell r="H856">
            <v>1.3201491965695537E-5</v>
          </cell>
          <cell r="I856">
            <v>1.6863276233753263E-5</v>
          </cell>
          <cell r="J856">
            <v>3.2807814974515661E-5</v>
          </cell>
        </row>
        <row r="857">
          <cell r="A857" t="str">
            <v>RHNM-SHSTG-SOL</v>
          </cell>
          <cell r="B857" t="str">
            <v>VAR_fin</v>
          </cell>
          <cell r="C857" t="str">
            <v>RHNM-SHASOL</v>
          </cell>
          <cell r="E857">
            <v>1.0009957157329692E-4</v>
          </cell>
          <cell r="F857">
            <v>4.7378722552569176E-6</v>
          </cell>
          <cell r="G857">
            <v>9.8360018196669218E-6</v>
          </cell>
          <cell r="H857">
            <v>1.5080968719796594E-5</v>
          </cell>
          <cell r="I857">
            <v>1.8153837713124445E-5</v>
          </cell>
          <cell r="J857">
            <v>3.5641894420950803E-5</v>
          </cell>
        </row>
        <row r="858">
          <cell r="A858" t="str">
            <v>RHNM-SHSTG-SOL</v>
          </cell>
          <cell r="B858" t="str">
            <v>VAR_ncap</v>
          </cell>
          <cell r="C858" t="str">
            <v>-</v>
          </cell>
          <cell r="D858">
            <v>2.2654814036509401E-5</v>
          </cell>
          <cell r="E858">
            <v>4.3634414283934702E-7</v>
          </cell>
          <cell r="F858">
            <v>4.5025331521104097E-5</v>
          </cell>
          <cell r="G858">
            <v>7.6448753101932699E-7</v>
          </cell>
          <cell r="H858">
            <v>1.0967069058543099E-7</v>
          </cell>
          <cell r="I858">
            <v>5.0426381996370001E-6</v>
          </cell>
          <cell r="J858">
            <v>6.55037335011747E-6</v>
          </cell>
        </row>
        <row r="859">
          <cell r="A859" t="str">
            <v>RHNM-SHSTG-SOL</v>
          </cell>
          <cell r="B859" t="str">
            <v>VAR_cap</v>
          </cell>
          <cell r="C859" t="str">
            <v>-</v>
          </cell>
          <cell r="D859">
            <v>2.2654814036509401E-5</v>
          </cell>
          <cell r="E859">
            <v>2.30911581793488E-5</v>
          </cell>
          <cell r="F859">
            <v>6.81164897004529E-5</v>
          </cell>
          <cell r="G859">
            <v>6.8880977231472194E-5</v>
          </cell>
          <cell r="H859">
            <v>5.1998223179513403E-5</v>
          </cell>
          <cell r="I859">
            <v>1.3649416722296399E-5</v>
          </cell>
          <cell r="J859">
            <v>1.0256375055897201E-5</v>
          </cell>
        </row>
        <row r="860">
          <cell r="A860" t="str">
            <v>RHNS-SHELCHP</v>
          </cell>
          <cell r="B860" t="str">
            <v>VAR_fout</v>
          </cell>
          <cell r="C860" t="str">
            <v>RHNS-SHAELCH</v>
          </cell>
          <cell r="E860">
            <v>0.13898233356066825</v>
          </cell>
          <cell r="F860">
            <v>1.1007896440305163</v>
          </cell>
          <cell r="G860">
            <v>2.0044440852261904</v>
          </cell>
          <cell r="H860">
            <v>2.5389457978863006</v>
          </cell>
          <cell r="I860">
            <v>2.977232778134888</v>
          </cell>
          <cell r="J860">
            <v>3.5897980603558977</v>
          </cell>
        </row>
        <row r="861">
          <cell r="A861" t="str">
            <v>RHNS-SHELCHP</v>
          </cell>
          <cell r="B861" t="str">
            <v>VAR_fin</v>
          </cell>
          <cell r="C861" t="str">
            <v>RHNS_ELC</v>
          </cell>
          <cell r="E861">
            <v>4.2719979578074323E-2</v>
          </cell>
          <cell r="F861">
            <v>0.32352534014927942</v>
          </cell>
          <cell r="G861">
            <v>0.5723412175134529</v>
          </cell>
          <cell r="H861">
            <v>0.71007296657456054</v>
          </cell>
          <cell r="I861">
            <v>0.81761043446623194</v>
          </cell>
          <cell r="J861">
            <v>0.94487012775477031</v>
          </cell>
        </row>
        <row r="862">
          <cell r="A862" t="str">
            <v>RHNS-SHELCHP</v>
          </cell>
          <cell r="B862" t="str">
            <v>VAR_fin</v>
          </cell>
          <cell r="C862" t="str">
            <v>RHNSELCHPC</v>
          </cell>
          <cell r="E862">
            <v>0.13898233356066825</v>
          </cell>
          <cell r="F862">
            <v>1.1007896440305163</v>
          </cell>
          <cell r="G862">
            <v>2.0044440852261904</v>
          </cell>
          <cell r="H862">
            <v>2.5389457978863006</v>
          </cell>
          <cell r="I862">
            <v>2.977232778134888</v>
          </cell>
          <cell r="J862">
            <v>3.5897980603558977</v>
          </cell>
        </row>
        <row r="863">
          <cell r="A863" t="str">
            <v>RHNS-SHELCHP</v>
          </cell>
          <cell r="B863" t="str">
            <v>VAR_ncap</v>
          </cell>
          <cell r="C863" t="str">
            <v>-</v>
          </cell>
          <cell r="E863">
            <v>1.0159694961589199E-2</v>
          </cell>
          <cell r="F863">
            <v>7.0125127063314405E-2</v>
          </cell>
          <cell r="G863">
            <v>6.6009334181549403E-2</v>
          </cell>
          <cell r="H863">
            <v>4.3876246602096498E-2</v>
          </cell>
          <cell r="I863">
            <v>0.115607562570131</v>
          </cell>
          <cell r="J863">
            <v>0.159381825423864</v>
          </cell>
        </row>
        <row r="864">
          <cell r="A864" t="str">
            <v>RHNS-SHELCHP</v>
          </cell>
          <cell r="B864" t="str">
            <v>VAR_cap</v>
          </cell>
          <cell r="C864" t="str">
            <v>-</v>
          </cell>
          <cell r="E864">
            <v>1.0159694961589199E-2</v>
          </cell>
          <cell r="F864">
            <v>8.028478847995256E-2</v>
          </cell>
          <cell r="G864">
            <v>0.14629400698435344</v>
          </cell>
          <cell r="H864">
            <v>0.18521581473244975</v>
          </cell>
          <cell r="I864">
            <v>0.21698790236342824</v>
          </cell>
          <cell r="J864">
            <v>0.26184149539359186</v>
          </cell>
        </row>
        <row r="865">
          <cell r="A865" t="str">
            <v>SCOM-SHBIOBR</v>
          </cell>
          <cell r="B865" t="str">
            <v>VAR_fout</v>
          </cell>
          <cell r="C865" t="str">
            <v>SCOM-SHBIO</v>
          </cell>
          <cell r="D865">
            <v>1.2230676365458992</v>
          </cell>
          <cell r="E865">
            <v>1.340768430658166</v>
          </cell>
        </row>
        <row r="866">
          <cell r="A866" t="str">
            <v>SCOM-SHBIOBR</v>
          </cell>
          <cell r="B866" t="str">
            <v>VAR_fin</v>
          </cell>
          <cell r="C866" t="str">
            <v>SBIO</v>
          </cell>
          <cell r="D866">
            <v>1.4022788770303827</v>
          </cell>
          <cell r="E866">
            <v>1.5372259007775346</v>
          </cell>
        </row>
        <row r="867">
          <cell r="A867" t="str">
            <v>SCOM-SHBIOBR</v>
          </cell>
          <cell r="B867" t="str">
            <v>VAR_ncap</v>
          </cell>
          <cell r="C867" t="str">
            <v>-</v>
          </cell>
          <cell r="D867">
            <v>1.4629940019703199E-7</v>
          </cell>
          <cell r="E867">
            <v>4.47457524451313E-7</v>
          </cell>
          <cell r="F867">
            <v>1.25636417798066E-7</v>
          </cell>
          <cell r="G867">
            <v>1.63335395245594E-7</v>
          </cell>
          <cell r="H867">
            <v>8.8321066498006795E-6</v>
          </cell>
          <cell r="I867">
            <v>1.14032706323539E-5</v>
          </cell>
          <cell r="J867">
            <v>5.5952901294631099E-6</v>
          </cell>
        </row>
        <row r="868">
          <cell r="A868" t="str">
            <v>SCOM-SHBIOBR</v>
          </cell>
          <cell r="B868" t="str">
            <v>VAR_cap</v>
          </cell>
          <cell r="C868" t="str">
            <v>-</v>
          </cell>
          <cell r="D868">
            <v>0.10534107176807619</v>
          </cell>
          <cell r="E868">
            <v>0.10534055109086389</v>
          </cell>
          <cell r="F868">
            <v>0.10532836402213222</v>
          </cell>
          <cell r="G868">
            <v>0.10532662980988396</v>
          </cell>
          <cell r="H868">
            <v>2.7323339209878495E-2</v>
          </cell>
          <cell r="I868">
            <v>1.986048475557259E-5</v>
          </cell>
          <cell r="J868">
            <v>1.7344973685094454E-5</v>
          </cell>
        </row>
        <row r="869">
          <cell r="A869" t="str">
            <v>RHES-SHDEM</v>
          </cell>
          <cell r="B869" t="str">
            <v>VAR_fout</v>
          </cell>
          <cell r="C869" t="str">
            <v>RHES-SHD</v>
          </cell>
          <cell r="D869">
            <v>62.024837503894084</v>
          </cell>
          <cell r="E869">
            <v>67.815394581973521</v>
          </cell>
          <cell r="F869">
            <v>56.614814720188583</v>
          </cell>
          <cell r="G869">
            <v>55.589576534454146</v>
          </cell>
          <cell r="H869">
            <v>54.717816295664001</v>
          </cell>
          <cell r="I869">
            <v>54.03614053513342</v>
          </cell>
          <cell r="J869">
            <v>53.23833675371732</v>
          </cell>
        </row>
        <row r="870">
          <cell r="A870" t="str">
            <v>RHES-SHDEM</v>
          </cell>
          <cell r="B870" t="str">
            <v>VAR_fin</v>
          </cell>
          <cell r="C870" t="str">
            <v>RHES-SHPLT</v>
          </cell>
          <cell r="D870">
            <v>1.2934796248196789</v>
          </cell>
          <cell r="E870">
            <v>1.4868754896108132</v>
          </cell>
          <cell r="F870">
            <v>3.3407442081331652E-2</v>
          </cell>
          <cell r="G870">
            <v>5.9801576914791363E-2</v>
          </cell>
          <cell r="H870">
            <v>7.7888358840603522E-2</v>
          </cell>
          <cell r="I870">
            <v>9.1111466071750871E-2</v>
          </cell>
          <cell r="J870">
            <v>0.1165428298814704</v>
          </cell>
        </row>
        <row r="871">
          <cell r="A871" t="str">
            <v>RHES-SHDEM</v>
          </cell>
          <cell r="B871" t="str">
            <v>VAR_fin</v>
          </cell>
          <cell r="C871" t="str">
            <v>RHES-SHLTHC-NGA</v>
          </cell>
          <cell r="D871">
            <v>3.363895064533063E-2</v>
          </cell>
          <cell r="E871">
            <v>1.0818425852318844E-3</v>
          </cell>
        </row>
        <row r="872">
          <cell r="A872" t="str">
            <v>RHES-SHDEM</v>
          </cell>
          <cell r="B872" t="str">
            <v>VAR_fin</v>
          </cell>
          <cell r="C872" t="str">
            <v>RHES-SHSOL</v>
          </cell>
          <cell r="D872">
            <v>0.37388681141702002</v>
          </cell>
          <cell r="E872">
            <v>0.43545227781068313</v>
          </cell>
          <cell r="F872">
            <v>2.1586808291080534E-2</v>
          </cell>
          <cell r="G872">
            <v>2.4414010394913352E-2</v>
          </cell>
          <cell r="H872">
            <v>2.5728902116372718E-2</v>
          </cell>
          <cell r="I872">
            <v>2.6316167932248332E-2</v>
          </cell>
          <cell r="J872">
            <v>2.7394694115707035E-2</v>
          </cell>
        </row>
        <row r="873">
          <cell r="A873" t="str">
            <v>RHES-SHDEM</v>
          </cell>
          <cell r="B873" t="str">
            <v>VAR_fin</v>
          </cell>
          <cell r="C873" t="str">
            <v>RHES-SHLTHC-WOD</v>
          </cell>
          <cell r="D873">
            <v>1.1827424110614721E-3</v>
          </cell>
        </row>
        <row r="874">
          <cell r="A874" t="str">
            <v>RHES-SHDEM</v>
          </cell>
          <cell r="B874" t="str">
            <v>VAR_fin</v>
          </cell>
          <cell r="C874" t="str">
            <v>RHES-SHNGA</v>
          </cell>
          <cell r="D874">
            <v>17.566926300318009</v>
          </cell>
          <cell r="E874">
            <v>18.840179952179763</v>
          </cell>
          <cell r="F874">
            <v>10.778361242816265</v>
          </cell>
          <cell r="G874">
            <v>8.9344582992610935</v>
          </cell>
          <cell r="H874">
            <v>6.9396966279927552</v>
          </cell>
          <cell r="I874">
            <v>5.238558533439492</v>
          </cell>
          <cell r="J874">
            <v>2.4339030926986371</v>
          </cell>
        </row>
        <row r="875">
          <cell r="A875" t="str">
            <v>RHES-SHDEM</v>
          </cell>
          <cell r="B875" t="str">
            <v>VAR_fin</v>
          </cell>
          <cell r="C875" t="str">
            <v>RHES-SHNGAH</v>
          </cell>
          <cell r="D875">
            <v>7.7615889399427563E-4</v>
          </cell>
          <cell r="E875">
            <v>1.4367351424462288E-5</v>
          </cell>
          <cell r="F875">
            <v>2.016638510441326</v>
          </cell>
          <cell r="G875">
            <v>3.9280323283000138</v>
          </cell>
          <cell r="H875">
            <v>5.2203297359162004</v>
          </cell>
          <cell r="I875">
            <v>6.0782037643291327</v>
          </cell>
          <cell r="J875">
            <v>7.6288691305558434</v>
          </cell>
        </row>
        <row r="876">
          <cell r="A876" t="str">
            <v>RHES-SHDEM</v>
          </cell>
          <cell r="B876" t="str">
            <v>VAR_fin</v>
          </cell>
          <cell r="C876" t="str">
            <v>RHES-SHCOA</v>
          </cell>
          <cell r="D876">
            <v>7.454038700387372E-2</v>
          </cell>
          <cell r="E876">
            <v>7.1994522785010118E-2</v>
          </cell>
          <cell r="F876">
            <v>2.15488458729532E-2</v>
          </cell>
          <cell r="G876">
            <v>4.8513545833937764E-3</v>
          </cell>
          <cell r="H876">
            <v>1.8728384985969288E-4</v>
          </cell>
        </row>
        <row r="877">
          <cell r="A877" t="str">
            <v>RHES-SHDEM</v>
          </cell>
          <cell r="B877" t="str">
            <v>VAR_fin</v>
          </cell>
          <cell r="C877" t="str">
            <v>RHES-SHLFO</v>
          </cell>
          <cell r="D877">
            <v>21.675558861793188</v>
          </cell>
          <cell r="E877">
            <v>19.946191570679119</v>
          </cell>
          <cell r="F877">
            <v>14.636435047172556</v>
          </cell>
          <cell r="G877">
            <v>9.5255403808665644</v>
          </cell>
          <cell r="H877">
            <v>6.5348471172777067</v>
          </cell>
          <cell r="I877">
            <v>4.607758797605479</v>
          </cell>
          <cell r="J877">
            <v>1.2947550989841756</v>
          </cell>
        </row>
        <row r="878">
          <cell r="A878" t="str">
            <v>RHES-SHDEM</v>
          </cell>
          <cell r="B878" t="str">
            <v>VAR_fin</v>
          </cell>
          <cell r="C878" t="str">
            <v>RHES-SHCON</v>
          </cell>
          <cell r="D878">
            <v>3.8316189779523745E-2</v>
          </cell>
          <cell r="E878">
            <v>3.7311885796218061</v>
          </cell>
          <cell r="F878">
            <v>2.2568093081934717</v>
          </cell>
          <cell r="G878">
            <v>4.1007616613519664</v>
          </cell>
          <cell r="H878">
            <v>5.8904459217337841</v>
          </cell>
          <cell r="I878">
            <v>7.6005715448935334</v>
          </cell>
          <cell r="J878">
            <v>10.814677701884676</v>
          </cell>
        </row>
        <row r="879">
          <cell r="A879" t="str">
            <v>RHES-SHDEM</v>
          </cell>
          <cell r="B879" t="str">
            <v>VAR_fin</v>
          </cell>
          <cell r="C879" t="str">
            <v>RHES-SHWOD</v>
          </cell>
          <cell r="D879">
            <v>4.3839398038030577</v>
          </cell>
          <cell r="E879">
            <v>5.0342628693529976</v>
          </cell>
          <cell r="F879">
            <v>5.0868840413954315</v>
          </cell>
          <cell r="G879">
            <v>4.4611715791766704</v>
          </cell>
          <cell r="H879">
            <v>3.7206985322985608</v>
          </cell>
          <cell r="I879">
            <v>3.1087229050799623</v>
          </cell>
          <cell r="J879">
            <v>1.9779556485836365</v>
          </cell>
        </row>
        <row r="880">
          <cell r="A880" t="str">
            <v>RHES-SHDEM</v>
          </cell>
          <cell r="B880" t="str">
            <v>VAR_fin</v>
          </cell>
          <cell r="C880" t="str">
            <v>RHES-SHLTHD</v>
          </cell>
          <cell r="D880">
            <v>3.1506861490515883</v>
          </cell>
          <cell r="E880">
            <v>3.5037851010240244</v>
          </cell>
          <cell r="F880">
            <v>1.4255835923229003</v>
          </cell>
          <cell r="G880">
            <v>1.605046629973321</v>
          </cell>
          <cell r="H880">
            <v>1.6781837330208516</v>
          </cell>
          <cell r="I880">
            <v>1.7039570311980492</v>
          </cell>
          <cell r="J880">
            <v>1.7484789871662942</v>
          </cell>
        </row>
        <row r="881">
          <cell r="A881" t="str">
            <v>RHES-SHDEM</v>
          </cell>
          <cell r="B881" t="str">
            <v>VAR_fin</v>
          </cell>
          <cell r="C881" t="str">
            <v>RHES-SHELCB</v>
          </cell>
          <cell r="D881">
            <v>4.2767722833086523</v>
          </cell>
          <cell r="E881">
            <v>4.4886692802033048</v>
          </cell>
          <cell r="F881">
            <v>0.78672561830228727</v>
          </cell>
          <cell r="G881">
            <v>0.19186203827106055</v>
          </cell>
          <cell r="H881">
            <v>1.4322122908012059E-2</v>
          </cell>
          <cell r="I881">
            <v>4.0338507917540749E-3</v>
          </cell>
          <cell r="J881">
            <v>1.9903955919817343E-3</v>
          </cell>
        </row>
        <row r="882">
          <cell r="A882" t="str">
            <v>RHES-SHDEM</v>
          </cell>
          <cell r="B882" t="str">
            <v>VAR_fin</v>
          </cell>
          <cell r="C882" t="str">
            <v>RHES-SHELCH</v>
          </cell>
          <cell r="D882">
            <v>9.1543229112829589</v>
          </cell>
          <cell r="E882">
            <v>10.275897166877547</v>
          </cell>
          <cell r="F882">
            <v>19.551067791091608</v>
          </cell>
          <cell r="G882">
            <v>22.753816126941658</v>
          </cell>
          <cell r="H882">
            <v>24.615686555200405</v>
          </cell>
          <cell r="I882">
            <v>25.577079121423356</v>
          </cell>
          <cell r="J882">
            <v>27.193912056810177</v>
          </cell>
        </row>
        <row r="883">
          <cell r="A883" t="str">
            <v>RHES-SHDEM</v>
          </cell>
          <cell r="B883" t="str">
            <v>VAR_fin</v>
          </cell>
          <cell r="C883" t="str">
            <v>RHES-SHNST</v>
          </cell>
          <cell r="D883">
            <v>9.6630973667236313E-4</v>
          </cell>
          <cell r="E883">
            <v>8.0628749103948175E-6</v>
          </cell>
        </row>
        <row r="884">
          <cell r="A884" t="str">
            <v>D-RHEM_LTH_CHPNGA</v>
          </cell>
          <cell r="B884" t="str">
            <v>VAR_fout</v>
          </cell>
          <cell r="C884" t="str">
            <v>RHSA_LTH</v>
          </cell>
          <cell r="D884">
            <v>2.4605600548619081E-3</v>
          </cell>
          <cell r="E884">
            <v>1.5116313435060045E-5</v>
          </cell>
          <cell r="F884">
            <v>1.9199190594959747E-3</v>
          </cell>
          <cell r="G884">
            <v>6.4329217154726825E-6</v>
          </cell>
          <cell r="H884">
            <v>6.8506204940180258E-6</v>
          </cell>
          <cell r="I884">
            <v>7.3572231949856674E-6</v>
          </cell>
          <cell r="J884">
            <v>7.0865138492393838E-6</v>
          </cell>
        </row>
        <row r="885">
          <cell r="A885" t="str">
            <v>D-RHEM_LTH_CHPNGA</v>
          </cell>
          <cell r="B885" t="str">
            <v>VAR_fout</v>
          </cell>
          <cell r="C885" t="str">
            <v>RHEM_LTH_CHPNGA_ON</v>
          </cell>
          <cell r="D885">
            <v>5.162430035773273E-2</v>
          </cell>
          <cell r="E885">
            <v>5.9581556275228051E-4</v>
          </cell>
          <cell r="F885">
            <v>2.2232610907063589E-4</v>
          </cell>
          <cell r="G885">
            <v>5.9531382890588918E-6</v>
          </cell>
          <cell r="H885">
            <v>4.1467150661758202E-6</v>
          </cell>
          <cell r="I885">
            <v>3.3371412733254384E-6</v>
          </cell>
          <cell r="J885">
            <v>7.7578612195776069E-7</v>
          </cell>
        </row>
        <row r="886">
          <cell r="A886" t="str">
            <v>D-RHEM_LTH_CHPNGA</v>
          </cell>
          <cell r="B886" t="str">
            <v>VAR_fout</v>
          </cell>
          <cell r="C886" t="str">
            <v>LTH</v>
          </cell>
          <cell r="F886">
            <v>2.2456660153138372E-7</v>
          </cell>
        </row>
        <row r="887">
          <cell r="A887" t="str">
            <v>D-RHEM_LTH_CHPNGA</v>
          </cell>
          <cell r="B887" t="str">
            <v>VAR_fin</v>
          </cell>
          <cell r="C887" t="str">
            <v>RHEM_LTH_CHPNGA</v>
          </cell>
          <cell r="D887">
            <v>5.4084860412594644E-2</v>
          </cell>
          <cell r="E887">
            <v>6.1104151062608763E-4</v>
          </cell>
          <cell r="F887">
            <v>2.1429417981907134E-3</v>
          </cell>
          <cell r="G887">
            <v>1.3156523771883418E-5</v>
          </cell>
          <cell r="H887">
            <v>1.199153821859808E-5</v>
          </cell>
          <cell r="I887">
            <v>1.1623347159279404E-5</v>
          </cell>
          <cell r="J887">
            <v>8.8835621146514085E-6</v>
          </cell>
        </row>
        <row r="888">
          <cell r="A888" t="str">
            <v>RHEM-SHLTHCHPNGA</v>
          </cell>
          <cell r="B888" t="str">
            <v>VAR_fout</v>
          </cell>
          <cell r="C888" t="str">
            <v>RHEM-SHLTHC-NGA</v>
          </cell>
          <cell r="D888">
            <v>4.8319394721630778E-2</v>
          </cell>
          <cell r="E888">
            <v>5.8612187349393072E-4</v>
          </cell>
        </row>
        <row r="889">
          <cell r="A889" t="str">
            <v>RHEM-SHLTHCHPNGA</v>
          </cell>
          <cell r="B889" t="str">
            <v>VAR_fin</v>
          </cell>
          <cell r="C889" t="str">
            <v>RHEM_LTH_CHPNGA_ON</v>
          </cell>
          <cell r="D889">
            <v>4.8807469415788701E-2</v>
          </cell>
          <cell r="E889">
            <v>5.9204229645851549E-4</v>
          </cell>
        </row>
        <row r="890">
          <cell r="A890" t="str">
            <v>RHEM-SHLTHCHPNGA</v>
          </cell>
          <cell r="B890" t="str">
            <v>VAR_fin</v>
          </cell>
          <cell r="C890" t="str">
            <v>RHEMLTHCHPC</v>
          </cell>
          <cell r="D890">
            <v>4.8319394721630778E-2</v>
          </cell>
          <cell r="E890">
            <v>5.8612187349393072E-4</v>
          </cell>
        </row>
        <row r="891">
          <cell r="A891" t="str">
            <v>RHEM-SHLTHCHPNGA</v>
          </cell>
          <cell r="B891" t="str">
            <v>VAR_ncap</v>
          </cell>
          <cell r="C891" t="str">
            <v>-</v>
          </cell>
          <cell r="D891">
            <v>3.0331648049452501E-6</v>
          </cell>
          <cell r="E891">
            <v>3.9135486235699799E-5</v>
          </cell>
          <cell r="F891">
            <v>1.07947646333322E-4</v>
          </cell>
          <cell r="G891">
            <v>3.2344102466929101E-5</v>
          </cell>
          <cell r="H891">
            <v>4.0635990034216798E-5</v>
          </cell>
          <cell r="I891">
            <v>1.1174779938034201E-5</v>
          </cell>
          <cell r="J891">
            <v>4.1281353488620799E-6</v>
          </cell>
        </row>
        <row r="892">
          <cell r="A892" t="str">
            <v>RHEM-SHLTHCHPNGA</v>
          </cell>
          <cell r="B892" t="str">
            <v>VAR_cap</v>
          </cell>
          <cell r="C892" t="str">
            <v>-</v>
          </cell>
          <cell r="D892">
            <v>6.801234163353675E-3</v>
          </cell>
          <cell r="E892">
            <v>6.9112152074635516E-5</v>
          </cell>
          <cell r="F892">
            <v>1.4888557872759674E-4</v>
          </cell>
          <cell r="G892">
            <v>7.3155786060306351E-5</v>
          </cell>
          <cell r="H892">
            <v>6.96885885195181E-5</v>
          </cell>
          <cell r="I892">
            <v>2.5540958424105002E-5</v>
          </cell>
          <cell r="J892">
            <v>8.0703911334892028E-6</v>
          </cell>
        </row>
        <row r="893">
          <cell r="A893" t="str">
            <v>D-RHES_SOLELC</v>
          </cell>
          <cell r="B893" t="str">
            <v>VAR_fout</v>
          </cell>
          <cell r="C893" t="str">
            <v>RHES_ELC</v>
          </cell>
          <cell r="D893">
            <v>2.1341591524964896</v>
          </cell>
          <cell r="E893">
            <v>3.3903795303684396</v>
          </cell>
          <cell r="F893">
            <v>4.0400947425509779</v>
          </cell>
          <cell r="G893">
            <v>4.3438977797752134</v>
          </cell>
          <cell r="H893">
            <v>4.6106784850711824</v>
          </cell>
          <cell r="I893">
            <v>4.8941521657150062</v>
          </cell>
          <cell r="J893">
            <v>5.5143231040469312</v>
          </cell>
        </row>
        <row r="894">
          <cell r="A894" t="str">
            <v>D-RHES_SOLELC</v>
          </cell>
          <cell r="B894" t="str">
            <v>VAR_fout</v>
          </cell>
          <cell r="C894" t="str">
            <v>ELC5</v>
          </cell>
          <cell r="D894">
            <v>7.7993623817251639E-4</v>
          </cell>
          <cell r="E894">
            <v>2.8605826533935623E-4</v>
          </cell>
          <cell r="F894">
            <v>3.0791219262644613E-4</v>
          </cell>
          <cell r="G894">
            <v>1.5147522297499563E-4</v>
          </cell>
          <cell r="H894">
            <v>3.008518199130271E-4</v>
          </cell>
          <cell r="I894">
            <v>2.2836114004656718E-4</v>
          </cell>
          <cell r="J894">
            <v>1.341845178317889E-4</v>
          </cell>
        </row>
        <row r="895">
          <cell r="A895" t="str">
            <v>D-RHES_SOLELC</v>
          </cell>
          <cell r="B895" t="str">
            <v>VAR_fin</v>
          </cell>
          <cell r="C895" t="str">
            <v>RHES_SOL_ELC</v>
          </cell>
          <cell r="D895">
            <v>2.1349390887346629</v>
          </cell>
          <cell r="E895">
            <v>3.3906651816362334</v>
          </cell>
          <cell r="F895">
            <v>4.0404026547436036</v>
          </cell>
          <cell r="G895">
            <v>4.3440492549981897</v>
          </cell>
          <cell r="H895">
            <v>4.6109793368910967</v>
          </cell>
          <cell r="I895">
            <v>4.8943805268550538</v>
          </cell>
          <cell r="J895">
            <v>5.514457288564758</v>
          </cell>
        </row>
        <row r="896">
          <cell r="A896" t="str">
            <v>D-DH2</v>
          </cell>
          <cell r="B896" t="str">
            <v>VAR_fout</v>
          </cell>
          <cell r="C896" t="str">
            <v>H2</v>
          </cell>
          <cell r="G896">
            <v>6.136138856852121E-6</v>
          </cell>
          <cell r="H896">
            <v>2.1334543884081716E-5</v>
          </cell>
          <cell r="I896">
            <v>1.0164699767646711E-4</v>
          </cell>
          <cell r="J896">
            <v>1.0759384107244167E-4</v>
          </cell>
        </row>
        <row r="897">
          <cell r="A897" t="str">
            <v>D-DH2</v>
          </cell>
          <cell r="B897" t="str">
            <v>VAR_fin</v>
          </cell>
          <cell r="C897" t="str">
            <v>H2_E</v>
          </cell>
          <cell r="G897">
            <v>6.1981200574263848E-6</v>
          </cell>
          <cell r="H897">
            <v>2.1550044327355279E-5</v>
          </cell>
          <cell r="I897">
            <v>1.0267373502673449E-4</v>
          </cell>
          <cell r="J897">
            <v>1.0868064754792085E-4</v>
          </cell>
        </row>
        <row r="898">
          <cell r="A898" t="str">
            <v>D-DH2</v>
          </cell>
          <cell r="B898" t="str">
            <v>VAR_ncap</v>
          </cell>
          <cell r="C898" t="str">
            <v>-</v>
          </cell>
          <cell r="G898">
            <v>1.10415325401401E-5</v>
          </cell>
          <cell r="H898">
            <v>1.27046034998443E-5</v>
          </cell>
          <cell r="I898">
            <v>4.1478081894649297E-5</v>
          </cell>
          <cell r="J898">
            <v>1.62473920774059E-6</v>
          </cell>
        </row>
        <row r="899">
          <cell r="A899" t="str">
            <v>D-DH2</v>
          </cell>
          <cell r="B899" t="str">
            <v>VAR_cap</v>
          </cell>
          <cell r="C899" t="str">
            <v>-</v>
          </cell>
          <cell r="G899">
            <v>1.10415325401401E-5</v>
          </cell>
          <cell r="H899">
            <v>2.3746136039984398E-5</v>
          </cell>
          <cell r="I899">
            <v>6.5224217934633702E-5</v>
          </cell>
          <cell r="J899">
            <v>6.6848957142374304E-5</v>
          </cell>
        </row>
        <row r="900">
          <cell r="A900" t="str">
            <v>ITOT-SWHHFOBR</v>
          </cell>
          <cell r="B900" t="str">
            <v>VAR_fout</v>
          </cell>
          <cell r="C900" t="str">
            <v>ITOT-SWH</v>
          </cell>
          <cell r="D900">
            <v>1.8458241606832879</v>
          </cell>
          <cell r="E900">
            <v>1.845821378515532</v>
          </cell>
          <cell r="F900">
            <v>7.9797607650533195E-4</v>
          </cell>
          <cell r="G900">
            <v>1.4755144968456413E-4</v>
          </cell>
          <cell r="H900">
            <v>2.7695954650421012E-4</v>
          </cell>
          <cell r="I900">
            <v>1.7103833044417865E-4</v>
          </cell>
        </row>
        <row r="901">
          <cell r="A901" t="str">
            <v>ITOT-SWHHFOBR</v>
          </cell>
          <cell r="B901" t="str">
            <v>VAR_fout</v>
          </cell>
          <cell r="C901" t="str">
            <v>CO2_I</v>
          </cell>
          <cell r="D901">
            <v>210.21033148103299</v>
          </cell>
          <cell r="E901">
            <v>209.304537435676</v>
          </cell>
          <cell r="F901">
            <v>8.9904574874674903E-2</v>
          </cell>
          <cell r="G901">
            <v>1.6448008144352402E-2</v>
          </cell>
          <cell r="H901">
            <v>3.0550108451355199E-2</v>
          </cell>
          <cell r="I901">
            <v>1.8670850886693999E-2</v>
          </cell>
        </row>
        <row r="902">
          <cell r="A902" t="str">
            <v>ITOT-SWHHFOBR</v>
          </cell>
          <cell r="B902" t="str">
            <v>VAR_fin</v>
          </cell>
          <cell r="C902" t="str">
            <v>IHFO</v>
          </cell>
          <cell r="D902">
            <v>2.7300043049484755</v>
          </cell>
          <cell r="E902">
            <v>2.7182407459178735</v>
          </cell>
          <cell r="F902">
            <v>1.1675918814892839E-3</v>
          </cell>
          <cell r="G902">
            <v>2.1361049538120043E-4</v>
          </cell>
          <cell r="H902">
            <v>3.9675465521240557E-4</v>
          </cell>
          <cell r="I902">
            <v>2.4247858294407744E-4</v>
          </cell>
        </row>
        <row r="903">
          <cell r="A903" t="str">
            <v>ITOT-SWHHFOBR</v>
          </cell>
          <cell r="B903" t="str">
            <v>VAR_ncap</v>
          </cell>
          <cell r="C903" t="str">
            <v>-</v>
          </cell>
          <cell r="D903">
            <v>2.9589230913600799E-4</v>
          </cell>
          <cell r="E903">
            <v>8.8883986438250208E-6</v>
          </cell>
          <cell r="F903">
            <v>3.48904788983428E-6</v>
          </cell>
          <cell r="G903">
            <v>5.5253785829500602E-6</v>
          </cell>
          <cell r="H903">
            <v>2.02171579578857E-5</v>
          </cell>
          <cell r="I903">
            <v>2.4285949748806302E-6</v>
          </cell>
          <cell r="J903">
            <v>6.75347562006275E-7</v>
          </cell>
        </row>
        <row r="904">
          <cell r="A904" t="str">
            <v>ITOT-SWHHFOBR</v>
          </cell>
          <cell r="B904" t="str">
            <v>VAR_cap</v>
          </cell>
          <cell r="C904" t="str">
            <v>-</v>
          </cell>
          <cell r="D904">
            <v>0.10101289230913602</v>
          </cell>
          <cell r="E904">
            <v>0.10101974629594926</v>
          </cell>
          <cell r="F904">
            <v>7.5894578068669283E-5</v>
          </cell>
          <cell r="G904">
            <v>1.4117329167617765E-5</v>
          </cell>
          <cell r="H904">
            <v>2.6129745846245611E-5</v>
          </cell>
          <cell r="I904">
            <v>1.6236477332306201E-5</v>
          </cell>
          <cell r="J904">
            <v>-1.4432440316278007E-6</v>
          </cell>
        </row>
        <row r="905">
          <cell r="A905" t="str">
            <v>RHSA-WHSTG-ELCHP</v>
          </cell>
          <cell r="B905" t="str">
            <v>VAR_fout</v>
          </cell>
          <cell r="C905" t="str">
            <v>AUX_RHSA-WHSTG-ELCHP_OUT</v>
          </cell>
          <cell r="D905">
            <v>0.58327977425791833</v>
          </cell>
          <cell r="E905">
            <v>0.67942997013923312</v>
          </cell>
          <cell r="F905">
            <v>0.75693005660647195</v>
          </cell>
          <cell r="G905">
            <v>1.4044469974249734</v>
          </cell>
          <cell r="H905">
            <v>1.5782145535714101</v>
          </cell>
          <cell r="I905">
            <v>2.005319049315279</v>
          </cell>
          <cell r="J905">
            <v>2.754821359811181</v>
          </cell>
        </row>
        <row r="906">
          <cell r="A906" t="str">
            <v>RHSA-WHSTG-ELCHP</v>
          </cell>
          <cell r="B906" t="str">
            <v>VAR_fout</v>
          </cell>
          <cell r="C906" t="str">
            <v>RHSA-WHAELCH</v>
          </cell>
          <cell r="D906">
            <v>0.58269707718073771</v>
          </cell>
          <cell r="E906">
            <v>0.67875121892031265</v>
          </cell>
          <cell r="F906">
            <v>0.75617388272374841</v>
          </cell>
          <cell r="G906">
            <v>1.4030439534715025</v>
          </cell>
          <cell r="H906">
            <v>1.5766379156557546</v>
          </cell>
          <cell r="I906">
            <v>2.0033157335816978</v>
          </cell>
          <cell r="J906">
            <v>2.7520692905206623</v>
          </cell>
        </row>
        <row r="907">
          <cell r="A907" t="str">
            <v>RHSA-WHSTG-ELCHP</v>
          </cell>
          <cell r="B907" t="str">
            <v>VAR_fin</v>
          </cell>
          <cell r="C907" t="str">
            <v>RHSA-WHAELCH</v>
          </cell>
          <cell r="D907">
            <v>0.5827049134862351</v>
          </cell>
          <cell r="E907">
            <v>0.67875425253847177</v>
          </cell>
          <cell r="F907">
            <v>0.75617435105964514</v>
          </cell>
          <cell r="G907">
            <v>1.4030447266572366</v>
          </cell>
          <cell r="H907">
            <v>1.5766388678830823</v>
          </cell>
          <cell r="I907">
            <v>2.0033169737516583</v>
          </cell>
          <cell r="J907">
            <v>2.752070880100316</v>
          </cell>
        </row>
        <row r="908">
          <cell r="A908" t="str">
            <v>RHSA-WHSTG-ELCHP</v>
          </cell>
          <cell r="B908" t="str">
            <v>VAR_ncap</v>
          </cell>
          <cell r="C908" t="str">
            <v>-</v>
          </cell>
          <cell r="D908">
            <v>5.7895195061009597E-2</v>
          </cell>
          <cell r="E908">
            <v>3.2225666988834502E-5</v>
          </cell>
          <cell r="F908">
            <v>1.5922902486336599E-2</v>
          </cell>
          <cell r="G908">
            <v>3.5557757640130201E-2</v>
          </cell>
          <cell r="H908">
            <v>7.5268999978637702E-2</v>
          </cell>
          <cell r="I908">
            <v>6.5881821040222804E-2</v>
          </cell>
          <cell r="J908">
            <v>0.140530742552927</v>
          </cell>
        </row>
        <row r="909">
          <cell r="A909" t="str">
            <v>RHSA-WHSTG-ELCHP</v>
          </cell>
          <cell r="B909" t="str">
            <v>VAR_cap</v>
          </cell>
          <cell r="C909" t="str">
            <v>-</v>
          </cell>
          <cell r="D909">
            <v>5.7896434590412688E-2</v>
          </cell>
          <cell r="E909">
            <v>5.7911625929477982E-2</v>
          </cell>
          <cell r="F909">
            <v>7.383034683073407E-2</v>
          </cell>
          <cell r="G909">
            <v>0.10938474487973156</v>
          </cell>
          <cell r="H909">
            <v>0.14174055345011882</v>
          </cell>
          <cell r="I909">
            <v>0.16823364123967788</v>
          </cell>
          <cell r="J909">
            <v>0.22016684650018056</v>
          </cell>
        </row>
        <row r="910">
          <cell r="A910" t="str">
            <v>RES-ELCSPECADV</v>
          </cell>
          <cell r="B910" t="str">
            <v>VAR_ncap</v>
          </cell>
          <cell r="C910" t="str">
            <v>-</v>
          </cell>
          <cell r="F910">
            <v>1.59383911003515E-8</v>
          </cell>
          <cell r="G910">
            <v>1.72367368209733E-8</v>
          </cell>
          <cell r="H910">
            <v>4.5222562845815701E-8</v>
          </cell>
          <cell r="I910">
            <v>1.75776486427001E-8</v>
          </cell>
          <cell r="J910">
            <v>2.7796388583727201E-8</v>
          </cell>
        </row>
        <row r="911">
          <cell r="A911" t="str">
            <v>RES-ELCSPECADV</v>
          </cell>
          <cell r="B911" t="str">
            <v>VAR_cap</v>
          </cell>
          <cell r="C911" t="str">
            <v>-</v>
          </cell>
          <cell r="F911">
            <v>1.59383911003515E-8</v>
          </cell>
          <cell r="G911">
            <v>-5.3437724537760026E-9</v>
          </cell>
          <cell r="H911">
            <v>-9.6323504520500499E-8</v>
          </cell>
          <cell r="I911">
            <v>-2.6316266635305648E-7</v>
          </cell>
          <cell r="J911">
            <v>-1.8222058866785302E-7</v>
          </cell>
        </row>
        <row r="912">
          <cell r="A912" t="str">
            <v>ITOT-SWHSTG-ELCHP</v>
          </cell>
          <cell r="B912" t="str">
            <v>VAR_fout</v>
          </cell>
          <cell r="C912" t="str">
            <v>ITOT-SWHAELCH</v>
          </cell>
          <cell r="D912">
            <v>4.2659655906062386E-5</v>
          </cell>
          <cell r="E912">
            <v>9.4203778637914323E-6</v>
          </cell>
          <cell r="F912">
            <v>1.5837044433075545E-3</v>
          </cell>
          <cell r="G912">
            <v>3.4944328258276937E-4</v>
          </cell>
          <cell r="H912">
            <v>7.2129873723315613E-4</v>
          </cell>
          <cell r="I912">
            <v>5.1333177893391195E-4</v>
          </cell>
          <cell r="J912">
            <v>5.5990944453256206E-4</v>
          </cell>
        </row>
        <row r="913">
          <cell r="A913" t="str">
            <v>ITOT-SWHSTG-ELCHP</v>
          </cell>
          <cell r="B913" t="str">
            <v>VAR_fin</v>
          </cell>
          <cell r="C913" t="str">
            <v>ITOT-SWHAELCH</v>
          </cell>
          <cell r="D913">
            <v>5.8529906995719213E-5</v>
          </cell>
          <cell r="E913">
            <v>1.2214140253657177E-5</v>
          </cell>
          <cell r="F913">
            <v>2.0493237294597713E-3</v>
          </cell>
          <cell r="G913">
            <v>4.4859344293439658E-4</v>
          </cell>
          <cell r="H913">
            <v>8.9300132414458513E-4</v>
          </cell>
          <cell r="I913">
            <v>6.2356276150534666E-4</v>
          </cell>
          <cell r="J913">
            <v>6.3705085916160504E-4</v>
          </cell>
        </row>
        <row r="914">
          <cell r="A914" t="str">
            <v>ITOT-SWHSTG-ELCHP</v>
          </cell>
          <cell r="B914" t="str">
            <v>VAR_ncap</v>
          </cell>
          <cell r="C914" t="str">
            <v>-</v>
          </cell>
          <cell r="D914">
            <v>6.50824993054423E-3</v>
          </cell>
          <cell r="E914">
            <v>1.14619921345175E-2</v>
          </cell>
          <cell r="F914">
            <v>2.6406716483331301E-5</v>
          </cell>
          <cell r="G914">
            <v>3.3038894095081803E-2</v>
          </cell>
          <cell r="H914">
            <v>4.2039480508372799E-2</v>
          </cell>
          <cell r="I914">
            <v>6.7148703390127101E-2</v>
          </cell>
          <cell r="J914">
            <v>0.10688417576222101</v>
          </cell>
        </row>
        <row r="915">
          <cell r="A915" t="str">
            <v>ITOT-SWHSTG-ELCHP</v>
          </cell>
          <cell r="B915" t="str">
            <v>VAR_cap</v>
          </cell>
          <cell r="C915" t="str">
            <v>-</v>
          </cell>
          <cell r="D915">
            <v>6.50824993054423E-3</v>
          </cell>
          <cell r="E915">
            <v>1.7938891528897313E-2</v>
          </cell>
          <cell r="F915">
            <v>1.7941375837377309E-2</v>
          </cell>
          <cell r="G915">
            <v>5.1004563635712867E-2</v>
          </cell>
          <cell r="H915">
            <v>8.2612321840790509E-2</v>
          </cell>
          <cell r="I915">
            <v>0.13174011210363873</v>
          </cell>
          <cell r="J915">
            <v>0.17338482109888223</v>
          </cell>
        </row>
        <row r="916">
          <cell r="A916" t="str">
            <v>D-RHNS_LTH_CHPWOD</v>
          </cell>
          <cell r="B916" t="str">
            <v>VAR_fout</v>
          </cell>
          <cell r="C916" t="str">
            <v>RHNS_LTH_CHPWOD_ON</v>
          </cell>
          <cell r="D916">
            <v>1.5479116234296634E-5</v>
          </cell>
          <cell r="E916">
            <v>6.2895925528651052E-6</v>
          </cell>
          <cell r="F916">
            <v>2.1939180189665864E-6</v>
          </cell>
          <cell r="G916">
            <v>4.9393200064242155E-6</v>
          </cell>
          <cell r="H916">
            <v>1.441374141988173E-6</v>
          </cell>
          <cell r="I916">
            <v>1.1446802409765679E-6</v>
          </cell>
          <cell r="J916">
            <v>2.9956835992429305E-7</v>
          </cell>
        </row>
        <row r="917">
          <cell r="A917" t="str">
            <v>D-RHNS_LTH_CHPWOD</v>
          </cell>
          <cell r="B917" t="str">
            <v>VAR_fout</v>
          </cell>
          <cell r="C917" t="str">
            <v>RHSA_LTH</v>
          </cell>
          <cell r="D917">
            <v>8.6132651643359659E-6</v>
          </cell>
          <cell r="E917">
            <v>1.5191152142796397E-5</v>
          </cell>
          <cell r="F917">
            <v>3.240937017549503E-6</v>
          </cell>
          <cell r="G917">
            <v>7.3115042140788694E-6</v>
          </cell>
          <cell r="H917">
            <v>9.5299313207988937E-6</v>
          </cell>
          <cell r="I917">
            <v>8.7893593300569322E-6</v>
          </cell>
          <cell r="J917">
            <v>7.5627213760991224E-6</v>
          </cell>
        </row>
        <row r="918">
          <cell r="A918" t="str">
            <v>D-RHNS_LTH_CHPWOD</v>
          </cell>
          <cell r="B918" t="str">
            <v>VAR_fin</v>
          </cell>
          <cell r="C918" t="str">
            <v>RHNS_LTH_CHPWOD</v>
          </cell>
          <cell r="D918">
            <v>2.4092381398632595E-5</v>
          </cell>
          <cell r="E918">
            <v>2.1865216500534258E-5</v>
          </cell>
          <cell r="F918">
            <v>5.7073892151465157E-6</v>
          </cell>
          <cell r="G918">
            <v>1.2793194157636613E-5</v>
          </cell>
          <cell r="H918">
            <v>1.1772728947159025E-5</v>
          </cell>
          <cell r="I918">
            <v>1.0730745991187843E-5</v>
          </cell>
          <cell r="J918">
            <v>8.8835524408063942E-6</v>
          </cell>
        </row>
        <row r="919">
          <cell r="A919" t="str">
            <v>D-SBIO</v>
          </cell>
          <cell r="B919" t="str">
            <v>VAR_fout</v>
          </cell>
          <cell r="C919" t="str">
            <v>SBIO</v>
          </cell>
          <cell r="D919">
            <v>4.0476745403392496</v>
          </cell>
          <cell r="E919">
            <v>4.5832723595517715</v>
          </cell>
          <cell r="F919">
            <v>3.0423987923177669</v>
          </cell>
          <cell r="G919">
            <v>3.0321071621897415</v>
          </cell>
          <cell r="H919">
            <v>2.9905229911034183</v>
          </cell>
          <cell r="I919">
            <v>2.9498830711766528</v>
          </cell>
          <cell r="J919">
            <v>2.8712784321767177</v>
          </cell>
        </row>
        <row r="920">
          <cell r="A920" t="str">
            <v>D-SBIO</v>
          </cell>
          <cell r="B920" t="str">
            <v>VAR_fin</v>
          </cell>
          <cell r="C920" t="str">
            <v>BIO</v>
          </cell>
          <cell r="D920">
            <v>4.0476745403392496</v>
          </cell>
          <cell r="E920">
            <v>4.5832723595517715</v>
          </cell>
          <cell r="F920">
            <v>3.0423987923177669</v>
          </cell>
          <cell r="G920">
            <v>3.0321071621897415</v>
          </cell>
          <cell r="H920">
            <v>2.9905229911034183</v>
          </cell>
          <cell r="I920">
            <v>2.9498830711766528</v>
          </cell>
          <cell r="J920">
            <v>2.8712784321767177</v>
          </cell>
        </row>
        <row r="921">
          <cell r="A921" t="str">
            <v>RHEM-SHDEM</v>
          </cell>
          <cell r="B921" t="str">
            <v>VAR_fout</v>
          </cell>
          <cell r="C921" t="str">
            <v>RHEM-SHD</v>
          </cell>
          <cell r="D921">
            <v>66.986774791699034</v>
          </cell>
          <cell r="E921">
            <v>66.782026660973159</v>
          </cell>
          <cell r="F921">
            <v>66.567190045499089</v>
          </cell>
          <cell r="G921">
            <v>65.190377528488511</v>
          </cell>
          <cell r="H921">
            <v>63.725878929891387</v>
          </cell>
          <cell r="I921">
            <v>62.488267766505729</v>
          </cell>
          <cell r="J921">
            <v>60.758133101145241</v>
          </cell>
        </row>
        <row r="922">
          <cell r="A922" t="str">
            <v>RHEM-SHDEM</v>
          </cell>
          <cell r="B922" t="str">
            <v>VAR_fin</v>
          </cell>
          <cell r="C922" t="str">
            <v>RHEM-SHNST</v>
          </cell>
          <cell r="D922">
            <v>7.267733347667204E-5</v>
          </cell>
        </row>
        <row r="923">
          <cell r="A923" t="str">
            <v>RHEM-SHDEM</v>
          </cell>
          <cell r="B923" t="str">
            <v>VAR_fin</v>
          </cell>
          <cell r="C923" t="str">
            <v>RHEM-SHPLT</v>
          </cell>
          <cell r="D923">
            <v>1.4010158043147871</v>
          </cell>
          <cell r="E923">
            <v>1.6077872161404636</v>
          </cell>
          <cell r="F923">
            <v>0.2834317288979466</v>
          </cell>
          <cell r="G923">
            <v>0.43175688402989809</v>
          </cell>
          <cell r="H923">
            <v>0.50384590411698016</v>
          </cell>
          <cell r="I923">
            <v>0.56881450536648814</v>
          </cell>
          <cell r="J923">
            <v>0.66585329004325811</v>
          </cell>
        </row>
        <row r="924">
          <cell r="A924" t="str">
            <v>RHEM-SHDEM</v>
          </cell>
          <cell r="B924" t="str">
            <v>VAR_fin</v>
          </cell>
          <cell r="C924" t="str">
            <v>RHEM-SHNGAH</v>
          </cell>
          <cell r="D924">
            <v>6.288571586892133E-5</v>
          </cell>
          <cell r="E924">
            <v>1.5903705495193112E-5</v>
          </cell>
          <cell r="F924">
            <v>1.9856114185897127</v>
          </cell>
          <cell r="G924">
            <v>4.2080305960014739</v>
          </cell>
          <cell r="H924">
            <v>5.6181967244009225</v>
          </cell>
          <cell r="I924">
            <v>6.7927854797131424</v>
          </cell>
          <cell r="J924">
            <v>9.1566636704290651</v>
          </cell>
        </row>
        <row r="925">
          <cell r="A925" t="str">
            <v>RHEM-SHDEM</v>
          </cell>
          <cell r="B925" t="str">
            <v>VAR_fin</v>
          </cell>
          <cell r="C925" t="str">
            <v>RHEM-SHLTHC-WOD</v>
          </cell>
          <cell r="D925">
            <v>5.8029100262350393E-5</v>
          </cell>
          <cell r="E925">
            <v>9.6234629698153396E-6</v>
          </cell>
        </row>
        <row r="926">
          <cell r="A926" t="str">
            <v>RHEM-SHDEM</v>
          </cell>
          <cell r="B926" t="str">
            <v>VAR_fin</v>
          </cell>
          <cell r="C926" t="str">
            <v>RHEM-SHSOL</v>
          </cell>
          <cell r="D926">
            <v>0.40790515151597856</v>
          </cell>
          <cell r="E926">
            <v>0.47086187472687097</v>
          </cell>
          <cell r="F926">
            <v>9.0777525602100239E-3</v>
          </cell>
          <cell r="G926">
            <v>1.1274011549191219E-2</v>
          </cell>
          <cell r="H926">
            <v>1.262334252955262E-2</v>
          </cell>
          <cell r="I926">
            <v>1.2956166604633019E-2</v>
          </cell>
          <cell r="J926">
            <v>1.316187997590754E-2</v>
          </cell>
        </row>
        <row r="927">
          <cell r="A927" t="str">
            <v>RHEM-SHDEM</v>
          </cell>
          <cell r="B927" t="str">
            <v>VAR_fin</v>
          </cell>
          <cell r="C927" t="str">
            <v>RHEM-SHLTHD</v>
          </cell>
          <cell r="D927">
            <v>3.4060557412636658</v>
          </cell>
          <cell r="E927">
            <v>3.7887128874690914</v>
          </cell>
          <cell r="F927">
            <v>4.3967247556729951</v>
          </cell>
          <cell r="G927">
            <v>4.8782289762301208</v>
          </cell>
          <cell r="H927">
            <v>5.0391290003021529</v>
          </cell>
          <cell r="I927">
            <v>5.0868078009634941</v>
          </cell>
          <cell r="J927">
            <v>5.1867964482723492</v>
          </cell>
        </row>
        <row r="928">
          <cell r="A928" t="str">
            <v>RHEM-SHDEM</v>
          </cell>
          <cell r="B928" t="str">
            <v>VAR_fin</v>
          </cell>
          <cell r="C928" t="str">
            <v>RHEM-SHNGA</v>
          </cell>
          <cell r="D928">
            <v>18.999243949720974</v>
          </cell>
          <cell r="E928">
            <v>19.056666858034575</v>
          </cell>
          <cell r="F928">
            <v>21.837944172725759</v>
          </cell>
          <cell r="G928">
            <v>18.526427830692022</v>
          </cell>
          <cell r="H928">
            <v>14.946287072834552</v>
          </cell>
          <cell r="I928">
            <v>11.228708663928602</v>
          </cell>
          <cell r="J928">
            <v>4.949628517145749</v>
          </cell>
        </row>
        <row r="929">
          <cell r="A929" t="str">
            <v>RHEM-SHDEM</v>
          </cell>
          <cell r="B929" t="str">
            <v>VAR_fin</v>
          </cell>
          <cell r="C929" t="str">
            <v>RHEM-SHELCB</v>
          </cell>
          <cell r="D929">
            <v>4.6278988797235678</v>
          </cell>
          <cell r="E929">
            <v>3.1710238939317379</v>
          </cell>
          <cell r="F929">
            <v>3.7651791924390658E-2</v>
          </cell>
          <cell r="G929">
            <v>1.3283295563507927E-2</v>
          </cell>
          <cell r="H929">
            <v>5.0808483554665987E-3</v>
          </cell>
          <cell r="I929">
            <v>4.705491768254689E-3</v>
          </cell>
          <cell r="J929">
            <v>3.8982068851097576E-3</v>
          </cell>
        </row>
        <row r="930">
          <cell r="A930" t="str">
            <v>RHEM-SHDEM</v>
          </cell>
          <cell r="B930" t="str">
            <v>VAR_fin</v>
          </cell>
          <cell r="C930" t="str">
            <v>RHEM-SHELCH</v>
          </cell>
          <cell r="D930">
            <v>9.9023904901504167</v>
          </cell>
          <cell r="E930">
            <v>11.655183635781587</v>
          </cell>
          <cell r="F930">
            <v>9.6234138642633216</v>
          </cell>
          <cell r="G930">
            <v>13.225905466748769</v>
          </cell>
          <cell r="H930">
            <v>15.510885336507934</v>
          </cell>
          <cell r="I930">
            <v>17.466701599189275</v>
          </cell>
          <cell r="J930">
            <v>21.579142626464925</v>
          </cell>
        </row>
        <row r="931">
          <cell r="A931" t="str">
            <v>RHEM-SHDEM</v>
          </cell>
          <cell r="B931" t="str">
            <v>VAR_fin</v>
          </cell>
          <cell r="C931" t="str">
            <v>RHEM-SHLFO</v>
          </cell>
          <cell r="D931">
            <v>23.443581487857973</v>
          </cell>
          <cell r="E931">
            <v>18.590946200575107</v>
          </cell>
          <cell r="F931">
            <v>20.885907446347872</v>
          </cell>
          <cell r="G931">
            <v>14.13138394267332</v>
          </cell>
          <cell r="H931">
            <v>10.465423702794007</v>
          </cell>
          <cell r="I931">
            <v>7.9513665033001084</v>
          </cell>
          <cell r="J931">
            <v>2.6681324757316949</v>
          </cell>
        </row>
        <row r="932">
          <cell r="A932" t="str">
            <v>RHEM-SHDEM</v>
          </cell>
          <cell r="B932" t="str">
            <v>VAR_fin</v>
          </cell>
          <cell r="C932" t="str">
            <v>RHEM-SHCON</v>
          </cell>
          <cell r="D932">
            <v>6.6311839713299727E-3</v>
          </cell>
          <cell r="E932">
            <v>4.4471791166056676</v>
          </cell>
          <cell r="F932">
            <v>2.861271389438365</v>
          </cell>
          <cell r="G932">
            <v>5.1425354890921611</v>
          </cell>
          <cell r="H932">
            <v>7.313883659286347</v>
          </cell>
          <cell r="I932">
            <v>9.3795546438803132</v>
          </cell>
          <cell r="J932">
            <v>13.230124010644216</v>
          </cell>
        </row>
        <row r="933">
          <cell r="A933" t="str">
            <v>RHEM-SHDEM</v>
          </cell>
          <cell r="B933" t="str">
            <v>VAR_fin</v>
          </cell>
          <cell r="C933" t="str">
            <v>RHEM-SHWOD</v>
          </cell>
          <cell r="D933">
            <v>4.7437939950918189</v>
          </cell>
          <cell r="E933">
            <v>3.9932623374788649</v>
          </cell>
          <cell r="F933">
            <v>4.6463873908354065</v>
          </cell>
          <cell r="G933">
            <v>4.6217325837744303</v>
          </cell>
          <cell r="H933">
            <v>4.310719589089234</v>
          </cell>
          <cell r="I933">
            <v>3.9960444599863485</v>
          </cell>
          <cell r="J933">
            <v>3.3048808940917791</v>
          </cell>
        </row>
        <row r="934">
          <cell r="A934" t="str">
            <v>RHEM-SHDEM</v>
          </cell>
          <cell r="B934" t="str">
            <v>VAR_fin</v>
          </cell>
          <cell r="C934" t="str">
            <v>RHEM-SHLTHC-NGA</v>
          </cell>
          <cell r="D934">
            <v>4.827937539761009E-2</v>
          </cell>
          <cell r="E934">
            <v>5.8541614150846375E-4</v>
          </cell>
        </row>
        <row r="935">
          <cell r="A935" t="str">
            <v>RHNS-SHSTG-ELC</v>
          </cell>
          <cell r="B935" t="str">
            <v>VAR_fout</v>
          </cell>
          <cell r="C935" t="str">
            <v>RHNS-SHAELCB</v>
          </cell>
          <cell r="E935">
            <v>9.9590964498478277E-5</v>
          </cell>
          <cell r="F935">
            <v>1.6467105331694663E-3</v>
          </cell>
          <cell r="G935">
            <v>3.5433007804788904E-3</v>
          </cell>
          <cell r="H935">
            <v>2.8807401794621037E-3</v>
          </cell>
          <cell r="I935">
            <v>5.4386042087754202E-3</v>
          </cell>
          <cell r="J935">
            <v>3.9625424547860772E-3</v>
          </cell>
        </row>
        <row r="936">
          <cell r="A936" t="str">
            <v>RHNS-SHSTG-ELC</v>
          </cell>
          <cell r="B936" t="str">
            <v>VAR_fout</v>
          </cell>
          <cell r="C936" t="str">
            <v>AUX_RHNS-SHSTG-ELC_OUT</v>
          </cell>
          <cell r="E936">
            <v>9.9690555462976832E-5</v>
          </cell>
          <cell r="F936">
            <v>1.6483572437026386E-3</v>
          </cell>
          <cell r="G936">
            <v>3.5468440812593677E-3</v>
          </cell>
          <cell r="H936">
            <v>2.8836209196415664E-3</v>
          </cell>
          <cell r="I936">
            <v>5.4440428129842022E-3</v>
          </cell>
          <cell r="J936">
            <v>3.9665049972408628E-3</v>
          </cell>
        </row>
        <row r="937">
          <cell r="A937" t="str">
            <v>RHNS-SHSTG-ELC</v>
          </cell>
          <cell r="B937" t="str">
            <v>VAR_fin</v>
          </cell>
          <cell r="C937" t="str">
            <v>RHNS-SHAELCB</v>
          </cell>
          <cell r="E937">
            <v>9.6707832556580894E-5</v>
          </cell>
          <cell r="F937">
            <v>1.6446917770700472E-3</v>
          </cell>
          <cell r="G937">
            <v>3.5414302435502715E-3</v>
          </cell>
          <cell r="H937">
            <v>2.8797397478261253E-3</v>
          </cell>
          <cell r="I937">
            <v>5.4377266202015025E-3</v>
          </cell>
          <cell r="J937">
            <v>3.962537172009767E-3</v>
          </cell>
        </row>
        <row r="938">
          <cell r="A938" t="str">
            <v>RHNS-SHSTG-ELC</v>
          </cell>
          <cell r="B938" t="str">
            <v>VAR_ncap</v>
          </cell>
          <cell r="C938" t="str">
            <v>-</v>
          </cell>
          <cell r="D938">
            <v>8.5135877308267205E-6</v>
          </cell>
          <cell r="E938">
            <v>1.7757268270690099E-5</v>
          </cell>
          <cell r="F938">
            <v>8.7181866168600396E-4</v>
          </cell>
          <cell r="G938">
            <v>8.7174215298936302E-6</v>
          </cell>
          <cell r="H938">
            <v>5.7763289994390901E-4</v>
          </cell>
          <cell r="I938">
            <v>2.6836001443382597E-4</v>
          </cell>
          <cell r="J938">
            <v>6.5565229144282799E-6</v>
          </cell>
        </row>
        <row r="939">
          <cell r="A939" t="str">
            <v>RHNS-SHSTG-ELC</v>
          </cell>
          <cell r="B939" t="str">
            <v>VAR_cap</v>
          </cell>
          <cell r="C939" t="str">
            <v>-</v>
          </cell>
          <cell r="D939">
            <v>8.5135877308267205E-6</v>
          </cell>
          <cell r="E939">
            <v>2.4479246915833419E-5</v>
          </cell>
          <cell r="F939">
            <v>8.9391352704421727E-4</v>
          </cell>
          <cell r="G939">
            <v>8.9364340806547937E-4</v>
          </cell>
          <cell r="H939">
            <v>1.4523602488891293E-3</v>
          </cell>
          <cell r="I939">
            <v>9.9503386134506644E-4</v>
          </cell>
          <cell r="J939">
            <v>4.2120667721279862E-4</v>
          </cell>
        </row>
        <row r="940">
          <cell r="A940" t="str">
            <v>RHES-SHCOABR</v>
          </cell>
          <cell r="B940" t="str">
            <v>VAR_fout</v>
          </cell>
          <cell r="C940" t="str">
            <v>CO2_R</v>
          </cell>
          <cell r="D940">
            <v>9.2700810955579893</v>
          </cell>
          <cell r="E940">
            <v>9.27005946500765</v>
          </cell>
          <cell r="F940">
            <v>2.4985699249556999</v>
          </cell>
          <cell r="G940">
            <v>0.561906252020832</v>
          </cell>
          <cell r="H940">
            <v>2.1079306007833799E-2</v>
          </cell>
        </row>
        <row r="941">
          <cell r="A941" t="str">
            <v>RHES-SHCOABR</v>
          </cell>
          <cell r="B941" t="str">
            <v>VAR_fout</v>
          </cell>
          <cell r="C941" t="str">
            <v>RHES-SHCOA</v>
          </cell>
          <cell r="D941">
            <v>7.2000629868411645E-2</v>
          </cell>
          <cell r="E941">
            <v>7.2000461864137069E-2</v>
          </cell>
          <cell r="F941">
            <v>2.1543782378820975E-2</v>
          </cell>
          <cell r="G941">
            <v>4.8487062290993458E-3</v>
          </cell>
          <cell r="H941">
            <v>1.8191418345487643E-4</v>
          </cell>
        </row>
        <row r="942">
          <cell r="A942" t="str">
            <v>RHES-SHCOABR</v>
          </cell>
          <cell r="B942" t="str">
            <v>VAR_fin</v>
          </cell>
          <cell r="C942" t="str">
            <v>RCOA</v>
          </cell>
          <cell r="D942">
            <v>0.10000087481723838</v>
          </cell>
          <cell r="E942">
            <v>0.10000064147796808</v>
          </cell>
          <cell r="F942">
            <v>2.6953289373847958E-2</v>
          </cell>
          <cell r="G942">
            <v>6.0615561167295905E-3</v>
          </cell>
          <cell r="H942">
            <v>2.2739272931859565E-4</v>
          </cell>
        </row>
        <row r="943">
          <cell r="A943" t="str">
            <v>RHES-SHCOABR</v>
          </cell>
          <cell r="B943" t="str">
            <v>VAR_cap</v>
          </cell>
          <cell r="C943" t="str">
            <v>-</v>
          </cell>
          <cell r="D943">
            <v>7.0000000000000001E-3</v>
          </cell>
          <cell r="E943">
            <v>6.3207583524111438E-3</v>
          </cell>
          <cell r="F943">
            <v>2.0116795184501202E-3</v>
          </cell>
          <cell r="G943">
            <v>5.2598815053771057E-4</v>
          </cell>
          <cell r="H943">
            <v>2.5488998555499949E-5</v>
          </cell>
        </row>
        <row r="944">
          <cell r="A944" t="str">
            <v>D-INGA</v>
          </cell>
          <cell r="B944" t="str">
            <v>VAR_fout</v>
          </cell>
          <cell r="C944" t="str">
            <v>CO2</v>
          </cell>
          <cell r="D944">
            <v>2101.5527816373201</v>
          </cell>
          <cell r="E944">
            <v>1848.2740845886999</v>
          </cell>
          <cell r="F944">
            <v>1887.2180135369499</v>
          </cell>
          <cell r="G944">
            <v>1779.59971786542</v>
          </cell>
          <cell r="H944">
            <v>1516.34651725253</v>
          </cell>
          <cell r="I944">
            <v>891.23636622245601</v>
          </cell>
          <cell r="J944">
            <v>423.29328270687</v>
          </cell>
        </row>
        <row r="945">
          <cell r="A945" t="str">
            <v>D-INGA</v>
          </cell>
          <cell r="B945" t="str">
            <v>VAR_fout</v>
          </cell>
          <cell r="C945" t="str">
            <v>INGA</v>
          </cell>
          <cell r="D945">
            <v>37.470322598049435</v>
          </cell>
          <cell r="E945">
            <v>32.66647810036698</v>
          </cell>
          <cell r="F945">
            <v>36.33265157194711</v>
          </cell>
          <cell r="G945">
            <v>34.939394332226712</v>
          </cell>
          <cell r="H945">
            <v>30.28665078254781</v>
          </cell>
          <cell r="I945">
            <v>19.238428735519346</v>
          </cell>
          <cell r="J945">
            <v>10.967989228324603</v>
          </cell>
        </row>
        <row r="946">
          <cell r="A946" t="str">
            <v>D-INGA</v>
          </cell>
          <cell r="B946" t="str">
            <v>VAR_fin</v>
          </cell>
          <cell r="C946" t="str">
            <v>NGA</v>
          </cell>
          <cell r="D946">
            <v>37.261574142505708</v>
          </cell>
          <cell r="E946">
            <v>32.770817102636464</v>
          </cell>
          <cell r="F946">
            <v>33.461312296754379</v>
          </cell>
          <cell r="G946">
            <v>31.55318648697542</v>
          </cell>
          <cell r="H946">
            <v>26.885576547030684</v>
          </cell>
          <cell r="I946">
            <v>15.802063230894623</v>
          </cell>
          <cell r="J946">
            <v>7.5052000479941459</v>
          </cell>
        </row>
        <row r="947">
          <cell r="A947" t="str">
            <v>D-INGA</v>
          </cell>
          <cell r="B947" t="str">
            <v>VAR_fin</v>
          </cell>
          <cell r="C947" t="str">
            <v>BNGA</v>
          </cell>
          <cell r="D947">
            <v>0.32845188208644693</v>
          </cell>
          <cell r="E947">
            <v>1.9078613225042518E-5</v>
          </cell>
          <cell r="F947">
            <v>2.9874082755907003</v>
          </cell>
          <cell r="G947">
            <v>3.4978296326195717</v>
          </cell>
          <cell r="H947">
            <v>3.4978310392573073</v>
          </cell>
          <cell r="I947">
            <v>3.4978323935870606</v>
          </cell>
          <cell r="J947">
            <v>3.4978329338868175</v>
          </cell>
        </row>
        <row r="948">
          <cell r="A948" t="str">
            <v>D-INGA</v>
          </cell>
          <cell r="B948" t="str">
            <v>VAR_ncap</v>
          </cell>
          <cell r="C948" t="str">
            <v>-</v>
          </cell>
          <cell r="D948">
            <v>1.19799952748988E-7</v>
          </cell>
          <cell r="E948">
            <v>8.1807591519007195E-8</v>
          </cell>
          <cell r="F948">
            <v>9.5191238806530596E-8</v>
          </cell>
          <cell r="G948">
            <v>1.11872064592827E-7</v>
          </cell>
          <cell r="H948">
            <v>2.22034394508261E-7</v>
          </cell>
          <cell r="I948">
            <v>2.6680482257426499E-7</v>
          </cell>
          <cell r="J948">
            <v>4.9037528999077797E-7</v>
          </cell>
        </row>
        <row r="949">
          <cell r="A949" t="str">
            <v>D-INGA</v>
          </cell>
          <cell r="B949" t="str">
            <v>VAR_cap</v>
          </cell>
          <cell r="C949" t="str">
            <v>-</v>
          </cell>
          <cell r="D949">
            <v>1.9844834900660528</v>
          </cell>
          <cell r="E949">
            <v>1.9844835718736442</v>
          </cell>
          <cell r="F949">
            <v>1.9844836670648831</v>
          </cell>
          <cell r="G949">
            <v>1.9844837789369476</v>
          </cell>
          <cell r="H949">
            <v>1.9844840009713423</v>
          </cell>
          <cell r="I949">
            <v>1.9844842677761647</v>
          </cell>
          <cell r="J949">
            <v>1.0954608253312745</v>
          </cell>
        </row>
        <row r="950">
          <cell r="A950" t="str">
            <v>RHEM-SHNGAHP</v>
          </cell>
          <cell r="B950" t="str">
            <v>VAR_fout</v>
          </cell>
          <cell r="C950" t="str">
            <v>CO2_R</v>
          </cell>
          <cell r="F950">
            <v>59.410593094646799</v>
          </cell>
          <cell r="G950">
            <v>122.83748799396299</v>
          </cell>
          <cell r="H950">
            <v>161.73235488766301</v>
          </cell>
          <cell r="I950">
            <v>193.27346638820799</v>
          </cell>
          <cell r="J950">
            <v>254.45600042012799</v>
          </cell>
        </row>
        <row r="951">
          <cell r="A951" t="str">
            <v>RHEM-SHNGAHP</v>
          </cell>
          <cell r="B951" t="str">
            <v>VAR_fout</v>
          </cell>
          <cell r="C951" t="str">
            <v>RHEM-SHANGAH</v>
          </cell>
          <cell r="F951">
            <v>1.9856214302316129</v>
          </cell>
          <cell r="G951">
            <v>4.2080399106017348</v>
          </cell>
          <cell r="H951">
            <v>5.6182006837593086</v>
          </cell>
          <cell r="I951">
            <v>6.7927895815028112</v>
          </cell>
          <cell r="J951">
            <v>9.1566679858252584</v>
          </cell>
        </row>
        <row r="952">
          <cell r="A952" t="str">
            <v>RHEM-SHNGAHP</v>
          </cell>
          <cell r="B952" t="str">
            <v>VAR_fin</v>
          </cell>
          <cell r="C952" t="str">
            <v>RHEMELCHPC</v>
          </cell>
          <cell r="F952">
            <v>1.9856214302316129</v>
          </cell>
          <cell r="G952">
            <v>4.2080399106017348</v>
          </cell>
          <cell r="H952">
            <v>5.6182006837593086</v>
          </cell>
          <cell r="I952">
            <v>6.7927895815028112</v>
          </cell>
          <cell r="J952">
            <v>9.1566679858252584</v>
          </cell>
        </row>
        <row r="953">
          <cell r="A953" t="str">
            <v>RHEM-SHNGAHP</v>
          </cell>
          <cell r="B953" t="str">
            <v>VAR_fin</v>
          </cell>
          <cell r="C953" t="str">
            <v>RNGA</v>
          </cell>
          <cell r="F953">
            <v>1.0533793101887747</v>
          </cell>
          <cell r="G953">
            <v>2.1779696452830297</v>
          </cell>
          <cell r="H953">
            <v>2.8675949448167177</v>
          </cell>
          <cell r="I953">
            <v>3.4268345104292224</v>
          </cell>
          <cell r="J953">
            <v>4.511631213122838</v>
          </cell>
        </row>
        <row r="954">
          <cell r="A954" t="str">
            <v>RHEM-SHNGAHP</v>
          </cell>
          <cell r="B954" t="str">
            <v>VAR_ncap</v>
          </cell>
          <cell r="C954" t="str">
            <v>-</v>
          </cell>
          <cell r="D954">
            <v>2.59208192242828E-8</v>
          </cell>
          <cell r="E954">
            <v>4.15544430262029E-8</v>
          </cell>
          <cell r="F954">
            <v>0.14021850888913301</v>
          </cell>
          <cell r="G954">
            <v>0.156929316076617</v>
          </cell>
          <cell r="H954">
            <v>9.9581481979273898E-2</v>
          </cell>
          <cell r="I954">
            <v>0.248071672231512</v>
          </cell>
          <cell r="J954">
            <v>0.424432337906826</v>
          </cell>
        </row>
        <row r="955">
          <cell r="A955" t="str">
            <v>RHEM-SHNGAHP</v>
          </cell>
          <cell r="B955" t="str">
            <v>VAR_cap</v>
          </cell>
          <cell r="C955" t="str">
            <v>-</v>
          </cell>
          <cell r="D955">
            <v>2.59208192242828E-8</v>
          </cell>
          <cell r="E955">
            <v>-7.26607362071393E-8</v>
          </cell>
          <cell r="F955">
            <v>0.14021850862722154</v>
          </cell>
          <cell r="G955">
            <v>0.29714783574790821</v>
          </cell>
          <cell r="H955">
            <v>0.39672919316812189</v>
          </cell>
          <cell r="I955">
            <v>0.47966941411993652</v>
          </cell>
          <cell r="J955">
            <v>0.64658866452912112</v>
          </cell>
        </row>
        <row r="956">
          <cell r="A956" t="str">
            <v>D-SPLT</v>
          </cell>
          <cell r="B956" t="str">
            <v>VAR_fout</v>
          </cell>
          <cell r="C956" t="str">
            <v>SPLT</v>
          </cell>
          <cell r="D956">
            <v>2.0856350343101524</v>
          </cell>
          <cell r="E956">
            <v>2.4000923132040493</v>
          </cell>
          <cell r="F956">
            <v>0.63650852920184731</v>
          </cell>
          <cell r="G956">
            <v>1.0634489422894986</v>
          </cell>
          <cell r="H956">
            <v>1.2909844397842793</v>
          </cell>
          <cell r="I956">
            <v>1.5136729576263734</v>
          </cell>
          <cell r="J956">
            <v>1.8537009794738641</v>
          </cell>
        </row>
        <row r="957">
          <cell r="A957" t="str">
            <v>D-SPLT</v>
          </cell>
          <cell r="B957" t="str">
            <v>VAR_fin</v>
          </cell>
          <cell r="C957" t="str">
            <v>PLT</v>
          </cell>
          <cell r="D957">
            <v>2.0856350343101524</v>
          </cell>
          <cell r="E957">
            <v>2.4000923132040493</v>
          </cell>
          <cell r="F957">
            <v>0.63650852920184731</v>
          </cell>
          <cell r="G957">
            <v>1.0634489422894986</v>
          </cell>
          <cell r="H957">
            <v>1.2909844397842793</v>
          </cell>
          <cell r="I957">
            <v>1.5136729576263734</v>
          </cell>
          <cell r="J957">
            <v>1.8537009794738641</v>
          </cell>
        </row>
        <row r="958">
          <cell r="A958" t="str">
            <v>RHES-SHCONBR</v>
          </cell>
          <cell r="B958" t="str">
            <v>VAR_fout</v>
          </cell>
          <cell r="C958" t="str">
            <v>RHES-SHCON</v>
          </cell>
          <cell r="F958">
            <v>2.2385705944874054E-5</v>
          </cell>
          <cell r="G958">
            <v>1.8230157972424191E-5</v>
          </cell>
          <cell r="H958">
            <v>3.3353707049783384E-5</v>
          </cell>
          <cell r="I958">
            <v>3.3371453940379639E-5</v>
          </cell>
          <cell r="J958">
            <v>3.0103717410163878E-5</v>
          </cell>
        </row>
        <row r="959">
          <cell r="A959" t="str">
            <v>RHES-SHCONBR</v>
          </cell>
          <cell r="B959" t="str">
            <v>VAR_fin</v>
          </cell>
          <cell r="C959" t="str">
            <v>CON</v>
          </cell>
          <cell r="F959">
            <v>2.2385705944874054E-5</v>
          </cell>
          <cell r="G959">
            <v>1.8230157972424191E-5</v>
          </cell>
          <cell r="H959">
            <v>3.3353707049783384E-5</v>
          </cell>
          <cell r="I959">
            <v>3.3371453940379639E-5</v>
          </cell>
          <cell r="J959">
            <v>3.0103717410163878E-5</v>
          </cell>
        </row>
        <row r="960">
          <cell r="A960" t="str">
            <v>RHES-SHCONBR</v>
          </cell>
          <cell r="B960" t="str">
            <v>VAR_ncap</v>
          </cell>
          <cell r="C960" t="str">
            <v>-</v>
          </cell>
          <cell r="F960">
            <v>6.2056925445762903E-7</v>
          </cell>
          <cell r="G960">
            <v>2.2030769980016299E-8</v>
          </cell>
          <cell r="H960">
            <v>9.3676931227696096E-7</v>
          </cell>
          <cell r="I960">
            <v>3.8340956675112197E-8</v>
          </cell>
          <cell r="J960">
            <v>2.1231356422039401E-8</v>
          </cell>
        </row>
        <row r="961">
          <cell r="A961" t="str">
            <v>RHES-SHCONBR</v>
          </cell>
          <cell r="B961" t="str">
            <v>VAR_cap</v>
          </cell>
          <cell r="C961" t="str">
            <v>-</v>
          </cell>
          <cell r="F961">
            <v>6.2056925445762903E-7</v>
          </cell>
          <cell r="G961">
            <v>6.4260002443764496E-7</v>
          </cell>
          <cell r="H961">
            <v>1.5793693367146099E-6</v>
          </cell>
          <cell r="I961">
            <v>1.61771029338972E-6</v>
          </cell>
          <cell r="J961">
            <v>1.63894164981176E-6</v>
          </cell>
        </row>
        <row r="962">
          <cell r="A962" t="str">
            <v>RHSA-WHSOLBR</v>
          </cell>
          <cell r="B962" t="str">
            <v>VAR_fout</v>
          </cell>
          <cell r="C962" t="str">
            <v>RHSA-WHASOL</v>
          </cell>
          <cell r="D962">
            <v>1.721488024659851</v>
          </cell>
          <cell r="E962">
            <v>1.9867276432802017</v>
          </cell>
          <cell r="F962">
            <v>0.904547782524736</v>
          </cell>
          <cell r="G962">
            <v>1.0742208068571992</v>
          </cell>
          <cell r="H962">
            <v>1.1916306080095367</v>
          </cell>
          <cell r="I962">
            <v>1.2853373480142947</v>
          </cell>
          <cell r="J962">
            <v>1.4830723162413373</v>
          </cell>
        </row>
        <row r="963">
          <cell r="A963" t="str">
            <v>RHSA-WHSOLBR</v>
          </cell>
          <cell r="B963" t="str">
            <v>VAR_fin</v>
          </cell>
          <cell r="C963" t="str">
            <v>SOL</v>
          </cell>
          <cell r="D963">
            <v>1.721488024659851</v>
          </cell>
          <cell r="E963">
            <v>1.9867276432802017</v>
          </cell>
          <cell r="F963">
            <v>0.904547782524736</v>
          </cell>
          <cell r="G963">
            <v>1.0742208068571992</v>
          </cell>
          <cell r="H963">
            <v>1.1916306080095367</v>
          </cell>
          <cell r="I963">
            <v>1.2853373480142947</v>
          </cell>
          <cell r="J963">
            <v>1.4830723162413373</v>
          </cell>
        </row>
        <row r="964">
          <cell r="A964" t="str">
            <v>RHSA-WHSOLBR</v>
          </cell>
          <cell r="B964" t="str">
            <v>VAR_fin</v>
          </cell>
          <cell r="C964" t="str">
            <v>RHSASOLBRC</v>
          </cell>
          <cell r="D964">
            <v>1.721488024659851</v>
          </cell>
          <cell r="E964">
            <v>1.9867276432802017</v>
          </cell>
          <cell r="F964">
            <v>0.904547782524736</v>
          </cell>
          <cell r="G964">
            <v>1.0742208068571992</v>
          </cell>
          <cell r="H964">
            <v>1.1916306080095367</v>
          </cell>
          <cell r="I964">
            <v>1.2853373480142947</v>
          </cell>
          <cell r="J964">
            <v>1.4830723162413373</v>
          </cell>
        </row>
        <row r="965">
          <cell r="A965" t="str">
            <v>RHSA-WHSOLBR</v>
          </cell>
          <cell r="B965" t="str">
            <v>VAR_ncap</v>
          </cell>
          <cell r="C965" t="str">
            <v>-</v>
          </cell>
          <cell r="E965">
            <v>8.2533502733755607E-2</v>
          </cell>
          <cell r="F965">
            <v>7.8253596569246703E-8</v>
          </cell>
          <cell r="G965">
            <v>1.44858544624595E-7</v>
          </cell>
          <cell r="H965">
            <v>0.162132606691545</v>
          </cell>
          <cell r="I965">
            <v>0.13547765652066401</v>
          </cell>
          <cell r="J965">
            <v>0.22352635842544799</v>
          </cell>
        </row>
        <row r="966">
          <cell r="A966" t="str">
            <v>RHSA-WHSOLBR</v>
          </cell>
          <cell r="B966" t="str">
            <v>VAR_cap</v>
          </cell>
          <cell r="C966" t="str">
            <v>-</v>
          </cell>
          <cell r="D966">
            <v>0.25000991745774798</v>
          </cell>
          <cell r="E966">
            <v>0.33254339333488253</v>
          </cell>
          <cell r="F966">
            <v>0.33254266347766398</v>
          </cell>
          <cell r="G966">
            <v>0.33254298159448803</v>
          </cell>
          <cell r="H966">
            <v>0.26925417926785089</v>
          </cell>
          <cell r="I966">
            <v>0.29761019633831987</v>
          </cell>
          <cell r="J966">
            <v>0.39042817816712033</v>
          </cell>
        </row>
        <row r="967">
          <cell r="A967" t="str">
            <v>SCOM-SHCONBR</v>
          </cell>
          <cell r="B967" t="str">
            <v>VAR_ncap</v>
          </cell>
          <cell r="C967" t="str">
            <v>-</v>
          </cell>
          <cell r="E967">
            <v>1.8341746806458499E-8</v>
          </cell>
          <cell r="H967">
            <v>1.69713821191192E-7</v>
          </cell>
          <cell r="I967">
            <v>4.1933995440423601E-8</v>
          </cell>
          <cell r="J967">
            <v>6.7548414898021998E-8</v>
          </cell>
        </row>
        <row r="968">
          <cell r="A968" t="str">
            <v>SCOM-SHCONBR</v>
          </cell>
          <cell r="B968" t="str">
            <v>VAR_cap</v>
          </cell>
          <cell r="C968" t="str">
            <v>-</v>
          </cell>
          <cell r="E968">
            <v>1.8341746806458499E-8</v>
          </cell>
          <cell r="F968">
            <v>1.8341746806458499E-8</v>
          </cell>
          <cell r="G968">
            <v>1.8341746806458499E-8</v>
          </cell>
          <cell r="H968">
            <v>1.8805556799765001E-7</v>
          </cell>
          <cell r="I968">
            <v>2.2998956343807399E-7</v>
          </cell>
          <cell r="J968">
            <v>2.9753797833609598E-7</v>
          </cell>
        </row>
        <row r="969">
          <cell r="A969" t="str">
            <v>RHNM-SHNGABR</v>
          </cell>
          <cell r="B969" t="str">
            <v>VAR_fout</v>
          </cell>
          <cell r="C969" t="str">
            <v>CO2_R</v>
          </cell>
          <cell r="E969">
            <v>43.098996700610499</v>
          </cell>
          <cell r="F969">
            <v>9.5508830340998507</v>
          </cell>
          <cell r="G969">
            <v>16.196978724138798</v>
          </cell>
          <cell r="H969">
            <v>19.904702663940199</v>
          </cell>
          <cell r="I969">
            <v>21.5738675431678</v>
          </cell>
          <cell r="J969">
            <v>18.010463625847699</v>
          </cell>
        </row>
        <row r="970">
          <cell r="A970" t="str">
            <v>RHNM-SHNGABR</v>
          </cell>
          <cell r="B970" t="str">
            <v>VAR_fout</v>
          </cell>
          <cell r="C970" t="str">
            <v>RHNM-SHNGA</v>
          </cell>
          <cell r="E970">
            <v>0.72595827775851085</v>
          </cell>
          <cell r="F970">
            <v>0.16253153307871893</v>
          </cell>
          <cell r="G970">
            <v>0.27563103577739356</v>
          </cell>
          <cell r="H970">
            <v>0.33872760640662747</v>
          </cell>
          <cell r="I970">
            <v>0.3671371386714386</v>
          </cell>
          <cell r="J970">
            <v>0.30649627696605447</v>
          </cell>
        </row>
        <row r="971">
          <cell r="A971" t="str">
            <v>RHNM-SHNGABR</v>
          </cell>
          <cell r="B971" t="str">
            <v>VAR_fin</v>
          </cell>
          <cell r="C971" t="str">
            <v>RNGA</v>
          </cell>
          <cell r="E971">
            <v>0.76416660816685322</v>
          </cell>
          <cell r="F971">
            <v>0.16934189776772784</v>
          </cell>
          <cell r="G971">
            <v>0.28718047383224876</v>
          </cell>
          <cell r="H971">
            <v>0.35292025999894022</v>
          </cell>
          <cell r="I971">
            <v>0.38251538197106061</v>
          </cell>
          <cell r="J971">
            <v>0.31933446145119959</v>
          </cell>
        </row>
        <row r="972">
          <cell r="A972" t="str">
            <v>RHNM-SHNGABR</v>
          </cell>
          <cell r="B972" t="str">
            <v>VAR_ncap</v>
          </cell>
          <cell r="C972" t="str">
            <v>-</v>
          </cell>
          <cell r="E972">
            <v>5.6356266029188903E-2</v>
          </cell>
          <cell r="F972">
            <v>1.0938180193216199E-7</v>
          </cell>
          <cell r="G972">
            <v>1.1108684554560199E-7</v>
          </cell>
          <cell r="H972">
            <v>1.5414601020029399E-6</v>
          </cell>
          <cell r="I972">
            <v>2.8521696113422298E-2</v>
          </cell>
          <cell r="J972">
            <v>3.1079781340924502E-3</v>
          </cell>
        </row>
        <row r="973">
          <cell r="A973" t="str">
            <v>RHNM-SHNGABR</v>
          </cell>
          <cell r="B973" t="str">
            <v>VAR_cap</v>
          </cell>
          <cell r="C973" t="str">
            <v>-</v>
          </cell>
          <cell r="E973">
            <v>5.6356266029188903E-2</v>
          </cell>
          <cell r="F973">
            <v>5.1613839302969644E-2</v>
          </cell>
          <cell r="G973">
            <v>5.1609416813533322E-2</v>
          </cell>
          <cell r="H973">
            <v>2.6442352562043268E-2</v>
          </cell>
          <cell r="I973">
            <v>2.8523121924662255E-2</v>
          </cell>
          <cell r="J973">
            <v>2.3807648004863454E-2</v>
          </cell>
        </row>
        <row r="974">
          <cell r="A974" t="str">
            <v>RHES-SHSOLBR</v>
          </cell>
          <cell r="B974" t="str">
            <v>VAR_fout</v>
          </cell>
          <cell r="C974" t="str">
            <v>RHES-SHASOL</v>
          </cell>
          <cell r="D974">
            <v>0.37732610756439694</v>
          </cell>
          <cell r="E974">
            <v>0.43546600121653306</v>
          </cell>
          <cell r="F974">
            <v>2.1586262541280269E-2</v>
          </cell>
          <cell r="G974">
            <v>2.4413160710350424E-2</v>
          </cell>
          <cell r="H974">
            <v>2.5726240834152973E-2</v>
          </cell>
          <cell r="I974">
            <v>2.6314649035565425E-2</v>
          </cell>
          <cell r="J974">
            <v>2.7393736914133816E-2</v>
          </cell>
        </row>
        <row r="975">
          <cell r="A975" t="str">
            <v>RHES-SHSOLBR</v>
          </cell>
          <cell r="B975" t="str">
            <v>VAR_fin</v>
          </cell>
          <cell r="C975" t="str">
            <v>SOL</v>
          </cell>
          <cell r="D975">
            <v>0.37732610756439694</v>
          </cell>
          <cell r="E975">
            <v>0.43546600121653306</v>
          </cell>
          <cell r="F975">
            <v>2.1586262541280269E-2</v>
          </cell>
          <cell r="G975">
            <v>2.4413160710350424E-2</v>
          </cell>
          <cell r="H975">
            <v>2.5726240834152973E-2</v>
          </cell>
          <cell r="I975">
            <v>2.6314649035565425E-2</v>
          </cell>
          <cell r="J975">
            <v>2.7393736914133816E-2</v>
          </cell>
        </row>
        <row r="976">
          <cell r="A976" t="str">
            <v>RHES-SHSOLBR</v>
          </cell>
          <cell r="B976" t="str">
            <v>VAR_ncap</v>
          </cell>
          <cell r="C976" t="str">
            <v>-</v>
          </cell>
          <cell r="E976">
            <v>8.4436770106085905E-3</v>
          </cell>
          <cell r="F976">
            <v>2.7321773847493801E-8</v>
          </cell>
          <cell r="G976">
            <v>4.4839729423509002E-8</v>
          </cell>
          <cell r="H976">
            <v>1.5235987817038301E-7</v>
          </cell>
          <cell r="I976">
            <v>3.8282607416436202E-3</v>
          </cell>
          <cell r="J976">
            <v>1.2034647122525599E-3</v>
          </cell>
        </row>
        <row r="977">
          <cell r="A977" t="str">
            <v>RHES-SHSOLBR</v>
          </cell>
          <cell r="B977" t="str">
            <v>VAR_cap</v>
          </cell>
          <cell r="C977" t="str">
            <v>-</v>
          </cell>
          <cell r="D977">
            <v>5.4798678617278197E-2</v>
          </cell>
          <cell r="E977">
            <v>6.324234363253603E-2</v>
          </cell>
          <cell r="F977">
            <v>6.3240870099760635E-2</v>
          </cell>
          <cell r="G977">
            <v>6.3240146958169749E-2</v>
          </cell>
          <cell r="H977">
            <v>1.8439396516509679E-2</v>
          </cell>
          <cell r="I977">
            <v>3.828358540575282E-3</v>
          </cell>
          <cell r="J977">
            <v>3.9817867260955033E-3</v>
          </cell>
        </row>
        <row r="978">
          <cell r="A978" t="str">
            <v>SCOM-SHSOLBR</v>
          </cell>
          <cell r="B978" t="str">
            <v>VAR_fout</v>
          </cell>
          <cell r="C978" t="str">
            <v>SCOM-SHASOL</v>
          </cell>
          <cell r="D978">
            <v>0.62699637824958021</v>
          </cell>
          <cell r="E978">
            <v>0.68733688927713943</v>
          </cell>
          <cell r="F978">
            <v>0.52379311326975142</v>
          </cell>
          <cell r="G978">
            <v>0.61029278424826483</v>
          </cell>
          <cell r="H978">
            <v>0.68114640909006241</v>
          </cell>
          <cell r="I978">
            <v>0.73462712805113872</v>
          </cell>
          <cell r="J978">
            <v>0.87740753722043252</v>
          </cell>
        </row>
        <row r="979">
          <cell r="A979" t="str">
            <v>SCOM-SHSOLBR</v>
          </cell>
          <cell r="B979" t="str">
            <v>VAR_fin</v>
          </cell>
          <cell r="C979" t="str">
            <v>SOL</v>
          </cell>
          <cell r="D979">
            <v>0.62699637824958021</v>
          </cell>
          <cell r="E979">
            <v>0.68733688927713943</v>
          </cell>
          <cell r="F979">
            <v>0.52379311326975142</v>
          </cell>
          <cell r="G979">
            <v>0.61029278424826483</v>
          </cell>
          <cell r="H979">
            <v>0.68114640909006241</v>
          </cell>
          <cell r="I979">
            <v>0.73462712805113872</v>
          </cell>
          <cell r="J979">
            <v>0.87740753722043252</v>
          </cell>
        </row>
        <row r="980">
          <cell r="A980" t="str">
            <v>SCOM-SHSOLBR</v>
          </cell>
          <cell r="B980" t="str">
            <v>VAR_ncap</v>
          </cell>
          <cell r="C980" t="str">
            <v>-</v>
          </cell>
          <cell r="D980">
            <v>6.4321473865975E-6</v>
          </cell>
          <cell r="E980">
            <v>8.7585544279013602E-3</v>
          </cell>
          <cell r="F980">
            <v>8.11669535180759E-8</v>
          </cell>
          <cell r="G980">
            <v>1.5526564342367001E-7</v>
          </cell>
          <cell r="H980">
            <v>7.0831543722400206E-2</v>
          </cell>
          <cell r="I980">
            <v>3.5868435292721601E-2</v>
          </cell>
          <cell r="J980">
            <v>7.1699998314647004E-2</v>
          </cell>
        </row>
        <row r="981">
          <cell r="A981" t="str">
            <v>SCOM-SHSOLBR</v>
          </cell>
          <cell r="B981" t="str">
            <v>VAR_cap</v>
          </cell>
          <cell r="C981" t="str">
            <v>-</v>
          </cell>
          <cell r="D981">
            <v>9.1064025623466105E-2</v>
          </cell>
          <cell r="E981">
            <v>9.9822557981943699E-2</v>
          </cell>
          <cell r="F981">
            <v>9.9822089946768569E-2</v>
          </cell>
          <cell r="G981">
            <v>9.9822097790525741E-2</v>
          </cell>
          <cell r="H981">
            <v>9.8934884655411851E-2</v>
          </cell>
          <cell r="I981">
            <v>0.10669992608485171</v>
          </cell>
          <cell r="J981">
            <v>0.12769220717863292</v>
          </cell>
        </row>
        <row r="982">
          <cell r="A982" t="str">
            <v>RHEM-SHSTG-ELCHP</v>
          </cell>
          <cell r="B982" t="str">
            <v>VAR_fout</v>
          </cell>
          <cell r="C982" t="str">
            <v>RHEM-SHAELCH</v>
          </cell>
          <cell r="D982">
            <v>1.7841777926585694</v>
          </cell>
          <cell r="E982">
            <v>1.9098363006989527</v>
          </cell>
          <cell r="F982">
            <v>1.7905803072630864</v>
          </cell>
          <cell r="G982">
            <v>2.1908128152647155</v>
          </cell>
          <cell r="H982">
            <v>2.3575617584146586</v>
          </cell>
          <cell r="I982">
            <v>2.9069887478412424</v>
          </cell>
          <cell r="J982">
            <v>3.5924080630790085</v>
          </cell>
        </row>
        <row r="983">
          <cell r="A983" t="str">
            <v>RHEM-SHSTG-ELCHP</v>
          </cell>
          <cell r="B983" t="str">
            <v>VAR_fout</v>
          </cell>
          <cell r="C983" t="str">
            <v>AUX_RHEM-SHSTG-ELCHP_OUT</v>
          </cell>
          <cell r="D983">
            <v>1.785961970451228</v>
          </cell>
          <cell r="E983">
            <v>1.9117461369996511</v>
          </cell>
          <cell r="F983">
            <v>1.792370887570349</v>
          </cell>
          <cell r="G983">
            <v>2.1930036280799792</v>
          </cell>
          <cell r="H983">
            <v>2.3599193201730739</v>
          </cell>
          <cell r="I983">
            <v>2.9098957365890827</v>
          </cell>
          <cell r="J983">
            <v>3.596000471142085</v>
          </cell>
        </row>
        <row r="984">
          <cell r="A984" t="str">
            <v>RHEM-SHSTG-ELCHP</v>
          </cell>
          <cell r="B984" t="str">
            <v>VAR_fin</v>
          </cell>
          <cell r="C984" t="str">
            <v>RHEM-SHAELCH</v>
          </cell>
          <cell r="D984">
            <v>1.7841872238498737</v>
          </cell>
          <cell r="E984">
            <v>1.9098391794749294</v>
          </cell>
          <cell r="F984">
            <v>1.790581569752508</v>
          </cell>
          <cell r="G984">
            <v>2.1908144626167854</v>
          </cell>
          <cell r="H984">
            <v>2.3575636017673998</v>
          </cell>
          <cell r="I984">
            <v>2.9069910690753047</v>
          </cell>
          <cell r="J984">
            <v>3.5924105146957124</v>
          </cell>
        </row>
        <row r="985">
          <cell r="A985" t="str">
            <v>RHEM-SHSTG-ELCHP</v>
          </cell>
          <cell r="B985" t="str">
            <v>VAR_ncap</v>
          </cell>
          <cell r="C985" t="str">
            <v>-</v>
          </cell>
          <cell r="D985">
            <v>0.193511642324111</v>
          </cell>
          <cell r="E985">
            <v>1.46731136221265E-4</v>
          </cell>
          <cell r="F985">
            <v>1.36416786643337E-5</v>
          </cell>
          <cell r="G985">
            <v>2.6105086418906999E-2</v>
          </cell>
          <cell r="H985">
            <v>0.18137826088971301</v>
          </cell>
          <cell r="I985">
            <v>9.1017907701382406E-2</v>
          </cell>
          <cell r="J985">
            <v>0.21577826546120399</v>
          </cell>
        </row>
        <row r="986">
          <cell r="A986" t="str">
            <v>RHEM-SHSTG-ELCHP</v>
          </cell>
          <cell r="B986" t="str">
            <v>VAR_cap</v>
          </cell>
          <cell r="C986" t="str">
            <v>-</v>
          </cell>
          <cell r="D986">
            <v>0.193511642324111</v>
          </cell>
          <cell r="E986">
            <v>0.19365045487940874</v>
          </cell>
          <cell r="F986">
            <v>0.19365001125334652</v>
          </cell>
          <cell r="G986">
            <v>0.21974987632713289</v>
          </cell>
          <cell r="H986">
            <v>0.25771355932258466</v>
          </cell>
          <cell r="I986">
            <v>0.29020958324421897</v>
          </cell>
          <cell r="J986">
            <v>0.35853730176644022</v>
          </cell>
        </row>
        <row r="987">
          <cell r="A987" t="str">
            <v>ITOT-SWHELCBR</v>
          </cell>
          <cell r="B987" t="str">
            <v>VAR_fout</v>
          </cell>
          <cell r="C987" t="str">
            <v>ITOT-SWHAELC</v>
          </cell>
          <cell r="D987">
            <v>9.8138948399438988</v>
          </cell>
          <cell r="E987">
            <v>10.33508315108238</v>
          </cell>
          <cell r="F987">
            <v>10.576617256713416</v>
          </cell>
          <cell r="G987">
            <v>10.937121345826959</v>
          </cell>
          <cell r="H987">
            <v>10.937122784669446</v>
          </cell>
          <cell r="I987">
            <v>10.937122961543103</v>
          </cell>
          <cell r="J987">
            <v>10.9371234412876</v>
          </cell>
        </row>
        <row r="988">
          <cell r="A988" t="str">
            <v>ITOT-SWHELCBR</v>
          </cell>
          <cell r="B988" t="str">
            <v>VAR_fin</v>
          </cell>
          <cell r="C988" t="str">
            <v>ITOT_ELC</v>
          </cell>
          <cell r="D988">
            <v>11.646944142451014</v>
          </cell>
          <cell r="E988">
            <v>12.258978194772004</v>
          </cell>
          <cell r="F988">
            <v>12.535506085223158</v>
          </cell>
          <cell r="G988">
            <v>12.945635257265986</v>
          </cell>
          <cell r="H988">
            <v>12.928538584750244</v>
          </cell>
          <cell r="I988">
            <v>12.911485524869883</v>
          </cell>
          <cell r="J988">
            <v>12.877514160436796</v>
          </cell>
        </row>
        <row r="989">
          <cell r="A989" t="str">
            <v>ITOT-SWHELCBR</v>
          </cell>
          <cell r="B989" t="str">
            <v>VAR_ncap</v>
          </cell>
          <cell r="C989" t="str">
            <v>-</v>
          </cell>
          <cell r="E989">
            <v>0.20275052048390199</v>
          </cell>
          <cell r="F989">
            <v>3.10817300720851E-2</v>
          </cell>
          <cell r="G989">
            <v>7.2402965627215696E-2</v>
          </cell>
          <cell r="H989">
            <v>0.49429937054615503</v>
          </cell>
          <cell r="I989">
            <v>0.404631510848804</v>
          </cell>
          <cell r="J989">
            <v>0.36733475650727199</v>
          </cell>
        </row>
        <row r="990">
          <cell r="A990" t="str">
            <v>ITOT-SWHELCBR</v>
          </cell>
          <cell r="B990" t="str">
            <v>VAR_cap</v>
          </cell>
          <cell r="C990" t="str">
            <v>-</v>
          </cell>
          <cell r="D990">
            <v>0.55644997413134401</v>
          </cell>
          <cell r="E990">
            <v>0.75919905571104529</v>
          </cell>
          <cell r="F990">
            <v>0.7902778294682764</v>
          </cell>
          <cell r="G990">
            <v>0.86267652377694004</v>
          </cell>
          <cell r="H990">
            <v>0.84594735971610779</v>
          </cell>
          <cell r="I990">
            <v>0.95387452894029068</v>
          </cell>
          <cell r="J990">
            <v>0.87007140834864349</v>
          </cell>
        </row>
        <row r="991">
          <cell r="A991"/>
          <cell r="B991"/>
          <cell r="C991"/>
        </row>
        <row r="992">
          <cell r="A992"/>
          <cell r="B992"/>
          <cell r="C992"/>
        </row>
        <row r="993">
          <cell r="A993"/>
          <cell r="B993"/>
          <cell r="C993"/>
        </row>
        <row r="994">
          <cell r="A994"/>
          <cell r="B994"/>
          <cell r="C994"/>
        </row>
        <row r="995">
          <cell r="A995"/>
          <cell r="B995"/>
          <cell r="C995"/>
        </row>
        <row r="996">
          <cell r="A996"/>
          <cell r="B996"/>
          <cell r="C996"/>
        </row>
        <row r="997">
          <cell r="A997"/>
          <cell r="B997"/>
          <cell r="C997"/>
        </row>
        <row r="998">
          <cell r="A998"/>
          <cell r="B998"/>
          <cell r="C998"/>
        </row>
        <row r="999">
          <cell r="A999"/>
          <cell r="B999"/>
          <cell r="C999"/>
        </row>
        <row r="1000">
          <cell r="A1000"/>
          <cell r="B1000"/>
          <cell r="C1000"/>
        </row>
        <row r="1001">
          <cell r="A1001"/>
          <cell r="B1001"/>
          <cell r="C1001"/>
        </row>
        <row r="1002">
          <cell r="A1002"/>
          <cell r="B1002"/>
          <cell r="C1002"/>
        </row>
        <row r="1003">
          <cell r="A1003"/>
          <cell r="B1003"/>
          <cell r="C1003"/>
        </row>
        <row r="1004">
          <cell r="A1004"/>
          <cell r="B1004"/>
          <cell r="C1004"/>
        </row>
        <row r="1005">
          <cell r="A1005"/>
          <cell r="B1005"/>
          <cell r="C1005"/>
        </row>
        <row r="1006">
          <cell r="A1006"/>
          <cell r="B1006"/>
          <cell r="C1006"/>
        </row>
        <row r="1007">
          <cell r="A1007"/>
          <cell r="B1007"/>
          <cell r="C1007"/>
        </row>
        <row r="1008">
          <cell r="A1008"/>
          <cell r="B1008"/>
          <cell r="C1008"/>
        </row>
        <row r="1009">
          <cell r="A1009"/>
          <cell r="B1009"/>
          <cell r="C1009"/>
        </row>
        <row r="1010">
          <cell r="A1010"/>
          <cell r="B1010"/>
          <cell r="C1010"/>
        </row>
        <row r="1011">
          <cell r="A1011"/>
          <cell r="B1011"/>
          <cell r="C1011"/>
        </row>
        <row r="1012">
          <cell r="A1012"/>
          <cell r="B1012"/>
          <cell r="C1012"/>
        </row>
        <row r="1013">
          <cell r="A1013"/>
          <cell r="B1013"/>
          <cell r="C1013"/>
        </row>
        <row r="1014">
          <cell r="A1014"/>
          <cell r="B1014"/>
          <cell r="C1014"/>
        </row>
        <row r="1015">
          <cell r="A1015"/>
          <cell r="B1015"/>
          <cell r="C1015"/>
        </row>
        <row r="1016">
          <cell r="A1016"/>
          <cell r="B1016"/>
          <cell r="C1016"/>
        </row>
        <row r="1017">
          <cell r="A1017"/>
          <cell r="B1017"/>
          <cell r="C1017"/>
        </row>
        <row r="1018">
          <cell r="A1018"/>
          <cell r="B1018"/>
          <cell r="C1018"/>
        </row>
        <row r="1019">
          <cell r="A1019"/>
          <cell r="B1019"/>
          <cell r="C1019"/>
        </row>
        <row r="1020">
          <cell r="A1020"/>
          <cell r="B1020"/>
          <cell r="C1020"/>
        </row>
        <row r="1021">
          <cell r="A1021"/>
          <cell r="B1021"/>
          <cell r="C1021"/>
        </row>
        <row r="1022">
          <cell r="A1022"/>
          <cell r="B1022"/>
          <cell r="C1022"/>
        </row>
        <row r="1023">
          <cell r="A1023"/>
          <cell r="B1023"/>
          <cell r="C1023"/>
        </row>
        <row r="1024">
          <cell r="A1024"/>
          <cell r="B1024"/>
          <cell r="C1024"/>
        </row>
        <row r="1025">
          <cell r="A1025"/>
          <cell r="B1025"/>
          <cell r="C1025"/>
        </row>
        <row r="1026">
          <cell r="A1026"/>
          <cell r="B1026"/>
          <cell r="C1026"/>
        </row>
        <row r="1027">
          <cell r="A1027"/>
          <cell r="B1027"/>
          <cell r="C1027"/>
        </row>
        <row r="1028">
          <cell r="A1028"/>
          <cell r="B1028"/>
          <cell r="C1028"/>
        </row>
        <row r="1029">
          <cell r="A1029"/>
          <cell r="B1029"/>
          <cell r="C1029"/>
        </row>
        <row r="1030">
          <cell r="A1030"/>
          <cell r="B1030"/>
          <cell r="C1030"/>
        </row>
        <row r="1031">
          <cell r="A1031"/>
          <cell r="B1031"/>
          <cell r="C1031"/>
        </row>
        <row r="1032">
          <cell r="A1032"/>
          <cell r="B1032"/>
          <cell r="C1032"/>
        </row>
        <row r="1033">
          <cell r="A1033"/>
          <cell r="B1033"/>
          <cell r="C1033"/>
        </row>
        <row r="1034">
          <cell r="A1034"/>
          <cell r="B1034"/>
          <cell r="C1034"/>
        </row>
        <row r="1035">
          <cell r="A1035"/>
          <cell r="B1035"/>
          <cell r="C1035"/>
        </row>
        <row r="1036">
          <cell r="A1036"/>
          <cell r="B1036"/>
          <cell r="C1036"/>
        </row>
        <row r="1037">
          <cell r="A1037"/>
          <cell r="B1037"/>
          <cell r="C1037"/>
        </row>
        <row r="1038">
          <cell r="A1038"/>
          <cell r="B1038"/>
          <cell r="C1038"/>
        </row>
        <row r="1039">
          <cell r="A1039"/>
          <cell r="B1039"/>
          <cell r="C1039"/>
        </row>
        <row r="1040">
          <cell r="A1040"/>
          <cell r="B1040"/>
          <cell r="C1040"/>
        </row>
        <row r="1041">
          <cell r="A1041"/>
          <cell r="B1041"/>
          <cell r="C1041"/>
        </row>
        <row r="1042">
          <cell r="A1042"/>
          <cell r="B1042"/>
          <cell r="C1042"/>
        </row>
        <row r="1043">
          <cell r="A1043"/>
          <cell r="B1043"/>
          <cell r="C1043"/>
        </row>
        <row r="1044">
          <cell r="A1044"/>
          <cell r="B1044"/>
          <cell r="C1044"/>
        </row>
        <row r="1045">
          <cell r="A1045"/>
          <cell r="B1045"/>
          <cell r="C1045"/>
        </row>
        <row r="1046">
          <cell r="A1046"/>
          <cell r="B1046"/>
          <cell r="C1046"/>
        </row>
        <row r="1047">
          <cell r="A1047"/>
          <cell r="B1047"/>
          <cell r="C1047"/>
        </row>
        <row r="1048">
          <cell r="A1048"/>
          <cell r="B1048"/>
          <cell r="C1048"/>
        </row>
        <row r="1049">
          <cell r="A1049"/>
          <cell r="B1049"/>
          <cell r="C1049"/>
        </row>
        <row r="1050">
          <cell r="A1050"/>
          <cell r="B1050"/>
          <cell r="C1050"/>
        </row>
        <row r="1051">
          <cell r="A1051"/>
          <cell r="B1051"/>
          <cell r="C1051"/>
        </row>
        <row r="1052">
          <cell r="A1052"/>
          <cell r="B1052"/>
          <cell r="C1052"/>
        </row>
        <row r="1053">
          <cell r="A1053"/>
          <cell r="B1053"/>
          <cell r="C1053"/>
        </row>
        <row r="1054">
          <cell r="A1054"/>
          <cell r="B1054"/>
          <cell r="C1054"/>
        </row>
        <row r="1055">
          <cell r="A1055"/>
          <cell r="B1055"/>
          <cell r="C1055"/>
        </row>
        <row r="1056">
          <cell r="A1056"/>
          <cell r="B1056"/>
          <cell r="C1056"/>
        </row>
        <row r="1057">
          <cell r="A1057"/>
          <cell r="B1057"/>
          <cell r="C1057"/>
        </row>
        <row r="1058">
          <cell r="A1058"/>
          <cell r="B1058"/>
          <cell r="C1058"/>
        </row>
        <row r="1059">
          <cell r="A1059"/>
          <cell r="B1059"/>
          <cell r="C1059"/>
        </row>
        <row r="1060">
          <cell r="A1060"/>
          <cell r="B1060"/>
          <cell r="C1060"/>
        </row>
        <row r="1061">
          <cell r="A1061"/>
          <cell r="B1061"/>
          <cell r="C1061"/>
        </row>
        <row r="1062">
          <cell r="A1062"/>
          <cell r="B1062"/>
          <cell r="C1062"/>
        </row>
        <row r="1063">
          <cell r="A1063"/>
          <cell r="B1063"/>
          <cell r="C1063"/>
        </row>
        <row r="1064">
          <cell r="A1064"/>
          <cell r="B1064"/>
          <cell r="C1064"/>
        </row>
        <row r="1065">
          <cell r="A1065"/>
          <cell r="B1065"/>
          <cell r="C1065"/>
        </row>
        <row r="1066">
          <cell r="A1066"/>
          <cell r="B1066"/>
          <cell r="C1066"/>
        </row>
        <row r="1067">
          <cell r="A1067"/>
          <cell r="B1067"/>
          <cell r="C1067"/>
        </row>
        <row r="1068">
          <cell r="A1068"/>
          <cell r="B1068"/>
          <cell r="C1068"/>
        </row>
        <row r="1069">
          <cell r="A1069"/>
          <cell r="B1069"/>
          <cell r="C1069"/>
        </row>
        <row r="1070">
          <cell r="A1070"/>
          <cell r="B1070"/>
          <cell r="C1070"/>
        </row>
        <row r="1071">
          <cell r="A1071"/>
          <cell r="B1071"/>
          <cell r="C1071"/>
        </row>
        <row r="1072">
          <cell r="A1072"/>
          <cell r="B1072"/>
          <cell r="C1072"/>
        </row>
        <row r="1073">
          <cell r="A1073"/>
          <cell r="B1073"/>
          <cell r="C1073"/>
        </row>
        <row r="1074">
          <cell r="A1074"/>
          <cell r="B1074"/>
          <cell r="C1074"/>
        </row>
        <row r="1075">
          <cell r="A1075"/>
          <cell r="B1075"/>
          <cell r="C1075"/>
        </row>
        <row r="1076">
          <cell r="A1076"/>
          <cell r="B1076"/>
          <cell r="C1076"/>
        </row>
        <row r="1077">
          <cell r="A1077"/>
          <cell r="B1077"/>
          <cell r="C1077"/>
        </row>
        <row r="1078">
          <cell r="A1078"/>
          <cell r="B1078"/>
          <cell r="C1078"/>
        </row>
        <row r="1079">
          <cell r="A1079"/>
          <cell r="B1079"/>
          <cell r="C1079"/>
        </row>
        <row r="1080">
          <cell r="A1080"/>
          <cell r="B1080"/>
          <cell r="C1080"/>
        </row>
        <row r="1081">
          <cell r="A1081"/>
          <cell r="B1081"/>
          <cell r="C1081"/>
        </row>
        <row r="1082">
          <cell r="A1082"/>
          <cell r="B1082"/>
          <cell r="C1082"/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CO2_M</v>
          </cell>
          <cell r="C4" t="str">
            <v>EQ_combalM</v>
          </cell>
          <cell r="D4" t="str">
            <v>-</v>
          </cell>
          <cell r="H4">
            <v>7200.7899195876498</v>
          </cell>
        </row>
        <row r="5">
          <cell r="B5" t="str">
            <v>CO2_O</v>
          </cell>
          <cell r="C5" t="str">
            <v>EQ_combalM</v>
          </cell>
          <cell r="D5" t="str">
            <v>-</v>
          </cell>
          <cell r="H5">
            <v>7200.7899195876498</v>
          </cell>
        </row>
        <row r="6">
          <cell r="B6" t="str">
            <v>CO2_R</v>
          </cell>
          <cell r="C6" t="str">
            <v>VAR_fout</v>
          </cell>
          <cell r="D6" t="str">
            <v>RHNM-SHLFOBR</v>
          </cell>
          <cell r="F6">
            <v>3.4996431372097902E-4</v>
          </cell>
          <cell r="G6">
            <v>7.7801405904950904</v>
          </cell>
          <cell r="H6">
            <v>11.8878124540537</v>
          </cell>
        </row>
        <row r="7">
          <cell r="B7" t="str">
            <v>CO2_R</v>
          </cell>
          <cell r="C7" t="str">
            <v>VAR_fout</v>
          </cell>
          <cell r="D7" t="str">
            <v>RHNS-SHNGAHP</v>
          </cell>
          <cell r="G7">
            <v>4.8678653274158297</v>
          </cell>
          <cell r="H7">
            <v>15.501856414916899</v>
          </cell>
        </row>
        <row r="8">
          <cell r="B8" t="str">
            <v>CO2_R</v>
          </cell>
          <cell r="C8" t="str">
            <v>VAR_fout</v>
          </cell>
          <cell r="D8" t="str">
            <v>RHES-CHPNGA</v>
          </cell>
          <cell r="E8">
            <v>3.0595427637297998</v>
          </cell>
          <cell r="F8">
            <v>0.100408145082319</v>
          </cell>
          <cell r="G8">
            <v>0.37016360767736001</v>
          </cell>
        </row>
        <row r="9">
          <cell r="B9" t="str">
            <v>CO2_R</v>
          </cell>
          <cell r="C9" t="str">
            <v>VAR_fout</v>
          </cell>
          <cell r="D9" t="str">
            <v>RHEM-SHNGABR</v>
          </cell>
          <cell r="E9">
            <v>1127.9631648260799</v>
          </cell>
          <cell r="F9">
            <v>1131.3649396560199</v>
          </cell>
          <cell r="G9">
            <v>1305.2008563034799</v>
          </cell>
          <cell r="H9">
            <v>1100.53904271178</v>
          </cell>
        </row>
        <row r="10">
          <cell r="B10" t="str">
            <v>CO2_R</v>
          </cell>
          <cell r="C10" t="str">
            <v>VAR_fout</v>
          </cell>
          <cell r="D10" t="str">
            <v>RHSA-WHNGAHP</v>
          </cell>
          <cell r="G10">
            <v>25.2881115177378</v>
          </cell>
          <cell r="H10">
            <v>57.027037713197601</v>
          </cell>
        </row>
        <row r="11">
          <cell r="B11" t="str">
            <v>CO2_R</v>
          </cell>
          <cell r="C11" t="str">
            <v>VAR_fout</v>
          </cell>
          <cell r="D11" t="str">
            <v>RHEM-SHLFOBR</v>
          </cell>
          <cell r="E11">
            <v>1928.7106558722201</v>
          </cell>
          <cell r="F11">
            <v>1529.47384025512</v>
          </cell>
          <cell r="G11">
            <v>1794.75051452002</v>
          </cell>
          <cell r="H11">
            <v>1192.29520926604</v>
          </cell>
        </row>
        <row r="12">
          <cell r="B12" t="str">
            <v>CO2_R</v>
          </cell>
          <cell r="C12" t="str">
            <v>VAR_fout</v>
          </cell>
          <cell r="D12" t="str">
            <v>RHES-SHNGAHP</v>
          </cell>
          <cell r="G12">
            <v>62.822685064225098</v>
          </cell>
          <cell r="H12">
            <v>118.70994680873</v>
          </cell>
        </row>
        <row r="13">
          <cell r="B13" t="str">
            <v>CO2_R</v>
          </cell>
          <cell r="C13" t="str">
            <v>VAR_fout</v>
          </cell>
          <cell r="D13" t="str">
            <v>RHNS-SHNGABR</v>
          </cell>
          <cell r="F13">
            <v>6.0644357272083198</v>
          </cell>
          <cell r="G13">
            <v>3.2511402088477701</v>
          </cell>
          <cell r="H13">
            <v>6.6602520369437004</v>
          </cell>
        </row>
        <row r="14">
          <cell r="B14" t="str">
            <v>CO2_R</v>
          </cell>
          <cell r="C14" t="str">
            <v>VAR_fout</v>
          </cell>
          <cell r="D14" t="str">
            <v>RHNS-SHLFOBR</v>
          </cell>
          <cell r="F14">
            <v>1.13751059739005E-3</v>
          </cell>
          <cell r="G14">
            <v>3.2289257860638401</v>
          </cell>
          <cell r="H14">
            <v>4.9913347207402401</v>
          </cell>
        </row>
        <row r="15">
          <cell r="B15" t="str">
            <v>CO2_R</v>
          </cell>
          <cell r="C15" t="str">
            <v>VAR_fout</v>
          </cell>
          <cell r="D15" t="str">
            <v>RHNM-CHPNGA</v>
          </cell>
          <cell r="F15">
            <v>0.237960765218451</v>
          </cell>
          <cell r="G15">
            <v>0.311509712054099</v>
          </cell>
        </row>
        <row r="16">
          <cell r="B16" t="str">
            <v>CO2_R</v>
          </cell>
          <cell r="C16" t="str">
            <v>VAR_fout</v>
          </cell>
          <cell r="D16" t="str">
            <v>RHNM-SHNGAHP</v>
          </cell>
          <cell r="G16">
            <v>6.7118828955208798</v>
          </cell>
          <cell r="H16">
            <v>19.553648811536</v>
          </cell>
        </row>
        <row r="17">
          <cell r="B17" t="str">
            <v>CO2_R</v>
          </cell>
          <cell r="C17" t="str">
            <v>VAR_fout</v>
          </cell>
          <cell r="D17" t="str">
            <v>RHES-SHNGABR</v>
          </cell>
          <cell r="E17">
            <v>1043.1351539852501</v>
          </cell>
          <cell r="F17">
            <v>1118.51232911796</v>
          </cell>
          <cell r="G17">
            <v>662.27993071869105</v>
          </cell>
          <cell r="H17">
            <v>545.11286036191996</v>
          </cell>
        </row>
        <row r="18">
          <cell r="B18" t="str">
            <v>CO2_R</v>
          </cell>
          <cell r="C18" t="str">
            <v>VAR_fout</v>
          </cell>
          <cell r="D18" t="str">
            <v>RHSA-WHNGABR</v>
          </cell>
          <cell r="E18">
            <v>479.80993789833701</v>
          </cell>
          <cell r="F18">
            <v>385.32684184690299</v>
          </cell>
          <cell r="G18">
            <v>575.71248734760798</v>
          </cell>
          <cell r="H18">
            <v>454.91646823493898</v>
          </cell>
        </row>
        <row r="19">
          <cell r="B19" t="str">
            <v>CO2_R</v>
          </cell>
          <cell r="C19" t="str">
            <v>VAR_fout</v>
          </cell>
          <cell r="D19" t="str">
            <v>RHSA-WHLFOBR</v>
          </cell>
          <cell r="E19">
            <v>726.71233880881096</v>
          </cell>
          <cell r="F19">
            <v>611.83978968743895</v>
          </cell>
          <cell r="G19">
            <v>683.86181054192105</v>
          </cell>
          <cell r="H19">
            <v>434.66293770929002</v>
          </cell>
        </row>
        <row r="20">
          <cell r="B20" t="str">
            <v>CO2_R</v>
          </cell>
          <cell r="C20" t="str">
            <v>VAR_fout</v>
          </cell>
          <cell r="D20" t="str">
            <v>RHES-SHLFOBR</v>
          </cell>
          <cell r="E20">
            <v>1783.6627964122099</v>
          </cell>
          <cell r="F20">
            <v>1640.9695176927601</v>
          </cell>
          <cell r="G20">
            <v>1268.43626846142</v>
          </cell>
          <cell r="H20">
            <v>812.78237537771997</v>
          </cell>
        </row>
        <row r="21">
          <cell r="B21" t="str">
            <v>CO2_R</v>
          </cell>
          <cell r="C21" t="str">
            <v>VAR_fout</v>
          </cell>
          <cell r="D21" t="str">
            <v>RHNS-CHPNGA</v>
          </cell>
          <cell r="F21">
            <v>8.0318402226472296E-2</v>
          </cell>
          <cell r="G21">
            <v>0.125045556235415</v>
          </cell>
        </row>
        <row r="22">
          <cell r="B22" t="str">
            <v>CO2_R</v>
          </cell>
          <cell r="C22" t="str">
            <v>VAR_fout</v>
          </cell>
          <cell r="D22" t="str">
            <v>RHEM-CHPNGA</v>
          </cell>
          <cell r="E22">
            <v>5.6783029565253296</v>
          </cell>
          <cell r="F22">
            <v>5.81116854488644E-2</v>
          </cell>
          <cell r="G22">
            <v>0.25951010159096799</v>
          </cell>
        </row>
        <row r="23">
          <cell r="B23" t="str">
            <v>CO2_R</v>
          </cell>
          <cell r="C23" t="str">
            <v>VAR_fout</v>
          </cell>
          <cell r="D23" t="str">
            <v>RHES-SHCOABR</v>
          </cell>
          <cell r="E23">
            <v>9.2700810955579893</v>
          </cell>
          <cell r="F23">
            <v>9.27005946500765</v>
          </cell>
          <cell r="G23">
            <v>2.4985699249556999</v>
          </cell>
          <cell r="H23">
            <v>0.561906252020832</v>
          </cell>
        </row>
        <row r="24">
          <cell r="B24" t="str">
            <v>CO2_R</v>
          </cell>
          <cell r="C24" t="str">
            <v>VAR_fout</v>
          </cell>
          <cell r="D24" t="str">
            <v>RHEM-SHNGAHP</v>
          </cell>
          <cell r="G24">
            <v>59.410593094646799</v>
          </cell>
          <cell r="H24">
            <v>122.83748799396299</v>
          </cell>
        </row>
        <row r="25">
          <cell r="B25" t="str">
            <v>CO2_R</v>
          </cell>
          <cell r="C25" t="str">
            <v>VAR_fout</v>
          </cell>
          <cell r="D25" t="str">
            <v>RHNM-SHNGABR</v>
          </cell>
          <cell r="F25">
            <v>43.098996700610499</v>
          </cell>
          <cell r="G25">
            <v>9.5508830340998507</v>
          </cell>
          <cell r="H25">
            <v>16.196978724138798</v>
          </cell>
        </row>
        <row r="26">
          <cell r="B26" t="str">
            <v>CO2_R</v>
          </cell>
          <cell r="C26" t="str">
            <v>VAR_comnet</v>
          </cell>
          <cell r="D26" t="str">
            <v>-</v>
          </cell>
          <cell r="E26">
            <v>7108.0019746187199</v>
          </cell>
          <cell r="F26">
            <v>6476.3990366219195</v>
          </cell>
          <cell r="G26">
            <v>6476.7188943147103</v>
          </cell>
          <cell r="H26">
            <v>4914.2371555919399</v>
          </cell>
        </row>
        <row r="27">
          <cell r="B27" t="str">
            <v>CO2_S</v>
          </cell>
          <cell r="C27" t="str">
            <v>VAR_fout</v>
          </cell>
          <cell r="D27" t="str">
            <v>SCOM-SHNGAHP</v>
          </cell>
          <cell r="G27">
            <v>50.887986972670298</v>
          </cell>
          <cell r="H27">
            <v>99.369220582829499</v>
          </cell>
        </row>
        <row r="28">
          <cell r="B28" t="str">
            <v>CO2_S</v>
          </cell>
          <cell r="C28" t="str">
            <v>VAR_fout</v>
          </cell>
          <cell r="D28" t="str">
            <v>SCOM-CHPNGA</v>
          </cell>
          <cell r="E28">
            <v>93.3577712244346</v>
          </cell>
          <cell r="F28">
            <v>98.053322197431498</v>
          </cell>
          <cell r="G28">
            <v>2.3960071960436502</v>
          </cell>
        </row>
        <row r="29">
          <cell r="B29" t="str">
            <v>CO2_S</v>
          </cell>
          <cell r="C29" t="str">
            <v>VAR_fout</v>
          </cell>
          <cell r="D29" t="str">
            <v>SCOM-SHNGABR</v>
          </cell>
          <cell r="E29">
            <v>1440.9459833399401</v>
          </cell>
          <cell r="F29">
            <v>1508.68769510365</v>
          </cell>
          <cell r="G29">
            <v>1354.3988583468399</v>
          </cell>
          <cell r="H29">
            <v>1179.9880889321</v>
          </cell>
        </row>
        <row r="30">
          <cell r="B30" t="str">
            <v>CO2_S</v>
          </cell>
          <cell r="C30" t="str">
            <v>VAR_fout</v>
          </cell>
          <cell r="D30" t="str">
            <v>SCOM-SHLFOBR</v>
          </cell>
          <cell r="E30">
            <v>2229.91392988712</v>
          </cell>
          <cell r="F30">
            <v>1945.70741851398</v>
          </cell>
          <cell r="G30">
            <v>1994.1581622514</v>
          </cell>
          <cell r="H30">
            <v>1441.3650257311299</v>
          </cell>
        </row>
        <row r="31">
          <cell r="B31" t="str">
            <v>CO2_S</v>
          </cell>
          <cell r="C31" t="str">
            <v>VAR_comnet</v>
          </cell>
          <cell r="D31" t="str">
            <v>-</v>
          </cell>
          <cell r="E31">
            <v>3764.2176844515002</v>
          </cell>
          <cell r="F31">
            <v>3552.4484358150598</v>
          </cell>
          <cell r="G31">
            <v>3401.8410147669501</v>
          </cell>
          <cell r="H31">
            <v>2720.7223352460601</v>
          </cell>
        </row>
        <row r="32">
          <cell r="B32" t="str">
            <v>CO2_T</v>
          </cell>
          <cell r="C32" t="str">
            <v>VAR_fout</v>
          </cell>
          <cell r="D32" t="str">
            <v>T_B_u-ICENGAEXT</v>
          </cell>
          <cell r="E32">
            <v>1.7874193020961399E-2</v>
          </cell>
          <cell r="F32">
            <v>1.78809044397308E-2</v>
          </cell>
          <cell r="G32">
            <v>1.78230608348969E-2</v>
          </cell>
        </row>
        <row r="33">
          <cell r="B33" t="str">
            <v>CO2_T</v>
          </cell>
          <cell r="C33" t="str">
            <v>VAR_fout</v>
          </cell>
          <cell r="D33" t="str">
            <v>TFHGV-ICENGA</v>
          </cell>
          <cell r="E33">
            <v>3.5369432570640189</v>
          </cell>
          <cell r="F33">
            <v>0.22953966408206086</v>
          </cell>
          <cell r="G33">
            <v>0.32036272725501241</v>
          </cell>
          <cell r="H33">
            <v>0.30688233180518387</v>
          </cell>
        </row>
        <row r="34">
          <cell r="B34" t="str">
            <v>CO2_T</v>
          </cell>
          <cell r="C34" t="str">
            <v>VAR_fout</v>
          </cell>
          <cell r="D34" t="str">
            <v>T-Plg-GSL-mix_S1</v>
          </cell>
          <cell r="E34">
            <v>2.1959459903209501E-2</v>
          </cell>
          <cell r="F34">
            <v>4.5117849806708896E-2</v>
          </cell>
          <cell r="G34">
            <v>4.3953603047767201E-2</v>
          </cell>
          <cell r="H34">
            <v>4.2646428325660221E-2</v>
          </cell>
        </row>
        <row r="35">
          <cell r="B35" t="str">
            <v>CO2_T</v>
          </cell>
          <cell r="C35" t="str">
            <v>VAR_fout</v>
          </cell>
          <cell r="D35" t="str">
            <v>T-Plg-GSL-mix_S2</v>
          </cell>
          <cell r="E35">
            <v>5.5812966238292701</v>
          </cell>
          <cell r="F35">
            <v>10.909546758327501</v>
          </cell>
          <cell r="G35">
            <v>10.236726641542655</v>
          </cell>
          <cell r="H35">
            <v>7.5052581511581646</v>
          </cell>
        </row>
        <row r="36">
          <cell r="B36" t="str">
            <v>CO2_T</v>
          </cell>
          <cell r="C36" t="str">
            <v>VAR_fout</v>
          </cell>
          <cell r="D36" t="str">
            <v>T-Plg-GSL-mix_S3</v>
          </cell>
          <cell r="E36">
            <v>7.3158778479884603</v>
          </cell>
          <cell r="F36">
            <v>69.339713200270211</v>
          </cell>
          <cell r="G36">
            <v>130.85250553796772</v>
          </cell>
          <cell r="H36">
            <v>477.33982602168794</v>
          </cell>
        </row>
        <row r="37">
          <cell r="B37" t="str">
            <v>CO2_T</v>
          </cell>
          <cell r="C37" t="str">
            <v>VAR_fout</v>
          </cell>
          <cell r="D37" t="str">
            <v>T-Plg-GSL-mix_S4</v>
          </cell>
          <cell r="E37">
            <v>12.9186857848784</v>
          </cell>
          <cell r="F37">
            <v>19.233249375029672</v>
          </cell>
          <cell r="G37">
            <v>17.838002447191251</v>
          </cell>
          <cell r="H37">
            <v>12.65683225483393</v>
          </cell>
        </row>
        <row r="38">
          <cell r="B38" t="str">
            <v>CO2_T</v>
          </cell>
          <cell r="C38" t="str">
            <v>VAR_fout</v>
          </cell>
          <cell r="D38" t="str">
            <v>TFLGV-HYBDSL</v>
          </cell>
          <cell r="F38">
            <v>31.589846597102099</v>
          </cell>
          <cell r="G38">
            <v>104.92024431584279</v>
          </cell>
          <cell r="H38">
            <v>277.67315265799527</v>
          </cell>
        </row>
        <row r="39">
          <cell r="B39" t="str">
            <v>CO2_T</v>
          </cell>
          <cell r="C39" t="str">
            <v>VAR_fout</v>
          </cell>
          <cell r="D39" t="str">
            <v>TFLGV-ICEGSLExt</v>
          </cell>
          <cell r="E39">
            <v>61.391431278586502</v>
          </cell>
          <cell r="F39">
            <v>130.27542744483</v>
          </cell>
          <cell r="G39">
            <v>39.987017062244497</v>
          </cell>
          <cell r="H39">
            <v>19.989402097319498</v>
          </cell>
        </row>
        <row r="40">
          <cell r="B40" t="str">
            <v>CO2_T</v>
          </cell>
          <cell r="C40" t="str">
            <v>VAR_fout</v>
          </cell>
          <cell r="D40" t="str">
            <v>TFLGV-ICEDSLExt</v>
          </cell>
          <cell r="E40">
            <v>788.81846734554995</v>
          </cell>
          <cell r="F40">
            <v>545.26461919408302</v>
          </cell>
          <cell r="G40">
            <v>399.54509585274798</v>
          </cell>
          <cell r="H40">
            <v>199.765850709153</v>
          </cell>
        </row>
        <row r="41">
          <cell r="B41" t="str">
            <v>CO2_T</v>
          </cell>
          <cell r="C41" t="str">
            <v>VAR_fout</v>
          </cell>
          <cell r="D41" t="str">
            <v>T_C-ICE-NGA-S1</v>
          </cell>
          <cell r="E41">
            <v>0.21077709932614919</v>
          </cell>
          <cell r="F41">
            <v>0.11869725125449089</v>
          </cell>
          <cell r="G41">
            <v>9.0543257257389154E-2</v>
          </cell>
          <cell r="H41">
            <v>7.6451807012294535E-3</v>
          </cell>
        </row>
        <row r="42">
          <cell r="B42" t="str">
            <v>CO2_T</v>
          </cell>
          <cell r="C42" t="str">
            <v>VAR_fout</v>
          </cell>
          <cell r="D42" t="str">
            <v>T_C-ICE-NGA-S2</v>
          </cell>
          <cell r="E42">
            <v>3.1620059822824338</v>
          </cell>
          <cell r="F42">
            <v>2.4865738065922454</v>
          </cell>
          <cell r="G42">
            <v>2.4697669312490551</v>
          </cell>
          <cell r="H42">
            <v>1.2467241461788842E-2</v>
          </cell>
        </row>
        <row r="43">
          <cell r="B43" t="str">
            <v>CO2_T</v>
          </cell>
          <cell r="C43" t="str">
            <v>VAR_fout</v>
          </cell>
          <cell r="D43" t="str">
            <v>TFLGV-ICEDSL</v>
          </cell>
          <cell r="E43">
            <v>326.24076767386612</v>
          </cell>
          <cell r="F43">
            <v>384.72035758243425</v>
          </cell>
          <cell r="G43">
            <v>384.58745768627944</v>
          </cell>
          <cell r="H43">
            <v>152.76136501295721</v>
          </cell>
        </row>
        <row r="44">
          <cell r="B44" t="str">
            <v>CO2_T</v>
          </cell>
          <cell r="C44" t="str">
            <v>VAR_fout</v>
          </cell>
          <cell r="D44" t="str">
            <v>T_C-ICE-NGA-S3</v>
          </cell>
          <cell r="E44">
            <v>0.25350245335459631</v>
          </cell>
          <cell r="F44">
            <v>0.21052584373364303</v>
          </cell>
          <cell r="G44">
            <v>0.27286635541045129</v>
          </cell>
          <cell r="H44">
            <v>3.1049018110851118E-2</v>
          </cell>
        </row>
        <row r="45">
          <cell r="B45" t="str">
            <v>CO2_T</v>
          </cell>
          <cell r="C45" t="str">
            <v>VAR_fout</v>
          </cell>
          <cell r="D45" t="str">
            <v>T_C-ICE-NGA-S4</v>
          </cell>
          <cell r="E45">
            <v>2.7314255823406008</v>
          </cell>
          <cell r="F45">
            <v>2.6591169681759688</v>
          </cell>
          <cell r="G45">
            <v>2.4759398299072801</v>
          </cell>
          <cell r="H45">
            <v>8.2584061075094174E-3</v>
          </cell>
        </row>
        <row r="46">
          <cell r="B46" t="str">
            <v>CO2_T</v>
          </cell>
          <cell r="C46" t="str">
            <v>VAR_fout</v>
          </cell>
          <cell r="D46" t="str">
            <v>T_C-MHY-GSL-S1</v>
          </cell>
          <cell r="F46">
            <v>9.8783768634154601E-3</v>
          </cell>
          <cell r="G46">
            <v>3.4925860096767361E-2</v>
          </cell>
          <cell r="H46">
            <v>22.279648850688066</v>
          </cell>
        </row>
        <row r="47">
          <cell r="B47" t="str">
            <v>CO2_T</v>
          </cell>
          <cell r="C47" t="str">
            <v>VAR_fout</v>
          </cell>
          <cell r="D47" t="str">
            <v>T_C-MHY-GSL-S2</v>
          </cell>
          <cell r="F47">
            <v>6.9557279646037902E-3</v>
          </cell>
          <cell r="G47">
            <v>3.084814275057296E-2</v>
          </cell>
          <cell r="H47">
            <v>5.1207420230650939E-2</v>
          </cell>
        </row>
        <row r="48">
          <cell r="B48" t="str">
            <v>CO2_T</v>
          </cell>
          <cell r="C48" t="str">
            <v>VAR_fout</v>
          </cell>
          <cell r="D48" t="str">
            <v>T_C-MHY-DSL-S1</v>
          </cell>
          <cell r="F48">
            <v>8.5735003962702297E-3</v>
          </cell>
          <cell r="G48">
            <v>2.7241159821653059E-2</v>
          </cell>
          <cell r="H48">
            <v>14.642209827298984</v>
          </cell>
        </row>
        <row r="49">
          <cell r="B49" t="str">
            <v>CO2_T</v>
          </cell>
          <cell r="C49" t="str">
            <v>VAR_fout</v>
          </cell>
          <cell r="D49" t="str">
            <v>T_C-MHY-GSL-S3</v>
          </cell>
          <cell r="F49">
            <v>8.8856414590983996E-3</v>
          </cell>
          <cell r="G49">
            <v>3.4054425643575706E-2</v>
          </cell>
          <cell r="H49">
            <v>5.2857087308025172E-2</v>
          </cell>
        </row>
        <row r="50">
          <cell r="B50" t="str">
            <v>CO2_T</v>
          </cell>
          <cell r="C50" t="str">
            <v>VAR_fout</v>
          </cell>
          <cell r="D50" t="str">
            <v>T_C-MHY-DSL-S2</v>
          </cell>
          <cell r="F50">
            <v>6.1046737860193699E-3</v>
          </cell>
          <cell r="G50">
            <v>2.5309021966926231E-2</v>
          </cell>
          <cell r="H50">
            <v>4.6436619124181192E-2</v>
          </cell>
        </row>
        <row r="51">
          <cell r="B51" t="str">
            <v>CO2_T</v>
          </cell>
          <cell r="C51" t="str">
            <v>VAR_fout</v>
          </cell>
          <cell r="D51" t="str">
            <v>T_C-MHY-GSL-S4</v>
          </cell>
          <cell r="F51">
            <v>1.0778632376600599E-2</v>
          </cell>
          <cell r="G51">
            <v>4.8146169941521509E-2</v>
          </cell>
          <cell r="H51">
            <v>8.1364311453576116E-2</v>
          </cell>
        </row>
        <row r="52">
          <cell r="B52" t="str">
            <v>CO2_T</v>
          </cell>
          <cell r="C52" t="str">
            <v>VAR_fout</v>
          </cell>
          <cell r="D52" t="str">
            <v>T_C-MHY-DSL-S3</v>
          </cell>
          <cell r="F52">
            <v>7.5241275757964004E-3</v>
          </cell>
          <cell r="G52">
            <v>2.6688962546410878E-2</v>
          </cell>
          <cell r="H52">
            <v>4.3476321753419547E-2</v>
          </cell>
        </row>
        <row r="53">
          <cell r="B53" t="str">
            <v>CO2_T</v>
          </cell>
          <cell r="C53" t="str">
            <v>VAR_fout</v>
          </cell>
          <cell r="D53" t="str">
            <v>T_B_c-HYBDSL-S1</v>
          </cell>
          <cell r="F53">
            <v>0.194879529895539</v>
          </cell>
          <cell r="G53">
            <v>0.21039043651251529</v>
          </cell>
          <cell r="H53">
            <v>3.5601160748602249E-2</v>
          </cell>
        </row>
        <row r="54">
          <cell r="B54" t="str">
            <v>CO2_T</v>
          </cell>
          <cell r="C54" t="str">
            <v>VAR_fout</v>
          </cell>
          <cell r="D54" t="str">
            <v>T_C-MHY-DSL-S4</v>
          </cell>
          <cell r="F54">
            <v>5.6491801914794904E-3</v>
          </cell>
          <cell r="G54">
            <v>1.5810774148893321E-2</v>
          </cell>
          <cell r="H54">
            <v>2.330115234074424E-2</v>
          </cell>
        </row>
        <row r="55">
          <cell r="B55" t="str">
            <v>CO2_T</v>
          </cell>
          <cell r="C55" t="str">
            <v>VAR_fout</v>
          </cell>
          <cell r="D55" t="str">
            <v>T_B_c-HYBDSL-S2</v>
          </cell>
          <cell r="F55">
            <v>1.18642102182317E-2</v>
          </cell>
          <cell r="G55">
            <v>4.6138164950285097</v>
          </cell>
          <cell r="H55">
            <v>19.725068637634791</v>
          </cell>
        </row>
        <row r="56">
          <cell r="B56" t="str">
            <v>CO2_T</v>
          </cell>
          <cell r="C56" t="str">
            <v>VAR_fout</v>
          </cell>
          <cell r="D56" t="str">
            <v>T_B_c-HYBDSL-S3</v>
          </cell>
          <cell r="F56">
            <v>7.4099658706380401E-3</v>
          </cell>
          <cell r="G56">
            <v>0.27836426195156477</v>
          </cell>
          <cell r="H56">
            <v>10.054001058794768</v>
          </cell>
        </row>
        <row r="57">
          <cell r="B57" t="str">
            <v>CO2_T</v>
          </cell>
          <cell r="C57" t="str">
            <v>VAR_fout</v>
          </cell>
          <cell r="D57" t="str">
            <v>T_B_c-HYBDSL-S4</v>
          </cell>
          <cell r="F57">
            <v>1.2068244798359301E-4</v>
          </cell>
          <cell r="G57">
            <v>3.0668688149930901E-4</v>
          </cell>
          <cell r="H57">
            <v>5.0291365389962797E-5</v>
          </cell>
        </row>
        <row r="58">
          <cell r="B58" t="str">
            <v>CO2_T</v>
          </cell>
          <cell r="C58" t="str">
            <v>VAR_fout</v>
          </cell>
          <cell r="D58" t="str">
            <v>TFHGV-ICEDSLExt</v>
          </cell>
          <cell r="E58">
            <v>1410.2252884373099</v>
          </cell>
          <cell r="F58">
            <v>1140.47440992826</v>
          </cell>
          <cell r="G58">
            <v>841.07101272489297</v>
          </cell>
          <cell r="H58">
            <v>362.73137200137899</v>
          </cell>
        </row>
        <row r="59">
          <cell r="B59" t="str">
            <v>CO2_T</v>
          </cell>
          <cell r="C59" t="str">
            <v>VAR_fout</v>
          </cell>
          <cell r="D59" t="str">
            <v>TPSHPGSLEXT</v>
          </cell>
          <cell r="E59">
            <v>129.873812963153</v>
          </cell>
          <cell r="F59">
            <v>51.480425438451803</v>
          </cell>
          <cell r="G59">
            <v>1.79115607071575E-3</v>
          </cell>
          <cell r="H59">
            <v>1.7040133626029801E-3</v>
          </cell>
        </row>
        <row r="60">
          <cell r="B60" t="str">
            <v>CO2_T</v>
          </cell>
          <cell r="C60" t="str">
            <v>VAR_fout</v>
          </cell>
          <cell r="D60" t="str">
            <v>T_TW-ICEGSL-S1</v>
          </cell>
          <cell r="E60">
            <v>3.2714761771960106</v>
          </cell>
          <cell r="F60">
            <v>12.912199993720849</v>
          </cell>
          <cell r="G60">
            <v>25.596091903785918</v>
          </cell>
          <cell r="H60">
            <v>45.097026644196973</v>
          </cell>
        </row>
        <row r="61">
          <cell r="B61" t="str">
            <v>CO2_T</v>
          </cell>
          <cell r="C61" t="str">
            <v>VAR_fout</v>
          </cell>
          <cell r="D61" t="str">
            <v>TPSHPDSLEXT</v>
          </cell>
          <cell r="E61">
            <v>1273.9831592043399</v>
          </cell>
          <cell r="F61">
            <v>1273.98329523661</v>
          </cell>
          <cell r="G61">
            <v>1256.10458942433</v>
          </cell>
          <cell r="H61">
            <v>1191.32665874944</v>
          </cell>
        </row>
        <row r="62">
          <cell r="B62" t="str">
            <v>CO2_T</v>
          </cell>
          <cell r="C62" t="str">
            <v>VAR_fout</v>
          </cell>
          <cell r="D62" t="str">
            <v>T_TW-ICEGSL-S2</v>
          </cell>
          <cell r="E62">
            <v>8.3011454031531997</v>
          </cell>
          <cell r="F62">
            <v>12.02151449517565</v>
          </cell>
          <cell r="G62">
            <v>12.024555781657844</v>
          </cell>
          <cell r="H62">
            <v>7.4588277286231275</v>
          </cell>
        </row>
        <row r="63">
          <cell r="B63" t="str">
            <v>CO2_T</v>
          </cell>
          <cell r="C63" t="str">
            <v>VAR_fout</v>
          </cell>
          <cell r="D63" t="str">
            <v>T_TW-ICEGSL-S3</v>
          </cell>
          <cell r="E63">
            <v>11.50322721151101</v>
          </cell>
          <cell r="F63">
            <v>14.519977173759969</v>
          </cell>
          <cell r="G63">
            <v>14.596250003761465</v>
          </cell>
          <cell r="H63">
            <v>14.502266325532661</v>
          </cell>
        </row>
        <row r="64">
          <cell r="B64" t="str">
            <v>CO2_T</v>
          </cell>
          <cell r="C64" t="str">
            <v>VAR_fout</v>
          </cell>
          <cell r="D64" t="str">
            <v>T_C-ICEGSLEXT</v>
          </cell>
          <cell r="E64">
            <v>4722.2882178718601</v>
          </cell>
          <cell r="F64">
            <v>3812.9933394797099</v>
          </cell>
          <cell r="G64">
            <v>3094.5702918175102</v>
          </cell>
          <cell r="H64">
            <v>879.91601109974897</v>
          </cell>
        </row>
        <row r="65">
          <cell r="B65" t="str">
            <v>CO2_T</v>
          </cell>
          <cell r="C65" t="str">
            <v>VAR_fout</v>
          </cell>
          <cell r="D65" t="str">
            <v>T_TW-ICEGSL-S4</v>
          </cell>
          <cell r="E65">
            <v>7.5726349987070396</v>
          </cell>
          <cell r="F65">
            <v>9.2727708175229182</v>
          </cell>
          <cell r="G65">
            <v>9.3213580996825947</v>
          </cell>
          <cell r="H65">
            <v>9.2684929692561351</v>
          </cell>
        </row>
        <row r="66">
          <cell r="B66" t="str">
            <v>CO2_T</v>
          </cell>
          <cell r="C66" t="str">
            <v>VAR_fout</v>
          </cell>
          <cell r="D66" t="str">
            <v>T_C-ICEDSLEXT</v>
          </cell>
          <cell r="E66">
            <v>3821.2760259304</v>
          </cell>
          <cell r="F66">
            <v>3569.7775466826201</v>
          </cell>
          <cell r="G66">
            <v>2537.9775873806898</v>
          </cell>
          <cell r="H66">
            <v>1175.1387111832801</v>
          </cell>
        </row>
        <row r="67">
          <cell r="B67" t="str">
            <v>CO2_T</v>
          </cell>
          <cell r="C67" t="str">
            <v>VAR_fout</v>
          </cell>
          <cell r="D67" t="str">
            <v>T_TW-ICEGSLEXT</v>
          </cell>
          <cell r="E67">
            <v>147.13295930655201</v>
          </cell>
          <cell r="F67">
            <v>110.581735852211</v>
          </cell>
          <cell r="G67">
            <v>76.947275069056303</v>
          </cell>
          <cell r="H67">
            <v>33.433461619986197</v>
          </cell>
        </row>
        <row r="68">
          <cell r="B68" t="str">
            <v>CO2_T</v>
          </cell>
          <cell r="C68" t="str">
            <v>VAR_fout</v>
          </cell>
          <cell r="D68" t="str">
            <v>TFLGV-ICENGA</v>
          </cell>
          <cell r="E68">
            <v>1.4563847689666249</v>
          </cell>
          <cell r="F68">
            <v>1.2557510795566535</v>
          </cell>
          <cell r="G68">
            <v>1.7826009283275488</v>
          </cell>
          <cell r="H68">
            <v>6.2078567190180251E-3</v>
          </cell>
        </row>
        <row r="69">
          <cell r="B69" t="str">
            <v>CO2_T</v>
          </cell>
          <cell r="C69" t="str">
            <v>VAR_fout</v>
          </cell>
          <cell r="D69" t="str">
            <v>T_B_c-ICENGA-S1</v>
          </cell>
          <cell r="F69">
            <v>2.8178341254582202E-3</v>
          </cell>
          <cell r="G69">
            <v>1.343444288884311E-2</v>
          </cell>
        </row>
        <row r="70">
          <cell r="B70" t="str">
            <v>CO2_T</v>
          </cell>
          <cell r="C70" t="str">
            <v>VAR_fout</v>
          </cell>
          <cell r="D70" t="str">
            <v>T_B_c-ICENGA-S2</v>
          </cell>
          <cell r="F70">
            <v>1.30971344314156E-3</v>
          </cell>
          <cell r="G70">
            <v>9.7410169851088104E-3</v>
          </cell>
        </row>
        <row r="71">
          <cell r="B71" t="str">
            <v>CO2_T</v>
          </cell>
          <cell r="C71" t="str">
            <v>VAR_fout</v>
          </cell>
          <cell r="D71" t="str">
            <v>T_B_u-ICEDSL-S1</v>
          </cell>
          <cell r="E71">
            <v>1.9568752952993311E-2</v>
          </cell>
          <cell r="F71">
            <v>0.15030416376772104</v>
          </cell>
          <cell r="G71">
            <v>15.07475924331688</v>
          </cell>
          <cell r="H71">
            <v>2.97153889454099E-3</v>
          </cell>
        </row>
        <row r="72">
          <cell r="B72" t="str">
            <v>CO2_T</v>
          </cell>
          <cell r="C72" t="str">
            <v>VAR_fout</v>
          </cell>
          <cell r="D72" t="str">
            <v>T_B_c-ICENGA-S3</v>
          </cell>
          <cell r="F72">
            <v>9.03277138418202E-4</v>
          </cell>
          <cell r="G72">
            <v>6.2647972975740894E-3</v>
          </cell>
        </row>
        <row r="73">
          <cell r="B73" t="str">
            <v>CO2_T</v>
          </cell>
          <cell r="C73" t="str">
            <v>VAR_fout</v>
          </cell>
          <cell r="D73" t="str">
            <v>T_B_u-ICEDSL-S2</v>
          </cell>
          <cell r="E73">
            <v>8.1501668524608295</v>
          </cell>
          <cell r="F73">
            <v>9.9225951160471784</v>
          </cell>
          <cell r="G73">
            <v>16.234334548453177</v>
          </cell>
        </row>
        <row r="74">
          <cell r="B74" t="str">
            <v>CO2_T</v>
          </cell>
          <cell r="C74" t="str">
            <v>VAR_fout</v>
          </cell>
          <cell r="D74" t="str">
            <v>T_B_u-ICEDSL-S3</v>
          </cell>
          <cell r="E74">
            <v>44.792590057354062</v>
          </cell>
          <cell r="F74">
            <v>63.743218455106472</v>
          </cell>
          <cell r="G74">
            <v>63.759368744529446</v>
          </cell>
        </row>
        <row r="75">
          <cell r="B75" t="str">
            <v>CO2_T</v>
          </cell>
          <cell r="C75" t="str">
            <v>VAR_fout</v>
          </cell>
          <cell r="D75" t="str">
            <v>T_B_u-ICEDSL-S4</v>
          </cell>
          <cell r="E75">
            <v>0.20016394034960833</v>
          </cell>
          <cell r="G75">
            <v>1.4131747941756099E-3</v>
          </cell>
        </row>
        <row r="76">
          <cell r="B76" t="str">
            <v>CO2_T</v>
          </cell>
          <cell r="C76" t="str">
            <v>VAR_fout</v>
          </cell>
          <cell r="D76" t="str">
            <v>T_B_c-ICENGAEXT</v>
          </cell>
          <cell r="E76">
            <v>7.7879543815437E-3</v>
          </cell>
          <cell r="F76">
            <v>7.75851326361342E-3</v>
          </cell>
          <cell r="G76">
            <v>7.7022645735601199E-3</v>
          </cell>
        </row>
        <row r="77">
          <cell r="B77" t="str">
            <v>CO2_T</v>
          </cell>
          <cell r="C77" t="str">
            <v>VAR_fout</v>
          </cell>
          <cell r="D77" t="str">
            <v>T_B_u-ICEDSLEXT</v>
          </cell>
          <cell r="E77">
            <v>1.27103698329853</v>
          </cell>
          <cell r="F77">
            <v>1.2694188326498801</v>
          </cell>
          <cell r="G77">
            <v>1.2644547800575601</v>
          </cell>
        </row>
        <row r="78">
          <cell r="B78" t="str">
            <v>CO2_T</v>
          </cell>
          <cell r="C78" t="str">
            <v>VAR_fout</v>
          </cell>
          <cell r="D78" t="str">
            <v>T_C-HYBGSLEXT</v>
          </cell>
          <cell r="E78">
            <v>92.549422659254901</v>
          </cell>
          <cell r="F78">
            <v>91.724485391032701</v>
          </cell>
          <cell r="G78">
            <v>68.278605892806596</v>
          </cell>
          <cell r="H78">
            <v>32.395658075030198</v>
          </cell>
        </row>
        <row r="79">
          <cell r="B79" t="str">
            <v>CO2_T</v>
          </cell>
          <cell r="C79" t="str">
            <v>VAR_fout</v>
          </cell>
          <cell r="D79" t="str">
            <v>TPAVDKEREXT</v>
          </cell>
          <cell r="E79">
            <v>79.576349423418094</v>
          </cell>
          <cell r="F79">
            <v>100.796237247683</v>
          </cell>
          <cell r="G79">
            <v>132.626068984081</v>
          </cell>
          <cell r="H79">
            <v>185.675788544743</v>
          </cell>
        </row>
        <row r="80">
          <cell r="B80" t="str">
            <v>CO2_T</v>
          </cell>
          <cell r="C80" t="str">
            <v>VAR_fout</v>
          </cell>
          <cell r="D80" t="str">
            <v>T_C-ICE-GSL-S1</v>
          </cell>
          <cell r="E80">
            <v>36.545527261512312</v>
          </cell>
          <cell r="F80">
            <v>40.629768008610348</v>
          </cell>
          <cell r="G80">
            <v>101.67222642602385</v>
          </cell>
          <cell r="H80">
            <v>163.50977605920912</v>
          </cell>
        </row>
        <row r="81">
          <cell r="B81" t="str">
            <v>CO2_T</v>
          </cell>
          <cell r="C81" t="str">
            <v>VAR_fout</v>
          </cell>
          <cell r="D81" t="str">
            <v>TFLGV-ICEGSL</v>
          </cell>
          <cell r="E81">
            <v>37.172891416222861</v>
          </cell>
          <cell r="F81">
            <v>42.667746666657358</v>
          </cell>
          <cell r="G81">
            <v>68.587922576323166</v>
          </cell>
          <cell r="H81">
            <v>100.6251509441604</v>
          </cell>
        </row>
        <row r="82">
          <cell r="B82" t="str">
            <v>CO2_T</v>
          </cell>
          <cell r="C82" t="str">
            <v>VAR_fout</v>
          </cell>
          <cell r="D82" t="str">
            <v>T_C-ICE-GSL-S2</v>
          </cell>
          <cell r="E82">
            <v>286.7166606919987</v>
          </cell>
          <cell r="F82">
            <v>391.63890939761046</v>
          </cell>
          <cell r="G82">
            <v>511.3457175529943</v>
          </cell>
          <cell r="H82">
            <v>412.71406671022891</v>
          </cell>
        </row>
        <row r="83">
          <cell r="B83" t="str">
            <v>CO2_T</v>
          </cell>
          <cell r="C83" t="str">
            <v>VAR_fout</v>
          </cell>
          <cell r="D83" t="str">
            <v>T_C-ICE-DSL-S1</v>
          </cell>
          <cell r="E83">
            <v>0.38803906555104856</v>
          </cell>
          <cell r="F83">
            <v>0.43333221032393526</v>
          </cell>
          <cell r="G83">
            <v>0.31750948507769167</v>
          </cell>
          <cell r="H83">
            <v>0.22975675590489092</v>
          </cell>
        </row>
        <row r="84">
          <cell r="B84" t="str">
            <v>CO2_T</v>
          </cell>
          <cell r="C84" t="str">
            <v>VAR_fout</v>
          </cell>
          <cell r="D84" t="str">
            <v>T_C-ICE-GSL-S3</v>
          </cell>
          <cell r="E84">
            <v>303.8381005882012</v>
          </cell>
          <cell r="F84">
            <v>423.61773236610475</v>
          </cell>
          <cell r="G84">
            <v>502.98063550716017</v>
          </cell>
          <cell r="H84">
            <v>411.42702290830272</v>
          </cell>
        </row>
        <row r="85">
          <cell r="B85" t="str">
            <v>CO2_T</v>
          </cell>
          <cell r="C85" t="str">
            <v>VAR_fout</v>
          </cell>
          <cell r="D85" t="str">
            <v>T_C-ICE-DSL-S2</v>
          </cell>
          <cell r="E85">
            <v>77.923751126875743</v>
          </cell>
          <cell r="F85">
            <v>94.050484474053135</v>
          </cell>
          <cell r="G85">
            <v>81.454408853084615</v>
          </cell>
          <cell r="H85">
            <v>60.734045303627234</v>
          </cell>
        </row>
        <row r="86">
          <cell r="B86" t="str">
            <v>CO2_T</v>
          </cell>
          <cell r="C86" t="str">
            <v>VAR_fout</v>
          </cell>
          <cell r="D86" t="str">
            <v>T_C-ICE-GSL-S4</v>
          </cell>
          <cell r="E86">
            <v>286.8156085763539</v>
          </cell>
          <cell r="F86">
            <v>387.77248760912551</v>
          </cell>
          <cell r="G86">
            <v>627.7620782247127</v>
          </cell>
          <cell r="H86">
            <v>518.81476833689862</v>
          </cell>
        </row>
        <row r="87">
          <cell r="B87" t="str">
            <v>CO2_T</v>
          </cell>
          <cell r="C87" t="str">
            <v>VAR_fout</v>
          </cell>
          <cell r="D87" t="str">
            <v>T_C-ICE-DSL-S3</v>
          </cell>
          <cell r="E87">
            <v>335.70924063513633</v>
          </cell>
          <cell r="F87">
            <v>390.45209159910371</v>
          </cell>
          <cell r="G87">
            <v>386.71705391251641</v>
          </cell>
          <cell r="H87">
            <v>295.32553730765392</v>
          </cell>
        </row>
        <row r="88">
          <cell r="B88" t="str">
            <v>CO2_T</v>
          </cell>
          <cell r="C88" t="str">
            <v>VAR_fout</v>
          </cell>
          <cell r="D88" t="str">
            <v>T_C-ICE-DSL-S4</v>
          </cell>
          <cell r="E88">
            <v>142.10956543637622</v>
          </cell>
          <cell r="F88">
            <v>162.05172934297943</v>
          </cell>
          <cell r="G88">
            <v>159.31984382064823</v>
          </cell>
          <cell r="H88">
            <v>117.74972708124469</v>
          </cell>
        </row>
        <row r="89">
          <cell r="B89" t="str">
            <v>CO2_T</v>
          </cell>
          <cell r="C89" t="str">
            <v>VAR_fout</v>
          </cell>
          <cell r="D89" t="str">
            <v>TFLGV-ICENGAExt</v>
          </cell>
          <cell r="E89">
            <v>6.07113342453831</v>
          </cell>
          <cell r="F89">
            <v>1.8271504663756</v>
          </cell>
          <cell r="G89">
            <v>3.9568290756937898</v>
          </cell>
          <cell r="H89">
            <v>4.4757261952941196E-3</v>
          </cell>
        </row>
        <row r="90">
          <cell r="B90" t="str">
            <v>CO2_T</v>
          </cell>
          <cell r="C90" t="str">
            <v>VAR_fout</v>
          </cell>
          <cell r="D90" t="str">
            <v>T_B_u-HYBDSL-S1</v>
          </cell>
          <cell r="F90">
            <v>15.394899519446501</v>
          </cell>
          <cell r="G90">
            <v>15.408492860102012</v>
          </cell>
          <cell r="H90">
            <v>8.4747287235343305E-3</v>
          </cell>
        </row>
        <row r="91">
          <cell r="B91" t="str">
            <v>CO2_T</v>
          </cell>
          <cell r="C91" t="str">
            <v>VAR_fout</v>
          </cell>
          <cell r="D91" t="str">
            <v>T_B_u-HYBDSL-S2</v>
          </cell>
          <cell r="F91">
            <v>2.51763757184831E-2</v>
          </cell>
          <cell r="G91">
            <v>3.3698974424082852E-2</v>
          </cell>
          <cell r="H91">
            <v>1.583682870534962E-2</v>
          </cell>
        </row>
        <row r="92">
          <cell r="B92" t="str">
            <v>CO2_T</v>
          </cell>
          <cell r="C92" t="str">
            <v>VAR_fout</v>
          </cell>
          <cell r="D92" t="str">
            <v>T_B_u-HYBDSL-S3</v>
          </cell>
          <cell r="F92">
            <v>2.0958863441841999</v>
          </cell>
          <cell r="G92">
            <v>41.563706921202709</v>
          </cell>
          <cell r="H92">
            <v>71.207133453685827</v>
          </cell>
        </row>
        <row r="93">
          <cell r="B93" t="str">
            <v>CO2_T</v>
          </cell>
          <cell r="C93" t="str">
            <v>VAR_fout</v>
          </cell>
          <cell r="D93" t="str">
            <v>T_C-HY-GSL-S1</v>
          </cell>
          <cell r="E93">
            <v>3.4285710930719344</v>
          </cell>
          <cell r="F93">
            <v>3.9390125944082568</v>
          </cell>
          <cell r="G93">
            <v>2.7461675523135671</v>
          </cell>
          <cell r="H93">
            <v>2.1231386306225937</v>
          </cell>
        </row>
        <row r="94">
          <cell r="B94" t="str">
            <v>CO2_T</v>
          </cell>
          <cell r="C94" t="str">
            <v>VAR_fout</v>
          </cell>
          <cell r="D94" t="str">
            <v>T_B_u-HYBDSL-S4</v>
          </cell>
        </row>
        <row r="95">
          <cell r="B95" t="str">
            <v>CO2_T</v>
          </cell>
          <cell r="C95" t="str">
            <v>VAR_fout</v>
          </cell>
          <cell r="D95" t="str">
            <v>TFRLFDSLEXT</v>
          </cell>
          <cell r="E95">
            <v>29.033457934831201</v>
          </cell>
          <cell r="F95">
            <v>20.325545589191101</v>
          </cell>
        </row>
        <row r="96">
          <cell r="B96" t="str">
            <v>CO2_T</v>
          </cell>
          <cell r="C96" t="str">
            <v>VAR_fout</v>
          </cell>
          <cell r="D96" t="str">
            <v>T_C-HY-GSL-S2</v>
          </cell>
          <cell r="E96">
            <v>10.070661227515011</v>
          </cell>
          <cell r="F96">
            <v>15.13263941479476</v>
          </cell>
          <cell r="G96">
            <v>54.874552823289847</v>
          </cell>
          <cell r="H96">
            <v>47.506401189937257</v>
          </cell>
        </row>
        <row r="97">
          <cell r="B97" t="str">
            <v>CO2_T</v>
          </cell>
          <cell r="C97" t="str">
            <v>VAR_fout</v>
          </cell>
          <cell r="D97" t="str">
            <v>T_C-HY-DSL-S1</v>
          </cell>
          <cell r="E97">
            <v>2.2671362248562E-3</v>
          </cell>
          <cell r="F97">
            <v>13.438418780809471</v>
          </cell>
          <cell r="G97">
            <v>8.9210256444958187</v>
          </cell>
          <cell r="H97">
            <v>7.173898895857457</v>
          </cell>
        </row>
        <row r="98">
          <cell r="B98" t="str">
            <v>CO2_T</v>
          </cell>
          <cell r="C98" t="str">
            <v>VAR_fout</v>
          </cell>
          <cell r="D98" t="str">
            <v>T_C-HY-GSL-S3</v>
          </cell>
          <cell r="E98">
            <v>7.5201680834057623</v>
          </cell>
          <cell r="F98">
            <v>91.445105003003619</v>
          </cell>
          <cell r="G98">
            <v>86.478939256387832</v>
          </cell>
          <cell r="H98">
            <v>69.157812678084497</v>
          </cell>
        </row>
        <row r="99">
          <cell r="B99" t="str">
            <v>CO2_T</v>
          </cell>
          <cell r="C99" t="str">
            <v>VAR_fout</v>
          </cell>
          <cell r="D99" t="str">
            <v>T_C-HY-DSL-S2</v>
          </cell>
          <cell r="E99">
            <v>0.21071325959332712</v>
          </cell>
          <cell r="F99">
            <v>49.562432118912547</v>
          </cell>
          <cell r="G99">
            <v>87.756088205589819</v>
          </cell>
          <cell r="H99">
            <v>73.595102800021863</v>
          </cell>
        </row>
        <row r="100">
          <cell r="B100" t="str">
            <v>CO2_T</v>
          </cell>
          <cell r="C100" t="str">
            <v>VAR_fout</v>
          </cell>
          <cell r="D100" t="str">
            <v>T_C-HY-GSL-S4</v>
          </cell>
          <cell r="E100">
            <v>6.6975269247581846</v>
          </cell>
          <cell r="F100">
            <v>9.9732443433540148</v>
          </cell>
          <cell r="G100">
            <v>9.4084282723094521</v>
          </cell>
          <cell r="H100">
            <v>7.9467425077281044</v>
          </cell>
        </row>
        <row r="101">
          <cell r="B101" t="str">
            <v>CO2_T</v>
          </cell>
          <cell r="C101" t="str">
            <v>VAR_fout</v>
          </cell>
          <cell r="D101" t="str">
            <v>T_C-HY-DSL-S3</v>
          </cell>
          <cell r="E101">
            <v>2.1738756758991826</v>
          </cell>
          <cell r="F101">
            <v>3.3192590735678293</v>
          </cell>
          <cell r="G101">
            <v>3.1793980169137912</v>
          </cell>
          <cell r="H101">
            <v>2.3790705422229572</v>
          </cell>
        </row>
        <row r="102">
          <cell r="B102" t="str">
            <v>CO2_T</v>
          </cell>
          <cell r="C102" t="str">
            <v>VAR_fout</v>
          </cell>
          <cell r="D102" t="str">
            <v>T_C-HY-DSL-S4</v>
          </cell>
          <cell r="E102">
            <v>2.5978123982880081</v>
          </cell>
          <cell r="F102">
            <v>5.1920370154476618</v>
          </cell>
          <cell r="G102">
            <v>4.9272366800137135</v>
          </cell>
          <cell r="H102">
            <v>4.0365627536652378</v>
          </cell>
        </row>
        <row r="103">
          <cell r="B103" t="str">
            <v>CO2_T</v>
          </cell>
          <cell r="C103" t="str">
            <v>VAR_fout</v>
          </cell>
          <cell r="D103" t="str">
            <v>TFHGV-HYBDSL</v>
          </cell>
          <cell r="F103">
            <v>153.34274042390001</v>
          </cell>
          <cell r="G103">
            <v>329.79494970087103</v>
          </cell>
          <cell r="H103">
            <v>818.39031254968609</v>
          </cell>
        </row>
        <row r="104">
          <cell r="B104" t="str">
            <v>CO2_T</v>
          </cell>
          <cell r="C104" t="str">
            <v>VAR_fout</v>
          </cell>
          <cell r="D104" t="str">
            <v>TFHGV-ICEDSL</v>
          </cell>
          <cell r="E104">
            <v>381.05936924267723</v>
          </cell>
          <cell r="F104">
            <v>352.17856395852704</v>
          </cell>
          <cell r="G104">
            <v>318.26411446415563</v>
          </cell>
          <cell r="H104">
            <v>32.202569347137981</v>
          </cell>
        </row>
        <row r="105">
          <cell r="B105" t="str">
            <v>CO2_T</v>
          </cell>
          <cell r="C105" t="str">
            <v>VAR_fout</v>
          </cell>
          <cell r="D105" t="str">
            <v>T-Plg-DSL-mix_S1</v>
          </cell>
          <cell r="E105">
            <v>1.24446458947547E-3</v>
          </cell>
          <cell r="F105">
            <v>2.7541457226805198E-2</v>
          </cell>
          <cell r="G105">
            <v>3.1089788133265669E-2</v>
          </cell>
          <cell r="H105">
            <v>3.447732736412501E-2</v>
          </cell>
        </row>
        <row r="106">
          <cell r="B106" t="str">
            <v>CO2_T</v>
          </cell>
          <cell r="C106" t="str">
            <v>VAR_fout</v>
          </cell>
          <cell r="D106" t="str">
            <v>T-Plg-DSL-mix_S2</v>
          </cell>
          <cell r="E106">
            <v>4.23494960615745E-4</v>
          </cell>
          <cell r="F106">
            <v>2.0457846321739699E-2</v>
          </cell>
          <cell r="G106">
            <v>6.43280042603252E-2</v>
          </cell>
          <cell r="H106">
            <v>9.2914902191809257E-2</v>
          </cell>
        </row>
        <row r="107">
          <cell r="B107" t="str">
            <v>CO2_T</v>
          </cell>
          <cell r="C107" t="str">
            <v>VAR_fout</v>
          </cell>
          <cell r="D107" t="str">
            <v>T-Plg-DSL-mix_S3</v>
          </cell>
          <cell r="E107">
            <v>7.0608859312940196E-3</v>
          </cell>
          <cell r="F107">
            <v>10.19913176921318</v>
          </cell>
          <cell r="G107">
            <v>106.7955276701642</v>
          </cell>
          <cell r="H107">
            <v>338.2668380454179</v>
          </cell>
        </row>
        <row r="108">
          <cell r="B108" t="str">
            <v>CO2_T</v>
          </cell>
          <cell r="C108" t="str">
            <v>VAR_fout</v>
          </cell>
          <cell r="D108" t="str">
            <v>T_B_c-ICEDSL-S1</v>
          </cell>
          <cell r="E108">
            <v>8.3209627598675198</v>
          </cell>
          <cell r="F108">
            <v>22.55467058287914</v>
          </cell>
          <cell r="G108">
            <v>27.5987073253403</v>
          </cell>
        </row>
        <row r="109">
          <cell r="B109" t="str">
            <v>CO2_T</v>
          </cell>
          <cell r="C109" t="str">
            <v>VAR_fout</v>
          </cell>
          <cell r="D109" t="str">
            <v>T-Plg-DSL-mix_S4</v>
          </cell>
          <cell r="E109">
            <v>0.431242835782434</v>
          </cell>
          <cell r="F109">
            <v>1.1293938655738209</v>
          </cell>
          <cell r="G109">
            <v>1.253023164614403</v>
          </cell>
          <cell r="H109">
            <v>0.87586523651587345</v>
          </cell>
        </row>
        <row r="110">
          <cell r="B110" t="str">
            <v>CO2_T</v>
          </cell>
          <cell r="C110" t="str">
            <v>VAR_fout</v>
          </cell>
          <cell r="D110" t="str">
            <v>T_B_c-ICEDSL-S2</v>
          </cell>
          <cell r="E110">
            <v>38.091279270627297</v>
          </cell>
          <cell r="F110">
            <v>28.91562055902406</v>
          </cell>
          <cell r="G110">
            <v>29.39735159226543</v>
          </cell>
        </row>
        <row r="111">
          <cell r="B111" t="str">
            <v>CO2_T</v>
          </cell>
          <cell r="C111" t="str">
            <v>VAR_fout</v>
          </cell>
          <cell r="D111" t="str">
            <v>T_B_c-ICEDSL-S3</v>
          </cell>
          <cell r="E111">
            <v>11.303542788914552</v>
          </cell>
          <cell r="F111">
            <v>9.2949088291296409</v>
          </cell>
          <cell r="G111">
            <v>11.135932551061357</v>
          </cell>
        </row>
        <row r="112">
          <cell r="B112" t="str">
            <v>CO2_T</v>
          </cell>
          <cell r="C112" t="str">
            <v>VAR_fout</v>
          </cell>
          <cell r="D112" t="str">
            <v>T_B_c-ICEDSL-S4</v>
          </cell>
          <cell r="E112">
            <v>0.91917321630004423</v>
          </cell>
          <cell r="G112">
            <v>1.2662791913329609E-3</v>
          </cell>
        </row>
        <row r="113">
          <cell r="B113" t="str">
            <v>CO2_T</v>
          </cell>
          <cell r="C113" t="str">
            <v>VAR_fout</v>
          </cell>
          <cell r="D113" t="str">
            <v>T_B_u-ICENGA-S1</v>
          </cell>
          <cell r="F113">
            <v>3.1483625821722501E-3</v>
          </cell>
          <cell r="G113">
            <v>1.9679800203094878E-2</v>
          </cell>
        </row>
        <row r="114">
          <cell r="B114" t="str">
            <v>CO2_T</v>
          </cell>
          <cell r="C114" t="str">
            <v>VAR_fout</v>
          </cell>
          <cell r="D114" t="str">
            <v>T_B_u-ICENGA-S2</v>
          </cell>
          <cell r="F114">
            <v>1.64221800001333E-3</v>
          </cell>
          <cell r="G114">
            <v>1.0803042627409354</v>
          </cell>
        </row>
        <row r="115">
          <cell r="B115" t="str">
            <v>CO2_T</v>
          </cell>
          <cell r="C115" t="str">
            <v>VAR_fout</v>
          </cell>
          <cell r="D115" t="str">
            <v>T_B_c-ICEDSLEXT</v>
          </cell>
          <cell r="E115">
            <v>0.44188211992259602</v>
          </cell>
          <cell r="F115">
            <v>0.44077338426422502</v>
          </cell>
          <cell r="G115">
            <v>0.43756334585825601</v>
          </cell>
        </row>
        <row r="116">
          <cell r="B116" t="str">
            <v>CO2_T</v>
          </cell>
          <cell r="C116" t="str">
            <v>VAR_fout</v>
          </cell>
          <cell r="D116" t="str">
            <v>T_B_u-ICENGA-S3</v>
          </cell>
          <cell r="F116">
            <v>6.70880156856787E-4</v>
          </cell>
          <cell r="G116">
            <v>7.4365280824607001E-3</v>
          </cell>
          <cell r="H116">
            <v>3.8319410002057902E-5</v>
          </cell>
        </row>
        <row r="117">
          <cell r="B117" t="str">
            <v>CO2_T</v>
          </cell>
          <cell r="C117" t="str">
            <v>VAR_comnet</v>
          </cell>
          <cell r="D117" t="str">
            <v>-</v>
          </cell>
          <cell r="E117">
            <v>14991.254186514499</v>
          </cell>
          <cell r="F117">
            <v>14217.3652038616</v>
          </cell>
          <cell r="G117">
            <v>12851.566995003899</v>
          </cell>
          <cell r="H117">
            <v>8708.2385344709601</v>
          </cell>
        </row>
        <row r="118">
          <cell r="B118" t="str">
            <v>CO2</v>
          </cell>
          <cell r="C118" t="str">
            <v>VAR_fout</v>
          </cell>
          <cell r="D118" t="str">
            <v>othGHG</v>
          </cell>
          <cell r="E118">
            <v>9468.5879275113693</v>
          </cell>
          <cell r="F118">
            <v>9850.7184487346694</v>
          </cell>
          <cell r="G118">
            <v>10232.848969958</v>
          </cell>
          <cell r="H118">
            <v>7212.7597599438004</v>
          </cell>
        </row>
        <row r="119">
          <cell r="B119" t="str">
            <v>CO2</v>
          </cell>
          <cell r="C119" t="str">
            <v>VAR_fout</v>
          </cell>
          <cell r="D119" t="str">
            <v>D-ICOA</v>
          </cell>
          <cell r="E119">
            <v>330.012413478773</v>
          </cell>
          <cell r="F119">
            <v>321.17930441244499</v>
          </cell>
          <cell r="G119">
            <v>309.64828960834097</v>
          </cell>
          <cell r="H119">
            <v>2.1959422673721099E-2</v>
          </cell>
        </row>
        <row r="120">
          <cell r="B120" t="str">
            <v>CO2</v>
          </cell>
          <cell r="C120" t="str">
            <v>VAR_fout</v>
          </cell>
          <cell r="D120" t="str">
            <v>D-ENGA</v>
          </cell>
          <cell r="E120">
            <v>310.86628449092098</v>
          </cell>
          <cell r="F120">
            <v>97.099106413104906</v>
          </cell>
          <cell r="G120">
            <v>64.220134316405293</v>
          </cell>
          <cell r="H120">
            <v>168.00994999699401</v>
          </cell>
        </row>
        <row r="121">
          <cell r="B121" t="str">
            <v>CO2</v>
          </cell>
          <cell r="C121" t="str">
            <v>VAR_fout</v>
          </cell>
          <cell r="D121" t="str">
            <v>D-ILFO</v>
          </cell>
          <cell r="E121">
            <v>688.81204010383703</v>
          </cell>
          <cell r="F121">
            <v>659.57576137618003</v>
          </cell>
          <cell r="G121">
            <v>621.78805166626796</v>
          </cell>
          <cell r="H121">
            <v>485.17533603775701</v>
          </cell>
        </row>
        <row r="122">
          <cell r="B122" t="str">
            <v>CO2</v>
          </cell>
          <cell r="C122" t="str">
            <v>VAR_fout</v>
          </cell>
          <cell r="D122" t="str">
            <v>D-TDSL</v>
          </cell>
          <cell r="E122">
            <v>8614.5742437584595</v>
          </cell>
          <cell r="F122">
            <v>8259.8717085397693</v>
          </cell>
          <cell r="G122">
            <v>7018.3610713492799</v>
          </cell>
          <cell r="H122">
            <v>5067.6735777121503</v>
          </cell>
        </row>
        <row r="123">
          <cell r="B123" t="str">
            <v>CO2</v>
          </cell>
          <cell r="C123" t="str">
            <v>VAR_fout</v>
          </cell>
          <cell r="D123" t="str">
            <v>ITOT-PROCESSCO2</v>
          </cell>
          <cell r="E123">
            <v>2089.34680048464</v>
          </cell>
          <cell r="F123">
            <v>2111.0131698740802</v>
          </cell>
          <cell r="G123">
            <v>2102.26947106126</v>
          </cell>
          <cell r="H123">
            <v>2093.6570624126398</v>
          </cell>
        </row>
        <row r="124">
          <cell r="B124" t="str">
            <v>CO2</v>
          </cell>
          <cell r="C124" t="str">
            <v>VAR_fout</v>
          </cell>
          <cell r="D124" t="str">
            <v>D-ELFO</v>
          </cell>
          <cell r="E124">
            <v>26.137860936233199</v>
          </cell>
          <cell r="F124">
            <v>16.439531108332002</v>
          </cell>
          <cell r="G124">
            <v>1.3095689327032201</v>
          </cell>
          <cell r="H124">
            <v>0.175338660227215</v>
          </cell>
        </row>
        <row r="125">
          <cell r="B125" t="str">
            <v>CO2</v>
          </cell>
          <cell r="C125" t="str">
            <v>VAR_fout</v>
          </cell>
          <cell r="D125" t="str">
            <v>D-TNGA</v>
          </cell>
          <cell r="E125">
            <v>16.1920263423996</v>
          </cell>
          <cell r="F125">
            <v>7.9406025098904003</v>
          </cell>
          <cell r="G125">
            <v>11.3741493886813</v>
          </cell>
          <cell r="H125">
            <v>0.35722263542508398</v>
          </cell>
        </row>
        <row r="126">
          <cell r="B126" t="str">
            <v>CO2</v>
          </cell>
          <cell r="C126" t="str">
            <v>VAR_fout</v>
          </cell>
          <cell r="D126" t="str">
            <v>D-SNGA</v>
          </cell>
          <cell r="E126">
            <v>1521.83054530101</v>
          </cell>
          <cell r="F126">
            <v>1505.0978421386101</v>
          </cell>
          <cell r="G126">
            <v>1385.92866279088</v>
          </cell>
          <cell r="H126">
            <v>1283.4050313791199</v>
          </cell>
        </row>
        <row r="127">
          <cell r="B127" t="str">
            <v>CO2</v>
          </cell>
          <cell r="C127" t="str">
            <v>VAR_fout</v>
          </cell>
          <cell r="D127" t="str">
            <v>CO2compabroad</v>
          </cell>
          <cell r="H127">
            <v>-3592.36211687579</v>
          </cell>
        </row>
        <row r="128">
          <cell r="B128" t="str">
            <v>CO2</v>
          </cell>
          <cell r="C128" t="str">
            <v>VAR_fout</v>
          </cell>
          <cell r="D128" t="str">
            <v>D-RNGA</v>
          </cell>
          <cell r="E128">
            <v>2650.5234539707799</v>
          </cell>
          <cell r="F128">
            <v>2560.5947498866699</v>
          </cell>
          <cell r="G128">
            <v>2694.9222181602699</v>
          </cell>
          <cell r="H128">
            <v>2464.8626803311599</v>
          </cell>
        </row>
        <row r="129">
          <cell r="B129" t="str">
            <v>CO2</v>
          </cell>
          <cell r="C129" t="str">
            <v>VAR_fout</v>
          </cell>
          <cell r="D129" t="str">
            <v>D-IHFO</v>
          </cell>
          <cell r="E129">
            <v>213.78071862107299</v>
          </cell>
          <cell r="F129">
            <v>212.85953981613699</v>
          </cell>
          <cell r="G129">
            <v>9.1431588964333593E-2</v>
          </cell>
          <cell r="H129">
            <v>1.6727374797476099E-2</v>
          </cell>
        </row>
        <row r="130">
          <cell r="B130" t="str">
            <v>CO2</v>
          </cell>
          <cell r="C130" t="str">
            <v>VAR_fout</v>
          </cell>
          <cell r="D130" t="str">
            <v>D-SLFO</v>
          </cell>
          <cell r="E130">
            <v>2267.7886430973299</v>
          </cell>
          <cell r="F130">
            <v>1978.75493190877</v>
          </cell>
          <cell r="G130">
            <v>2028.0269831825201</v>
          </cell>
          <cell r="H130">
            <v>1465.8414138988501</v>
          </cell>
        </row>
        <row r="131">
          <cell r="B131" t="str">
            <v>CO2</v>
          </cell>
          <cell r="C131" t="str">
            <v>VAR_fout</v>
          </cell>
          <cell r="D131" t="str">
            <v>D-RCOA</v>
          </cell>
          <cell r="E131">
            <v>9.2700810955579893</v>
          </cell>
          <cell r="F131">
            <v>9.27005946500765</v>
          </cell>
          <cell r="G131">
            <v>2.4985699249556999</v>
          </cell>
          <cell r="H131">
            <v>0.561906252020832</v>
          </cell>
        </row>
        <row r="132">
          <cell r="B132" t="str">
            <v>CO2</v>
          </cell>
          <cell r="C132" t="str">
            <v>VAR_fout</v>
          </cell>
          <cell r="D132" t="str">
            <v>D-RLFO</v>
          </cell>
          <cell r="E132">
            <v>4514.4829169642198</v>
          </cell>
          <cell r="F132">
            <v>3846.5261273986298</v>
          </cell>
          <cell r="G132">
            <v>3821.8849419166399</v>
          </cell>
          <cell r="H132">
            <v>2498.3393055747301</v>
          </cell>
        </row>
        <row r="133">
          <cell r="B133" t="str">
            <v>CO2</v>
          </cell>
          <cell r="C133" t="str">
            <v>VAR_fout</v>
          </cell>
          <cell r="D133" t="str">
            <v>D-TGSL</v>
          </cell>
          <cell r="E133">
            <v>5943.7237556411001</v>
          </cell>
          <cell r="F133">
            <v>5512.9551094266999</v>
          </cell>
          <cell r="G133">
            <v>5244.1425032564202</v>
          </cell>
          <cell r="H133">
            <v>3161.8796341736702</v>
          </cell>
        </row>
        <row r="134">
          <cell r="B134" t="str">
            <v>CO2</v>
          </cell>
          <cell r="C134" t="str">
            <v>VAR_fout</v>
          </cell>
          <cell r="D134" t="str">
            <v>D-IWST</v>
          </cell>
          <cell r="E134">
            <v>1068.12878236547</v>
          </cell>
          <cell r="F134">
            <v>1094.4819841784099</v>
          </cell>
          <cell r="G134">
            <v>1024.6412594920901</v>
          </cell>
          <cell r="H134">
            <v>1013.1979718591</v>
          </cell>
        </row>
        <row r="135">
          <cell r="B135" t="str">
            <v>CO2</v>
          </cell>
          <cell r="C135" t="str">
            <v>VAR_fout</v>
          </cell>
          <cell r="D135" t="str">
            <v>D-TKER</v>
          </cell>
          <cell r="E135">
            <v>80.734414829308605</v>
          </cell>
          <cell r="F135">
            <v>102.29881909652801</v>
          </cell>
          <cell r="G135">
            <v>134.56768699655299</v>
          </cell>
          <cell r="H135">
            <v>187.22817471910699</v>
          </cell>
        </row>
        <row r="136">
          <cell r="B136" t="str">
            <v>CO2</v>
          </cell>
          <cell r="C136" t="str">
            <v>VAR_fout</v>
          </cell>
          <cell r="D136" t="str">
            <v>D-INGA</v>
          </cell>
          <cell r="E136">
            <v>2101.5527816373201</v>
          </cell>
          <cell r="F136">
            <v>1848.2740845886999</v>
          </cell>
          <cell r="G136">
            <v>1887.2180135369499</v>
          </cell>
          <cell r="H136">
            <v>1779.59971786542</v>
          </cell>
        </row>
        <row r="137">
          <cell r="B137" t="str">
            <v>CO2</v>
          </cell>
          <cell r="C137" t="str">
            <v>VAR_fout</v>
          </cell>
          <cell r="D137" t="str">
            <v>D-EWST</v>
          </cell>
          <cell r="E137">
            <v>2266.2746268166802</v>
          </cell>
          <cell r="F137">
            <v>2235.40324946291</v>
          </cell>
          <cell r="G137">
            <v>2268.78181648185</v>
          </cell>
          <cell r="H137">
            <v>2238.5109540887001</v>
          </cell>
        </row>
        <row r="138">
          <cell r="B138" t="str">
            <v>CO2</v>
          </cell>
          <cell r="C138" t="str">
            <v>VAR_comnet</v>
          </cell>
          <cell r="D138" t="str">
            <v>-</v>
          </cell>
          <cell r="H138">
            <v>27528.9116096008</v>
          </cell>
        </row>
        <row r="139">
          <cell r="B139" t="str">
            <v>CO2</v>
          </cell>
          <cell r="C139" t="str">
            <v>EQ_combalM</v>
          </cell>
          <cell r="D139" t="str">
            <v>-</v>
          </cell>
          <cell r="H139">
            <v>-5.7528261596042303E-2</v>
          </cell>
        </row>
        <row r="140">
          <cell r="B140" t="str">
            <v>CO2_SECTOR</v>
          </cell>
          <cell r="C140" t="str">
            <v>VAR_fout</v>
          </cell>
          <cell r="D140" t="str">
            <v>CO2_IND</v>
          </cell>
          <cell r="E140">
            <v>6491.6335366911208</v>
          </cell>
          <cell r="F140">
            <v>6247.3838442459519</v>
          </cell>
          <cell r="G140">
            <v>5945.6565169538617</v>
          </cell>
          <cell r="H140">
            <v>5371.668774972376</v>
          </cell>
        </row>
        <row r="141">
          <cell r="B141" t="str">
            <v>CO2_SECTOR</v>
          </cell>
          <cell r="C141" t="str">
            <v>VAR_fout</v>
          </cell>
          <cell r="D141" t="str">
            <v>CO2_RES</v>
          </cell>
          <cell r="E141">
            <v>7174.2764520305564</v>
          </cell>
          <cell r="F141">
            <v>6416.3909367502956</v>
          </cell>
          <cell r="G141">
            <v>6519.3057300018645</v>
          </cell>
          <cell r="H141">
            <v>4963.7638921579182</v>
          </cell>
        </row>
        <row r="142">
          <cell r="B142" t="str">
            <v>CO2_SECTOR</v>
          </cell>
          <cell r="C142" t="str">
            <v>VAR_fout</v>
          </cell>
          <cell r="D142" t="str">
            <v>CO2_TRA</v>
          </cell>
          <cell r="E142">
            <v>14654.037959155616</v>
          </cell>
          <cell r="F142">
            <v>13881.56284541369</v>
          </cell>
          <cell r="G142">
            <v>12406.467790169605</v>
          </cell>
          <cell r="H142">
            <v>8414.3870865145163</v>
          </cell>
        </row>
        <row r="143">
          <cell r="B143" t="str">
            <v>CO2_SECTOR</v>
          </cell>
          <cell r="C143" t="str">
            <v>VAR_fout</v>
          </cell>
          <cell r="D143" t="str">
            <v>CO2_ELC</v>
          </cell>
          <cell r="E143">
            <v>2603.2787722438361</v>
          </cell>
          <cell r="F143">
            <v>2348.9418869843503</v>
          </cell>
          <cell r="G143">
            <v>2334.3115197309589</v>
          </cell>
          <cell r="H143">
            <v>2406.6962427459193</v>
          </cell>
        </row>
        <row r="144">
          <cell r="B144" t="str">
            <v>CO2_SECTOR</v>
          </cell>
          <cell r="C144" t="str">
            <v>VAR_fout</v>
          </cell>
          <cell r="D144" t="str">
            <v>CO2_SER</v>
          </cell>
          <cell r="E144">
            <v>3789.6191883983352</v>
          </cell>
          <cell r="F144">
            <v>3483.8527740473869</v>
          </cell>
          <cell r="G144">
            <v>3413.9556459733976</v>
          </cell>
          <cell r="H144">
            <v>2749.2464452779759</v>
          </cell>
        </row>
        <row r="145">
          <cell r="B145" t="str">
            <v>CO2_SECTOR</v>
          </cell>
          <cell r="C145" t="str">
            <v>VAR_fout</v>
          </cell>
          <cell r="D145" t="str">
            <v>CO2_ELCCCS</v>
          </cell>
          <cell r="E145">
            <v>2603.2787722438361</v>
          </cell>
          <cell r="F145">
            <v>2348.9418869843503</v>
          </cell>
          <cell r="G145">
            <v>2334.3115197309589</v>
          </cell>
          <cell r="H145">
            <v>2406.6962427459193</v>
          </cell>
        </row>
        <row r="146">
          <cell r="B146" t="str">
            <v>CO2_SECTOR</v>
          </cell>
          <cell r="C146" t="str">
            <v>VAR_fout</v>
          </cell>
          <cell r="D146" t="str">
            <v>CO2_INDCCS</v>
          </cell>
          <cell r="E146">
            <v>6491.6335366911208</v>
          </cell>
          <cell r="F146">
            <v>6247.3838442459519</v>
          </cell>
          <cell r="G146">
            <v>5945.6565169538617</v>
          </cell>
          <cell r="H146">
            <v>5371.668774972376</v>
          </cell>
        </row>
        <row r="147">
          <cell r="B147" t="str">
            <v>CO2_SECTOR</v>
          </cell>
          <cell r="C147" t="str">
            <v>VAR_comnet</v>
          </cell>
          <cell r="D147" t="str">
            <v>-</v>
          </cell>
          <cell r="E147">
            <v>43807.758217454444</v>
          </cell>
          <cell r="F147">
            <v>40974.458018671976</v>
          </cell>
          <cell r="G147">
            <v>38899.665239514521</v>
          </cell>
          <cell r="H147">
            <v>31684.127459387015</v>
          </cell>
        </row>
        <row r="148">
          <cell r="B148" t="str">
            <v>CO2SC</v>
          </cell>
          <cell r="C148" t="str">
            <v>VAR_fout</v>
          </cell>
          <cell r="D148" t="str">
            <v>CO2S1</v>
          </cell>
          <cell r="E148">
            <v>6307.1990227535098</v>
          </cell>
          <cell r="F148">
            <v>6307.1990227535098</v>
          </cell>
          <cell r="G148">
            <v>6307.1990227535098</v>
          </cell>
          <cell r="H148">
            <v>6307.1990227535098</v>
          </cell>
        </row>
        <row r="149">
          <cell r="B149" t="str">
            <v>CO2P</v>
          </cell>
          <cell r="C149" t="str">
            <v>VAR_fout</v>
          </cell>
          <cell r="D149" t="str">
            <v>ITOT-PROCESSCO2</v>
          </cell>
          <cell r="E149">
            <v>2089.34680048464</v>
          </cell>
          <cell r="F149">
            <v>2111.0131698740802</v>
          </cell>
          <cell r="G149">
            <v>2102.26947106126</v>
          </cell>
          <cell r="H149">
            <v>2093.6570624126398</v>
          </cell>
        </row>
        <row r="150">
          <cell r="B150" t="str">
            <v>CO2P</v>
          </cell>
          <cell r="C150" t="str">
            <v>VAR_comnet</v>
          </cell>
          <cell r="D150" t="str">
            <v>-</v>
          </cell>
          <cell r="E150">
            <v>2089.34680048464</v>
          </cell>
          <cell r="F150">
            <v>2111.0131698740802</v>
          </cell>
          <cell r="G150">
            <v>2102.26947106126</v>
          </cell>
          <cell r="H150">
            <v>2093.6570624126398</v>
          </cell>
        </row>
        <row r="151">
          <cell r="B151" t="str">
            <v>CO2_E</v>
          </cell>
          <cell r="C151" t="str">
            <v>VAR_fout</v>
          </cell>
          <cell r="D151" t="str">
            <v>ENGA-CCS</v>
          </cell>
        </row>
        <row r="152">
          <cell r="B152" t="str">
            <v>CO2_E</v>
          </cell>
          <cell r="C152" t="str">
            <v>VAR_fout</v>
          </cell>
          <cell r="D152" t="str">
            <v>HPLNGA</v>
          </cell>
          <cell r="E152">
            <v>114.383732874114</v>
          </cell>
          <cell r="F152">
            <v>96.747397606189494</v>
          </cell>
          <cell r="G152">
            <v>53.850620538434903</v>
          </cell>
          <cell r="H152">
            <v>200.19248526937901</v>
          </cell>
        </row>
        <row r="153">
          <cell r="B153" t="str">
            <v>CO2_E</v>
          </cell>
          <cell r="C153" t="str">
            <v>VAR_fout</v>
          </cell>
          <cell r="D153" t="str">
            <v>CHPWST</v>
          </cell>
          <cell r="E153">
            <v>2843.2560177389701</v>
          </cell>
          <cell r="F153">
            <v>2574.9226645630201</v>
          </cell>
          <cell r="G153">
            <v>2409.0548280831399</v>
          </cell>
          <cell r="H153">
            <v>2556.3786412352301</v>
          </cell>
        </row>
        <row r="154">
          <cell r="B154" t="str">
            <v>CO2_E</v>
          </cell>
          <cell r="C154" t="str">
            <v>VAR_fout</v>
          </cell>
          <cell r="D154" t="str">
            <v>CHPNGA</v>
          </cell>
          <cell r="E154">
            <v>206.98172691568101</v>
          </cell>
          <cell r="F154">
            <v>4.3692024515143597E-2</v>
          </cell>
          <cell r="G154">
            <v>16.433757439693299</v>
          </cell>
          <cell r="H154">
            <v>1.8905983683065899</v>
          </cell>
        </row>
        <row r="155">
          <cell r="B155" t="str">
            <v>CO2_E</v>
          </cell>
          <cell r="C155" t="str">
            <v>VAR_fout</v>
          </cell>
          <cell r="D155" t="str">
            <v>EWSTINC</v>
          </cell>
          <cell r="E155">
            <v>1689.2932358943899</v>
          </cell>
          <cell r="F155">
            <v>1895.8839875287599</v>
          </cell>
          <cell r="G155">
            <v>2128.50892887802</v>
          </cell>
          <cell r="H155">
            <v>1920.64324735065</v>
          </cell>
        </row>
        <row r="156">
          <cell r="B156" t="str">
            <v>CO2_E</v>
          </cell>
          <cell r="C156" t="str">
            <v>VAR_fout</v>
          </cell>
          <cell r="D156" t="str">
            <v>ENGA-GTCC</v>
          </cell>
        </row>
        <row r="157">
          <cell r="B157" t="str">
            <v>CO2_E</v>
          </cell>
          <cell r="C157" t="str">
            <v>VAR_fout</v>
          </cell>
          <cell r="D157" t="str">
            <v>HPLOIL</v>
          </cell>
          <cell r="E157">
            <v>15.876678439795</v>
          </cell>
          <cell r="F157">
            <v>16.027931091026499</v>
          </cell>
          <cell r="G157">
            <v>3.58552539452704E-2</v>
          </cell>
          <cell r="H157">
            <v>2.3350819918752801E-2</v>
          </cell>
        </row>
        <row r="158">
          <cell r="B158" t="str">
            <v>CO2_E</v>
          </cell>
          <cell r="C158" t="str">
            <v>VAR_fout</v>
          </cell>
          <cell r="D158" t="str">
            <v>CHPGFC</v>
          </cell>
        </row>
        <row r="159">
          <cell r="B159" t="str">
            <v>CO2_E</v>
          </cell>
          <cell r="C159" t="str">
            <v>VAR_fout</v>
          </cell>
          <cell r="D159" t="str">
            <v>EOIL-ENG</v>
          </cell>
          <cell r="E159">
            <v>8.4791523402534708</v>
          </cell>
          <cell r="F159">
            <v>5.7823826757825499E-2</v>
          </cell>
          <cell r="G159">
            <v>0.89445883935720405</v>
          </cell>
          <cell r="H159">
            <v>5.8989171990648598E-2</v>
          </cell>
        </row>
        <row r="160">
          <cell r="B160" t="str">
            <v>CO2_E</v>
          </cell>
          <cell r="C160" t="str">
            <v>VAR_fout</v>
          </cell>
          <cell r="D160" t="str">
            <v>ENGA-GTOC</v>
          </cell>
        </row>
        <row r="161">
          <cell r="B161" t="str">
            <v>CO2_E</v>
          </cell>
          <cell r="C161" t="str">
            <v>VAR_fout</v>
          </cell>
          <cell r="D161" t="str">
            <v>CHPOIL</v>
          </cell>
          <cell r="E161">
            <v>1.3454974176064101</v>
          </cell>
          <cell r="F161">
            <v>7.9424341237520193E-2</v>
          </cell>
          <cell r="G161">
            <v>0.358192838708632</v>
          </cell>
          <cell r="H161">
            <v>9.1507613497885595E-2</v>
          </cell>
        </row>
        <row r="162">
          <cell r="B162" t="str">
            <v>CO2_E</v>
          </cell>
          <cell r="C162" t="str">
            <v>VAR_comnet</v>
          </cell>
          <cell r="D162" t="str">
            <v>-</v>
          </cell>
          <cell r="E162">
            <v>4879.6160416208104</v>
          </cell>
          <cell r="F162">
            <v>4583.7629209815004</v>
          </cell>
          <cell r="G162">
            <v>4609.1366418712996</v>
          </cell>
          <cell r="H162">
            <v>4679.27881982897</v>
          </cell>
        </row>
        <row r="163">
          <cell r="B163" t="str">
            <v>CO2_I</v>
          </cell>
          <cell r="C163" t="str">
            <v>VAR_fout</v>
          </cell>
          <cell r="D163" t="str">
            <v>ITOT-CHPNGA</v>
          </cell>
          <cell r="E163">
            <v>108.17302359460299</v>
          </cell>
          <cell r="F163">
            <v>26.565973380236301</v>
          </cell>
          <cell r="G163">
            <v>151.773640754973</v>
          </cell>
          <cell r="H163">
            <v>221.83779022111</v>
          </cell>
        </row>
        <row r="164">
          <cell r="B164" t="str">
            <v>CO2_I</v>
          </cell>
          <cell r="C164" t="str">
            <v>VAR_fout</v>
          </cell>
          <cell r="D164" t="str">
            <v>ITOT-SWHNGABR</v>
          </cell>
          <cell r="E164">
            <v>2005.1531709353901</v>
          </cell>
          <cell r="F164">
            <v>1815.82339148046</v>
          </cell>
          <cell r="G164">
            <v>1896.59966103585</v>
          </cell>
          <cell r="H164">
            <v>1747.9121084399501</v>
          </cell>
        </row>
        <row r="165">
          <cell r="B165" t="str">
            <v>CO2_I</v>
          </cell>
          <cell r="C165" t="str">
            <v>VAR_fout</v>
          </cell>
          <cell r="D165" t="str">
            <v>ITOT-SWHLFOBR</v>
          </cell>
          <cell r="E165">
            <v>655.76859775406695</v>
          </cell>
          <cell r="F165">
            <v>597.33696360137799</v>
          </cell>
          <cell r="G165">
            <v>608.51944146685298</v>
          </cell>
          <cell r="H165">
            <v>495.46481946979497</v>
          </cell>
        </row>
        <row r="166">
          <cell r="B166" t="str">
            <v>CO2_I</v>
          </cell>
          <cell r="C166" t="str">
            <v>VAR_fout</v>
          </cell>
          <cell r="D166" t="str">
            <v>ITOT-CHPNGACCS</v>
          </cell>
        </row>
        <row r="167">
          <cell r="B167" t="str">
            <v>CO2_I</v>
          </cell>
          <cell r="C167" t="str">
            <v>VAR_fout</v>
          </cell>
          <cell r="D167" t="str">
            <v>ITOT-CHPGFC</v>
          </cell>
          <cell r="H167">
            <v>3.3838069956065801E-2</v>
          </cell>
        </row>
        <row r="168">
          <cell r="B168" t="str">
            <v>CO2_I</v>
          </cell>
          <cell r="C168" t="str">
            <v>VAR_fout</v>
          </cell>
          <cell r="D168" t="str">
            <v>ITOT-SWHCOABR</v>
          </cell>
          <cell r="E168">
            <v>330.012413478773</v>
          </cell>
          <cell r="F168">
            <v>321.17930441244499</v>
          </cell>
          <cell r="G168">
            <v>309.64828960834097</v>
          </cell>
          <cell r="H168">
            <v>2.1959422673721099E-2</v>
          </cell>
        </row>
        <row r="169">
          <cell r="B169" t="str">
            <v>CO2_I</v>
          </cell>
          <cell r="C169" t="str">
            <v>VAR_fout</v>
          </cell>
          <cell r="D169" t="str">
            <v>ITOT-CHPOIL</v>
          </cell>
          <cell r="E169">
            <v>21.539478541644101</v>
          </cell>
          <cell r="F169">
            <v>51.224251441222599</v>
          </cell>
          <cell r="G169">
            <v>2.8874611387739901</v>
          </cell>
          <cell r="H169">
            <v>47.9013170350648</v>
          </cell>
        </row>
        <row r="170">
          <cell r="B170" t="str">
            <v>CO2_I</v>
          </cell>
          <cell r="C170" t="str">
            <v>VAR_fout</v>
          </cell>
          <cell r="D170" t="str">
            <v>ITOT-SWHWSTBR</v>
          </cell>
          <cell r="E170">
            <v>723.65862774980997</v>
          </cell>
          <cell r="F170">
            <v>749.83797818393305</v>
          </cell>
          <cell r="G170">
            <v>1024.20130492061</v>
          </cell>
          <cell r="H170">
            <v>1012.80484850299</v>
          </cell>
        </row>
        <row r="171">
          <cell r="B171" t="str">
            <v>CO2_I</v>
          </cell>
          <cell r="C171" t="str">
            <v>VAR_fout</v>
          </cell>
          <cell r="D171" t="str">
            <v>ITOT-SWHNGAHP</v>
          </cell>
          <cell r="G171">
            <v>0.79052930679071198</v>
          </cell>
          <cell r="H171">
            <v>0.799021764792891</v>
          </cell>
        </row>
        <row r="172">
          <cell r="B172" t="str">
            <v>CO2_I</v>
          </cell>
          <cell r="C172" t="str">
            <v>VAR_fout</v>
          </cell>
          <cell r="D172" t="str">
            <v>ITOT-CHPWST</v>
          </cell>
          <cell r="E172">
            <v>344.47015461566298</v>
          </cell>
          <cell r="F172">
            <v>344.64526755139298</v>
          </cell>
          <cell r="G172">
            <v>0.44307889057025202</v>
          </cell>
          <cell r="H172">
            <v>0.39521098769539098</v>
          </cell>
        </row>
        <row r="173">
          <cell r="B173" t="str">
            <v>CO2_I</v>
          </cell>
          <cell r="C173" t="str">
            <v>VAR_fout</v>
          </cell>
          <cell r="D173" t="str">
            <v>ITOT-SWHHFOBR</v>
          </cell>
          <cell r="E173">
            <v>210.21033148103299</v>
          </cell>
          <cell r="F173">
            <v>209.304537435676</v>
          </cell>
          <cell r="G173">
            <v>8.9904574874674903E-2</v>
          </cell>
          <cell r="H173">
            <v>1.6448008144352402E-2</v>
          </cell>
        </row>
        <row r="174">
          <cell r="B174" t="str">
            <v>CO2_I</v>
          </cell>
          <cell r="C174" t="str">
            <v>VAR_comnet</v>
          </cell>
          <cell r="D174" t="str">
            <v>-</v>
          </cell>
          <cell r="E174">
            <v>4398.9857981509804</v>
          </cell>
          <cell r="F174">
            <v>4115.9176674867404</v>
          </cell>
          <cell r="G174">
            <v>3994.9533116976399</v>
          </cell>
          <cell r="H174">
            <v>3527.1873619221701</v>
          </cell>
        </row>
        <row r="175">
          <cell r="B175"/>
          <cell r="C175"/>
          <cell r="D175"/>
        </row>
        <row r="176">
          <cell r="B176"/>
          <cell r="C176"/>
          <cell r="D176"/>
        </row>
        <row r="177">
          <cell r="B177"/>
          <cell r="C177"/>
          <cell r="D177"/>
        </row>
        <row r="178">
          <cell r="B178"/>
          <cell r="C178"/>
          <cell r="D178"/>
        </row>
        <row r="179">
          <cell r="B179"/>
          <cell r="C179"/>
          <cell r="D179"/>
        </row>
        <row r="180">
          <cell r="B180"/>
          <cell r="C180"/>
          <cell r="D180"/>
        </row>
        <row r="181">
          <cell r="B181"/>
          <cell r="C181"/>
          <cell r="D181"/>
        </row>
        <row r="182">
          <cell r="B182"/>
          <cell r="C182"/>
          <cell r="D182"/>
        </row>
        <row r="183">
          <cell r="B183"/>
          <cell r="C183"/>
          <cell r="D183"/>
        </row>
        <row r="184">
          <cell r="B184"/>
          <cell r="C184"/>
          <cell r="D184"/>
        </row>
        <row r="185">
          <cell r="B185"/>
          <cell r="C185"/>
          <cell r="D185"/>
        </row>
        <row r="186">
          <cell r="B186"/>
          <cell r="C186"/>
          <cell r="D186"/>
        </row>
        <row r="187">
          <cell r="B187"/>
          <cell r="C187"/>
          <cell r="D187"/>
        </row>
        <row r="188">
          <cell r="B188"/>
          <cell r="C188"/>
          <cell r="D188"/>
        </row>
        <row r="189">
          <cell r="B189"/>
          <cell r="C189"/>
          <cell r="D189"/>
        </row>
        <row r="190">
          <cell r="B190"/>
          <cell r="C190"/>
          <cell r="D190"/>
        </row>
        <row r="191">
          <cell r="B191"/>
          <cell r="C191"/>
          <cell r="D191"/>
        </row>
        <row r="192">
          <cell r="B192"/>
          <cell r="C192"/>
          <cell r="D192"/>
        </row>
        <row r="193">
          <cell r="B193"/>
          <cell r="C193"/>
          <cell r="D193"/>
        </row>
        <row r="194">
          <cell r="B194"/>
          <cell r="C194"/>
          <cell r="D194"/>
        </row>
        <row r="195">
          <cell r="B195"/>
          <cell r="C195"/>
          <cell r="D195"/>
        </row>
        <row r="196">
          <cell r="B196"/>
          <cell r="C196"/>
          <cell r="D196"/>
        </row>
        <row r="197">
          <cell r="B197"/>
          <cell r="C197"/>
          <cell r="D197"/>
        </row>
        <row r="198">
          <cell r="B198"/>
          <cell r="C198"/>
          <cell r="D198"/>
        </row>
        <row r="199">
          <cell r="B199"/>
          <cell r="C199"/>
          <cell r="D199"/>
        </row>
        <row r="200">
          <cell r="B200"/>
          <cell r="C200"/>
          <cell r="D200"/>
        </row>
        <row r="201">
          <cell r="B201"/>
          <cell r="C201"/>
          <cell r="D201"/>
        </row>
        <row r="202">
          <cell r="B202"/>
          <cell r="C202"/>
          <cell r="D202"/>
        </row>
        <row r="203">
          <cell r="B203"/>
          <cell r="C203"/>
          <cell r="D203"/>
        </row>
        <row r="204">
          <cell r="B204"/>
          <cell r="C204"/>
          <cell r="D204"/>
        </row>
        <row r="205">
          <cell r="B205"/>
          <cell r="C205"/>
          <cell r="D205"/>
        </row>
        <row r="206">
          <cell r="B206"/>
          <cell r="C206"/>
          <cell r="D206"/>
        </row>
        <row r="207">
          <cell r="B207"/>
          <cell r="C207"/>
          <cell r="D207"/>
        </row>
        <row r="208">
          <cell r="B208"/>
          <cell r="C208"/>
          <cell r="D208"/>
        </row>
        <row r="209">
          <cell r="B209"/>
          <cell r="C209"/>
          <cell r="D209"/>
        </row>
        <row r="210">
          <cell r="B210"/>
          <cell r="C210"/>
          <cell r="D210"/>
        </row>
        <row r="211">
          <cell r="B211"/>
          <cell r="C211"/>
          <cell r="D211"/>
        </row>
        <row r="212">
          <cell r="B212"/>
          <cell r="C212"/>
          <cell r="D212"/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H4">
            <v>1.02317145800669E-7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H6">
            <v>1.0048021945320599E-6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H7">
            <v>2.47139804778945E-7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E8">
            <v>3.00949499088119E-7</v>
          </cell>
          <cell r="F8">
            <v>1.02555734195434E-7</v>
          </cell>
          <cell r="G8">
            <v>1.2938045110089201E-7</v>
          </cell>
          <cell r="H8">
            <v>1.7598270911190499E-7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E10">
            <v>4.0965783086815101E-3</v>
          </cell>
          <cell r="F10">
            <v>2.2999708816926201E-2</v>
          </cell>
          <cell r="G10">
            <v>1.5629909226362601E-7</v>
          </cell>
          <cell r="H10">
            <v>7.2849331956473196E-2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E11">
            <v>8.4803049144543103E-8</v>
          </cell>
          <cell r="F11">
            <v>8.9946732734753501E-8</v>
          </cell>
          <cell r="G11">
            <v>1.0860332004275E-7</v>
          </cell>
          <cell r="H11">
            <v>1.3394242608416999E-7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E12">
            <v>1.43337840048123E-2</v>
          </cell>
          <cell r="F12">
            <v>9.6981817579711901E-2</v>
          </cell>
          <cell r="G12">
            <v>9.66995290516673E-8</v>
          </cell>
          <cell r="H12">
            <v>4.42755026305989E-7</v>
          </cell>
        </row>
        <row r="13">
          <cell r="A13" t="str">
            <v>-</v>
          </cell>
          <cell r="B13" t="str">
            <v>VAR_ncap</v>
          </cell>
          <cell r="C13" t="str">
            <v>ESOL-PV_A</v>
          </cell>
          <cell r="G13">
            <v>7.5740780559487603E-2</v>
          </cell>
          <cell r="H13">
            <v>6.6973222037978099E-7</v>
          </cell>
        </row>
        <row r="14">
          <cell r="A14" t="str">
            <v>-</v>
          </cell>
          <cell r="B14" t="str">
            <v>VAR_ncap</v>
          </cell>
          <cell r="C14" t="str">
            <v>D-TNGA</v>
          </cell>
          <cell r="E14">
            <v>5.2509822322094497E-8</v>
          </cell>
          <cell r="F14">
            <v>1.9161737511842199E-8</v>
          </cell>
          <cell r="G14">
            <v>2.1042827657592599E-8</v>
          </cell>
          <cell r="H14">
            <v>2.19448041719882E-8</v>
          </cell>
        </row>
        <row r="15">
          <cell r="A15" t="str">
            <v>-</v>
          </cell>
          <cell r="B15" t="str">
            <v>VAR_ncap</v>
          </cell>
          <cell r="C15" t="str">
            <v>SUP_ELCH2_D</v>
          </cell>
          <cell r="H15">
            <v>2.2215685835841602E-6</v>
          </cell>
        </row>
        <row r="16">
          <cell r="A16" t="str">
            <v>-</v>
          </cell>
          <cell r="B16" t="str">
            <v>VAR_ncap</v>
          </cell>
          <cell r="C16" t="str">
            <v>SUP_H2GSL</v>
          </cell>
          <cell r="H16">
            <v>1.7441374784926599E-7</v>
          </cell>
        </row>
        <row r="17">
          <cell r="A17" t="str">
            <v>-</v>
          </cell>
          <cell r="B17" t="str">
            <v>VAR_ncap</v>
          </cell>
          <cell r="C17" t="str">
            <v>ESOL-PV_E</v>
          </cell>
          <cell r="H17">
            <v>2.5305034974046899E-6</v>
          </cell>
        </row>
        <row r="18">
          <cell r="A18" t="str">
            <v>-</v>
          </cell>
          <cell r="B18" t="str">
            <v>VAR_ncap</v>
          </cell>
          <cell r="C18" t="str">
            <v>D-SNGA</v>
          </cell>
          <cell r="E18">
            <v>7.3970535087961806E-8</v>
          </cell>
          <cell r="F18">
            <v>2.9019836902292399E-8</v>
          </cell>
          <cell r="G18">
            <v>3.4887330160566701E-8</v>
          </cell>
          <cell r="H18">
            <v>4.0834057865580099E-8</v>
          </cell>
        </row>
        <row r="19">
          <cell r="A19" t="str">
            <v>-</v>
          </cell>
          <cell r="B19" t="str">
            <v>VAR_ncap</v>
          </cell>
          <cell r="C19" t="str">
            <v>SUP_MNRBIO</v>
          </cell>
          <cell r="E19">
            <v>4.9292721705983103E-2</v>
          </cell>
          <cell r="F19">
            <v>0.107604727808033</v>
          </cell>
          <cell r="G19">
            <v>5.5005056520254598E-3</v>
          </cell>
          <cell r="H19">
            <v>1.4650348209991701E-6</v>
          </cell>
        </row>
        <row r="20">
          <cell r="A20" t="str">
            <v>-</v>
          </cell>
          <cell r="B20" t="str">
            <v>VAR_ncap</v>
          </cell>
          <cell r="C20" t="str">
            <v>D-RNGA</v>
          </cell>
          <cell r="E20">
            <v>3.5259530789771497E-8</v>
          </cell>
          <cell r="F20">
            <v>1.86958403953388E-8</v>
          </cell>
          <cell r="G20">
            <v>2.39019882737386E-8</v>
          </cell>
          <cell r="H20">
            <v>2.3304964486187301E-8</v>
          </cell>
        </row>
        <row r="21">
          <cell r="A21" t="str">
            <v>-</v>
          </cell>
          <cell r="B21" t="str">
            <v>VAR_ncap</v>
          </cell>
          <cell r="C21" t="str">
            <v>SUP_WODBIO</v>
          </cell>
          <cell r="E21">
            <v>1.6515617230208301E-7</v>
          </cell>
          <cell r="F21">
            <v>7.71765422465545E-6</v>
          </cell>
          <cell r="G21">
            <v>3.9428735470364901E-7</v>
          </cell>
          <cell r="H21">
            <v>6.9886470906497696E-8</v>
          </cell>
        </row>
        <row r="22">
          <cell r="A22" t="str">
            <v>-</v>
          </cell>
          <cell r="B22" t="str">
            <v>VAR_ncap</v>
          </cell>
          <cell r="C22" t="str">
            <v>SUP_ELCH2_SOEC</v>
          </cell>
        </row>
        <row r="23">
          <cell r="A23" t="str">
            <v>-</v>
          </cell>
          <cell r="B23" t="str">
            <v>VAR_ncap</v>
          </cell>
          <cell r="C23" t="str">
            <v>SUP_ELCH2</v>
          </cell>
          <cell r="E23">
            <v>1.5806548997101099E-4</v>
          </cell>
          <cell r="F23">
            <v>7.1831152273802197E-7</v>
          </cell>
          <cell r="G23">
            <v>1.61230490527306E-6</v>
          </cell>
          <cell r="H23">
            <v>2.3316023824777299E-4</v>
          </cell>
        </row>
        <row r="24">
          <cell r="A24" t="str">
            <v>-</v>
          </cell>
          <cell r="B24" t="str">
            <v>VAR_ncap</v>
          </cell>
          <cell r="C24" t="str">
            <v>CT_CWODBDS</v>
          </cell>
          <cell r="E24">
            <v>1.09919795965141E-7</v>
          </cell>
          <cell r="F24">
            <v>1.21079487461607E-7</v>
          </cell>
          <cell r="G24">
            <v>1.15720917114841E-5</v>
          </cell>
          <cell r="H24">
            <v>3.6016592608504697E-8</v>
          </cell>
        </row>
        <row r="25">
          <cell r="A25" t="str">
            <v>-</v>
          </cell>
          <cell r="B25" t="str">
            <v>VAR_ncap</v>
          </cell>
          <cell r="C25" t="str">
            <v>CT_CWODPLT</v>
          </cell>
          <cell r="E25">
            <v>0.15270062878561799</v>
          </cell>
          <cell r="F25">
            <v>5.4950146139535999E-2</v>
          </cell>
          <cell r="G25">
            <v>2.0969717589215799E-7</v>
          </cell>
          <cell r="H25">
            <v>2.8390946147404899E-7</v>
          </cell>
        </row>
        <row r="26">
          <cell r="A26" t="str">
            <v>-</v>
          </cell>
          <cell r="B26" t="str">
            <v>VAR_ncap</v>
          </cell>
          <cell r="C26" t="str">
            <v>D-DH2</v>
          </cell>
          <cell r="H26">
            <v>1.10415325401401E-5</v>
          </cell>
        </row>
        <row r="27">
          <cell r="A27" t="str">
            <v>-</v>
          </cell>
          <cell r="B27" t="str">
            <v>VAR_ncap</v>
          </cell>
          <cell r="C27" t="str">
            <v>CT_CWODETH</v>
          </cell>
          <cell r="E27">
            <v>6.53762456183126E-3</v>
          </cell>
          <cell r="F27">
            <v>6.4907900130055698E-8</v>
          </cell>
          <cell r="G27">
            <v>1.44811632748583E-7</v>
          </cell>
          <cell r="H27">
            <v>4.8667953545739997E-8</v>
          </cell>
        </row>
        <row r="28">
          <cell r="A28" t="str">
            <v>-</v>
          </cell>
          <cell r="B28" t="str">
            <v>VAR_ncap</v>
          </cell>
          <cell r="C28" t="str">
            <v>D-INGA</v>
          </cell>
          <cell r="E28">
            <v>1.19799952748988E-7</v>
          </cell>
          <cell r="F28">
            <v>8.1807591519007195E-8</v>
          </cell>
          <cell r="G28">
            <v>9.5191238806530596E-8</v>
          </cell>
          <cell r="H28">
            <v>1.11872064592827E-7</v>
          </cell>
        </row>
        <row r="29">
          <cell r="A29" t="str">
            <v>-</v>
          </cell>
          <cell r="B29" t="str">
            <v>VAR_ncap</v>
          </cell>
          <cell r="C29" t="str">
            <v>SUP_H2DSL</v>
          </cell>
          <cell r="H29">
            <v>1.39743624246969E-7</v>
          </cell>
        </row>
        <row r="30">
          <cell r="A30" t="str">
            <v>-</v>
          </cell>
          <cell r="B30" t="str">
            <v>VAR_cap</v>
          </cell>
          <cell r="C30" t="str">
            <v>SUP_NGAH2</v>
          </cell>
          <cell r="H30">
            <v>1.02317145800669E-7</v>
          </cell>
        </row>
        <row r="31">
          <cell r="A31" t="str">
            <v>-</v>
          </cell>
          <cell r="B31" t="str">
            <v>VAR_cap</v>
          </cell>
          <cell r="C31" t="str">
            <v>SUP_WSTHTGBIO</v>
          </cell>
        </row>
        <row r="32">
          <cell r="A32" t="str">
            <v>-</v>
          </cell>
          <cell r="B32" t="str">
            <v>VAR_cap</v>
          </cell>
          <cell r="C32" t="str">
            <v>STG-H2</v>
          </cell>
          <cell r="H32">
            <v>1.0048021945320599E-6</v>
          </cell>
        </row>
        <row r="33">
          <cell r="A33" t="str">
            <v>-</v>
          </cell>
          <cell r="B33" t="str">
            <v>VAR_cap</v>
          </cell>
          <cell r="C33" t="str">
            <v>SUP_H2NGA</v>
          </cell>
          <cell r="H33">
            <v>2.47139804778945E-7</v>
          </cell>
        </row>
        <row r="34">
          <cell r="A34" t="str">
            <v>-</v>
          </cell>
          <cell r="B34" t="str">
            <v>VAR_cap</v>
          </cell>
          <cell r="C34" t="str">
            <v>D-ENGA</v>
          </cell>
          <cell r="E34">
            <v>1.0275122954904792</v>
          </cell>
          <cell r="F34">
            <v>1.0275123980462133</v>
          </cell>
          <cell r="G34">
            <v>1.0275125274266645</v>
          </cell>
          <cell r="H34">
            <v>1.0275127034093736</v>
          </cell>
        </row>
        <row r="35">
          <cell r="A35" t="str">
            <v>-</v>
          </cell>
          <cell r="B35" t="str">
            <v>VAR_cap</v>
          </cell>
          <cell r="C35" t="str">
            <v>D-CHEAT</v>
          </cell>
        </row>
        <row r="36">
          <cell r="A36" t="str">
            <v>-</v>
          </cell>
          <cell r="B36" t="str">
            <v>VAR_cap</v>
          </cell>
          <cell r="C36" t="str">
            <v>SUP_WSTBIO</v>
          </cell>
          <cell r="E36">
            <v>0.21266698410449497</v>
          </cell>
          <cell r="F36">
            <v>0.23566663943184035</v>
          </cell>
          <cell r="G36">
            <v>0.23566563443243968</v>
          </cell>
          <cell r="H36">
            <v>0.23493092197010979</v>
          </cell>
        </row>
        <row r="37">
          <cell r="A37" t="str">
            <v>-</v>
          </cell>
          <cell r="B37" t="str">
            <v>VAR_cap</v>
          </cell>
          <cell r="C37" t="str">
            <v>D-CNGA</v>
          </cell>
          <cell r="E37">
            <v>8.4803049144543103E-8</v>
          </cell>
          <cell r="F37">
            <v>1.7474978187929699E-7</v>
          </cell>
          <cell r="G37">
            <v>2.8335310192204701E-7</v>
          </cell>
          <cell r="H37">
            <v>4.17295528006217E-7</v>
          </cell>
        </row>
        <row r="38">
          <cell r="A38" t="str">
            <v>-</v>
          </cell>
          <cell r="B38" t="str">
            <v>VAR_cap</v>
          </cell>
          <cell r="C38" t="str">
            <v>SUP_BIONGA</v>
          </cell>
          <cell r="E38">
            <v>4.2352076827635025E-2</v>
          </cell>
          <cell r="F38">
            <v>0.13933393409159084</v>
          </cell>
          <cell r="G38">
            <v>0.13933287326057262</v>
          </cell>
          <cell r="H38">
            <v>0.13447909596238639</v>
          </cell>
        </row>
        <row r="39">
          <cell r="A39" t="str">
            <v>-</v>
          </cell>
          <cell r="B39" t="str">
            <v>VAR_cap</v>
          </cell>
          <cell r="C39" t="str">
            <v>ESOL-PV_A</v>
          </cell>
          <cell r="H39">
            <v>5.2749051384562602E-2</v>
          </cell>
        </row>
        <row r="40">
          <cell r="A40" t="str">
            <v>-</v>
          </cell>
          <cell r="B40" t="str">
            <v>VAR_cap</v>
          </cell>
          <cell r="C40" t="str">
            <v>D-TNGA</v>
          </cell>
          <cell r="E40">
            <v>0.95961774559146629</v>
          </cell>
          <cell r="F40">
            <v>0.95961776475320382</v>
          </cell>
          <cell r="G40">
            <v>0.95961778579603152</v>
          </cell>
          <cell r="H40">
            <v>0.95961780774083572</v>
          </cell>
        </row>
        <row r="41">
          <cell r="A41" t="str">
            <v>-</v>
          </cell>
          <cell r="B41" t="str">
            <v>VAR_cap</v>
          </cell>
          <cell r="C41" t="str">
            <v>SUP_ELCH2_D</v>
          </cell>
          <cell r="H41">
            <v>2.2215685835841602E-6</v>
          </cell>
        </row>
        <row r="42">
          <cell r="A42" t="str">
            <v>-</v>
          </cell>
          <cell r="B42" t="str">
            <v>VAR_cap</v>
          </cell>
          <cell r="C42" t="str">
            <v>SUP_H2GSL</v>
          </cell>
          <cell r="H42">
            <v>1.7441374784926599E-7</v>
          </cell>
        </row>
        <row r="43">
          <cell r="A43" t="str">
            <v>-</v>
          </cell>
          <cell r="B43" t="str">
            <v>VAR_cap</v>
          </cell>
          <cell r="C43" t="str">
            <v>ESOL-PV_E</v>
          </cell>
          <cell r="H43">
            <v>2.5305034974046899E-6</v>
          </cell>
        </row>
        <row r="44">
          <cell r="A44" t="str">
            <v>-</v>
          </cell>
          <cell r="B44" t="str">
            <v>VAR_cap</v>
          </cell>
          <cell r="C44" t="str">
            <v>D-SNGA</v>
          </cell>
          <cell r="E44">
            <v>2.2350522755956752</v>
          </cell>
          <cell r="F44">
            <v>2.235052304615512</v>
          </cell>
          <cell r="G44">
            <v>2.2350523395028423</v>
          </cell>
          <cell r="H44">
            <v>2.2350523803369002</v>
          </cell>
        </row>
        <row r="45">
          <cell r="A45" t="str">
            <v>-</v>
          </cell>
          <cell r="B45" t="str">
            <v>VAR_cap</v>
          </cell>
          <cell r="C45" t="str">
            <v>SUP_MNRBIO</v>
          </cell>
          <cell r="E45">
            <v>4.9292721705983103E-2</v>
          </cell>
          <cell r="F45">
            <v>0.1568973617117721</v>
          </cell>
          <cell r="G45">
            <v>0.16239771527616775</v>
          </cell>
          <cell r="H45">
            <v>0.16239895810788377</v>
          </cell>
        </row>
        <row r="46">
          <cell r="A46" t="str">
            <v>-</v>
          </cell>
          <cell r="B46" t="str">
            <v>VAR_cap</v>
          </cell>
          <cell r="C46" t="str">
            <v>D-RNGA</v>
          </cell>
          <cell r="E46">
            <v>3.0972400426554509</v>
          </cell>
          <cell r="F46">
            <v>3.0972400613512914</v>
          </cell>
          <cell r="G46">
            <v>3.0972400852532798</v>
          </cell>
          <cell r="H46">
            <v>3.0972401085582439</v>
          </cell>
        </row>
        <row r="47">
          <cell r="A47" t="str">
            <v>-</v>
          </cell>
          <cell r="B47" t="str">
            <v>VAR_cap</v>
          </cell>
          <cell r="C47" t="str">
            <v>SUP_WODBIO</v>
          </cell>
          <cell r="E47">
            <v>1.6515617230208301E-7</v>
          </cell>
          <cell r="F47">
            <v>7.8620719559958749E-6</v>
          </cell>
          <cell r="G47">
            <v>8.2172281192520185E-6</v>
          </cell>
          <cell r="H47">
            <v>8.2274337796552596E-6</v>
          </cell>
        </row>
        <row r="48">
          <cell r="A48" t="str">
            <v>-</v>
          </cell>
          <cell r="B48" t="str">
            <v>VAR_cap</v>
          </cell>
          <cell r="C48" t="str">
            <v>SUP_ELCH2_SOEC</v>
          </cell>
        </row>
        <row r="49">
          <cell r="A49" t="str">
            <v>-</v>
          </cell>
          <cell r="B49" t="str">
            <v>VAR_cap</v>
          </cell>
          <cell r="C49" t="str">
            <v>SUP_ELCH2</v>
          </cell>
          <cell r="E49">
            <v>1.5806548997101099E-4</v>
          </cell>
          <cell r="F49">
            <v>1.5872155008966548E-4</v>
          </cell>
          <cell r="G49">
            <v>1.6022122984022061E-4</v>
          </cell>
          <cell r="H49">
            <v>3.9322020502506692E-4</v>
          </cell>
        </row>
        <row r="50">
          <cell r="A50" t="str">
            <v>-</v>
          </cell>
          <cell r="B50" t="str">
            <v>VAR_cap</v>
          </cell>
          <cell r="C50" t="str">
            <v>CT_CWODBDS</v>
          </cell>
          <cell r="E50">
            <v>6.2412360827987817E-2</v>
          </cell>
          <cell r="F50">
            <v>6.2412466331608733E-2</v>
          </cell>
          <cell r="G50">
            <v>6.2424026286440948E-2</v>
          </cell>
          <cell r="H50">
            <v>1.4085897002517889E-5</v>
          </cell>
        </row>
        <row r="51">
          <cell r="A51" t="str">
            <v>-</v>
          </cell>
          <cell r="B51" t="str">
            <v>VAR_cap</v>
          </cell>
          <cell r="C51" t="str">
            <v>CT_CWODPLT</v>
          </cell>
          <cell r="E51">
            <v>0.35499975552912671</v>
          </cell>
          <cell r="F51">
            <v>0.40994991267417558</v>
          </cell>
          <cell r="G51">
            <v>0.16920267406230699</v>
          </cell>
          <cell r="H51">
            <v>0.16919959716947897</v>
          </cell>
        </row>
        <row r="52">
          <cell r="A52" t="str">
            <v>-</v>
          </cell>
          <cell r="B52" t="str">
            <v>VAR_cap</v>
          </cell>
          <cell r="C52" t="str">
            <v>D-DH2</v>
          </cell>
          <cell r="H52">
            <v>1.10415325401401E-5</v>
          </cell>
        </row>
        <row r="53">
          <cell r="A53" t="str">
            <v>-</v>
          </cell>
          <cell r="B53" t="str">
            <v>VAR_cap</v>
          </cell>
          <cell r="C53" t="str">
            <v>CT_CWODETH</v>
          </cell>
          <cell r="E53">
            <v>8.5749600343982199E-3</v>
          </cell>
          <cell r="F53">
            <v>8.5749329210816159E-3</v>
          </cell>
          <cell r="G53">
            <v>8.5750499983268703E-3</v>
          </cell>
          <cell r="H53">
            <v>1.0005956951480294E-5</v>
          </cell>
        </row>
        <row r="54">
          <cell r="A54" t="str">
            <v>-</v>
          </cell>
          <cell r="B54" t="str">
            <v>VAR_cap</v>
          </cell>
          <cell r="C54" t="str">
            <v>D-INGA</v>
          </cell>
          <cell r="E54">
            <v>1.9844834900660528</v>
          </cell>
          <cell r="F54">
            <v>1.9844835718736442</v>
          </cell>
          <cell r="G54">
            <v>1.9844836670648831</v>
          </cell>
          <cell r="H54">
            <v>1.9844837789369476</v>
          </cell>
        </row>
        <row r="55">
          <cell r="A55" t="str">
            <v>-</v>
          </cell>
          <cell r="B55" t="str">
            <v>VAR_cap</v>
          </cell>
          <cell r="C55" t="str">
            <v>SUP_H2DSL</v>
          </cell>
          <cell r="H55">
            <v>1.39743624246969E-7</v>
          </cell>
        </row>
        <row r="56">
          <cell r="A56" t="str">
            <v>ELC35</v>
          </cell>
          <cell r="B56" t="str">
            <v>VAR_fout</v>
          </cell>
          <cell r="C56" t="str">
            <v>SUP_WSTBIO</v>
          </cell>
          <cell r="E56">
            <v>0.11258825959024969</v>
          </cell>
          <cell r="F56">
            <v>0.1247646776139875</v>
          </cell>
          <cell r="G56">
            <v>0.12058095882365599</v>
          </cell>
          <cell r="H56">
            <v>0.12437518544043411</v>
          </cell>
        </row>
        <row r="57">
          <cell r="A57" t="str">
            <v>ELC35</v>
          </cell>
          <cell r="B57" t="str">
            <v>VAR_fout</v>
          </cell>
          <cell r="C57" t="str">
            <v>ESOL-PV_A</v>
          </cell>
          <cell r="H57">
            <v>0.34128036963513902</v>
          </cell>
        </row>
        <row r="58">
          <cell r="A58" t="str">
            <v>ELC35</v>
          </cell>
          <cell r="B58" t="str">
            <v>VAR_fout</v>
          </cell>
          <cell r="C58" t="str">
            <v>SUP_WODBIO</v>
          </cell>
          <cell r="G58">
            <v>1.4339096448499721E-6</v>
          </cell>
          <cell r="H58">
            <v>1.7068374573268985E-6</v>
          </cell>
        </row>
        <row r="59">
          <cell r="A59" t="str">
            <v>ELC35</v>
          </cell>
          <cell r="B59" t="str">
            <v>VAR_fin</v>
          </cell>
          <cell r="C59" t="str">
            <v>D-CELC</v>
          </cell>
          <cell r="E59">
            <v>0.42552483871424729</v>
          </cell>
          <cell r="F59">
            <v>4.8055462508963732E-2</v>
          </cell>
          <cell r="G59">
            <v>0.46430835455828051</v>
          </cell>
          <cell r="H59">
            <v>3.5865585028283936E-3</v>
          </cell>
        </row>
        <row r="60">
          <cell r="A60" t="str">
            <v>SCH2S</v>
          </cell>
          <cell r="B60" t="str">
            <v>VAR_fin</v>
          </cell>
          <cell r="C60" t="str">
            <v>SUP_NGAH2</v>
          </cell>
        </row>
        <row r="61">
          <cell r="A61" t="str">
            <v>CWST</v>
          </cell>
          <cell r="B61" t="str">
            <v>VAR_fout</v>
          </cell>
          <cell r="C61" t="str">
            <v>D-CWST</v>
          </cell>
          <cell r="E61">
            <v>9.679373517344608</v>
          </cell>
          <cell r="F61">
            <v>10.726197569728241</v>
          </cell>
          <cell r="G61">
            <v>10.366517288582315</v>
          </cell>
          <cell r="H61">
            <v>10.692712371150463</v>
          </cell>
        </row>
        <row r="62">
          <cell r="A62" t="str">
            <v>CWST</v>
          </cell>
          <cell r="B62" t="str">
            <v>VAR_fin</v>
          </cell>
          <cell r="C62" t="str">
            <v>SUP_WSTHTGBIO</v>
          </cell>
        </row>
        <row r="63">
          <cell r="A63" t="str">
            <v>CWST</v>
          </cell>
          <cell r="B63" t="str">
            <v>VAR_fin</v>
          </cell>
          <cell r="C63" t="str">
            <v>SUP_WSTBIO</v>
          </cell>
          <cell r="E63">
            <v>9.679373517344608</v>
          </cell>
          <cell r="F63">
            <v>10.726197569728241</v>
          </cell>
          <cell r="G63">
            <v>10.366517288582315</v>
          </cell>
          <cell r="H63">
            <v>10.692712371150463</v>
          </cell>
        </row>
        <row r="64">
          <cell r="A64" t="str">
            <v>NGA</v>
          </cell>
          <cell r="B64" t="str">
            <v>VAR_fout</v>
          </cell>
          <cell r="C64" t="str">
            <v>D-LNGA</v>
          </cell>
          <cell r="H64">
            <v>2.3621859652156956E-4</v>
          </cell>
        </row>
        <row r="65">
          <cell r="A65" t="str">
            <v>NGA</v>
          </cell>
          <cell r="B65" t="str">
            <v>VAR_fin</v>
          </cell>
          <cell r="C65" t="str">
            <v>D-ENGA</v>
          </cell>
          <cell r="E65">
            <v>5.5118135548035685</v>
          </cell>
          <cell r="F65">
            <v>1.7216153619344874</v>
          </cell>
          <cell r="G65">
            <v>1.138654863766051</v>
          </cell>
          <cell r="H65">
            <v>2.9788998226417376</v>
          </cell>
        </row>
        <row r="66">
          <cell r="A66" t="str">
            <v>NGA</v>
          </cell>
          <cell r="B66" t="str">
            <v>VAR_fin</v>
          </cell>
          <cell r="C66" t="str">
            <v>D-TNGA</v>
          </cell>
          <cell r="E66">
            <v>0.28709266564538216</v>
          </cell>
          <cell r="F66">
            <v>0.14079082464344669</v>
          </cell>
          <cell r="G66">
            <v>0.20166931540215083</v>
          </cell>
          <cell r="H66">
            <v>6.3337346706575154E-3</v>
          </cell>
        </row>
        <row r="67">
          <cell r="A67" t="str">
            <v>NGA</v>
          </cell>
          <cell r="B67" t="str">
            <v>VAR_fin</v>
          </cell>
          <cell r="C67" t="str">
            <v>D-SNGA</v>
          </cell>
          <cell r="E67">
            <v>26.982811086897318</v>
          </cell>
          <cell r="F67">
            <v>26.686131952812307</v>
          </cell>
          <cell r="G67">
            <v>24.573203240972994</v>
          </cell>
          <cell r="H67">
            <v>22.755408357785878</v>
          </cell>
        </row>
        <row r="68">
          <cell r="A68" t="str">
            <v>NGA</v>
          </cell>
          <cell r="B68" t="str">
            <v>VAR_fin</v>
          </cell>
          <cell r="C68" t="str">
            <v>D-RNGA</v>
          </cell>
          <cell r="E68">
            <v>46.995096701609548</v>
          </cell>
          <cell r="F68">
            <v>45.400616132742293</v>
          </cell>
          <cell r="G68">
            <v>47.782308832628871</v>
          </cell>
          <cell r="H68">
            <v>43.703239012963891</v>
          </cell>
        </row>
        <row r="69">
          <cell r="A69" t="str">
            <v>NGA</v>
          </cell>
          <cell r="B69" t="str">
            <v>VAR_fin</v>
          </cell>
          <cell r="C69" t="str">
            <v>D-INGA</v>
          </cell>
          <cell r="E69">
            <v>37.261574142505708</v>
          </cell>
          <cell r="F69">
            <v>32.770817102636464</v>
          </cell>
          <cell r="G69">
            <v>33.461312296754379</v>
          </cell>
          <cell r="H69">
            <v>31.55318648697542</v>
          </cell>
        </row>
        <row r="70">
          <cell r="A70" t="str">
            <v>CO2</v>
          </cell>
          <cell r="B70" t="str">
            <v>VAR_fout</v>
          </cell>
          <cell r="C70" t="str">
            <v>D-ENGA</v>
          </cell>
          <cell r="E70">
            <v>310.86628449092098</v>
          </cell>
          <cell r="F70">
            <v>97.099106413104906</v>
          </cell>
          <cell r="G70">
            <v>64.220134316405293</v>
          </cell>
          <cell r="H70">
            <v>168.00994999699401</v>
          </cell>
        </row>
        <row r="71">
          <cell r="A71" t="str">
            <v>CO2</v>
          </cell>
          <cell r="B71" t="str">
            <v>VAR_fout</v>
          </cell>
          <cell r="C71" t="str">
            <v>D-ILFO</v>
          </cell>
          <cell r="E71">
            <v>688.81204010383703</v>
          </cell>
          <cell r="F71">
            <v>659.57576137618003</v>
          </cell>
          <cell r="G71">
            <v>621.78805166626796</v>
          </cell>
          <cell r="H71">
            <v>485.17533603775701</v>
          </cell>
        </row>
        <row r="72">
          <cell r="A72" t="str">
            <v>CO2</v>
          </cell>
          <cell r="B72" t="str">
            <v>VAR_fout</v>
          </cell>
          <cell r="C72" t="str">
            <v>D-TNGA</v>
          </cell>
          <cell r="E72">
            <v>16.1920263423996</v>
          </cell>
          <cell r="F72">
            <v>7.9406025098904003</v>
          </cell>
          <cell r="G72">
            <v>11.3741493886813</v>
          </cell>
          <cell r="H72">
            <v>0.35722263542508398</v>
          </cell>
        </row>
        <row r="73">
          <cell r="A73" t="str">
            <v>CO2</v>
          </cell>
          <cell r="B73" t="str">
            <v>VAR_fout</v>
          </cell>
          <cell r="C73" t="str">
            <v>D-SNGA</v>
          </cell>
          <cell r="E73">
            <v>1521.83054530101</v>
          </cell>
          <cell r="F73">
            <v>1505.0978421386101</v>
          </cell>
          <cell r="G73">
            <v>1385.92866279088</v>
          </cell>
          <cell r="H73">
            <v>1283.4050313791199</v>
          </cell>
        </row>
        <row r="74">
          <cell r="A74" t="str">
            <v>CO2</v>
          </cell>
          <cell r="B74" t="str">
            <v>VAR_fout</v>
          </cell>
          <cell r="C74" t="str">
            <v>D-RNGA</v>
          </cell>
          <cell r="E74">
            <v>2650.5234539707799</v>
          </cell>
          <cell r="F74">
            <v>2560.5947498866699</v>
          </cell>
          <cell r="G74">
            <v>2694.9222181602699</v>
          </cell>
          <cell r="H74">
            <v>2464.8626803311599</v>
          </cell>
        </row>
        <row r="75">
          <cell r="A75" t="str">
            <v>CO2</v>
          </cell>
          <cell r="B75" t="str">
            <v>VAR_fout</v>
          </cell>
          <cell r="C75" t="str">
            <v>D-SLFO</v>
          </cell>
          <cell r="E75">
            <v>2267.7886430973299</v>
          </cell>
          <cell r="F75">
            <v>1978.75493190877</v>
          </cell>
          <cell r="G75">
            <v>2028.0269831825201</v>
          </cell>
          <cell r="H75">
            <v>1465.8414138988501</v>
          </cell>
        </row>
        <row r="76">
          <cell r="A76" t="str">
            <v>CO2</v>
          </cell>
          <cell r="B76" t="str">
            <v>VAR_fout</v>
          </cell>
          <cell r="C76" t="str">
            <v>D-RLFO</v>
          </cell>
          <cell r="E76">
            <v>4514.4829169642198</v>
          </cell>
          <cell r="F76">
            <v>3846.5261273986298</v>
          </cell>
          <cell r="G76">
            <v>3821.8849419166399</v>
          </cell>
          <cell r="H76">
            <v>2498.3393055747301</v>
          </cell>
        </row>
        <row r="77">
          <cell r="A77" t="str">
            <v>CO2</v>
          </cell>
          <cell r="B77" t="str">
            <v>VAR_fout</v>
          </cell>
          <cell r="C77" t="str">
            <v>D-TGSL</v>
          </cell>
          <cell r="E77">
            <v>5943.7237556411001</v>
          </cell>
          <cell r="F77">
            <v>5512.9551094266999</v>
          </cell>
          <cell r="G77">
            <v>5244.1425032564202</v>
          </cell>
          <cell r="H77">
            <v>3161.8796341736702</v>
          </cell>
        </row>
        <row r="78">
          <cell r="A78" t="str">
            <v>CO2</v>
          </cell>
          <cell r="B78" t="str">
            <v>VAR_fout</v>
          </cell>
          <cell r="C78" t="str">
            <v>D-INGA</v>
          </cell>
          <cell r="E78">
            <v>2101.5527816373201</v>
          </cell>
          <cell r="F78">
            <v>1848.2740845886999</v>
          </cell>
          <cell r="G78">
            <v>1887.2180135369499</v>
          </cell>
          <cell r="H78">
            <v>1779.59971786542</v>
          </cell>
        </row>
        <row r="79">
          <cell r="A79" t="str">
            <v>ENGA</v>
          </cell>
          <cell r="B79" t="str">
            <v>VAR_fout</v>
          </cell>
          <cell r="C79" t="str">
            <v>D-ENGA</v>
          </cell>
          <cell r="E79">
            <v>5.6979691452091501</v>
          </cell>
          <cell r="F79">
            <v>1.716154071466393</v>
          </cell>
          <cell r="G79">
            <v>1.2461769145058175</v>
          </cell>
          <cell r="H79">
            <v>3.5830320128036641</v>
          </cell>
        </row>
        <row r="80">
          <cell r="A80" t="str">
            <v>ILFO</v>
          </cell>
          <cell r="B80" t="str">
            <v>VAR_fout</v>
          </cell>
          <cell r="C80" t="str">
            <v>D-ILFO</v>
          </cell>
          <cell r="E80">
            <v>9.1900688778251229</v>
          </cell>
          <cell r="F80">
            <v>8.8000010514875449</v>
          </cell>
          <cell r="G80">
            <v>8.2958656740706544</v>
          </cell>
          <cell r="H80">
            <v>7.372668259312972</v>
          </cell>
        </row>
        <row r="81">
          <cell r="A81" t="str">
            <v>CHEAT</v>
          </cell>
          <cell r="B81" t="str">
            <v>VAR_fout</v>
          </cell>
          <cell r="C81" t="str">
            <v>D-CHEAT</v>
          </cell>
        </row>
        <row r="82">
          <cell r="A82" t="str">
            <v>CHEAT</v>
          </cell>
          <cell r="B82" t="str">
            <v>VAR_fin</v>
          </cell>
          <cell r="C82" t="str">
            <v>SUP_ELCH2_SOEC</v>
          </cell>
        </row>
        <row r="83">
          <cell r="A83" t="str">
            <v>TDSL</v>
          </cell>
          <cell r="B83" t="str">
            <v>VAR_fout</v>
          </cell>
          <cell r="C83" t="str">
            <v>D-TBDS1</v>
          </cell>
          <cell r="E83">
            <v>2.9713152671641083</v>
          </cell>
          <cell r="F83">
            <v>2.9709411541170097</v>
          </cell>
          <cell r="G83">
            <v>4.4328121888229681</v>
          </cell>
          <cell r="H83">
            <v>3.184639869045085</v>
          </cell>
        </row>
        <row r="84">
          <cell r="A84" t="str">
            <v>CNGA</v>
          </cell>
          <cell r="B84" t="str">
            <v>VAR_fout</v>
          </cell>
          <cell r="C84" t="str">
            <v>D-CNGA</v>
          </cell>
        </row>
        <row r="85">
          <cell r="A85" t="str">
            <v>CNGA</v>
          </cell>
          <cell r="B85" t="str">
            <v>VAR_fin</v>
          </cell>
          <cell r="C85" t="str">
            <v>SUP_NGAH2</v>
          </cell>
        </row>
        <row r="86">
          <cell r="A86" t="str">
            <v>LBIO</v>
          </cell>
          <cell r="B86" t="str">
            <v>VAR_fin</v>
          </cell>
          <cell r="C86" t="str">
            <v>D-LBIO</v>
          </cell>
          <cell r="H86">
            <v>2.1353509954453416</v>
          </cell>
        </row>
        <row r="87">
          <cell r="A87" t="str">
            <v>H2_E</v>
          </cell>
          <cell r="B87" t="str">
            <v>VAR_fout</v>
          </cell>
          <cell r="C87" t="str">
            <v>SUP_ELCH2_D</v>
          </cell>
          <cell r="H87">
            <v>6.2081480995084095E-6</v>
          </cell>
        </row>
        <row r="88">
          <cell r="A88" t="str">
            <v>H2_E</v>
          </cell>
          <cell r="B88" t="str">
            <v>VAR_fin</v>
          </cell>
          <cell r="C88" t="str">
            <v>D-DH2</v>
          </cell>
          <cell r="H88">
            <v>6.1981200574263848E-6</v>
          </cell>
        </row>
        <row r="89">
          <cell r="A89" t="str">
            <v>BNGA</v>
          </cell>
          <cell r="B89" t="str">
            <v>VAR_fout</v>
          </cell>
          <cell r="C89" t="str">
            <v>SUP_BIONGA</v>
          </cell>
          <cell r="E89">
            <v>1.1764723346029966</v>
          </cell>
          <cell r="F89">
            <v>4.2636163528457924</v>
          </cell>
          <cell r="G89">
            <v>4.1150915266737194</v>
          </cell>
          <cell r="H89">
            <v>4.11505686983645</v>
          </cell>
        </row>
        <row r="90">
          <cell r="A90" t="str">
            <v>BNGA</v>
          </cell>
          <cell r="B90" t="str">
            <v>VAR_fin</v>
          </cell>
          <cell r="C90" t="str">
            <v>D-ENGA</v>
          </cell>
          <cell r="E90">
            <v>0.20435843424904362</v>
          </cell>
          <cell r="F90">
            <v>1.8770036876915233E-5</v>
          </cell>
          <cell r="G90">
            <v>0.11149835833530476</v>
          </cell>
          <cell r="H90">
            <v>0.6155728303085819</v>
          </cell>
        </row>
        <row r="91">
          <cell r="A91" t="str">
            <v>BNGA</v>
          </cell>
          <cell r="B91" t="str">
            <v>VAR_fin</v>
          </cell>
          <cell r="C91" t="str">
            <v>D-CNGA</v>
          </cell>
        </row>
        <row r="92">
          <cell r="A92" t="str">
            <v>BNGA</v>
          </cell>
          <cell r="B92" t="str">
            <v>VAR_fin</v>
          </cell>
          <cell r="C92" t="str">
            <v>D-TNGA</v>
          </cell>
          <cell r="E92">
            <v>2.3223154863957634E-2</v>
          </cell>
          <cell r="F92">
            <v>1.5325964309500178E-2</v>
          </cell>
          <cell r="G92">
            <v>2.0378997529361852E-2</v>
          </cell>
          <cell r="H92">
            <v>2.5768975259022123E-4</v>
          </cell>
        </row>
        <row r="93">
          <cell r="A93" t="str">
            <v>BNGA</v>
          </cell>
          <cell r="B93" t="str">
            <v>VAR_fin</v>
          </cell>
          <cell r="C93" t="str">
            <v>D-SNGA</v>
          </cell>
          <cell r="E93">
            <v>0.30806251935707485</v>
          </cell>
          <cell r="F93">
            <v>1.8931932888170695</v>
          </cell>
          <cell r="G93">
            <v>0.46542608407904179</v>
          </cell>
          <cell r="H93">
            <v>6.9654312507220085E-4</v>
          </cell>
        </row>
        <row r="94">
          <cell r="A94" t="str">
            <v>BNGA</v>
          </cell>
          <cell r="B94" t="str">
            <v>VAR_fin</v>
          </cell>
          <cell r="C94" t="str">
            <v>D-RNGA</v>
          </cell>
          <cell r="E94">
            <v>0.31238559329190579</v>
          </cell>
          <cell r="F94">
            <v>2.3550671509126579</v>
          </cell>
          <cell r="G94">
            <v>0.53038513272785937</v>
          </cell>
          <cell r="H94">
            <v>6.9868790494325697E-4</v>
          </cell>
        </row>
        <row r="95">
          <cell r="A95" t="str">
            <v>BNGA</v>
          </cell>
          <cell r="B95" t="str">
            <v>VAR_fin</v>
          </cell>
          <cell r="C95" t="str">
            <v>D-INGA</v>
          </cell>
          <cell r="E95">
            <v>0.32845188208644693</v>
          </cell>
          <cell r="F95">
            <v>1.9078613225042518E-5</v>
          </cell>
          <cell r="G95">
            <v>2.9874082755907003</v>
          </cell>
          <cell r="H95">
            <v>3.4978296326195717</v>
          </cell>
        </row>
        <row r="96">
          <cell r="A96" t="str">
            <v>LFO</v>
          </cell>
          <cell r="B96" t="str">
            <v>VAR_fin</v>
          </cell>
          <cell r="C96" t="str">
            <v>D-ILFO</v>
          </cell>
          <cell r="E96">
            <v>9.3461606526979164</v>
          </cell>
          <cell r="F96">
            <v>8.949467589907476</v>
          </cell>
          <cell r="G96">
            <v>8.4367442559873496</v>
          </cell>
          <cell r="H96">
            <v>6.5831117508515149</v>
          </cell>
        </row>
        <row r="97">
          <cell r="A97" t="str">
            <v>LFO</v>
          </cell>
          <cell r="B97" t="str">
            <v>VAR_fin</v>
          </cell>
          <cell r="C97" t="str">
            <v>D-SLFO</v>
          </cell>
          <cell r="E97">
            <v>30.770537898199827</v>
          </cell>
          <cell r="F97">
            <v>26.848777909209947</v>
          </cell>
          <cell r="G97">
            <v>27.517326773168527</v>
          </cell>
          <cell r="H97">
            <v>19.889300052901671</v>
          </cell>
        </row>
        <row r="98">
          <cell r="A98" t="str">
            <v>LFO</v>
          </cell>
          <cell r="B98" t="str">
            <v>VAR_fin</v>
          </cell>
          <cell r="C98" t="str">
            <v>D-RLFO</v>
          </cell>
          <cell r="E98">
            <v>61.2548564038565</v>
          </cell>
          <cell r="F98">
            <v>52.19167065669776</v>
          </cell>
          <cell r="G98">
            <v>51.857326213251604</v>
          </cell>
          <cell r="H98">
            <v>33.898769410783331</v>
          </cell>
        </row>
        <row r="99">
          <cell r="A99" t="str">
            <v>MNR</v>
          </cell>
          <cell r="B99" t="str">
            <v>VAR_fin</v>
          </cell>
          <cell r="C99" t="str">
            <v>SUP_MNRBIO</v>
          </cell>
          <cell r="E99">
            <v>3.798085649147819</v>
          </cell>
          <cell r="F99">
            <v>12.115548025655132</v>
          </cell>
          <cell r="G99">
            <v>12.540331484817028</v>
          </cell>
          <cell r="H99">
            <v>12.540425793035288</v>
          </cell>
        </row>
        <row r="100">
          <cell r="A100" t="str">
            <v>TNGA</v>
          </cell>
          <cell r="B100" t="str">
            <v>VAR_fout</v>
          </cell>
          <cell r="C100" t="str">
            <v>D-TNGA</v>
          </cell>
          <cell r="E100">
            <v>0.30932912473665458</v>
          </cell>
          <cell r="F100">
            <v>0.1564698182051345</v>
          </cell>
          <cell r="G100">
            <v>0.22224694212431398</v>
          </cell>
          <cell r="H100">
            <v>6.7646293708096923E-3</v>
          </cell>
        </row>
        <row r="101">
          <cell r="A101" t="str">
            <v>WOD</v>
          </cell>
          <cell r="B101" t="str">
            <v>VAR_fin</v>
          </cell>
          <cell r="C101" t="str">
            <v>D-CWOD</v>
          </cell>
          <cell r="E101">
            <v>9.4371143314357262</v>
          </cell>
          <cell r="F101">
            <v>10.11312009624878</v>
          </cell>
          <cell r="G101">
            <v>6.3085467947235054</v>
          </cell>
          <cell r="H101">
            <v>3.356303808564395</v>
          </cell>
        </row>
        <row r="102">
          <cell r="A102" t="str">
            <v>GSL</v>
          </cell>
          <cell r="B102" t="str">
            <v>VAR_fin</v>
          </cell>
          <cell r="C102" t="str">
            <v>D-TGSL</v>
          </cell>
          <cell r="E102">
            <v>80.538262271559617</v>
          </cell>
          <cell r="F102">
            <v>74.701288745619181</v>
          </cell>
          <cell r="G102">
            <v>71.058841507539654</v>
          </cell>
          <cell r="H102">
            <v>42.843897482028098</v>
          </cell>
        </row>
        <row r="103">
          <cell r="A103" t="str">
            <v>IBIO</v>
          </cell>
          <cell r="B103" t="str">
            <v>VAR_fout</v>
          </cell>
          <cell r="C103" t="str">
            <v>D-IBIO</v>
          </cell>
          <cell r="E103">
            <v>0.43672788829695591</v>
          </cell>
          <cell r="F103">
            <v>0.552066785112303</v>
          </cell>
          <cell r="G103">
            <v>1.7181878395373353</v>
          </cell>
          <cell r="H103">
            <v>4.5887008579231034</v>
          </cell>
        </row>
        <row r="104">
          <cell r="A104" t="str">
            <v>SNGA</v>
          </cell>
          <cell r="B104" t="str">
            <v>VAR_fout</v>
          </cell>
          <cell r="C104" t="str">
            <v>D-SNGA</v>
          </cell>
          <cell r="E104">
            <v>27.203967279510259</v>
          </cell>
          <cell r="F104">
            <v>28.488315909593684</v>
          </cell>
          <cell r="G104">
            <v>24.958895149710372</v>
          </cell>
          <cell r="H104">
            <v>22.683637796084472</v>
          </cell>
        </row>
        <row r="105">
          <cell r="A105" t="str">
            <v>AUX_H2STG_IN</v>
          </cell>
          <cell r="B105" t="str">
            <v>VAR_fin</v>
          </cell>
          <cell r="C105" t="str">
            <v>STG-H2</v>
          </cell>
          <cell r="H105">
            <v>3.5200717662233112E-6</v>
          </cell>
        </row>
        <row r="106">
          <cell r="A106" t="str">
            <v>AUX_H2STG_IN</v>
          </cell>
          <cell r="B106" t="str">
            <v>VAR_fin</v>
          </cell>
          <cell r="C106" t="str">
            <v>STG-H2</v>
          </cell>
          <cell r="H106">
            <v>1.4288379432993645E-5</v>
          </cell>
        </row>
        <row r="107">
          <cell r="A107" t="str">
            <v>AUX_H2STG_IN</v>
          </cell>
          <cell r="B107" t="str">
            <v>VAR_fin</v>
          </cell>
          <cell r="C107" t="str">
            <v>STG-H2</v>
          </cell>
          <cell r="H107">
            <v>3.5766869054074765E-6</v>
          </cell>
        </row>
        <row r="108">
          <cell r="A108" t="str">
            <v>AUX_H2STG_IN</v>
          </cell>
          <cell r="B108" t="str">
            <v>VAR_fin</v>
          </cell>
          <cell r="C108" t="str">
            <v>STG-H2</v>
          </cell>
          <cell r="H108">
            <v>3.516195626138007E-6</v>
          </cell>
        </row>
        <row r="109">
          <cell r="A109" t="str">
            <v>AUX_H2STG_IN</v>
          </cell>
          <cell r="B109" t="str">
            <v>VAR_fin</v>
          </cell>
          <cell r="C109" t="str">
            <v>STG-H2</v>
          </cell>
          <cell r="H109">
            <v>3.6754251352248625E-6</v>
          </cell>
        </row>
        <row r="110">
          <cell r="A110" t="str">
            <v>H2</v>
          </cell>
          <cell r="B110" t="str">
            <v>VAR_fout</v>
          </cell>
          <cell r="C110" t="str">
            <v>SUP_NGAH2</v>
          </cell>
        </row>
        <row r="111">
          <cell r="A111" t="str">
            <v>H2</v>
          </cell>
          <cell r="B111" t="str">
            <v>VAR_fout</v>
          </cell>
          <cell r="C111" t="str">
            <v>STG-H2</v>
          </cell>
          <cell r="H111">
            <v>3.1922621951404763E-6</v>
          </cell>
        </row>
        <row r="112">
          <cell r="A112" t="str">
            <v>H2</v>
          </cell>
          <cell r="B112" t="str">
            <v>VAR_fout</v>
          </cell>
          <cell r="C112" t="str">
            <v>STG-H2</v>
          </cell>
          <cell r="H112">
            <v>1.2976263645976474E-5</v>
          </cell>
        </row>
        <row r="113">
          <cell r="A113" t="str">
            <v>H2</v>
          </cell>
          <cell r="B113" t="str">
            <v>VAR_fout</v>
          </cell>
          <cell r="C113" t="str">
            <v>STG-H2</v>
          </cell>
          <cell r="H113">
            <v>3.4245561801884899E-6</v>
          </cell>
        </row>
        <row r="114">
          <cell r="A114" t="str">
            <v>H2</v>
          </cell>
          <cell r="B114" t="str">
            <v>VAR_fout</v>
          </cell>
          <cell r="C114" t="str">
            <v>STG-H2</v>
          </cell>
          <cell r="H114">
            <v>3.1486417954185451E-6</v>
          </cell>
        </row>
        <row r="115">
          <cell r="A115" t="str">
            <v>H2</v>
          </cell>
          <cell r="B115" t="str">
            <v>VAR_fout</v>
          </cell>
          <cell r="C115" t="str">
            <v>STG-H2</v>
          </cell>
          <cell r="H115">
            <v>3.2108034752289401E-6</v>
          </cell>
        </row>
        <row r="116">
          <cell r="A116" t="str">
            <v>H2</v>
          </cell>
          <cell r="B116" t="str">
            <v>VAR_fout</v>
          </cell>
          <cell r="C116" t="str">
            <v>IMPH2</v>
          </cell>
        </row>
        <row r="117">
          <cell r="A117" t="str">
            <v>H2</v>
          </cell>
          <cell r="B117" t="str">
            <v>VAR_fout</v>
          </cell>
          <cell r="C117" t="str">
            <v>SUP_ELCH2_SOEC</v>
          </cell>
        </row>
        <row r="118">
          <cell r="A118" t="str">
            <v>H2</v>
          </cell>
          <cell r="B118" t="str">
            <v>VAR_fout</v>
          </cell>
          <cell r="C118" t="str">
            <v>SUP_ELCH2</v>
          </cell>
          <cell r="E118">
            <v>2.5538869309411267E-3</v>
          </cell>
          <cell r="F118">
            <v>2.6010142187142629E-3</v>
          </cell>
          <cell r="G118">
            <v>2.6005748133837692E-3</v>
          </cell>
          <cell r="H118">
            <v>2.5940530534279784E-3</v>
          </cell>
        </row>
        <row r="119">
          <cell r="A119" t="str">
            <v>H2</v>
          </cell>
          <cell r="B119" t="str">
            <v>VAR_fout</v>
          </cell>
          <cell r="C119" t="str">
            <v>D-DH2</v>
          </cell>
          <cell r="H119">
            <v>6.136138856852121E-6</v>
          </cell>
        </row>
        <row r="120">
          <cell r="A120" t="str">
            <v>H2</v>
          </cell>
          <cell r="B120" t="str">
            <v>VAR_fin</v>
          </cell>
          <cell r="C120" t="str">
            <v>STG-H2</v>
          </cell>
          <cell r="H120">
            <v>3.5200717662233112E-6</v>
          </cell>
        </row>
        <row r="121">
          <cell r="A121" t="str">
            <v>H2</v>
          </cell>
          <cell r="B121" t="str">
            <v>VAR_fin</v>
          </cell>
          <cell r="C121" t="str">
            <v>STG-H2</v>
          </cell>
          <cell r="H121">
            <v>1.4288379432993645E-5</v>
          </cell>
        </row>
        <row r="122">
          <cell r="A122" t="str">
            <v>H2</v>
          </cell>
          <cell r="B122" t="str">
            <v>VAR_fin</v>
          </cell>
          <cell r="C122" t="str">
            <v>STG-H2</v>
          </cell>
          <cell r="H122">
            <v>3.5766869054074765E-6</v>
          </cell>
        </row>
        <row r="123">
          <cell r="A123" t="str">
            <v>H2</v>
          </cell>
          <cell r="B123" t="str">
            <v>VAR_fin</v>
          </cell>
          <cell r="C123" t="str">
            <v>STG-H2</v>
          </cell>
          <cell r="H123">
            <v>3.516195626138007E-6</v>
          </cell>
        </row>
        <row r="124">
          <cell r="A124" t="str">
            <v>H2</v>
          </cell>
          <cell r="B124" t="str">
            <v>VAR_fin</v>
          </cell>
          <cell r="C124" t="str">
            <v>STG-H2</v>
          </cell>
          <cell r="H124">
            <v>3.6754251352248625E-6</v>
          </cell>
        </row>
        <row r="125">
          <cell r="A125" t="str">
            <v>H2</v>
          </cell>
          <cell r="B125" t="str">
            <v>VAR_fin</v>
          </cell>
          <cell r="C125" t="str">
            <v>D-TNGA</v>
          </cell>
          <cell r="F125">
            <v>8.5207340009548708E-4</v>
          </cell>
          <cell r="G125">
            <v>9.0748739423878626E-4</v>
          </cell>
          <cell r="H125">
            <v>1.9735584921287412E-4</v>
          </cell>
        </row>
        <row r="126">
          <cell r="A126" t="str">
            <v>AUX_H2STG_OUT</v>
          </cell>
          <cell r="B126" t="str">
            <v>VAR_fout</v>
          </cell>
          <cell r="C126" t="str">
            <v>STG-H2</v>
          </cell>
          <cell r="H126">
            <v>3.1922621951404763E-6</v>
          </cell>
        </row>
        <row r="127">
          <cell r="A127" t="str">
            <v>AUX_H2STG_OUT</v>
          </cell>
          <cell r="B127" t="str">
            <v>VAR_fout</v>
          </cell>
          <cell r="C127" t="str">
            <v>STG-H2</v>
          </cell>
          <cell r="H127">
            <v>1.2976263645976474E-5</v>
          </cell>
        </row>
        <row r="128">
          <cell r="A128" t="str">
            <v>AUX_H2STG_OUT</v>
          </cell>
          <cell r="B128" t="str">
            <v>VAR_fout</v>
          </cell>
          <cell r="C128" t="str">
            <v>STG-H2</v>
          </cell>
          <cell r="H128">
            <v>3.4245561801884899E-6</v>
          </cell>
        </row>
        <row r="129">
          <cell r="A129" t="str">
            <v>AUX_H2STG_OUT</v>
          </cell>
          <cell r="B129" t="str">
            <v>VAR_fout</v>
          </cell>
          <cell r="C129" t="str">
            <v>STG-H2</v>
          </cell>
          <cell r="H129">
            <v>3.1486417954185451E-6</v>
          </cell>
        </row>
        <row r="130">
          <cell r="A130" t="str">
            <v>AUX_H2STG_OUT</v>
          </cell>
          <cell r="B130" t="str">
            <v>VAR_fout</v>
          </cell>
          <cell r="C130" t="str">
            <v>STG-H2</v>
          </cell>
          <cell r="H130">
            <v>3.2108034752289401E-6</v>
          </cell>
        </row>
        <row r="131">
          <cell r="A131" t="str">
            <v>RNGA</v>
          </cell>
          <cell r="B131" t="str">
            <v>VAR_fout</v>
          </cell>
          <cell r="C131" t="str">
            <v>D-RNGA</v>
          </cell>
          <cell r="E131">
            <v>47.156834148818611</v>
          </cell>
          <cell r="F131">
            <v>47.60360786550536</v>
          </cell>
          <cell r="G131">
            <v>48.158844776495272</v>
          </cell>
          <cell r="H131">
            <v>43.564764849730594</v>
          </cell>
        </row>
        <row r="132">
          <cell r="A132" t="str">
            <v>CWOD</v>
          </cell>
          <cell r="B132" t="str">
            <v>VAR_fout</v>
          </cell>
          <cell r="C132" t="str">
            <v>D-CWOD</v>
          </cell>
          <cell r="E132">
            <v>9.4371143314357262</v>
          </cell>
          <cell r="F132">
            <v>10.11312009624878</v>
          </cell>
          <cell r="G132">
            <v>6.3085467947235054</v>
          </cell>
          <cell r="H132">
            <v>3.356303808564395</v>
          </cell>
        </row>
        <row r="133">
          <cell r="A133" t="str">
            <v>CWOD</v>
          </cell>
          <cell r="B133" t="str">
            <v>VAR_fin</v>
          </cell>
          <cell r="C133" t="str">
            <v>SUP_WODBIO</v>
          </cell>
          <cell r="F133">
            <v>4.0398518636556609E-5</v>
          </cell>
          <cell r="G133">
            <v>8.6959231080852741E-5</v>
          </cell>
          <cell r="H133">
            <v>9.9468406783957908E-5</v>
          </cell>
        </row>
        <row r="134">
          <cell r="A134" t="str">
            <v>CWOD</v>
          </cell>
          <cell r="B134" t="str">
            <v>VAR_fin</v>
          </cell>
          <cell r="C134" t="str">
            <v>CT_CWODBDS</v>
          </cell>
          <cell r="E134">
            <v>1.8380974709845401</v>
          </cell>
          <cell r="F134">
            <v>1.8158501949240275</v>
          </cell>
          <cell r="G134">
            <v>3.4302934875517743</v>
          </cell>
          <cell r="H134">
            <v>1.1489824245681863E-4</v>
          </cell>
        </row>
        <row r="135">
          <cell r="A135" t="str">
            <v>CWOD</v>
          </cell>
          <cell r="B135" t="str">
            <v>VAR_fin</v>
          </cell>
          <cell r="C135" t="str">
            <v>CT_CWODPLT</v>
          </cell>
          <cell r="E135">
            <v>7.1186166425190383</v>
          </cell>
          <cell r="F135">
            <v>8.2972059910807179</v>
          </cell>
          <cell r="G135">
            <v>2.3977634511675285</v>
          </cell>
          <cell r="H135">
            <v>3.3560676109802796</v>
          </cell>
        </row>
        <row r="136">
          <cell r="A136" t="str">
            <v>CWOD</v>
          </cell>
          <cell r="B136" t="str">
            <v>VAR_fin</v>
          </cell>
          <cell r="C136" t="str">
            <v>CT_CWODETH</v>
          </cell>
          <cell r="E136">
            <v>0.4804002179321451</v>
          </cell>
          <cell r="F136">
            <v>2.3511725398876152E-5</v>
          </cell>
          <cell r="G136">
            <v>0.48040283749699741</v>
          </cell>
          <cell r="H136">
            <v>3.8344570325153522E-5</v>
          </cell>
        </row>
        <row r="137">
          <cell r="A137" t="str">
            <v>BDS</v>
          </cell>
          <cell r="B137" t="str">
            <v>VAR_fout</v>
          </cell>
          <cell r="C137" t="str">
            <v>IMPBDS</v>
          </cell>
          <cell r="E137">
            <v>2.370970244669214</v>
          </cell>
          <cell r="F137">
            <v>2.3780127404933968</v>
          </cell>
          <cell r="G137">
            <v>3.2956764444540254</v>
          </cell>
          <cell r="H137">
            <v>4.1637311895584634</v>
          </cell>
        </row>
        <row r="138">
          <cell r="A138" t="str">
            <v>BDS</v>
          </cell>
          <cell r="B138" t="str">
            <v>VAR_fout</v>
          </cell>
          <cell r="C138" t="str">
            <v>CT_CWODBDS</v>
          </cell>
          <cell r="E138">
            <v>0.64505964940675253</v>
          </cell>
          <cell r="F138">
            <v>0.63725221790630937</v>
          </cell>
          <cell r="G138">
            <v>1.2038229470264161</v>
          </cell>
          <cell r="H138">
            <v>4.0322246870264504E-5</v>
          </cell>
        </row>
        <row r="139">
          <cell r="A139" t="str">
            <v>BDS</v>
          </cell>
          <cell r="B139" t="str">
            <v>VAR_fin</v>
          </cell>
          <cell r="C139" t="str">
            <v>D-ILFO</v>
          </cell>
          <cell r="G139">
            <v>2.5536296910440435E-5</v>
          </cell>
          <cell r="H139">
            <v>0.9147804299779575</v>
          </cell>
        </row>
        <row r="140">
          <cell r="A140" t="str">
            <v>BDS</v>
          </cell>
          <cell r="B140" t="str">
            <v>VAR_fin</v>
          </cell>
          <cell r="C140" t="str">
            <v>D-SLFO</v>
          </cell>
          <cell r="G140">
            <v>2.1748458666761112E-5</v>
          </cell>
          <cell r="H140">
            <v>6.7070901476700952E-5</v>
          </cell>
        </row>
        <row r="141">
          <cell r="A141" t="str">
            <v>BDS</v>
          </cell>
          <cell r="B141" t="str">
            <v>VAR_fin</v>
          </cell>
          <cell r="C141" t="str">
            <v>D-RLFO</v>
          </cell>
          <cell r="G141">
            <v>2.1821238439786504E-5</v>
          </cell>
          <cell r="H141">
            <v>6.7404143322154079E-5</v>
          </cell>
        </row>
        <row r="142">
          <cell r="A142" t="str">
            <v>BDS</v>
          </cell>
          <cell r="B142" t="str">
            <v>VAR_fin</v>
          </cell>
          <cell r="C142" t="str">
            <v>D-TBDS1</v>
          </cell>
          <cell r="E142">
            <v>3.0160298940759662</v>
          </cell>
          <cell r="F142">
            <v>3.0152649583997069</v>
          </cell>
          <cell r="G142">
            <v>4.4994310189103395</v>
          </cell>
          <cell r="H142">
            <v>3.2488571592449906</v>
          </cell>
        </row>
        <row r="143">
          <cell r="A143" t="str">
            <v>BIO</v>
          </cell>
          <cell r="B143" t="str">
            <v>VAR_fout</v>
          </cell>
          <cell r="C143" t="str">
            <v>SUP_WSTHTGBIO</v>
          </cell>
        </row>
        <row r="144">
          <cell r="A144" t="str">
            <v>BIO</v>
          </cell>
          <cell r="B144" t="str">
            <v>VAR_fout</v>
          </cell>
          <cell r="C144" t="str">
            <v>SUP_WSTBIO</v>
          </cell>
          <cell r="E144">
            <v>5.629412979512491</v>
          </cell>
          <cell r="F144">
            <v>6.2382338806993749</v>
          </cell>
          <cell r="G144">
            <v>6.029047941182804</v>
          </cell>
          <cell r="H144">
            <v>6.2187592720217086</v>
          </cell>
        </row>
        <row r="145">
          <cell r="A145" t="str">
            <v>BIO</v>
          </cell>
          <cell r="B145" t="str">
            <v>VAR_fout</v>
          </cell>
          <cell r="C145" t="str">
            <v>D-LBIO</v>
          </cell>
          <cell r="H145">
            <v>2.1353509954453416</v>
          </cell>
        </row>
        <row r="146">
          <cell r="A146" t="str">
            <v>BIO</v>
          </cell>
          <cell r="B146" t="str">
            <v>VAR_fout</v>
          </cell>
          <cell r="C146" t="str">
            <v>SUP_MNRBIO</v>
          </cell>
          <cell r="E146">
            <v>1.3280019752265102</v>
          </cell>
          <cell r="F146">
            <v>4.2362056033759155</v>
          </cell>
          <cell r="G146">
            <v>4.3847312883975667</v>
          </cell>
          <cell r="H146">
            <v>4.384764263299056</v>
          </cell>
        </row>
        <row r="147">
          <cell r="A147" t="str">
            <v>BIO</v>
          </cell>
          <cell r="B147" t="str">
            <v>VAR_fout</v>
          </cell>
          <cell r="C147" t="str">
            <v>SUP_WODBIO</v>
          </cell>
          <cell r="F147">
            <v>2.9924828619671559E-5</v>
          </cell>
          <cell r="G147">
            <v>6.4414245245076102E-5</v>
          </cell>
          <cell r="H147">
            <v>7.3680301321450307E-5</v>
          </cell>
        </row>
        <row r="148">
          <cell r="A148" t="str">
            <v>BIO</v>
          </cell>
          <cell r="B148" t="str">
            <v>VAR_fin</v>
          </cell>
          <cell r="C148" t="str">
            <v>D-IBIO</v>
          </cell>
          <cell r="E148">
            <v>0.43672788829695591</v>
          </cell>
          <cell r="F148">
            <v>0.552066785112303</v>
          </cell>
          <cell r="G148">
            <v>1.7181878395373353</v>
          </cell>
          <cell r="H148">
            <v>4.5887008579231034</v>
          </cell>
        </row>
        <row r="149">
          <cell r="A149" t="str">
            <v>BIO</v>
          </cell>
          <cell r="B149" t="str">
            <v>VAR_fin</v>
          </cell>
          <cell r="C149" t="str">
            <v>D-EBIO</v>
          </cell>
          <cell r="E149">
            <v>1.1839529493940701</v>
          </cell>
          <cell r="F149">
            <v>1.1839506438818965</v>
          </cell>
          <cell r="G149">
            <v>1.1839511575705857</v>
          </cell>
          <cell r="H149">
            <v>1.1839500793150159</v>
          </cell>
        </row>
        <row r="150">
          <cell r="A150" t="str">
            <v>BIO</v>
          </cell>
          <cell r="B150" t="str">
            <v>VAR_fin</v>
          </cell>
          <cell r="C150" t="str">
            <v>D-CBIO</v>
          </cell>
          <cell r="E150">
            <v>1.2890720728256426</v>
          </cell>
          <cell r="F150">
            <v>4.6716855195331997</v>
          </cell>
          <cell r="G150">
            <v>4.5089454363978714</v>
          </cell>
          <cell r="H150">
            <v>4.5089074625673478</v>
          </cell>
        </row>
        <row r="151">
          <cell r="A151" t="str">
            <v>BIO</v>
          </cell>
          <cell r="B151" t="str">
            <v>VAR_fin</v>
          </cell>
          <cell r="C151" t="str">
            <v>D-SBIO</v>
          </cell>
          <cell r="E151">
            <v>4.0476745403392496</v>
          </cell>
          <cell r="F151">
            <v>4.5832723595517715</v>
          </cell>
          <cell r="G151">
            <v>3.0423987923177669</v>
          </cell>
          <cell r="H151">
            <v>3.0321071621897415</v>
          </cell>
        </row>
        <row r="152">
          <cell r="A152" t="str">
            <v>TKERintl_SAF</v>
          </cell>
          <cell r="B152" t="str">
            <v>VAR_fout</v>
          </cell>
          <cell r="C152" t="str">
            <v>D-TBDS1intl</v>
          </cell>
          <cell r="H152">
            <v>5.0592856291484898</v>
          </cell>
        </row>
        <row r="153">
          <cell r="A153" t="str">
            <v>EBIO</v>
          </cell>
          <cell r="B153" t="str">
            <v>VAR_fout</v>
          </cell>
          <cell r="C153" t="str">
            <v>D-EBIO</v>
          </cell>
          <cell r="E153">
            <v>1.1839529493940701</v>
          </cell>
          <cell r="F153">
            <v>1.1839506438818965</v>
          </cell>
          <cell r="G153">
            <v>1.1839511575705857</v>
          </cell>
          <cell r="H153">
            <v>1.1839500793150159</v>
          </cell>
        </row>
        <row r="154">
          <cell r="A154" t="str">
            <v>PLT</v>
          </cell>
          <cell r="B154" t="str">
            <v>VAR_fout</v>
          </cell>
          <cell r="C154" t="str">
            <v>CT_CWODPLT</v>
          </cell>
          <cell r="E154">
            <v>5.9796379797159913</v>
          </cell>
          <cell r="F154">
            <v>6.9696530325077957</v>
          </cell>
          <cell r="G154">
            <v>2.0141212989807236</v>
          </cell>
          <cell r="H154">
            <v>2.8190967932234341</v>
          </cell>
        </row>
        <row r="155">
          <cell r="A155" t="str">
            <v>SLFO</v>
          </cell>
          <cell r="B155" t="str">
            <v>VAR_fout</v>
          </cell>
          <cell r="C155" t="str">
            <v>D-SLFO</v>
          </cell>
          <cell r="E155">
            <v>30.256634055456193</v>
          </cell>
          <cell r="F155">
            <v>26.400372028683567</v>
          </cell>
          <cell r="G155">
            <v>27.057776964062349</v>
          </cell>
          <cell r="H155">
            <v>19.557191665279888</v>
          </cell>
        </row>
        <row r="156">
          <cell r="A156" t="str">
            <v>ETH</v>
          </cell>
          <cell r="B156" t="str">
            <v>VAR_fout</v>
          </cell>
          <cell r="C156" t="str">
            <v>IMPETH</v>
          </cell>
          <cell r="E156">
            <v>4.4341506418825913</v>
          </cell>
          <cell r="F156">
            <v>4.3259844240819616</v>
          </cell>
          <cell r="G156">
            <v>3.8851868700954437</v>
          </cell>
          <cell r="H156">
            <v>2.4820303883816024</v>
          </cell>
        </row>
        <row r="157">
          <cell r="A157" t="str">
            <v>ETH</v>
          </cell>
          <cell r="B157" t="str">
            <v>VAR_fout</v>
          </cell>
          <cell r="C157" t="str">
            <v>CT_CWODETH</v>
          </cell>
          <cell r="E157">
            <v>0.22985656360389739</v>
          </cell>
          <cell r="F157">
            <v>1.1249629377452704E-5</v>
          </cell>
          <cell r="G157">
            <v>0.22985781698420915</v>
          </cell>
          <cell r="H157">
            <v>1.8346684366102156E-5</v>
          </cell>
        </row>
        <row r="158">
          <cell r="A158" t="str">
            <v>ETH</v>
          </cell>
          <cell r="B158" t="str">
            <v>VAR_fin</v>
          </cell>
          <cell r="C158" t="str">
            <v>D-TGSL</v>
          </cell>
          <cell r="E158">
            <v>4.6640072054864889</v>
          </cell>
          <cell r="F158">
            <v>4.3259956737113407</v>
          </cell>
          <cell r="G158">
            <v>4.115044745544238</v>
          </cell>
          <cell r="H158">
            <v>2.4820487930106023</v>
          </cell>
        </row>
        <row r="159">
          <cell r="A159" t="str">
            <v>TGSL</v>
          </cell>
          <cell r="B159" t="str">
            <v>VAR_fout</v>
          </cell>
          <cell r="C159" t="str">
            <v>D-TGSL</v>
          </cell>
          <cell r="E159">
            <v>83.950127976317987</v>
          </cell>
          <cell r="F159">
            <v>77.865890768713854</v>
          </cell>
          <cell r="G159">
            <v>74.06912294776194</v>
          </cell>
          <cell r="H159">
            <v>44.659830803997927</v>
          </cell>
        </row>
        <row r="160">
          <cell r="A160" t="str">
            <v>RLFO</v>
          </cell>
          <cell r="B160" t="str">
            <v>VAR_fout</v>
          </cell>
          <cell r="C160" t="str">
            <v>D-RLFO</v>
          </cell>
          <cell r="E160">
            <v>60.23182891578346</v>
          </cell>
          <cell r="F160">
            <v>51.320008932797357</v>
          </cell>
          <cell r="G160">
            <v>50.991269920340663</v>
          </cell>
          <cell r="H160">
            <v>33.332686750772716</v>
          </cell>
        </row>
        <row r="161">
          <cell r="A161" t="str">
            <v>CELC_E</v>
          </cell>
          <cell r="B161" t="str">
            <v>VAR_fout</v>
          </cell>
          <cell r="C161" t="str">
            <v>ESOL-PV_E</v>
          </cell>
          <cell r="H161">
            <v>8.6374744128263829E-6</v>
          </cell>
        </row>
        <row r="162">
          <cell r="A162" t="str">
            <v>CELC_E</v>
          </cell>
          <cell r="B162" t="str">
            <v>VAR_fin</v>
          </cell>
          <cell r="C162" t="str">
            <v>SUP_ELCH2_D</v>
          </cell>
          <cell r="H162">
            <v>8.5043124650800131E-6</v>
          </cell>
        </row>
        <row r="163">
          <cell r="A163" t="str">
            <v>CBIO</v>
          </cell>
          <cell r="B163" t="str">
            <v>VAR_fout</v>
          </cell>
          <cell r="C163" t="str">
            <v>D-CBIO</v>
          </cell>
          <cell r="E163">
            <v>1.2890720728256426</v>
          </cell>
          <cell r="F163">
            <v>4.6716855195331997</v>
          </cell>
          <cell r="G163">
            <v>4.5089454363978714</v>
          </cell>
          <cell r="H163">
            <v>4.5089074625673478</v>
          </cell>
        </row>
        <row r="164">
          <cell r="A164" t="str">
            <v>CBIO</v>
          </cell>
          <cell r="B164" t="str">
            <v>VAR_fin</v>
          </cell>
          <cell r="C164" t="str">
            <v>SUP_BIONGA</v>
          </cell>
          <cell r="E164">
            <v>1.2890720728256426</v>
          </cell>
          <cell r="F164">
            <v>4.6716855195331997</v>
          </cell>
          <cell r="G164">
            <v>4.5089454363978714</v>
          </cell>
          <cell r="H164">
            <v>4.5089074625673478</v>
          </cell>
        </row>
        <row r="165">
          <cell r="A165" t="str">
            <v>LTH</v>
          </cell>
          <cell r="B165" t="str">
            <v>VAR_fout</v>
          </cell>
          <cell r="C165" t="str">
            <v>SUP_WODBIO</v>
          </cell>
          <cell r="F165">
            <v>3.590979434360588E-6</v>
          </cell>
          <cell r="G165">
            <v>7.7297094294091306E-6</v>
          </cell>
          <cell r="H165">
            <v>8.8416361585740396E-6</v>
          </cell>
        </row>
        <row r="166">
          <cell r="A166" t="str">
            <v>LTH</v>
          </cell>
          <cell r="B166" t="str">
            <v>VAR_fout</v>
          </cell>
          <cell r="C166" t="str">
            <v>CT_CWODBDS</v>
          </cell>
          <cell r="E166">
            <v>0.251573263268633</v>
          </cell>
          <cell r="F166">
            <v>0.24852836498346009</v>
          </cell>
          <cell r="G166">
            <v>0.46949094934030172</v>
          </cell>
          <cell r="H166">
            <v>1.5725676279403134E-5</v>
          </cell>
        </row>
        <row r="167">
          <cell r="A167" t="str">
            <v>LTH</v>
          </cell>
          <cell r="B167" t="str">
            <v>VAR_fin</v>
          </cell>
          <cell r="C167" t="str">
            <v>D-CHEAT</v>
          </cell>
        </row>
        <row r="168">
          <cell r="A168" t="str">
            <v>LNGA</v>
          </cell>
          <cell r="B168" t="str">
            <v>VAR_fin</v>
          </cell>
          <cell r="C168" t="str">
            <v>D-LNGA</v>
          </cell>
          <cell r="H168">
            <v>2.3621859652156956E-4</v>
          </cell>
        </row>
        <row r="169">
          <cell r="A169" t="str">
            <v>WHEAT</v>
          </cell>
          <cell r="B169" t="str">
            <v>VAR_fin</v>
          </cell>
          <cell r="C169" t="str">
            <v>D-CHEAT</v>
          </cell>
        </row>
        <row r="170">
          <cell r="A170" t="str">
            <v>SOL</v>
          </cell>
          <cell r="B170" t="str">
            <v>VAR_fin</v>
          </cell>
          <cell r="C170" t="str">
            <v>ESOL-PV_A</v>
          </cell>
          <cell r="H170">
            <v>0.34128036963513902</v>
          </cell>
        </row>
        <row r="171">
          <cell r="A171" t="str">
            <v>SOL</v>
          </cell>
          <cell r="B171" t="str">
            <v>VAR_fin</v>
          </cell>
          <cell r="C171" t="str">
            <v>ESOL-PV_E</v>
          </cell>
          <cell r="H171">
            <v>8.6374744128263829E-6</v>
          </cell>
        </row>
        <row r="172">
          <cell r="A172" t="str">
            <v>TKER</v>
          </cell>
          <cell r="B172" t="str">
            <v>VAR_fout</v>
          </cell>
          <cell r="C172" t="str">
            <v>D-TBDS1</v>
          </cell>
          <cell r="E172">
            <v>3.9081036054261899E-4</v>
          </cell>
          <cell r="F172">
            <v>1.2177234380080199E-5</v>
          </cell>
          <cell r="G172">
            <v>4.9472060891920101E-4</v>
          </cell>
          <cell r="H172">
            <v>1.6472102665924599E-2</v>
          </cell>
        </row>
        <row r="173">
          <cell r="A173" t="str">
            <v>BDS1</v>
          </cell>
          <cell r="B173" t="str">
            <v>VAR_fout</v>
          </cell>
          <cell r="C173" t="str">
            <v>IMPBDS1</v>
          </cell>
          <cell r="H173">
            <v>5.0592856291484898</v>
          </cell>
        </row>
        <row r="174">
          <cell r="A174" t="str">
            <v>BDS1</v>
          </cell>
          <cell r="B174" t="str">
            <v>VAR_fin</v>
          </cell>
          <cell r="C174" t="str">
            <v>D-TBDS1intl</v>
          </cell>
          <cell r="H174">
            <v>5.0592856291484898</v>
          </cell>
        </row>
        <row r="175">
          <cell r="A175" t="str">
            <v>CELC</v>
          </cell>
          <cell r="B175" t="str">
            <v>VAR_fout</v>
          </cell>
          <cell r="C175" t="str">
            <v>D-CELC</v>
          </cell>
          <cell r="E175">
            <v>0.42552483871424729</v>
          </cell>
          <cell r="F175">
            <v>4.8055462508963732E-2</v>
          </cell>
          <cell r="G175">
            <v>0.46430835455828051</v>
          </cell>
          <cell r="H175">
            <v>3.5865585028283936E-3</v>
          </cell>
        </row>
        <row r="176">
          <cell r="A176" t="str">
            <v>CELC</v>
          </cell>
          <cell r="B176" t="str">
            <v>VAR_fin</v>
          </cell>
          <cell r="C176" t="str">
            <v>SUP_ELCH2_SOEC</v>
          </cell>
        </row>
        <row r="177">
          <cell r="A177" t="str">
            <v>CELC</v>
          </cell>
          <cell r="B177" t="str">
            <v>VAR_fin</v>
          </cell>
          <cell r="C177" t="str">
            <v>SUP_ELCH2</v>
          </cell>
          <cell r="E177">
            <v>3.7283020889651475E-3</v>
          </cell>
          <cell r="F177">
            <v>3.7478591047755958E-3</v>
          </cell>
          <cell r="G177">
            <v>3.6757241178569161E-3</v>
          </cell>
          <cell r="H177">
            <v>3.5534973334629856E-3</v>
          </cell>
        </row>
        <row r="178">
          <cell r="A178" t="str">
            <v>CELC</v>
          </cell>
          <cell r="B178" t="str">
            <v>VAR_fin</v>
          </cell>
          <cell r="C178" t="str">
            <v>CT_CWODBDS</v>
          </cell>
          <cell r="E178">
            <v>4.4831645633769304E-2</v>
          </cell>
          <cell r="F178">
            <v>4.4289029144488491E-2</v>
          </cell>
          <cell r="G178">
            <v>8.3665694818335967E-2</v>
          </cell>
          <cell r="H178">
            <v>2.8023961574833818E-6</v>
          </cell>
        </row>
        <row r="179">
          <cell r="A179" t="str">
            <v>CELC</v>
          </cell>
          <cell r="B179" t="str">
            <v>VAR_fin</v>
          </cell>
          <cell r="C179" t="str">
            <v>CT_CWODETH</v>
          </cell>
          <cell r="E179">
            <v>0.37696476431039161</v>
          </cell>
          <cell r="F179">
            <v>1.8449392179022438E-5</v>
          </cell>
          <cell r="G179">
            <v>0.37696681985410307</v>
          </cell>
          <cell r="H179">
            <v>3.0088562360407584E-5</v>
          </cell>
        </row>
        <row r="180">
          <cell r="A180" t="str">
            <v>SBIO</v>
          </cell>
          <cell r="B180" t="str">
            <v>VAR_fout</v>
          </cell>
          <cell r="C180" t="str">
            <v>D-SBIO</v>
          </cell>
          <cell r="E180">
            <v>4.0476745403392496</v>
          </cell>
          <cell r="F180">
            <v>4.5832723595517715</v>
          </cell>
          <cell r="G180">
            <v>3.0423987923177669</v>
          </cell>
          <cell r="H180">
            <v>3.0321071621897415</v>
          </cell>
        </row>
        <row r="181">
          <cell r="A181" t="str">
            <v>INGA</v>
          </cell>
          <cell r="B181" t="str">
            <v>VAR_fout</v>
          </cell>
          <cell r="C181" t="str">
            <v>D-INGA</v>
          </cell>
          <cell r="E181">
            <v>37.470322598049435</v>
          </cell>
          <cell r="F181">
            <v>32.66647810036698</v>
          </cell>
          <cell r="G181">
            <v>36.33265157194711</v>
          </cell>
          <cell r="H181">
            <v>34.939394332226712</v>
          </cell>
        </row>
        <row r="182">
          <cell r="A182" t="str">
            <v>WSTREN</v>
          </cell>
          <cell r="B182" t="str">
            <v>VAR_fin</v>
          </cell>
          <cell r="C182" t="str">
            <v>D-CWST</v>
          </cell>
          <cell r="E182">
            <v>9.679373517344608</v>
          </cell>
          <cell r="F182">
            <v>10.726197569728241</v>
          </cell>
          <cell r="G182">
            <v>10.366517288582315</v>
          </cell>
          <cell r="H182">
            <v>10.692712371150463</v>
          </cell>
        </row>
        <row r="183">
          <cell r="A183" t="str">
            <v>SOLPVC</v>
          </cell>
          <cell r="B183" t="str">
            <v>VAR_fin</v>
          </cell>
          <cell r="C183" t="str">
            <v>ESOL-PV_A</v>
          </cell>
          <cell r="H183">
            <v>0.34128036963513902</v>
          </cell>
        </row>
        <row r="184">
          <cell r="A184" t="str">
            <v>SOLPVC</v>
          </cell>
          <cell r="B184" t="str">
            <v>VAR_fin</v>
          </cell>
          <cell r="C184" t="str">
            <v>ESOL-PV_E</v>
          </cell>
          <cell r="H184">
            <v>8.6374744128263796E-6</v>
          </cell>
        </row>
        <row r="185">
          <cell r="A185"/>
          <cell r="B185"/>
          <cell r="C185"/>
        </row>
        <row r="186">
          <cell r="A186"/>
          <cell r="B186"/>
          <cell r="C186"/>
        </row>
        <row r="187">
          <cell r="A187"/>
          <cell r="B187"/>
          <cell r="C187"/>
        </row>
        <row r="188">
          <cell r="A188"/>
          <cell r="B188"/>
          <cell r="C188"/>
        </row>
        <row r="189">
          <cell r="A189"/>
          <cell r="B189"/>
          <cell r="C189"/>
        </row>
        <row r="190">
          <cell r="A190"/>
          <cell r="B190"/>
          <cell r="C190"/>
        </row>
        <row r="191">
          <cell r="A191"/>
          <cell r="B191"/>
          <cell r="C191"/>
        </row>
        <row r="192">
          <cell r="A192"/>
          <cell r="B192"/>
          <cell r="C192"/>
        </row>
        <row r="193">
          <cell r="A193"/>
          <cell r="B193"/>
          <cell r="C193"/>
        </row>
        <row r="194">
          <cell r="A194"/>
          <cell r="B194"/>
          <cell r="C194"/>
        </row>
        <row r="195">
          <cell r="A195"/>
          <cell r="B195"/>
          <cell r="C195"/>
        </row>
        <row r="196">
          <cell r="A196"/>
          <cell r="B196"/>
          <cell r="C196"/>
        </row>
        <row r="197">
          <cell r="A197"/>
          <cell r="B197"/>
          <cell r="C197"/>
        </row>
        <row r="198">
          <cell r="A198"/>
          <cell r="B198"/>
          <cell r="C198"/>
        </row>
        <row r="199">
          <cell r="A199"/>
          <cell r="B199"/>
          <cell r="C199"/>
        </row>
        <row r="200">
          <cell r="A200"/>
          <cell r="B200"/>
          <cell r="C200"/>
        </row>
        <row r="201">
          <cell r="A201"/>
          <cell r="B201"/>
          <cell r="C201"/>
        </row>
        <row r="202">
          <cell r="A202"/>
          <cell r="B202"/>
          <cell r="C202"/>
        </row>
        <row r="203">
          <cell r="A203"/>
          <cell r="B203"/>
          <cell r="C203"/>
        </row>
        <row r="204">
          <cell r="A204"/>
          <cell r="B204"/>
          <cell r="C204"/>
        </row>
        <row r="205">
          <cell r="A205"/>
          <cell r="B205"/>
          <cell r="C205"/>
        </row>
        <row r="206">
          <cell r="A206"/>
          <cell r="B206"/>
          <cell r="C206"/>
        </row>
        <row r="207">
          <cell r="A207"/>
          <cell r="B207"/>
          <cell r="C207"/>
        </row>
        <row r="208">
          <cell r="A208"/>
          <cell r="B208"/>
          <cell r="C208"/>
        </row>
        <row r="209">
          <cell r="A209"/>
          <cell r="B209"/>
          <cell r="C209"/>
        </row>
        <row r="210">
          <cell r="A210"/>
          <cell r="B210"/>
          <cell r="C210"/>
        </row>
        <row r="211">
          <cell r="A211"/>
          <cell r="B211"/>
          <cell r="C211"/>
        </row>
        <row r="212">
          <cell r="A212"/>
          <cell r="B212"/>
          <cell r="C212"/>
        </row>
        <row r="213">
          <cell r="A213"/>
          <cell r="B213"/>
          <cell r="C213"/>
        </row>
        <row r="214">
          <cell r="A214"/>
          <cell r="B214"/>
          <cell r="C214"/>
        </row>
        <row r="215">
          <cell r="A215"/>
          <cell r="B215"/>
          <cell r="C215"/>
        </row>
        <row r="216">
          <cell r="A216"/>
          <cell r="B216"/>
          <cell r="C216"/>
        </row>
        <row r="217">
          <cell r="A217"/>
          <cell r="B217"/>
          <cell r="C217"/>
        </row>
        <row r="218">
          <cell r="A218"/>
          <cell r="B218"/>
          <cell r="C218"/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  <cell r="D4">
            <v>1.7874193020961399E-2</v>
          </cell>
          <cell r="E4">
            <v>1.78809044397308E-2</v>
          </cell>
          <cell r="F4">
            <v>1.78230608348969E-2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  <cell r="D5">
            <v>4.426930768547296E-3</v>
          </cell>
          <cell r="E5">
            <v>3.5466951739758553E-3</v>
          </cell>
          <cell r="F5">
            <v>2.2166544296587658E-3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  <cell r="D6">
            <v>3.1691831597449257E-4</v>
          </cell>
          <cell r="E6">
            <v>3.1703731276118408E-4</v>
          </cell>
          <cell r="F6">
            <v>3.1601171693079684E-4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  <cell r="D7">
            <v>8.3575401730531503E-5</v>
          </cell>
          <cell r="E7">
            <v>6.6860321384425197E-5</v>
          </cell>
          <cell r="F7">
            <v>4.1787700865265806E-5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D8">
            <v>3.5369432570640189</v>
          </cell>
          <cell r="E8">
            <v>0.22953966408206086</v>
          </cell>
          <cell r="F8">
            <v>0.32036272725501241</v>
          </cell>
          <cell r="G8">
            <v>0.30688233180518387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D9">
            <v>6.4733369774244778E-3</v>
          </cell>
          <cell r="E9">
            <v>4.2295342068182016E-4</v>
          </cell>
          <cell r="F9">
            <v>5.9095158337577113E-4</v>
          </cell>
          <cell r="G9">
            <v>5.9501799931725512E-4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D10">
            <v>6.2711759877021683E-2</v>
          </cell>
          <cell r="E10">
            <v>4.0698522000365313E-3</v>
          </cell>
          <cell r="F10">
            <v>5.6801901995569533E-3</v>
          </cell>
          <cell r="G10">
            <v>5.4411760958365859E-3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E11">
            <v>1.53180756482405E-7</v>
          </cell>
          <cell r="F11">
            <v>3.10256686696705E-7</v>
          </cell>
          <cell r="G11">
            <v>8.0305179427540792E-6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D12">
            <v>1.22E-4</v>
          </cell>
          <cell r="E12">
            <v>1.1229651511720411E-5</v>
          </cell>
          <cell r="F12">
            <v>1.1235297574274707E-5</v>
          </cell>
          <cell r="G12">
            <v>1.1240644340637101E-5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D13">
            <v>2.1177649096650012E-4</v>
          </cell>
          <cell r="E13">
            <v>4.8542073686185416E-4</v>
          </cell>
          <cell r="F13">
            <v>4.8506159047711979E-4</v>
          </cell>
          <cell r="G13">
            <v>5.145833877758997E-4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D14">
            <v>2.1177649096650012E-4</v>
          </cell>
          <cell r="E14">
            <v>4.8542073686185416E-4</v>
          </cell>
          <cell r="F14">
            <v>4.8506159047711979E-4</v>
          </cell>
          <cell r="G14">
            <v>5.145833877758997E-4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E15">
            <v>2.7355704315176098E-5</v>
          </cell>
          <cell r="F15">
            <v>1.9891121305505801E-5</v>
          </cell>
          <cell r="G15">
            <v>2.03150501720048E-5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D16">
            <v>2.5986958870288964E-5</v>
          </cell>
          <cell r="E16">
            <v>5.2852226417770398E-5</v>
          </cell>
          <cell r="F16">
            <v>7.0612038435012206E-5</v>
          </cell>
          <cell r="G16">
            <v>7.5670158837537699E-5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D17">
            <v>2.7508551380735608E-3</v>
          </cell>
          <cell r="E17">
            <v>6.6967223268505011E-3</v>
          </cell>
          <cell r="F17">
            <v>6.4174225023840301E-3</v>
          </cell>
          <cell r="G17">
            <v>1.67166583851276E-3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D18">
            <v>1.0236587003270479E-2</v>
          </cell>
          <cell r="E18">
            <v>2.4766701312120835E-2</v>
          </cell>
          <cell r="F18">
            <v>2.3705073276627919E-2</v>
          </cell>
          <cell r="G18">
            <v>6.1072554479724688E-3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E19">
            <v>1.40092202765573E-5</v>
          </cell>
          <cell r="F19">
            <v>2.7543807978154398E-6</v>
          </cell>
          <cell r="G19">
            <v>3.1432943989389799E-6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D20">
            <v>5.1999999999999997E-5</v>
          </cell>
          <cell r="E20">
            <v>1.2600922027655731E-4</v>
          </cell>
          <cell r="F20">
            <v>1.212204188182948E-4</v>
          </cell>
          <cell r="G20">
            <v>3.1619947487766505E-5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D21">
            <v>4.8350139795772067E-2</v>
          </cell>
          <cell r="E21">
            <v>9.8575763167061181E-2</v>
          </cell>
          <cell r="F21">
            <v>9.5225852403282574E-2</v>
          </cell>
          <cell r="G21">
            <v>7.7802635924345956E-2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D22">
            <v>4.8350139795772067E-2</v>
          </cell>
          <cell r="E22">
            <v>9.8575763167061181E-2</v>
          </cell>
          <cell r="F22">
            <v>9.5225852403282574E-2</v>
          </cell>
          <cell r="G22">
            <v>7.7802635924345956E-2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E23">
            <v>1.02856912284019E-5</v>
          </cell>
          <cell r="F23">
            <v>2.72595851980816E-5</v>
          </cell>
          <cell r="G23">
            <v>3.16098096613007E-5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D24">
            <v>4.8859162891070505E-3</v>
          </cell>
          <cell r="E24">
            <v>7.4792660172568071E-3</v>
          </cell>
          <cell r="F24">
            <v>7.2309321377656182E-3</v>
          </cell>
          <cell r="G24">
            <v>5.9067116107414551E-3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D25">
            <v>10.916050699432997</v>
          </cell>
          <cell r="E25">
            <v>12.399831988564626</v>
          </cell>
          <cell r="F25">
            <v>15.818712588345479</v>
          </cell>
          <cell r="G25">
            <v>32.265657119554739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D27">
            <v>2.3129309615382331E-3</v>
          </cell>
          <cell r="E27">
            <v>0.12108199281861527</v>
          </cell>
          <cell r="F27">
            <v>0.20428233203167137</v>
          </cell>
          <cell r="G27">
            <v>2.1053308095114054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D28">
            <v>5.1996952185084148E-2</v>
          </cell>
          <cell r="E28">
            <v>3.7627642668563055E-4</v>
          </cell>
          <cell r="F28">
            <v>4.4239941836311239E-4</v>
          </cell>
          <cell r="G28">
            <v>4.147745247870475E-4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D29">
            <v>4.4601005721474969E-2</v>
          </cell>
          <cell r="E29">
            <v>3.7167026690542446E-4</v>
          </cell>
          <cell r="F29">
            <v>4.3708967549638587E-4</v>
          </cell>
          <cell r="G29">
            <v>1.3711272836873811E-3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D30">
            <v>10.817139810564898</v>
          </cell>
          <cell r="E30">
            <v>12.278006900946197</v>
          </cell>
          <cell r="F30">
            <v>15.613560964250466</v>
          </cell>
          <cell r="G30">
            <v>30.158546566690006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D31">
            <v>5.4079558753259836E-2</v>
          </cell>
          <cell r="E31">
            <v>0.6091925509147561</v>
          </cell>
          <cell r="F31">
            <v>1.1969037225828512</v>
          </cell>
          <cell r="G31">
            <v>5.0037842515533333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D32">
            <v>5.4079558753259836E-2</v>
          </cell>
          <cell r="E32">
            <v>0.6091925509147561</v>
          </cell>
          <cell r="F32">
            <v>1.1969037225828512</v>
          </cell>
          <cell r="G32">
            <v>5.0037842515533333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E33">
            <v>3.1706714954035597E-2</v>
          </cell>
          <cell r="F33">
            <v>4.3331659067877101E-2</v>
          </cell>
          <cell r="G33">
            <v>0.28988664841887402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D34">
            <v>4.0687086215013442E-3</v>
          </cell>
          <cell r="E34">
            <v>4.1887793320518001E-2</v>
          </cell>
          <cell r="F34">
            <v>8.2302744277871112E-2</v>
          </cell>
          <cell r="G34">
            <v>0.34404914975760853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D35">
            <v>1.2366645228201394E-5</v>
          </cell>
          <cell r="E35">
            <v>3.0377070242590219E-4</v>
          </cell>
          <cell r="F35">
            <v>3.5203786734509882E-4</v>
          </cell>
          <cell r="G35">
            <v>4.2698628437745834E-4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D36">
            <v>1.2366645228201394E-5</v>
          </cell>
          <cell r="E36">
            <v>3.0377070242590219E-4</v>
          </cell>
          <cell r="F36">
            <v>3.5203786734509882E-4</v>
          </cell>
          <cell r="G36">
            <v>4.2698628437745834E-4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E37">
            <v>3.1717633294114098E-5</v>
          </cell>
          <cell r="F37">
            <v>2.0980256415893502E-5</v>
          </cell>
          <cell r="G37">
            <v>2.11557939796258E-5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D38">
            <v>1.5200000000000001E-6</v>
          </cell>
          <cell r="E38">
            <v>3.28153716553084E-5</v>
          </cell>
          <cell r="F38">
            <v>5.1725008912137796E-5</v>
          </cell>
          <cell r="G38">
            <v>6.3263174230261302E-5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D39">
            <v>9.0983202927062856E-2</v>
          </cell>
          <cell r="E39">
            <v>0.1589660167670956</v>
          </cell>
          <cell r="F39">
            <v>0.15301846855894702</v>
          </cell>
          <cell r="G39">
            <v>0.12310272724316282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D40">
            <v>9.0983202927062856E-2</v>
          </cell>
          <cell r="E40">
            <v>0.1589660167670956</v>
          </cell>
          <cell r="F40">
            <v>0.15301846855894702</v>
          </cell>
          <cell r="G40">
            <v>0.12310272724316282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E41">
            <v>6.1343690126034402E-5</v>
          </cell>
          <cell r="F41">
            <v>6.5527307843675096E-5</v>
          </cell>
          <cell r="G41">
            <v>6.4110519429088305E-5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D42">
            <v>7.26269943139435E-3</v>
          </cell>
          <cell r="E42">
            <v>1.251912557958712E-2</v>
          </cell>
          <cell r="F42">
            <v>1.2063952645319787E-2</v>
          </cell>
          <cell r="G42">
            <v>9.704145019800681E-3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D43">
            <v>2.6767192409034814E-6</v>
          </cell>
          <cell r="E43">
            <v>1.876730059248663E-4</v>
          </cell>
          <cell r="F43">
            <v>6.083543750898012E-4</v>
          </cell>
          <cell r="G43">
            <v>9.8174989821293076E-4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D44">
            <v>2.6767192409034814E-6</v>
          </cell>
          <cell r="E44">
            <v>1.876730059248663E-4</v>
          </cell>
          <cell r="F44">
            <v>6.083543750898012E-4</v>
          </cell>
          <cell r="G44">
            <v>9.8174989821293076E-4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E45">
            <v>1.4273073511832E-5</v>
          </cell>
          <cell r="F45">
            <v>3.5683927767659902E-5</v>
          </cell>
          <cell r="G45">
            <v>3.7144317870447597E-5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D46">
            <v>2.5773195876288697E-7</v>
          </cell>
          <cell r="E46">
            <v>1.4333367511632664E-5</v>
          </cell>
          <cell r="F46">
            <v>4.8718740676216015E-5</v>
          </cell>
          <cell r="G46">
            <v>7.7010817143427057E-5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D47">
            <v>0.19499999999999984</v>
          </cell>
          <cell r="E47">
            <v>0.20003409052507212</v>
          </cell>
          <cell r="F47">
            <v>0.20758522631268006</v>
          </cell>
          <cell r="G47">
            <v>0.22017045262536084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D48">
            <v>7.7047200131009461</v>
          </cell>
          <cell r="E48">
            <v>7.9059054368509232</v>
          </cell>
          <cell r="F48">
            <v>8.2079014523043536</v>
          </cell>
          <cell r="G48">
            <v>8.711809997176081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D49">
            <v>4.4019869747813002E-5</v>
          </cell>
          <cell r="E49">
            <v>5.4053696588695897E-5</v>
          </cell>
          <cell r="F49">
            <v>8.1077337717174494E-5</v>
          </cell>
          <cell r="G49">
            <v>1.3513114328070301E-4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D50">
            <v>2.093822367612993E-3</v>
          </cell>
          <cell r="E50">
            <v>2.1478760642016886E-3</v>
          </cell>
          <cell r="F50">
            <v>2.2289534019188629E-3</v>
          </cell>
          <cell r="G50">
            <v>2.3640845451995659E-3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D51">
            <v>5.2960831123743559E-5</v>
          </cell>
          <cell r="E51">
            <v>9.154686130311647E-2</v>
          </cell>
          <cell r="F51">
            <v>0.99802375199539128</v>
          </cell>
          <cell r="G51">
            <v>3.6227753032169114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D52">
            <v>5.2960831123743559E-5</v>
          </cell>
          <cell r="E52">
            <v>9.154686130311647E-2</v>
          </cell>
          <cell r="F52">
            <v>0.99802375199539128</v>
          </cell>
          <cell r="G52">
            <v>3.6227753032169114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E53">
            <v>6.3757420382205597E-3</v>
          </cell>
          <cell r="F53">
            <v>6.3534660744775998E-2</v>
          </cell>
          <cell r="G53">
            <v>0.19956563432108401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D54">
            <v>4.0699052660908299E-6</v>
          </cell>
          <cell r="E54">
            <v>6.2948862172543061E-3</v>
          </cell>
          <cell r="F54">
            <v>6.8623515488501582E-2</v>
          </cell>
          <cell r="G54">
            <v>0.24909270776797818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D55">
            <v>3.1001483319038994E-3</v>
          </cell>
          <cell r="E55">
            <v>9.5289019014289204E-3</v>
          </cell>
          <cell r="F55">
            <v>9.9682694163733682E-3</v>
          </cell>
          <cell r="G55">
            <v>8.6941906572270151E-3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D56">
            <v>3.1001483319038994E-3</v>
          </cell>
          <cell r="E56">
            <v>9.5289019014289204E-3</v>
          </cell>
          <cell r="F56">
            <v>9.9682694163733682E-3</v>
          </cell>
          <cell r="G56">
            <v>8.6941906572270151E-3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E57">
            <v>7.2657349092792399E-5</v>
          </cell>
          <cell r="F57">
            <v>7.5299166933028393E-5</v>
          </cell>
          <cell r="G57">
            <v>7.2329527108636895E-5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D58">
            <v>2.5905494140503887E-4</v>
          </cell>
          <cell r="E58">
            <v>7.5175714847817272E-4</v>
          </cell>
          <cell r="F58">
            <v>7.9452578381574096E-4</v>
          </cell>
          <cell r="G58">
            <v>6.9215987736589491E-4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  <cell r="G59">
            <v>7.5822197632521908E-8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  <cell r="G60">
            <v>3.234711081872664E-7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  <cell r="G61">
            <v>1.08702788326137E-8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G62">
            <v>1.08702788326137E-8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D63">
            <v>2.1236090801657884E-4</v>
          </cell>
          <cell r="E63">
            <v>4.3631617512177387E-4</v>
          </cell>
          <cell r="F63">
            <v>4.2505722340010241E-4</v>
          </cell>
          <cell r="G63">
            <v>4.1241607411198118E-4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D64">
            <v>2.1959459903209501E-2</v>
          </cell>
          <cell r="E64">
            <v>4.5117849806708896E-2</v>
          </cell>
          <cell r="F64">
            <v>4.3953603047767201E-2</v>
          </cell>
          <cell r="G64">
            <v>4.2646428325660221E-2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D65">
            <v>2.975536572250612E-4</v>
          </cell>
          <cell r="E65">
            <v>6.1135297841069026E-4</v>
          </cell>
          <cell r="F65">
            <v>5.9557727707001691E-4</v>
          </cell>
          <cell r="G65">
            <v>5.7786488246151931E-4</v>
          </cell>
        </row>
        <row r="66">
          <cell r="A66" t="str">
            <v>T-Plg-GSL-mix_S2</v>
          </cell>
          <cell r="B66" t="str">
            <v>VAR_fout</v>
          </cell>
          <cell r="C66" t="str">
            <v>CO2_T</v>
          </cell>
          <cell r="D66">
            <v>5.5812966238292701</v>
          </cell>
          <cell r="E66">
            <v>10.909546758327501</v>
          </cell>
          <cell r="F66">
            <v>10.236726641542655</v>
          </cell>
          <cell r="G66">
            <v>7.5052581511581646</v>
          </cell>
        </row>
        <row r="67">
          <cell r="A67" t="str">
            <v>T-Plg-GSL-mix_S2</v>
          </cell>
          <cell r="B67" t="str">
            <v>VAR_fout</v>
          </cell>
          <cell r="C67" t="str">
            <v>T-PEVmix-ELC_GSL_S2</v>
          </cell>
          <cell r="D67">
            <v>4.4318833326678998E-2</v>
          </cell>
          <cell r="E67">
            <v>8.6628326182779589E-2</v>
          </cell>
          <cell r="F67">
            <v>8.1285732046622219E-2</v>
          </cell>
          <cell r="G67">
            <v>5.9596238561258889E-2</v>
          </cell>
        </row>
        <row r="68">
          <cell r="A68" t="str">
            <v>T-Plg-GSL-mix_S2</v>
          </cell>
          <cell r="B68" t="str">
            <v>VAR_fin</v>
          </cell>
          <cell r="C68" t="str">
            <v>TGSL</v>
          </cell>
          <cell r="D68">
            <v>7.5627325526141903E-2</v>
          </cell>
          <cell r="E68">
            <v>0.14782583683370604</v>
          </cell>
          <cell r="F68">
            <v>0.13870903308323393</v>
          </cell>
          <cell r="G68">
            <v>0.10169726492084229</v>
          </cell>
        </row>
        <row r="69">
          <cell r="A69" t="str">
            <v>T_B_u-FCLH2O-S3</v>
          </cell>
          <cell r="B69" t="str">
            <v>VAR_fout</v>
          </cell>
          <cell r="C69" t="str">
            <v>TPBSu</v>
          </cell>
          <cell r="G69">
            <v>7.5791175657496203E-8</v>
          </cell>
        </row>
        <row r="70">
          <cell r="A70" t="str">
            <v>T_B_u-FCLH2O-S3</v>
          </cell>
          <cell r="B70" t="str">
            <v>VAR_fin</v>
          </cell>
          <cell r="C70" t="str">
            <v>TH2O</v>
          </cell>
          <cell r="G70">
            <v>6.7007562159622218E-7</v>
          </cell>
        </row>
        <row r="71">
          <cell r="A71" t="str">
            <v>T_B_u-FCLH2O-S3</v>
          </cell>
          <cell r="B71" t="str">
            <v>VAR_ncap</v>
          </cell>
          <cell r="C71" t="str">
            <v>-</v>
          </cell>
          <cell r="G71">
            <v>1.04212997327227E-8</v>
          </cell>
        </row>
        <row r="72">
          <cell r="A72" t="str">
            <v>T_B_u-FCLH2O-S3</v>
          </cell>
          <cell r="B72" t="str">
            <v>VAR_cap</v>
          </cell>
          <cell r="C72" t="str">
            <v>-</v>
          </cell>
          <cell r="G72">
            <v>1.04212997327227E-8</v>
          </cell>
        </row>
        <row r="73">
          <cell r="A73" t="str">
            <v>T-PHEV-STG_S1</v>
          </cell>
          <cell r="B73" t="str">
            <v>VAR_fout</v>
          </cell>
          <cell r="C73" t="str">
            <v>T-ELC-car-PlgSTGAUXout_S1</v>
          </cell>
          <cell r="E73">
            <v>4.4147390587541723E-5</v>
          </cell>
          <cell r="F73">
            <v>5.7904498921505496E-5</v>
          </cell>
          <cell r="G73">
            <v>2.6873543916340896E-4</v>
          </cell>
        </row>
        <row r="74">
          <cell r="A74" t="str">
            <v>T-PHEV-STG_S1</v>
          </cell>
          <cell r="B74" t="str">
            <v>VAR_fout</v>
          </cell>
          <cell r="C74" t="str">
            <v>T-ELC-car-PlgSTGOut_S1</v>
          </cell>
          <cell r="E74">
            <v>4.4147390587541717E-5</v>
          </cell>
          <cell r="F74">
            <v>5.7904498921505482E-5</v>
          </cell>
          <cell r="G74">
            <v>2.6873543916340891E-4</v>
          </cell>
        </row>
        <row r="75">
          <cell r="A75" t="str">
            <v>T-PHEV-STG_S1</v>
          </cell>
          <cell r="B75" t="str">
            <v>VAR_fin</v>
          </cell>
          <cell r="C75" t="str">
            <v>T-ELC-car-PlgSTGAUXin_S1</v>
          </cell>
          <cell r="E75">
            <v>4.4904979063206466E-5</v>
          </cell>
          <cell r="F75">
            <v>5.9344624744403129E-5</v>
          </cell>
          <cell r="G75">
            <v>2.697429831071217E-4</v>
          </cell>
        </row>
        <row r="76">
          <cell r="A76" t="str">
            <v>T-PHEV-STG_S1</v>
          </cell>
          <cell r="B76" t="str">
            <v>VAR_fin</v>
          </cell>
          <cell r="C76" t="str">
            <v>T-ELC-car-PlgSTGin_S1</v>
          </cell>
          <cell r="E76">
            <v>4.4904979063206466E-5</v>
          </cell>
          <cell r="F76">
            <v>5.9344624744403129E-5</v>
          </cell>
          <cell r="G76">
            <v>2.697429831071217E-4</v>
          </cell>
        </row>
        <row r="77">
          <cell r="A77" t="str">
            <v>T-PHEV-STG_S1</v>
          </cell>
          <cell r="B77" t="str">
            <v>VAR_ncap</v>
          </cell>
          <cell r="C77" t="str">
            <v>-</v>
          </cell>
          <cell r="E77">
            <v>2.6712969549988002E-3</v>
          </cell>
          <cell r="F77">
            <v>1.6123129448284801E-3</v>
          </cell>
          <cell r="G77">
            <v>1.8800135779726099E-3</v>
          </cell>
        </row>
        <row r="78">
          <cell r="A78" t="str">
            <v>T-PHEV-STG_S1</v>
          </cell>
          <cell r="B78" t="str">
            <v>VAR_cap</v>
          </cell>
          <cell r="C78" t="str">
            <v>-</v>
          </cell>
          <cell r="E78">
            <v>2.6712969549988002E-3</v>
          </cell>
          <cell r="F78">
            <v>4.2824425568659076E-3</v>
          </cell>
          <cell r="G78">
            <v>6.1601146064351143E-3</v>
          </cell>
        </row>
        <row r="79">
          <cell r="A79" t="str">
            <v>T-Plg-GSL-mix_S3</v>
          </cell>
          <cell r="B79" t="str">
            <v>VAR_fout</v>
          </cell>
          <cell r="C79" t="str">
            <v>CO2_T</v>
          </cell>
          <cell r="D79">
            <v>7.3158778479884603</v>
          </cell>
          <cell r="E79">
            <v>69.339713200270211</v>
          </cell>
          <cell r="F79">
            <v>130.85250553796772</v>
          </cell>
          <cell r="G79">
            <v>477.33982602168794</v>
          </cell>
        </row>
        <row r="80">
          <cell r="A80" t="str">
            <v>T-Plg-GSL-mix_S3</v>
          </cell>
          <cell r="B80" t="str">
            <v>VAR_fout</v>
          </cell>
          <cell r="C80" t="str">
            <v>T-PEVmix-ELC_GSL_S3</v>
          </cell>
          <cell r="D80">
            <v>5.4079656848361891E-2</v>
          </cell>
          <cell r="E80">
            <v>0.51256567889053684</v>
          </cell>
          <cell r="F80">
            <v>0.96727402292362974</v>
          </cell>
          <cell r="G80">
            <v>3.5285408706499273</v>
          </cell>
        </row>
        <row r="81">
          <cell r="A81" t="str">
            <v>T-Plg-GSL-mix_S3</v>
          </cell>
          <cell r="B81" t="str">
            <v>VAR_fin</v>
          </cell>
          <cell r="C81" t="str">
            <v>TGSL</v>
          </cell>
          <cell r="D81">
            <v>9.9131136151605112E-2</v>
          </cell>
          <cell r="E81">
            <v>0.9395625094887563</v>
          </cell>
          <cell r="F81">
            <v>1.773069180731268</v>
          </cell>
          <cell r="G81">
            <v>6.4680193227871108</v>
          </cell>
        </row>
        <row r="82">
          <cell r="A82" t="str">
            <v>T_B_u-FCLH2O-S4</v>
          </cell>
          <cell r="B82" t="str">
            <v>VAR_cap</v>
          </cell>
          <cell r="C82" t="str">
            <v>-</v>
          </cell>
        </row>
        <row r="83">
          <cell r="A83" t="str">
            <v>T-PHEV-STG_S2</v>
          </cell>
          <cell r="B83" t="str">
            <v>VAR_fout</v>
          </cell>
          <cell r="C83" t="str">
            <v>T-ELC-car-PlgSTGAUXout_S2</v>
          </cell>
          <cell r="D83">
            <v>2.682130978987448E-3</v>
          </cell>
          <cell r="E83">
            <v>7.9640917650124054E-3</v>
          </cell>
          <cell r="F83">
            <v>9.3328692131702494E-3</v>
          </cell>
          <cell r="G83">
            <v>1.2297743274613138E-2</v>
          </cell>
        </row>
        <row r="84">
          <cell r="A84" t="str">
            <v>T-PHEV-STG_S2</v>
          </cell>
          <cell r="B84" t="str">
            <v>VAR_fout</v>
          </cell>
          <cell r="C84" t="str">
            <v>T-ELC-car-PlgSTGOut_S2</v>
          </cell>
          <cell r="D84">
            <v>2.6821309789874475E-3</v>
          </cell>
          <cell r="E84">
            <v>7.9640917650124037E-3</v>
          </cell>
          <cell r="F84">
            <v>9.3328692131702494E-3</v>
          </cell>
          <cell r="G84">
            <v>1.2297743274613134E-2</v>
          </cell>
        </row>
        <row r="85">
          <cell r="A85" t="str">
            <v>T-PHEV-STG_S2</v>
          </cell>
          <cell r="B85" t="str">
            <v>VAR_fin</v>
          </cell>
          <cell r="C85" t="str">
            <v>T-ELC-car-PlgSTGAUXin_S2</v>
          </cell>
          <cell r="D85">
            <v>2.6826587457798724E-3</v>
          </cell>
          <cell r="E85">
            <v>7.9655360106687216E-3</v>
          </cell>
          <cell r="F85">
            <v>9.3354968259375826E-3</v>
          </cell>
          <cell r="G85">
            <v>1.2300031260777678E-2</v>
          </cell>
        </row>
        <row r="86">
          <cell r="A86" t="str">
            <v>T-PHEV-STG_S2</v>
          </cell>
          <cell r="B86" t="str">
            <v>VAR_fin</v>
          </cell>
          <cell r="C86" t="str">
            <v>T-ELC-car-PlgSTGin_S2</v>
          </cell>
          <cell r="D86">
            <v>2.6826587457798724E-3</v>
          </cell>
          <cell r="E86">
            <v>7.9655360106687216E-3</v>
          </cell>
          <cell r="F86">
            <v>9.3354968259375826E-3</v>
          </cell>
          <cell r="G86">
            <v>1.2300031260777678E-2</v>
          </cell>
        </row>
        <row r="87">
          <cell r="A87" t="str">
            <v>T-PHEV-STG_S2</v>
          </cell>
          <cell r="B87" t="str">
            <v>VAR_ncap</v>
          </cell>
          <cell r="C87" t="str">
            <v>-</v>
          </cell>
          <cell r="D87">
            <v>8.7703735515212104E-3</v>
          </cell>
          <cell r="E87">
            <v>8.7409434485795599E-3</v>
          </cell>
          <cell r="F87">
            <v>1.03468331493883E-2</v>
          </cell>
          <cell r="G87">
            <v>9.2035891744824301E-3</v>
          </cell>
        </row>
        <row r="88">
          <cell r="A88" t="str">
            <v>T-PHEV-STG_S2</v>
          </cell>
          <cell r="B88" t="str">
            <v>VAR_cap</v>
          </cell>
          <cell r="C88" t="str">
            <v>-</v>
          </cell>
          <cell r="D88">
            <v>8.7703735515212104E-3</v>
          </cell>
          <cell r="E88">
            <v>1.7509909086401144E-2</v>
          </cell>
          <cell r="F88">
            <v>2.7852522403289375E-2</v>
          </cell>
          <cell r="G88">
            <v>3.7048803253424495E-2</v>
          </cell>
        </row>
        <row r="89">
          <cell r="A89" t="str">
            <v>T-Plg-GSL-mix_S4</v>
          </cell>
          <cell r="B89" t="str">
            <v>VAR_fout</v>
          </cell>
          <cell r="C89" t="str">
            <v>CO2_T</v>
          </cell>
          <cell r="D89">
            <v>12.9186857848784</v>
          </cell>
          <cell r="E89">
            <v>19.233249375029672</v>
          </cell>
          <cell r="F89">
            <v>17.838002447191251</v>
          </cell>
          <cell r="G89">
            <v>12.65683225483393</v>
          </cell>
        </row>
        <row r="90">
          <cell r="A90" t="str">
            <v>T-Plg-GSL-mix_S4</v>
          </cell>
          <cell r="B90" t="str">
            <v>VAR_fout</v>
          </cell>
          <cell r="C90" t="str">
            <v>T-PEVmix-ELC_GSL_S4</v>
          </cell>
          <cell r="D90">
            <v>9.0983202927062828E-2</v>
          </cell>
          <cell r="E90">
            <v>0.13545515851801443</v>
          </cell>
          <cell r="F90">
            <v>0.12562876932620723</v>
          </cell>
          <cell r="G90">
            <v>8.9139031371385416E-2</v>
          </cell>
        </row>
        <row r="91">
          <cell r="A91" t="str">
            <v>T-Plg-GSL-mix_S4</v>
          </cell>
          <cell r="B91" t="str">
            <v>VAR_fin</v>
          </cell>
          <cell r="C91" t="str">
            <v>TGSL</v>
          </cell>
          <cell r="D91">
            <v>0.17504994288453174</v>
          </cell>
          <cell r="E91">
            <v>0.26061313516300372</v>
          </cell>
          <cell r="F91">
            <v>0.24170735023294365</v>
          </cell>
          <cell r="G91">
            <v>0.1715017920709207</v>
          </cell>
        </row>
        <row r="92">
          <cell r="A92" t="str">
            <v>T-PHEV-STG_S3</v>
          </cell>
          <cell r="B92" t="str">
            <v>VAR_fout</v>
          </cell>
          <cell r="C92" t="str">
            <v>T-ELC-car-PlgSTGAUXout_S3</v>
          </cell>
          <cell r="E92">
            <v>7.9324557139038798E-2</v>
          </cell>
          <cell r="F92">
            <v>0.30053728129713331</v>
          </cell>
          <cell r="G92">
            <v>1.8152960897022496</v>
          </cell>
        </row>
        <row r="93">
          <cell r="A93" t="str">
            <v>T-PHEV-STG_S3</v>
          </cell>
          <cell r="B93" t="str">
            <v>VAR_fout</v>
          </cell>
          <cell r="C93" t="str">
            <v>T-ELC-car-PlgSTGOut_S3</v>
          </cell>
          <cell r="E93">
            <v>7.9324557139038798E-2</v>
          </cell>
          <cell r="F93">
            <v>0.30053728129713331</v>
          </cell>
          <cell r="G93">
            <v>1.8152960897022496</v>
          </cell>
        </row>
        <row r="94">
          <cell r="A94" t="str">
            <v>T-PHEV-STG_S3</v>
          </cell>
          <cell r="B94" t="str">
            <v>VAR_fin</v>
          </cell>
          <cell r="C94" t="str">
            <v>T-ELC-car-PlgSTGAUXin_S3</v>
          </cell>
          <cell r="E94">
            <v>7.9332952894500416E-2</v>
          </cell>
          <cell r="F94">
            <v>0.3005683180534367</v>
          </cell>
          <cell r="G94">
            <v>1.8154787239426173</v>
          </cell>
        </row>
        <row r="95">
          <cell r="A95" t="str">
            <v>T-PHEV-STG_S3</v>
          </cell>
          <cell r="B95" t="str">
            <v>VAR_fin</v>
          </cell>
          <cell r="C95" t="str">
            <v>T-ELC-car-PlgSTGin_S3</v>
          </cell>
          <cell r="E95">
            <v>7.9332952894500416E-2</v>
          </cell>
          <cell r="F95">
            <v>0.3005683180534367</v>
          </cell>
          <cell r="G95">
            <v>1.8154787239426173</v>
          </cell>
        </row>
        <row r="96">
          <cell r="A96" t="str">
            <v>T-PHEV-STG_S3</v>
          </cell>
          <cell r="B96" t="str">
            <v>VAR_ncap</v>
          </cell>
          <cell r="C96" t="str">
            <v>-</v>
          </cell>
          <cell r="E96">
            <v>3.3831253499315999</v>
          </cell>
          <cell r="F96">
            <v>9.3672452767466599</v>
          </cell>
          <cell r="G96">
            <v>41.932188395323301</v>
          </cell>
        </row>
        <row r="97">
          <cell r="A97" t="str">
            <v>T-PHEV-STG_S3</v>
          </cell>
          <cell r="B97" t="str">
            <v>VAR_cap</v>
          </cell>
          <cell r="C97" t="str">
            <v>-</v>
          </cell>
          <cell r="E97">
            <v>3.3831253499315999</v>
          </cell>
          <cell r="F97">
            <v>12.747235368089118</v>
          </cell>
          <cell r="G97">
            <v>54.661120739693672</v>
          </cell>
        </row>
        <row r="98">
          <cell r="A98" t="str">
            <v>TFLGV-HYBDSL</v>
          </cell>
          <cell r="B98" t="str">
            <v>VAR_fout</v>
          </cell>
          <cell r="C98" t="str">
            <v>CO2_T</v>
          </cell>
          <cell r="E98">
            <v>31.589846597102099</v>
          </cell>
          <cell r="F98">
            <v>104.92024431584279</v>
          </cell>
          <cell r="G98">
            <v>277.67315265799527</v>
          </cell>
        </row>
        <row r="99">
          <cell r="A99" t="str">
            <v>TFLGV-HYBDSL</v>
          </cell>
          <cell r="B99" t="str">
            <v>VAR_fout</v>
          </cell>
          <cell r="C99" t="str">
            <v>TFLGV</v>
          </cell>
          <cell r="E99">
            <v>0.1985754102130862</v>
          </cell>
          <cell r="F99">
            <v>0.65953408449242001</v>
          </cell>
          <cell r="G99">
            <v>1.7454678048129719</v>
          </cell>
        </row>
        <row r="100">
          <cell r="A100" t="str">
            <v>TFLGV-HYBDSL</v>
          </cell>
          <cell r="B100" t="str">
            <v>VAR_fin</v>
          </cell>
          <cell r="C100" t="str">
            <v>TDSL</v>
          </cell>
          <cell r="E100">
            <v>0.43096652929197987</v>
          </cell>
          <cell r="F100">
            <v>1.4313812321397388</v>
          </cell>
          <cell r="G100">
            <v>3.7881739789630986</v>
          </cell>
        </row>
        <row r="101">
          <cell r="A101" t="str">
            <v>TFLGV-HYBDSL</v>
          </cell>
          <cell r="B101" t="str">
            <v>VAR_ncap</v>
          </cell>
          <cell r="C101" t="str">
            <v>-</v>
          </cell>
          <cell r="E101">
            <v>1.3841464824426599E-2</v>
          </cell>
          <cell r="F101">
            <v>3.9611886500138901E-2</v>
          </cell>
          <cell r="G101">
            <v>9.6406261831947004E-2</v>
          </cell>
        </row>
        <row r="102">
          <cell r="A102" t="str">
            <v>TFLGV-HYBDSL</v>
          </cell>
          <cell r="B102" t="str">
            <v>VAR_cap</v>
          </cell>
          <cell r="C102" t="str">
            <v>-</v>
          </cell>
          <cell r="E102">
            <v>1.3841464824426599E-2</v>
          </cell>
          <cell r="F102">
            <v>5.3453351324565503E-2</v>
          </cell>
          <cell r="G102">
            <v>0.14802568234340899</v>
          </cell>
        </row>
        <row r="103">
          <cell r="A103" t="str">
            <v>TFHGV-FCLH2O</v>
          </cell>
          <cell r="B103" t="str">
            <v>VAR_fout</v>
          </cell>
          <cell r="C103" t="str">
            <v>TFHGV</v>
          </cell>
          <cell r="D103">
            <v>3.748609408869645E-4</v>
          </cell>
          <cell r="E103">
            <v>3.2232611772582516E-5</v>
          </cell>
          <cell r="F103">
            <v>3.4946160017248713E-5</v>
          </cell>
          <cell r="G103">
            <v>1.9762372462176124E-5</v>
          </cell>
        </row>
        <row r="104">
          <cell r="A104" t="str">
            <v>TFHGV-FCLH2O</v>
          </cell>
          <cell r="B104" t="str">
            <v>VAR_fin</v>
          </cell>
          <cell r="C104" t="str">
            <v>TH2O</v>
          </cell>
          <cell r="D104">
            <v>2.1487083976774761E-3</v>
          </cell>
          <cell r="E104">
            <v>1.8393459991732693E-4</v>
          </cell>
          <cell r="F104">
            <v>1.9892138861269637E-4</v>
          </cell>
          <cell r="G104">
            <v>1.0913497622864325E-4</v>
          </cell>
        </row>
        <row r="105">
          <cell r="A105" t="str">
            <v>TFHGV-FCLH2O</v>
          </cell>
          <cell r="B105" t="str">
            <v>VAR_ncap</v>
          </cell>
          <cell r="C105" t="str">
            <v>-</v>
          </cell>
          <cell r="E105">
            <v>5.2861649910015E-8</v>
          </cell>
          <cell r="F105">
            <v>7.6946574749555599E-8</v>
          </cell>
          <cell r="G105">
            <v>1.7858519884530901E-7</v>
          </cell>
        </row>
        <row r="106">
          <cell r="A106" t="str">
            <v>TFHGV-FCLH2O</v>
          </cell>
          <cell r="B106" t="str">
            <v>VAR_cap</v>
          </cell>
          <cell r="C106" t="str">
            <v>-</v>
          </cell>
          <cell r="D106">
            <v>1.0029667552528959E-5</v>
          </cell>
          <cell r="E106">
            <v>6.5080999701431521E-7</v>
          </cell>
          <cell r="F106">
            <v>7.3369592609526929E-7</v>
          </cell>
          <cell r="G106">
            <v>3.8822324458933247E-7</v>
          </cell>
        </row>
        <row r="107">
          <cell r="A107" t="str">
            <v>T-PHEV-STG_S4</v>
          </cell>
          <cell r="B107" t="str">
            <v>VAR_fout</v>
          </cell>
          <cell r="C107" t="str">
            <v>T-ELC-car-PlgSTGAUXout_S4</v>
          </cell>
          <cell r="E107">
            <v>1.8605333970530137E-2</v>
          </cell>
          <cell r="F107">
            <v>2.1166152269184429E-2</v>
          </cell>
          <cell r="G107">
            <v>2.7179917584823098E-2</v>
          </cell>
        </row>
        <row r="108">
          <cell r="A108" t="str">
            <v>T-PHEV-STG_S4</v>
          </cell>
          <cell r="B108" t="str">
            <v>VAR_fout</v>
          </cell>
          <cell r="C108" t="str">
            <v>T-ELC-car-PlgSTGOut_S4</v>
          </cell>
          <cell r="E108">
            <v>1.8605333970530137E-2</v>
          </cell>
          <cell r="F108">
            <v>2.1166152269184429E-2</v>
          </cell>
          <cell r="G108">
            <v>2.7179917584823091E-2</v>
          </cell>
        </row>
        <row r="109">
          <cell r="A109" t="str">
            <v>T-PHEV-STG_S4</v>
          </cell>
          <cell r="B109" t="str">
            <v>VAR_fin</v>
          </cell>
          <cell r="C109" t="str">
            <v>T-ELC-car-PlgSTGAUXin_S4</v>
          </cell>
          <cell r="E109">
            <v>1.8607906891511813E-2</v>
          </cell>
          <cell r="F109">
            <v>2.1169249118630058E-2</v>
          </cell>
          <cell r="G109">
            <v>2.7183722325004839E-2</v>
          </cell>
        </row>
        <row r="110">
          <cell r="A110" t="str">
            <v>T-PHEV-STG_S4</v>
          </cell>
          <cell r="B110" t="str">
            <v>VAR_fin</v>
          </cell>
          <cell r="C110" t="str">
            <v>T-ELC-car-PlgSTGin_S4</v>
          </cell>
          <cell r="E110">
            <v>1.8607906891511813E-2</v>
          </cell>
          <cell r="F110">
            <v>2.1169249118630058E-2</v>
          </cell>
          <cell r="G110">
            <v>2.7183722325004839E-2</v>
          </cell>
        </row>
        <row r="111">
          <cell r="A111" t="str">
            <v>T-PHEV-STG_S4</v>
          </cell>
          <cell r="B111" t="str">
            <v>VAR_ncap</v>
          </cell>
          <cell r="C111" t="str">
            <v>-</v>
          </cell>
          <cell r="E111">
            <v>1.21164497749702E-2</v>
          </cell>
          <cell r="F111">
            <v>1.2803996122573999E-2</v>
          </cell>
          <cell r="G111">
            <v>1.2262701607896101E-2</v>
          </cell>
        </row>
        <row r="112">
          <cell r="A112" t="str">
            <v>T-PHEV-STG_S4</v>
          </cell>
          <cell r="B112" t="str">
            <v>VAR_cap</v>
          </cell>
          <cell r="C112" t="str">
            <v>-</v>
          </cell>
          <cell r="E112">
            <v>1.21164497749702E-2</v>
          </cell>
          <cell r="F112">
            <v>2.4918916860213997E-2</v>
          </cell>
          <cell r="G112">
            <v>3.7176798948286779E-2</v>
          </cell>
        </row>
        <row r="113">
          <cell r="A113" t="str">
            <v>TFLGV-ICEGSLExt</v>
          </cell>
          <cell r="B113" t="str">
            <v>VAR_fout</v>
          </cell>
          <cell r="C113" t="str">
            <v>CO2_T</v>
          </cell>
          <cell r="D113">
            <v>61.391431278586502</v>
          </cell>
          <cell r="E113">
            <v>130.27542744483</v>
          </cell>
          <cell r="F113">
            <v>39.987017062244497</v>
          </cell>
          <cell r="G113">
            <v>19.989402097319498</v>
          </cell>
        </row>
        <row r="114">
          <cell r="A114" t="str">
            <v>TFLGV-ICEGSLExt</v>
          </cell>
          <cell r="B114" t="str">
            <v>VAR_fout</v>
          </cell>
          <cell r="C114" t="str">
            <v>TFLGV</v>
          </cell>
          <cell r="D114">
            <v>0.23091102158820134</v>
          </cell>
          <cell r="E114">
            <v>0.49457060796828495</v>
          </cell>
          <cell r="F114">
            <v>0.15390719332447755</v>
          </cell>
          <cell r="G114">
            <v>7.6937791289705681E-2</v>
          </cell>
        </row>
        <row r="115">
          <cell r="A115" t="str">
            <v>TFLGV-ICEGSLExt</v>
          </cell>
          <cell r="B115" t="str">
            <v>VAR_fin</v>
          </cell>
          <cell r="C115" t="str">
            <v>TGSL</v>
          </cell>
          <cell r="D115">
            <v>0.83186221244697156</v>
          </cell>
          <cell r="E115">
            <v>1.7652496943743856</v>
          </cell>
          <cell r="F115">
            <v>0.54182949948840853</v>
          </cell>
          <cell r="G115">
            <v>0.27085910700974941</v>
          </cell>
        </row>
        <row r="116">
          <cell r="A116" t="str">
            <v>TFLGV-ICEGSLExt</v>
          </cell>
          <cell r="B116" t="str">
            <v>VAR_cap</v>
          </cell>
          <cell r="C116" t="str">
            <v>-</v>
          </cell>
          <cell r="D116">
            <v>4.5952E-2</v>
          </cell>
          <cell r="E116">
            <v>3.98250666666667E-2</v>
          </cell>
          <cell r="F116">
            <v>3.0634666666666699E-2</v>
          </cell>
          <cell r="G116">
            <v>1.5317333333333299E-2</v>
          </cell>
        </row>
        <row r="117">
          <cell r="A117" t="str">
            <v>TFRLFELCEXT</v>
          </cell>
          <cell r="B117" t="str">
            <v>VAR_fout</v>
          </cell>
          <cell r="C117" t="str">
            <v>TFRLF</v>
          </cell>
          <cell r="D117">
            <v>2.5094614594832879E-2</v>
          </cell>
          <cell r="E117">
            <v>2.6565219225528479E-2</v>
          </cell>
          <cell r="F117">
            <v>2.9171919239914641E-2</v>
          </cell>
          <cell r="G117">
            <v>3.1644726245877636E-2</v>
          </cell>
        </row>
        <row r="118">
          <cell r="A118" t="str">
            <v>TFRLFELCEXT</v>
          </cell>
          <cell r="B118" t="str">
            <v>VAR_fin</v>
          </cell>
          <cell r="C118" t="str">
            <v>TELC</v>
          </cell>
          <cell r="D118">
            <v>1.5023087997690843</v>
          </cell>
          <cell r="E118">
            <v>1.5903477002800355</v>
          </cell>
          <cell r="F118">
            <v>1.7463998426698581</v>
          </cell>
          <cell r="G118">
            <v>1.8944363750162725</v>
          </cell>
        </row>
        <row r="119">
          <cell r="A119" t="str">
            <v>TFRLFELCEXT</v>
          </cell>
          <cell r="B119" t="str">
            <v>VAR_ncap</v>
          </cell>
          <cell r="C119" t="str">
            <v>-</v>
          </cell>
          <cell r="D119">
            <v>4.3430039000169898E-8</v>
          </cell>
          <cell r="E119">
            <v>1.3573189124764401E-4</v>
          </cell>
          <cell r="F119">
            <v>2.4064414450934799E-4</v>
          </cell>
          <cell r="G119">
            <v>2.28274980856496E-4</v>
          </cell>
        </row>
        <row r="120">
          <cell r="A120" t="str">
            <v>TFRLFELCEXT</v>
          </cell>
          <cell r="B120" t="str">
            <v>VAR_cap</v>
          </cell>
          <cell r="C120" t="str">
            <v>-</v>
          </cell>
          <cell r="D120">
            <v>2.3167079177221798E-3</v>
          </cell>
          <cell r="E120">
            <v>2.452439808969825E-3</v>
          </cell>
          <cell r="F120">
            <v>2.693083953479173E-3</v>
          </cell>
          <cell r="G120">
            <v>2.9213589343356689E-3</v>
          </cell>
        </row>
        <row r="121">
          <cell r="A121" t="str">
            <v>TFLGV-ICEDSLExt</v>
          </cell>
          <cell r="B121" t="str">
            <v>VAR_fout</v>
          </cell>
          <cell r="C121" t="str">
            <v>CO2_T</v>
          </cell>
          <cell r="D121">
            <v>788.81846734554995</v>
          </cell>
          <cell r="E121">
            <v>545.26461919408302</v>
          </cell>
          <cell r="F121">
            <v>399.54509585274798</v>
          </cell>
          <cell r="G121">
            <v>199.765850709153</v>
          </cell>
        </row>
        <row r="122">
          <cell r="A122" t="str">
            <v>TFLGV-ICEDSLExt</v>
          </cell>
          <cell r="B122" t="str">
            <v>VAR_fout</v>
          </cell>
          <cell r="C122" t="str">
            <v>TFLGV</v>
          </cell>
          <cell r="D122">
            <v>2.7876245893642211</v>
          </cell>
          <cell r="E122">
            <v>1.9931353152584688</v>
          </cell>
          <cell r="F122">
            <v>1.5332540467008777</v>
          </cell>
          <cell r="G122">
            <v>0.76660132278368742</v>
          </cell>
        </row>
        <row r="123">
          <cell r="A123" t="str">
            <v>TFLGV-ICEDSLExt</v>
          </cell>
          <cell r="B123" t="str">
            <v>VAR_fin</v>
          </cell>
          <cell r="C123" t="str">
            <v>TDSL</v>
          </cell>
          <cell r="D123">
            <v>10.761507057920186</v>
          </cell>
          <cell r="E123">
            <v>7.4388079016928179</v>
          </cell>
          <cell r="F123">
            <v>5.4508198615654564</v>
          </cell>
          <cell r="G123">
            <v>2.725318563562793</v>
          </cell>
        </row>
        <row r="124">
          <cell r="A124" t="str">
            <v>TFLGV-ICEDSLExt</v>
          </cell>
          <cell r="B124" t="str">
            <v>VAR_cap</v>
          </cell>
          <cell r="C124" t="str">
            <v>-</v>
          </cell>
          <cell r="D124">
            <v>0.228993</v>
          </cell>
          <cell r="E124">
            <v>0.19846059999999999</v>
          </cell>
          <cell r="F124">
            <v>0.15266199999999999</v>
          </cell>
          <cell r="G124">
            <v>7.6330999999999996E-2</v>
          </cell>
        </row>
        <row r="125">
          <cell r="A125" t="str">
            <v>T_C-ICE-NGA-S1</v>
          </cell>
          <cell r="B125" t="str">
            <v>VAR_fout</v>
          </cell>
          <cell r="C125" t="str">
            <v>CO2_T</v>
          </cell>
          <cell r="D125">
            <v>0.21077709932614919</v>
          </cell>
          <cell r="E125">
            <v>0.11869725125449089</v>
          </cell>
          <cell r="F125">
            <v>9.0543257257389154E-2</v>
          </cell>
          <cell r="G125">
            <v>7.6451807012294535E-3</v>
          </cell>
        </row>
        <row r="126">
          <cell r="A126" t="str">
            <v>T_C-ICE-NGA-S1</v>
          </cell>
          <cell r="B126" t="str">
            <v>VAR_fout</v>
          </cell>
          <cell r="C126" t="str">
            <v>TPCAR</v>
          </cell>
          <cell r="D126">
            <v>2.3003178964511335E-3</v>
          </cell>
          <cell r="E126">
            <v>1.3814110682056518E-3</v>
          </cell>
          <cell r="F126">
            <v>1.0480427295447266E-3</v>
          </cell>
          <cell r="G126">
            <v>8.4836095002098621E-5</v>
          </cell>
        </row>
        <row r="127">
          <cell r="A127" t="str">
            <v>T_C-ICE-NGA-S1</v>
          </cell>
          <cell r="B127" t="str">
            <v>VAR_fin</v>
          </cell>
          <cell r="C127" t="str">
            <v>TNGA</v>
          </cell>
          <cell r="D127">
            <v>3.7371826121657707E-3</v>
          </cell>
          <cell r="E127">
            <v>2.1045611924555181E-3</v>
          </cell>
          <cell r="F127">
            <v>1.605376901726759E-3</v>
          </cell>
          <cell r="G127">
            <v>1.3555284931257916E-4</v>
          </cell>
        </row>
        <row r="128">
          <cell r="A128" t="str">
            <v>T_C-ICE-NGA-S1</v>
          </cell>
          <cell r="B128" t="str">
            <v>VAR_ncap</v>
          </cell>
          <cell r="C128" t="str">
            <v>-</v>
          </cell>
          <cell r="E128">
            <v>1.2734560283740901E-6</v>
          </cell>
          <cell r="F128">
            <v>1.18934032675005E-6</v>
          </cell>
          <cell r="G128">
            <v>6.5855506632013302E-7</v>
          </cell>
        </row>
        <row r="129">
          <cell r="A129" t="str">
            <v>T_C-ICE-NGA-S1</v>
          </cell>
          <cell r="B129" t="str">
            <v>VAR_cap</v>
          </cell>
          <cell r="C129" t="str">
            <v>-</v>
          </cell>
          <cell r="D129">
            <v>2.5600090772638596E-4</v>
          </cell>
          <cell r="E129">
            <v>1.5551100563001793E-4</v>
          </cell>
          <cell r="F129">
            <v>1.5568106968583871E-4</v>
          </cell>
          <cell r="G129">
            <v>1.2790862718035483E-5</v>
          </cell>
        </row>
        <row r="130">
          <cell r="A130" t="str">
            <v>D-T-ELC-car</v>
          </cell>
          <cell r="B130" t="str">
            <v>VAR_fout</v>
          </cell>
          <cell r="C130" t="str">
            <v>T-ELC-car</v>
          </cell>
          <cell r="D130">
            <v>0.74115798142830658</v>
          </cell>
          <cell r="E130">
            <v>1.7852175572854632</v>
          </cell>
          <cell r="F130">
            <v>4.4348780677318844</v>
          </cell>
          <cell r="G130">
            <v>18.149762236315116</v>
          </cell>
        </row>
        <row r="131">
          <cell r="A131" t="str">
            <v>D-T-ELC-car</v>
          </cell>
          <cell r="B131" t="str">
            <v>VAR_fin</v>
          </cell>
          <cell r="C131" t="str">
            <v>TELC</v>
          </cell>
          <cell r="D131">
            <v>0.74115798142830658</v>
          </cell>
          <cell r="E131">
            <v>1.7852175572854632</v>
          </cell>
          <cell r="F131">
            <v>4.4348780677318844</v>
          </cell>
          <cell r="G131">
            <v>18.149762236315116</v>
          </cell>
        </row>
        <row r="132">
          <cell r="A132" t="str">
            <v>D-T-ELC-car</v>
          </cell>
          <cell r="B132" t="str">
            <v>VAR_ncap</v>
          </cell>
          <cell r="C132" t="str">
            <v>-</v>
          </cell>
          <cell r="D132">
            <v>8.4887634411301102E-8</v>
          </cell>
          <cell r="E132">
            <v>8.1625187841096406E-8</v>
          </cell>
          <cell r="F132">
            <v>0.98476609751740096</v>
          </cell>
          <cell r="G132">
            <v>8.8333296760940598</v>
          </cell>
        </row>
        <row r="133">
          <cell r="A133" t="str">
            <v>D-T-ELC-car</v>
          </cell>
          <cell r="B133" t="str">
            <v>VAR_cap</v>
          </cell>
          <cell r="C133" t="str">
            <v>-</v>
          </cell>
          <cell r="D133">
            <v>1.2762580419456844</v>
          </cell>
          <cell r="E133">
            <v>1.2762581235708721</v>
          </cell>
          <cell r="F133">
            <v>2.2610242210882729</v>
          </cell>
          <cell r="G133">
            <v>11.09435389718233</v>
          </cell>
        </row>
        <row r="134">
          <cell r="A134" t="str">
            <v>T_C-ICE-NGA-S2</v>
          </cell>
          <cell r="B134" t="str">
            <v>VAR_fout</v>
          </cell>
          <cell r="C134" t="str">
            <v>CO2_T</v>
          </cell>
          <cell r="D134">
            <v>3.1620059822824338</v>
          </cell>
          <cell r="E134">
            <v>2.4865738065922454</v>
          </cell>
          <cell r="F134">
            <v>2.4697669312490551</v>
          </cell>
          <cell r="G134">
            <v>1.2467241461788842E-2</v>
          </cell>
        </row>
        <row r="135">
          <cell r="A135" t="str">
            <v>T_C-ICE-NGA-S2</v>
          </cell>
          <cell r="B135" t="str">
            <v>VAR_fout</v>
          </cell>
          <cell r="C135" t="str">
            <v>TPCAR</v>
          </cell>
          <cell r="D135">
            <v>3.5405993251178311E-2</v>
          </cell>
          <cell r="E135">
            <v>2.9829528619093496E-2</v>
          </cell>
          <cell r="F135">
            <v>2.9578418215587193E-2</v>
          </cell>
          <cell r="G135">
            <v>1.2286456208856046E-4</v>
          </cell>
        </row>
        <row r="136">
          <cell r="A136" t="str">
            <v>T_C-ICE-NGA-S2</v>
          </cell>
          <cell r="B136" t="str">
            <v>VAR_fin</v>
          </cell>
          <cell r="C136" t="str">
            <v>TNGA</v>
          </cell>
          <cell r="D136">
            <v>5.6063935856071515E-2</v>
          </cell>
          <cell r="E136">
            <v>4.4088188060146236E-2</v>
          </cell>
          <cell r="F136">
            <v>4.3790193816472624E-2</v>
          </cell>
          <cell r="G136">
            <v>2.2105038052817118E-4</v>
          </cell>
        </row>
        <row r="137">
          <cell r="A137" t="str">
            <v>T_C-ICE-NGA-S2</v>
          </cell>
          <cell r="B137" t="str">
            <v>VAR_ncap</v>
          </cell>
          <cell r="C137" t="str">
            <v>-</v>
          </cell>
          <cell r="E137">
            <v>6.9118365631963196E-7</v>
          </cell>
          <cell r="F137">
            <v>9.3924781441483095E-7</v>
          </cell>
          <cell r="G137">
            <v>7.61107017002117E-7</v>
          </cell>
        </row>
        <row r="138">
          <cell r="A138" t="str">
            <v>T_C-ICE-NGA-S2</v>
          </cell>
          <cell r="B138" t="str">
            <v>VAR_cap</v>
          </cell>
          <cell r="C138" t="str">
            <v>-</v>
          </cell>
          <cell r="D138">
            <v>2.688362739561594E-3</v>
          </cell>
          <cell r="E138">
            <v>2.2743888788403087E-3</v>
          </cell>
          <cell r="F138">
            <v>2.2454748078382736E-3</v>
          </cell>
          <cell r="G138">
            <v>9.605012979854808E-6</v>
          </cell>
        </row>
        <row r="139">
          <cell r="A139" t="str">
            <v>TFLGV-ICEDSL</v>
          </cell>
          <cell r="B139" t="str">
            <v>VAR_fout</v>
          </cell>
          <cell r="C139" t="str">
            <v>CO2_T</v>
          </cell>
          <cell r="D139">
            <v>326.24076767386612</v>
          </cell>
          <cell r="E139">
            <v>384.72035758243425</v>
          </cell>
          <cell r="F139">
            <v>384.58745768627944</v>
          </cell>
          <cell r="G139">
            <v>152.76136501295721</v>
          </cell>
        </row>
        <row r="140">
          <cell r="A140" t="str">
            <v>TFLGV-ICEDSL</v>
          </cell>
          <cell r="B140" t="str">
            <v>VAR_fout</v>
          </cell>
          <cell r="C140" t="str">
            <v>TFLGV</v>
          </cell>
          <cell r="D140">
            <v>1.522669870317519</v>
          </cell>
          <cell r="E140">
            <v>1.7956127959279604</v>
          </cell>
          <cell r="F140">
            <v>1.794992509661822</v>
          </cell>
          <cell r="G140">
            <v>0.71298608543716868</v>
          </cell>
        </row>
        <row r="141">
          <cell r="A141" t="str">
            <v>TFLGV-ICEDSL</v>
          </cell>
          <cell r="B141" t="str">
            <v>VAR_fin</v>
          </cell>
          <cell r="C141" t="str">
            <v>TDSL</v>
          </cell>
          <cell r="D141">
            <v>4.4507608141045854</v>
          </cell>
          <cell r="E141">
            <v>5.2485724090373047</v>
          </cell>
          <cell r="F141">
            <v>5.2467593135918076</v>
          </cell>
          <cell r="G141">
            <v>2.0840568214591713</v>
          </cell>
        </row>
        <row r="142">
          <cell r="A142" t="str">
            <v>TFLGV-ICEDSL</v>
          </cell>
          <cell r="B142" t="str">
            <v>VAR_ncap</v>
          </cell>
          <cell r="C142" t="str">
            <v>-</v>
          </cell>
          <cell r="E142">
            <v>6.4801825791146296E-6</v>
          </cell>
          <cell r="F142">
            <v>1.7620567205521999E-5</v>
          </cell>
          <cell r="G142">
            <v>2.10029696883095E-5</v>
          </cell>
        </row>
        <row r="143">
          <cell r="A143" t="str">
            <v>TFLGV-ICEDSL</v>
          </cell>
          <cell r="B143" t="str">
            <v>VAR_cap</v>
          </cell>
          <cell r="C143" t="str">
            <v>-</v>
          </cell>
          <cell r="D143">
            <v>0.10616892279361514</v>
          </cell>
          <cell r="E143">
            <v>0.12516243932127186</v>
          </cell>
          <cell r="F143">
            <v>0.12518010074978464</v>
          </cell>
          <cell r="G143">
            <v>7.0887151187715908E-2</v>
          </cell>
        </row>
        <row r="144">
          <cell r="A144" t="str">
            <v>T_C-ICE-NGA-S3</v>
          </cell>
          <cell r="B144" t="str">
            <v>VAR_fout</v>
          </cell>
          <cell r="C144" t="str">
            <v>CO2_T</v>
          </cell>
          <cell r="D144">
            <v>0.25350245335459631</v>
          </cell>
          <cell r="E144">
            <v>0.21052584373364303</v>
          </cell>
          <cell r="F144">
            <v>0.27286635541045129</v>
          </cell>
          <cell r="G144">
            <v>3.1049018110851118E-2</v>
          </cell>
        </row>
        <row r="145">
          <cell r="A145" t="str">
            <v>T_C-ICE-NGA-S3</v>
          </cell>
          <cell r="B145" t="str">
            <v>VAR_fout</v>
          </cell>
          <cell r="C145" t="str">
            <v>TPCAR</v>
          </cell>
          <cell r="D145">
            <v>2.1030017083714255E-3</v>
          </cell>
          <cell r="E145">
            <v>1.7745717546446367E-3</v>
          </cell>
          <cell r="F145">
            <v>2.2824816975855725E-3</v>
          </cell>
          <cell r="G145">
            <v>2.6620743360642179E-4</v>
          </cell>
        </row>
        <row r="146">
          <cell r="A146" t="str">
            <v>T_C-ICE-NGA-S3</v>
          </cell>
          <cell r="B146" t="str">
            <v>VAR_fin</v>
          </cell>
          <cell r="C146" t="str">
            <v>TNGA</v>
          </cell>
          <cell r="D146">
            <v>4.4947243502587962E-3</v>
          </cell>
          <cell r="E146">
            <v>3.7327277257738151E-3</v>
          </cell>
          <cell r="F146">
            <v>4.8380559469938357E-3</v>
          </cell>
          <cell r="G146">
            <v>5.5051450551154516E-4</v>
          </cell>
        </row>
        <row r="147">
          <cell r="A147" t="str">
            <v>T_C-ICE-NGA-S3</v>
          </cell>
          <cell r="B147" t="str">
            <v>VAR_ncap</v>
          </cell>
          <cell r="C147" t="str">
            <v>-</v>
          </cell>
          <cell r="E147">
            <v>8.9012523373042595E-7</v>
          </cell>
          <cell r="F147">
            <v>1.1056950000342101E-6</v>
          </cell>
          <cell r="G147">
            <v>1.27200773017632E-6</v>
          </cell>
        </row>
        <row r="148">
          <cell r="A148" t="str">
            <v>T_C-ICE-NGA-S3</v>
          </cell>
          <cell r="B148" t="str">
            <v>VAR_cap</v>
          </cell>
          <cell r="C148" t="str">
            <v>-</v>
          </cell>
          <cell r="D148">
            <v>1.5099906590571878E-4</v>
          </cell>
          <cell r="E148">
            <v>1.5913757281716092E-4</v>
          </cell>
          <cell r="F148">
            <v>1.5876622821205604E-4</v>
          </cell>
          <cell r="G148">
            <v>1.8368011488094151E-5</v>
          </cell>
        </row>
        <row r="149">
          <cell r="A149" t="str">
            <v>T_C-ICE-NGA-S4</v>
          </cell>
          <cell r="B149" t="str">
            <v>VAR_fout</v>
          </cell>
          <cell r="C149" t="str">
            <v>CO2_T</v>
          </cell>
          <cell r="D149">
            <v>2.7314255823406008</v>
          </cell>
          <cell r="E149">
            <v>2.6591169681759688</v>
          </cell>
          <cell r="F149">
            <v>2.4759398299072801</v>
          </cell>
          <cell r="G149">
            <v>8.2584061075094174E-3</v>
          </cell>
        </row>
        <row r="150">
          <cell r="A150" t="str">
            <v>T_C-ICE-NGA-S4</v>
          </cell>
          <cell r="B150" t="str">
            <v>VAR_fout</v>
          </cell>
          <cell r="C150" t="str">
            <v>TPCAR</v>
          </cell>
          <cell r="D150">
            <v>3.3062227959286178E-2</v>
          </cell>
          <cell r="E150">
            <v>3.2175499081058843E-2</v>
          </cell>
          <cell r="F150">
            <v>2.9950386268928517E-2</v>
          </cell>
          <cell r="G150">
            <v>8.477973452923676E-5</v>
          </cell>
        </row>
        <row r="151">
          <cell r="A151" t="str">
            <v>T_C-ICE-NGA-S4</v>
          </cell>
          <cell r="B151" t="str">
            <v>VAR_fin</v>
          </cell>
          <cell r="C151" t="str">
            <v>TNGA</v>
          </cell>
          <cell r="D151">
            <v>4.8429531601783815E-2</v>
          </cell>
          <cell r="E151">
            <v>4.7147463974751246E-2</v>
          </cell>
          <cell r="F151">
            <v>4.3899642374242549E-2</v>
          </cell>
          <cell r="G151">
            <v>1.4642564020406768E-4</v>
          </cell>
        </row>
        <row r="152">
          <cell r="A152" t="str">
            <v>T_C-ICE-NGA-S4</v>
          </cell>
          <cell r="B152" t="str">
            <v>VAR_ncap</v>
          </cell>
          <cell r="C152" t="str">
            <v>-</v>
          </cell>
          <cell r="E152">
            <v>9.1007410014857905E-7</v>
          </cell>
          <cell r="F152">
            <v>1.2137422835616399E-6</v>
          </cell>
          <cell r="G152">
            <v>1.46314529065648E-6</v>
          </cell>
        </row>
        <row r="153">
          <cell r="A153" t="str">
            <v>T_C-ICE-NGA-S4</v>
          </cell>
          <cell r="B153" t="str">
            <v>VAR_cap</v>
          </cell>
          <cell r="C153" t="str">
            <v>-</v>
          </cell>
          <cell r="D153">
            <v>2.6074482428115001E-3</v>
          </cell>
          <cell r="E153">
            <v>2.5344813555673996E-3</v>
          </cell>
          <cell r="F153">
            <v>2.35973853981898E-3</v>
          </cell>
          <cell r="G153">
            <v>7.0232111551468517E-6</v>
          </cell>
        </row>
        <row r="154">
          <cell r="A154" t="str">
            <v>T_C-MHY-GSL-S1</v>
          </cell>
          <cell r="B154" t="str">
            <v>VAR_fout</v>
          </cell>
          <cell r="C154" t="str">
            <v>CO2_T</v>
          </cell>
          <cell r="E154">
            <v>9.8783768634154601E-3</v>
          </cell>
          <cell r="F154">
            <v>3.4925860096767361E-2</v>
          </cell>
          <cell r="G154">
            <v>22.279648850688066</v>
          </cell>
        </row>
        <row r="155">
          <cell r="A155" t="str">
            <v>T_C-MHY-GSL-S1</v>
          </cell>
          <cell r="B155" t="str">
            <v>VAR_fout</v>
          </cell>
          <cell r="C155" t="str">
            <v>TPCAR</v>
          </cell>
          <cell r="E155">
            <v>6.9386398562389285E-5</v>
          </cell>
          <cell r="F155">
            <v>2.5809482059912484E-4</v>
          </cell>
          <cell r="G155">
            <v>0.1839735384281809</v>
          </cell>
        </row>
        <row r="156">
          <cell r="A156" t="str">
            <v>T_C-MHY-GSL-S1</v>
          </cell>
          <cell r="B156" t="str">
            <v>VAR_fin</v>
          </cell>
          <cell r="C156" t="str">
            <v>TGSL</v>
          </cell>
          <cell r="E156">
            <v>1.3385334503272992E-4</v>
          </cell>
          <cell r="F156">
            <v>4.7325013681256625E-4</v>
          </cell>
          <cell r="G156">
            <v>0.30189226084943216</v>
          </cell>
        </row>
        <row r="157">
          <cell r="A157" t="str">
            <v>T_C-MHY-GSL-S1</v>
          </cell>
          <cell r="B157" t="str">
            <v>VAR_ncap</v>
          </cell>
          <cell r="C157" t="str">
            <v>-</v>
          </cell>
          <cell r="E157">
            <v>7.9104975508802304E-6</v>
          </cell>
          <cell r="F157">
            <v>3.1148389454268497E-5</v>
          </cell>
          <cell r="G157">
            <v>2.94527468133522E-2</v>
          </cell>
        </row>
        <row r="158">
          <cell r="A158" t="str">
            <v>T_C-MHY-GSL-S1</v>
          </cell>
          <cell r="B158" t="str">
            <v>VAR_cap</v>
          </cell>
          <cell r="C158" t="str">
            <v>-</v>
          </cell>
          <cell r="E158">
            <v>7.8051839031490608E-6</v>
          </cell>
          <cell r="F158">
            <v>3.8092131705171902E-5</v>
          </cell>
          <cell r="G158">
            <v>2.7958191632530199E-2</v>
          </cell>
        </row>
        <row r="159">
          <cell r="A159" t="str">
            <v>T_TRLY_ELC</v>
          </cell>
          <cell r="B159" t="str">
            <v>VAR_fout</v>
          </cell>
          <cell r="C159" t="str">
            <v>TPTRLY</v>
          </cell>
          <cell r="D159">
            <v>2.7120999999999972E-2</v>
          </cell>
          <cell r="E159">
            <v>2.7782165745480814E-2</v>
          </cell>
          <cell r="F159">
            <v>2.8832315767707572E-2</v>
          </cell>
          <cell r="G159">
            <v>3.0543631535415186E-2</v>
          </cell>
        </row>
        <row r="160">
          <cell r="A160" t="str">
            <v>T_TRLY_ELC</v>
          </cell>
          <cell r="B160" t="str">
            <v>VAR_fin</v>
          </cell>
          <cell r="C160" t="str">
            <v>TELC</v>
          </cell>
          <cell r="D160">
            <v>0.2816422643485601</v>
          </cell>
          <cell r="E160">
            <v>0.30668648626079364</v>
          </cell>
          <cell r="F160">
            <v>0.35149986092475399</v>
          </cell>
          <cell r="G160">
            <v>0.45078090930791764</v>
          </cell>
        </row>
        <row r="161">
          <cell r="A161" t="str">
            <v>T_C-MHY-GSL-S2</v>
          </cell>
          <cell r="B161" t="str">
            <v>VAR_fout</v>
          </cell>
          <cell r="C161" t="str">
            <v>CO2_T</v>
          </cell>
          <cell r="E161">
            <v>6.9557279646037902E-3</v>
          </cell>
          <cell r="F161">
            <v>3.084814275057296E-2</v>
          </cell>
          <cell r="G161">
            <v>5.1207420230650939E-2</v>
          </cell>
        </row>
        <row r="162">
          <cell r="A162" t="str">
            <v>T_C-MHY-GSL-S2</v>
          </cell>
          <cell r="B162" t="str">
            <v>VAR_fout</v>
          </cell>
          <cell r="C162" t="str">
            <v>TPCAR</v>
          </cell>
          <cell r="E162">
            <v>3.9334463716021907E-5</v>
          </cell>
          <cell r="F162">
            <v>1.8411618099195291E-4</v>
          </cell>
          <cell r="G162">
            <v>3.2423560045197251E-4</v>
          </cell>
        </row>
        <row r="163">
          <cell r="A163" t="str">
            <v>T_C-MHY-GSL-S2</v>
          </cell>
          <cell r="B163" t="str">
            <v>VAR_fin</v>
          </cell>
          <cell r="C163" t="str">
            <v>TGSL</v>
          </cell>
          <cell r="E163">
            <v>9.4251056430945545E-5</v>
          </cell>
          <cell r="F163">
            <v>4.1799651423540547E-4</v>
          </cell>
          <cell r="G163">
            <v>6.93867482800147E-4</v>
          </cell>
        </row>
        <row r="164">
          <cell r="A164" t="str">
            <v>T_C-MHY-GSL-S2</v>
          </cell>
          <cell r="B164" t="str">
            <v>VAR_ncap</v>
          </cell>
          <cell r="C164" t="str">
            <v>-</v>
          </cell>
          <cell r="E164">
            <v>3.240228883073E-6</v>
          </cell>
          <cell r="F164">
            <v>1.32896454627796E-5</v>
          </cell>
          <cell r="G164">
            <v>1.5735045806076401E-5</v>
          </cell>
        </row>
        <row r="165">
          <cell r="A165" t="str">
            <v>T_C-MHY-GSL-S2</v>
          </cell>
          <cell r="B165" t="str">
            <v>VAR_cap</v>
          </cell>
          <cell r="C165" t="str">
            <v>-</v>
          </cell>
          <cell r="E165">
            <v>3.1970912269438501E-6</v>
          </cell>
          <cell r="F165">
            <v>1.61268123446541E-5</v>
          </cell>
          <cell r="G165">
            <v>2.8866825601551999E-5</v>
          </cell>
        </row>
        <row r="166">
          <cell r="A166" t="str">
            <v>T_C-MHY-DSL-S1</v>
          </cell>
          <cell r="B166" t="str">
            <v>VAR_fout</v>
          </cell>
          <cell r="C166" t="str">
            <v>CO2_T</v>
          </cell>
          <cell r="E166">
            <v>8.5735003962702297E-3</v>
          </cell>
          <cell r="F166">
            <v>2.7241159821653059E-2</v>
          </cell>
          <cell r="G166">
            <v>14.642209827298984</v>
          </cell>
        </row>
        <row r="167">
          <cell r="A167" t="str">
            <v>T_C-MHY-DSL-S1</v>
          </cell>
          <cell r="B167" t="str">
            <v>VAR_fout</v>
          </cell>
          <cell r="C167" t="str">
            <v>TPCAR</v>
          </cell>
          <cell r="E167">
            <v>6.5738214621217567E-5</v>
          </cell>
          <cell r="F167">
            <v>2.1752879773949632E-4</v>
          </cell>
          <cell r="G167">
            <v>0.12845484871755014</v>
          </cell>
        </row>
        <row r="168">
          <cell r="A168" t="str">
            <v>T_C-MHY-DSL-S1</v>
          </cell>
          <cell r="B168" t="str">
            <v>VAR_fin</v>
          </cell>
          <cell r="C168" t="str">
            <v>TDSL</v>
          </cell>
          <cell r="E168">
            <v>1.1696453473765657E-4</v>
          </cell>
          <cell r="F168">
            <v>3.7163928815352019E-4</v>
          </cell>
          <cell r="G168">
            <v>0.19975729641608381</v>
          </cell>
        </row>
        <row r="169">
          <cell r="A169" t="str">
            <v>T_C-MHY-DSL-S1</v>
          </cell>
          <cell r="B169" t="str">
            <v>VAR_ncap</v>
          </cell>
          <cell r="C169" t="str">
            <v>-</v>
          </cell>
          <cell r="E169">
            <v>7.48044185781629E-6</v>
          </cell>
          <cell r="F169">
            <v>2.5291812933474899E-5</v>
          </cell>
          <cell r="G169">
            <v>2.0559301185689601E-2</v>
          </cell>
        </row>
        <row r="170">
          <cell r="A170" t="str">
            <v>T_C-MHY-DSL-S1</v>
          </cell>
          <cell r="B170" t="str">
            <v>VAR_cap</v>
          </cell>
          <cell r="C170" t="str">
            <v>-</v>
          </cell>
          <cell r="E170">
            <v>7.3808536064300204E-6</v>
          </cell>
          <cell r="F170">
            <v>3.1913482481834397E-5</v>
          </cell>
          <cell r="G170">
            <v>1.9520577635087698E-2</v>
          </cell>
        </row>
        <row r="171">
          <cell r="A171" t="str">
            <v>T_C-MHY-GSL-S3</v>
          </cell>
          <cell r="B171" t="str">
            <v>VAR_fout</v>
          </cell>
          <cell r="C171" t="str">
            <v>CO2_T</v>
          </cell>
          <cell r="E171">
            <v>8.8856414590983996E-3</v>
          </cell>
          <cell r="F171">
            <v>3.4054425643575706E-2</v>
          </cell>
          <cell r="G171">
            <v>5.2857087308025172E-2</v>
          </cell>
        </row>
        <row r="172">
          <cell r="A172" t="str">
            <v>T_C-MHY-GSL-S3</v>
          </cell>
          <cell r="B172" t="str">
            <v>VAR_fout</v>
          </cell>
          <cell r="C172" t="str">
            <v>TPCAR</v>
          </cell>
          <cell r="E172">
            <v>4.6712215674556389E-5</v>
          </cell>
          <cell r="F172">
            <v>1.8857896224862866E-4</v>
          </cell>
          <cell r="G172">
            <v>3.0914162914918352E-4</v>
          </cell>
        </row>
        <row r="173">
          <cell r="A173" t="str">
            <v>T_C-MHY-GSL-S3</v>
          </cell>
          <cell r="B173" t="str">
            <v>VAR_fin</v>
          </cell>
          <cell r="C173" t="str">
            <v>TGSL</v>
          </cell>
          <cell r="E173">
            <v>1.2040164578724127E-4</v>
          </cell>
          <cell r="F173">
            <v>4.6144208189127014E-4</v>
          </cell>
          <cell r="G173">
            <v>7.1622069523069349E-4</v>
          </cell>
        </row>
        <row r="174">
          <cell r="A174" t="str">
            <v>T_C-MHY-GSL-S3</v>
          </cell>
          <cell r="B174" t="str">
            <v>VAR_ncap</v>
          </cell>
          <cell r="C174" t="str">
            <v>-</v>
          </cell>
          <cell r="E174">
            <v>3.4577514256701899E-6</v>
          </cell>
          <cell r="F174">
            <v>1.08445356599494E-5</v>
          </cell>
          <cell r="G174">
            <v>1.09711399476927E-5</v>
          </cell>
        </row>
        <row r="175">
          <cell r="A175" t="str">
            <v>T_C-MHY-GSL-S3</v>
          </cell>
          <cell r="B175" t="str">
            <v>VAR_cap</v>
          </cell>
          <cell r="C175" t="str">
            <v>-</v>
          </cell>
          <cell r="E175">
            <v>3.4117178591033901E-6</v>
          </cell>
          <cell r="F175">
            <v>1.39165963441645E-5</v>
          </cell>
          <cell r="G175">
            <v>2.2391435487721699E-5</v>
          </cell>
        </row>
        <row r="176">
          <cell r="A176" t="str">
            <v>T_C-MHY-DSL-S2</v>
          </cell>
          <cell r="B176" t="str">
            <v>VAR_fout</v>
          </cell>
          <cell r="C176" t="str">
            <v>CO2_T</v>
          </cell>
          <cell r="E176">
            <v>6.1046737860193699E-3</v>
          </cell>
          <cell r="F176">
            <v>2.5309021966926231E-2</v>
          </cell>
          <cell r="G176">
            <v>4.6436619124181192E-2</v>
          </cell>
        </row>
        <row r="177">
          <cell r="A177" t="str">
            <v>T_C-MHY-DSL-S2</v>
          </cell>
          <cell r="B177" t="str">
            <v>VAR_fout</v>
          </cell>
          <cell r="C177" t="str">
            <v>TPCAR</v>
          </cell>
          <cell r="E177">
            <v>3.7652550030222836E-5</v>
          </cell>
          <cell r="F177">
            <v>1.6314989390445774E-4</v>
          </cell>
          <cell r="G177">
            <v>3.1557388064706177E-4</v>
          </cell>
        </row>
        <row r="178">
          <cell r="A178" t="str">
            <v>T_C-MHY-DSL-S2</v>
          </cell>
          <cell r="B178" t="str">
            <v>VAR_fin</v>
          </cell>
          <cell r="C178" t="str">
            <v>TDSL</v>
          </cell>
          <cell r="E178">
            <v>8.3283407721956019E-5</v>
          </cell>
          <cell r="F178">
            <v>3.4527997226365932E-4</v>
          </cell>
          <cell r="G178">
            <v>6.3351458559592327E-4</v>
          </cell>
        </row>
        <row r="179">
          <cell r="A179" t="str">
            <v>T_C-MHY-DSL-S2</v>
          </cell>
          <cell r="B179" t="str">
            <v>VAR_ncap</v>
          </cell>
          <cell r="C179" t="str">
            <v>-</v>
          </cell>
          <cell r="E179">
            <v>3.07229814725381E-6</v>
          </cell>
          <cell r="F179">
            <v>1.11372402070986E-5</v>
          </cell>
          <cell r="G179">
            <v>1.4545655841561999E-5</v>
          </cell>
        </row>
        <row r="180">
          <cell r="A180" t="str">
            <v>T_C-MHY-DSL-S2</v>
          </cell>
          <cell r="B180" t="str">
            <v>VAR_cap</v>
          </cell>
          <cell r="C180" t="str">
            <v>-</v>
          </cell>
          <cell r="E180">
            <v>3.0313961783543899E-6</v>
          </cell>
          <cell r="F180">
            <v>1.3846851502652399E-5</v>
          </cell>
          <cell r="G180">
            <v>2.5746617443455299E-5</v>
          </cell>
        </row>
        <row r="181">
          <cell r="A181" t="str">
            <v>T_C-MHY-GSL-S4</v>
          </cell>
          <cell r="B181" t="str">
            <v>VAR_fout</v>
          </cell>
          <cell r="C181" t="str">
            <v>CO2_T</v>
          </cell>
          <cell r="E181">
            <v>1.0778632376600599E-2</v>
          </cell>
          <cell r="F181">
            <v>4.8146169941521509E-2</v>
          </cell>
          <cell r="G181">
            <v>8.1364311453576116E-2</v>
          </cell>
        </row>
        <row r="182">
          <cell r="A182" t="str">
            <v>T_C-MHY-GSL-S4</v>
          </cell>
          <cell r="B182" t="str">
            <v>VAR_fout</v>
          </cell>
          <cell r="C182" t="str">
            <v>TPCAR</v>
          </cell>
          <cell r="E182">
            <v>5.7445814811570642E-5</v>
          </cell>
          <cell r="F182">
            <v>2.7055228432098388E-4</v>
          </cell>
          <cell r="G182">
            <v>4.8439781585755357E-4</v>
          </cell>
        </row>
        <row r="183">
          <cell r="A183" t="str">
            <v>T_C-MHY-GSL-S4</v>
          </cell>
          <cell r="B183" t="str">
            <v>VAR_fin</v>
          </cell>
          <cell r="C183" t="str">
            <v>TGSL</v>
          </cell>
          <cell r="E183">
            <v>1.4605192922223105E-4</v>
          </cell>
          <cell r="F183">
            <v>6.5238712657888175E-4</v>
          </cell>
          <cell r="G183">
            <v>1.102497445170409E-3</v>
          </cell>
        </row>
        <row r="184">
          <cell r="A184" t="str">
            <v>T_C-MHY-GSL-S4</v>
          </cell>
          <cell r="B184" t="str">
            <v>VAR_ncap</v>
          </cell>
          <cell r="C184" t="str">
            <v>-</v>
          </cell>
          <cell r="E184">
            <v>4.8211237680270103E-6</v>
          </cell>
          <cell r="F184">
            <v>1.89419856174639E-5</v>
          </cell>
          <cell r="G184">
            <v>2.2274546189706799E-5</v>
          </cell>
        </row>
        <row r="185">
          <cell r="A185" t="str">
            <v>T_C-MHY-GSL-S4</v>
          </cell>
          <cell r="B185" t="str">
            <v>VAR_cap</v>
          </cell>
          <cell r="C185" t="str">
            <v>-</v>
          </cell>
          <cell r="E185">
            <v>4.7569394197090099E-6</v>
          </cell>
          <cell r="F185">
            <v>2.317446657927E-5</v>
          </cell>
          <cell r="G185">
            <v>4.1150877404970297E-5</v>
          </cell>
        </row>
        <row r="186">
          <cell r="A186" t="str">
            <v>T_C-MHY-DSL-S3</v>
          </cell>
          <cell r="B186" t="str">
            <v>VAR_fout</v>
          </cell>
          <cell r="C186" t="str">
            <v>CO2_T</v>
          </cell>
          <cell r="E186">
            <v>7.5241275757964004E-3</v>
          </cell>
          <cell r="F186">
            <v>2.6688962546410878E-2</v>
          </cell>
          <cell r="G186">
            <v>4.3476321753419547E-2</v>
          </cell>
        </row>
        <row r="187">
          <cell r="A187" t="str">
            <v>T_C-MHY-DSL-S3</v>
          </cell>
          <cell r="B187" t="str">
            <v>VAR_fout</v>
          </cell>
          <cell r="C187" t="str">
            <v>TPCAR</v>
          </cell>
          <cell r="E187">
            <v>4.3141222320931317E-5</v>
          </cell>
          <cell r="F187">
            <v>1.5963981075976948E-4</v>
          </cell>
          <cell r="G187">
            <v>2.7310017349318577E-4</v>
          </cell>
        </row>
        <row r="188">
          <cell r="A188" t="str">
            <v>T_C-MHY-DSL-S3</v>
          </cell>
          <cell r="B188" t="str">
            <v>VAR_fin</v>
          </cell>
          <cell r="C188" t="str">
            <v>TDSL</v>
          </cell>
          <cell r="E188">
            <v>1.0264839803269312E-4</v>
          </cell>
          <cell r="F188">
            <v>3.6410590104244084E-4</v>
          </cell>
          <cell r="G188">
            <v>5.9312853688157539E-4</v>
          </cell>
        </row>
        <row r="189">
          <cell r="A189" t="str">
            <v>T_C-MHY-DSL-S3</v>
          </cell>
          <cell r="B189" t="str">
            <v>VAR_ncap</v>
          </cell>
          <cell r="C189" t="str">
            <v>-</v>
          </cell>
          <cell r="E189">
            <v>3.17716844654523E-6</v>
          </cell>
          <cell r="F189">
            <v>8.9108605288782703E-6</v>
          </cell>
          <cell r="G189">
            <v>1.00249045469458E-5</v>
          </cell>
        </row>
        <row r="190">
          <cell r="A190" t="str">
            <v>T_C-MHY-DSL-S3</v>
          </cell>
          <cell r="B190" t="str">
            <v>VAR_cap</v>
          </cell>
          <cell r="C190" t="str">
            <v>-</v>
          </cell>
          <cell r="E190">
            <v>3.1348703235245301E-6</v>
          </cell>
          <cell r="F190">
            <v>1.1747663374526E-5</v>
          </cell>
          <cell r="G190">
            <v>1.9607378795321699E-5</v>
          </cell>
        </row>
        <row r="191">
          <cell r="A191" t="str">
            <v>T_B_c-HYBDSL-S1</v>
          </cell>
          <cell r="B191" t="str">
            <v>VAR_fout</v>
          </cell>
          <cell r="C191" t="str">
            <v>CO2_T</v>
          </cell>
          <cell r="E191">
            <v>0.194879529895539</v>
          </cell>
          <cell r="F191">
            <v>0.21039043651251529</v>
          </cell>
          <cell r="G191">
            <v>3.5601160748602249E-2</v>
          </cell>
        </row>
        <row r="192">
          <cell r="A192" t="str">
            <v>T_B_c-HYBDSL-S1</v>
          </cell>
          <cell r="B192" t="str">
            <v>VAR_fout</v>
          </cell>
          <cell r="C192" t="str">
            <v>TPBSc</v>
          </cell>
          <cell r="E192">
            <v>4.3206812274141401E-4</v>
          </cell>
          <cell r="F192">
            <v>4.6828512352783058E-4</v>
          </cell>
          <cell r="G192">
            <v>8.4979556160951915E-5</v>
          </cell>
        </row>
        <row r="193">
          <cell r="A193" t="str">
            <v>T_B_c-HYBDSL-S1</v>
          </cell>
          <cell r="B193" t="str">
            <v>VAR_fin</v>
          </cell>
          <cell r="C193" t="str">
            <v>TDSL</v>
          </cell>
          <cell r="E193">
            <v>2.6586566152188118E-3</v>
          </cell>
          <cell r="F193">
            <v>2.8702651638815154E-3</v>
          </cell>
          <cell r="G193">
            <v>4.8569114254573364E-4</v>
          </cell>
        </row>
        <row r="194">
          <cell r="A194" t="str">
            <v>T_B_c-HYBDSL-S1</v>
          </cell>
          <cell r="B194" t="str">
            <v>VAR_ncap</v>
          </cell>
          <cell r="C194" t="str">
            <v>-</v>
          </cell>
          <cell r="E194">
            <v>9.4405299070587602E-6</v>
          </cell>
          <cell r="F194">
            <v>8.8222973566000603E-7</v>
          </cell>
          <cell r="G194">
            <v>9.66855485521659E-7</v>
          </cell>
        </row>
        <row r="195">
          <cell r="A195" t="str">
            <v>T_B_c-HYBDSL-S1</v>
          </cell>
          <cell r="B195" t="str">
            <v>VAR_cap</v>
          </cell>
          <cell r="C195" t="str">
            <v>-</v>
          </cell>
          <cell r="E195">
            <v>9.4405299070587602E-6</v>
          </cell>
          <cell r="F195">
            <v>1.03227596427188E-5</v>
          </cell>
          <cell r="G195">
            <v>2.1931152347667607E-6</v>
          </cell>
        </row>
        <row r="196">
          <cell r="A196" t="str">
            <v>T_C-MHY-DSL-S4</v>
          </cell>
          <cell r="B196" t="str">
            <v>VAR_fout</v>
          </cell>
          <cell r="C196" t="str">
            <v>CO2_T</v>
          </cell>
          <cell r="E196">
            <v>5.6491801914794904E-3</v>
          </cell>
          <cell r="F196">
            <v>1.5810774148893321E-2</v>
          </cell>
          <cell r="G196">
            <v>2.330115234074424E-2</v>
          </cell>
        </row>
        <row r="197">
          <cell r="A197" t="str">
            <v>T_C-MHY-DSL-S4</v>
          </cell>
          <cell r="B197" t="str">
            <v>VAR_fout</v>
          </cell>
          <cell r="C197" t="str">
            <v>TPCAR</v>
          </cell>
          <cell r="E197">
            <v>3.0784104534265903E-5</v>
          </cell>
          <cell r="F197">
            <v>8.9496688343851792E-5</v>
          </cell>
          <cell r="G197">
            <v>1.3793986259395884E-4</v>
          </cell>
        </row>
        <row r="198">
          <cell r="A198" t="str">
            <v>T_C-MHY-DSL-S4</v>
          </cell>
          <cell r="B198" t="str">
            <v>VAR_fin</v>
          </cell>
          <cell r="C198" t="str">
            <v>TDSL</v>
          </cell>
          <cell r="E198">
            <v>7.7069306841466383E-5</v>
          </cell>
          <cell r="F198">
            <v>2.1569951089895367E-4</v>
          </cell>
          <cell r="G198">
            <v>3.1788748077413729E-4</v>
          </cell>
        </row>
        <row r="199">
          <cell r="A199" t="str">
            <v>T_C-MHY-DSL-S4</v>
          </cell>
          <cell r="B199" t="str">
            <v>VAR_ncap</v>
          </cell>
          <cell r="C199" t="str">
            <v>-</v>
          </cell>
          <cell r="E199">
            <v>2.62291176845113E-6</v>
          </cell>
          <cell r="F199">
            <v>5.4809962607052499E-6</v>
          </cell>
          <cell r="G199">
            <v>5.4931174677708998E-6</v>
          </cell>
        </row>
        <row r="200">
          <cell r="A200" t="str">
            <v>T_C-MHY-DSL-S4</v>
          </cell>
          <cell r="B200" t="str">
            <v>VAR_cap</v>
          </cell>
          <cell r="C200" t="str">
            <v>-</v>
          </cell>
          <cell r="E200">
            <v>2.58799254823319E-6</v>
          </cell>
          <cell r="F200">
            <v>7.8478861949893594E-6</v>
          </cell>
          <cell r="G200">
            <v>1.19214842924732E-5</v>
          </cell>
        </row>
        <row r="201">
          <cell r="A201" t="str">
            <v>T_B_c-HYBDSL-S2</v>
          </cell>
          <cell r="B201" t="str">
            <v>VAR_fout</v>
          </cell>
          <cell r="C201" t="str">
            <v>CO2_T</v>
          </cell>
          <cell r="E201">
            <v>1.18642102182317E-2</v>
          </cell>
          <cell r="F201">
            <v>4.6138164950285097</v>
          </cell>
          <cell r="G201">
            <v>19.725068637634791</v>
          </cell>
        </row>
        <row r="202">
          <cell r="A202" t="str">
            <v>T_B_c-HYBDSL-S2</v>
          </cell>
          <cell r="B202" t="str">
            <v>VAR_fout</v>
          </cell>
          <cell r="C202" t="str">
            <v>TPBSc</v>
          </cell>
          <cell r="E202">
            <v>1.8855505134591617E-5</v>
          </cell>
          <cell r="F202">
            <v>7.7006323566029076E-3</v>
          </cell>
          <cell r="G202">
            <v>3.4939403983486189E-2</v>
          </cell>
        </row>
        <row r="203">
          <cell r="A203" t="str">
            <v>T_B_c-HYBDSL-S2</v>
          </cell>
          <cell r="B203" t="str">
            <v>VAR_fin</v>
          </cell>
          <cell r="C203" t="str">
            <v>TDSL</v>
          </cell>
          <cell r="E203">
            <v>1.6185825672894509E-4</v>
          </cell>
          <cell r="F203">
            <v>6.2944290518806442E-2</v>
          </cell>
          <cell r="G203">
            <v>0.26910052711643589</v>
          </cell>
        </row>
        <row r="204">
          <cell r="A204" t="str">
            <v>T_B_c-HYBDSL-S2</v>
          </cell>
          <cell r="B204" t="str">
            <v>VAR_ncap</v>
          </cell>
          <cell r="C204" t="str">
            <v>-</v>
          </cell>
          <cell r="E204">
            <v>4.33594402836966E-7</v>
          </cell>
          <cell r="F204">
            <v>1.6694073289890199E-4</v>
          </cell>
          <cell r="G204">
            <v>5.9195694348348202E-4</v>
          </cell>
        </row>
        <row r="205">
          <cell r="A205" t="str">
            <v>T_B_c-HYBDSL-S2</v>
          </cell>
          <cell r="B205" t="str">
            <v>VAR_cap</v>
          </cell>
          <cell r="C205" t="str">
            <v>-</v>
          </cell>
          <cell r="E205">
            <v>4.33594402836966E-7</v>
          </cell>
          <cell r="F205">
            <v>1.6737432730173899E-4</v>
          </cell>
          <cell r="G205">
            <v>7.5927382150901802E-4</v>
          </cell>
        </row>
        <row r="206">
          <cell r="A206" t="str">
            <v>T_C-BATELCEXT</v>
          </cell>
          <cell r="B206" t="str">
            <v>VAR_fout</v>
          </cell>
          <cell r="C206" t="str">
            <v>TPCAR</v>
          </cell>
          <cell r="D206">
            <v>0.41619601007826573</v>
          </cell>
          <cell r="E206">
            <v>0.36070359628695886</v>
          </cell>
          <cell r="F206">
            <v>0.27746404943121999</v>
          </cell>
          <cell r="G206">
            <v>0.13873206255434314</v>
          </cell>
        </row>
        <row r="207">
          <cell r="A207" t="str">
            <v>T_C-BATELCEXT</v>
          </cell>
          <cell r="B207" t="str">
            <v>VAR_fin</v>
          </cell>
          <cell r="C207" t="str">
            <v>T-ELC-car</v>
          </cell>
          <cell r="D207">
            <v>0.46789252167355011</v>
          </cell>
          <cell r="E207">
            <v>0.37693227610266727</v>
          </cell>
          <cell r="F207">
            <v>0.2622297014713173</v>
          </cell>
          <cell r="G207">
            <v>0.11309566491793999</v>
          </cell>
        </row>
        <row r="208">
          <cell r="A208" t="str">
            <v>T_C-BATELCEXT</v>
          </cell>
          <cell r="B208" t="str">
            <v>VAR_cap</v>
          </cell>
          <cell r="C208" t="str">
            <v>-</v>
          </cell>
          <cell r="D208">
            <v>4.2040000000000001E-2</v>
          </cell>
          <cell r="E208">
            <v>3.6434666666666699E-2</v>
          </cell>
          <cell r="F208">
            <v>2.80266666666667E-2</v>
          </cell>
          <cell r="G208">
            <v>1.40133333333333E-2</v>
          </cell>
        </row>
        <row r="209">
          <cell r="A209" t="str">
            <v>D-TDSL</v>
          </cell>
          <cell r="B209" t="str">
            <v>VAR_fout</v>
          </cell>
          <cell r="C209" t="str">
            <v>CO2</v>
          </cell>
          <cell r="D209">
            <v>8614.5742437584595</v>
          </cell>
          <cell r="E209">
            <v>8259.8717085397693</v>
          </cell>
          <cell r="F209">
            <v>7018.3610713492799</v>
          </cell>
          <cell r="G209">
            <v>5067.6735777121503</v>
          </cell>
        </row>
        <row r="210">
          <cell r="A210" t="str">
            <v>D-TDSL</v>
          </cell>
          <cell r="B210" t="str">
            <v>VAR_fout</v>
          </cell>
          <cell r="C210" t="str">
            <v>TDSL</v>
          </cell>
          <cell r="D210">
            <v>115.79772931063417</v>
          </cell>
          <cell r="E210">
            <v>111.02979220813491</v>
          </cell>
          <cell r="F210">
            <v>94.341316534967731</v>
          </cell>
          <cell r="G210">
            <v>68.120034325751902</v>
          </cell>
        </row>
        <row r="211">
          <cell r="A211" t="str">
            <v>D-TDSL</v>
          </cell>
          <cell r="B211" t="str">
            <v>VAR_fin</v>
          </cell>
          <cell r="C211" t="str">
            <v>DSL</v>
          </cell>
          <cell r="D211">
            <v>117.52488736368969</v>
          </cell>
          <cell r="E211">
            <v>112.68583504147009</v>
          </cell>
          <cell r="F211">
            <v>95.748445720999754</v>
          </cell>
          <cell r="G211">
            <v>69.136065180247627</v>
          </cell>
        </row>
        <row r="212">
          <cell r="A212" t="str">
            <v>T_B_c-HYBDSL-S3</v>
          </cell>
          <cell r="B212" t="str">
            <v>VAR_fout</v>
          </cell>
          <cell r="C212" t="str">
            <v>CO2_T</v>
          </cell>
          <cell r="E212">
            <v>7.4099658706380401E-3</v>
          </cell>
          <cell r="F212">
            <v>0.27836426195156477</v>
          </cell>
          <cell r="G212">
            <v>10.054001058794768</v>
          </cell>
        </row>
        <row r="213">
          <cell r="A213" t="str">
            <v>T_B_c-HYBDSL-S3</v>
          </cell>
          <cell r="B213" t="str">
            <v>VAR_fout</v>
          </cell>
          <cell r="C213" t="str">
            <v>TPBSc</v>
          </cell>
          <cell r="E213">
            <v>7.9089333773619669E-6</v>
          </cell>
          <cell r="F213">
            <v>3.117606585582765E-4</v>
          </cell>
          <cell r="G213">
            <v>1.2156915264577173E-2</v>
          </cell>
        </row>
        <row r="214">
          <cell r="A214" t="str">
            <v>T_B_c-HYBDSL-S3</v>
          </cell>
          <cell r="B214" t="str">
            <v>VAR_fin</v>
          </cell>
          <cell r="C214" t="str">
            <v>TDSL</v>
          </cell>
          <cell r="E214">
            <v>1.0109093957214246E-4</v>
          </cell>
          <cell r="F214">
            <v>3.7976024822860104E-3</v>
          </cell>
          <cell r="G214">
            <v>0.13716236096582204</v>
          </cell>
        </row>
        <row r="215">
          <cell r="A215" t="str">
            <v>T_B_c-HYBDSL-S3</v>
          </cell>
          <cell r="B215" t="str">
            <v>VAR_ncap</v>
          </cell>
          <cell r="C215" t="str">
            <v>-</v>
          </cell>
          <cell r="E215">
            <v>1.9041017514171401E-7</v>
          </cell>
          <cell r="F215">
            <v>6.6116883014377301E-6</v>
          </cell>
          <cell r="G215">
            <v>2.5747360000547698E-4</v>
          </cell>
        </row>
        <row r="216">
          <cell r="A216" t="str">
            <v>T_B_c-HYBDSL-S3</v>
          </cell>
          <cell r="B216" t="str">
            <v>VAR_cap</v>
          </cell>
          <cell r="C216" t="str">
            <v>-</v>
          </cell>
          <cell r="E216">
            <v>1.9041017514171401E-7</v>
          </cell>
          <cell r="F216">
            <v>6.8020984765794396E-6</v>
          </cell>
          <cell r="G216">
            <v>2.6419810514466603E-4</v>
          </cell>
        </row>
        <row r="217">
          <cell r="A217" t="str">
            <v>T-Bat-Car-STG_S1</v>
          </cell>
          <cell r="B217" t="str">
            <v>VAR_fout</v>
          </cell>
          <cell r="C217" t="str">
            <v>T-ELC-car-BatSTGAUXout_S1</v>
          </cell>
          <cell r="D217">
            <v>7.7186403026883541E-3</v>
          </cell>
          <cell r="E217">
            <v>1.2333895063985127E-2</v>
          </cell>
          <cell r="F217">
            <v>8.8101982997009897E-3</v>
          </cell>
          <cell r="G217">
            <v>8.4481628210100919E-3</v>
          </cell>
        </row>
        <row r="218">
          <cell r="A218" t="str">
            <v>T-Bat-Car-STG_S1</v>
          </cell>
          <cell r="B218" t="str">
            <v>VAR_fout</v>
          </cell>
          <cell r="C218" t="str">
            <v>T-ELC-car-BatSTGOut_S1</v>
          </cell>
          <cell r="D218">
            <v>7.7186403026883541E-3</v>
          </cell>
          <cell r="E218">
            <v>1.2333895063985125E-2</v>
          </cell>
          <cell r="F218">
            <v>8.810198299700988E-3</v>
          </cell>
          <cell r="G218">
            <v>8.4481628210100902E-3</v>
          </cell>
        </row>
        <row r="219">
          <cell r="A219" t="str">
            <v>T-Bat-Car-STG_S1</v>
          </cell>
          <cell r="B219" t="str">
            <v>VAR_fin</v>
          </cell>
          <cell r="C219" t="str">
            <v>T-ELC-car-BatSTGAUXin_S1</v>
          </cell>
          <cell r="D219">
            <v>7.7199794374869304E-3</v>
          </cell>
          <cell r="E219">
            <v>1.2337731217336752E-2</v>
          </cell>
          <cell r="F219">
            <v>8.819950272756916E-3</v>
          </cell>
          <cell r="G219">
            <v>8.455831104495418E-3</v>
          </cell>
        </row>
        <row r="220">
          <cell r="A220" t="str">
            <v>T-Bat-Car-STG_S1</v>
          </cell>
          <cell r="B220" t="str">
            <v>VAR_fin</v>
          </cell>
          <cell r="C220" t="str">
            <v>T-ELC-car-BatSTGin_S1</v>
          </cell>
          <cell r="D220">
            <v>7.7199794374869304E-3</v>
          </cell>
          <cell r="E220">
            <v>1.2337731217336752E-2</v>
          </cell>
          <cell r="F220">
            <v>8.819950272756916E-3</v>
          </cell>
          <cell r="G220">
            <v>8.455831104495418E-3</v>
          </cell>
        </row>
        <row r="221">
          <cell r="A221" t="str">
            <v>T-Bat-Car-STG_S1</v>
          </cell>
          <cell r="B221" t="str">
            <v>VAR_ncap</v>
          </cell>
          <cell r="C221" t="str">
            <v>-</v>
          </cell>
          <cell r="D221">
            <v>2.7569210577157699E-3</v>
          </cell>
          <cell r="E221">
            <v>1.7183331964257802E-2</v>
          </cell>
          <cell r="F221">
            <v>8.9816396009964692E-3</v>
          </cell>
          <cell r="G221">
            <v>1.8722075591048298E-2</v>
          </cell>
        </row>
        <row r="222">
          <cell r="A222" t="str">
            <v>T-Bat-Car-STG_S1</v>
          </cell>
          <cell r="B222" t="str">
            <v>VAR_cap</v>
          </cell>
          <cell r="C222" t="str">
            <v>-</v>
          </cell>
          <cell r="D222">
            <v>2.7569210577157699E-3</v>
          </cell>
          <cell r="E222">
            <v>1.9631376920006403E-2</v>
          </cell>
          <cell r="F222">
            <v>2.7332637520679381E-2</v>
          </cell>
          <cell r="G222">
            <v>4.0275286124834928E-2</v>
          </cell>
        </row>
        <row r="223">
          <cell r="A223" t="str">
            <v>T_B_c-HYBDSL-S4</v>
          </cell>
          <cell r="B223" t="str">
            <v>VAR_fout</v>
          </cell>
          <cell r="C223" t="str">
            <v>CO2_T</v>
          </cell>
          <cell r="E223">
            <v>1.2068244798359301E-4</v>
          </cell>
          <cell r="F223">
            <v>3.0668688149930901E-4</v>
          </cell>
          <cell r="G223">
            <v>5.0291365389962797E-5</v>
          </cell>
        </row>
        <row r="224">
          <cell r="A224" t="str">
            <v>T_B_c-HYBDSL-S4</v>
          </cell>
          <cell r="B224" t="str">
            <v>VAR_fout</v>
          </cell>
          <cell r="C224" t="str">
            <v>TPBSc</v>
          </cell>
          <cell r="E224">
            <v>8.6850926240159712E-8</v>
          </cell>
          <cell r="F224">
            <v>2.2487043427675249E-7</v>
          </cell>
          <cell r="G224">
            <v>4.1110019897530304E-8</v>
          </cell>
        </row>
        <row r="225">
          <cell r="A225" t="str">
            <v>T_B_c-HYBDSL-S4</v>
          </cell>
          <cell r="B225" t="str">
            <v>VAR_fin</v>
          </cell>
          <cell r="C225" t="str">
            <v>TDSL</v>
          </cell>
          <cell r="E225">
            <v>1.6464181171022282E-6</v>
          </cell>
          <cell r="F225">
            <v>4.1839956548336759E-6</v>
          </cell>
          <cell r="G225">
            <v>6.8610321132282097E-7</v>
          </cell>
        </row>
        <row r="226">
          <cell r="A226" t="str">
            <v>T_B_c-HYBDSL-S4</v>
          </cell>
          <cell r="B226" t="str">
            <v>VAR_ncap</v>
          </cell>
          <cell r="C226" t="str">
            <v>-</v>
          </cell>
          <cell r="E226">
            <v>1.5637310109677399E-8</v>
          </cell>
          <cell r="F226">
            <v>1.3787385633631099E-8</v>
          </cell>
          <cell r="G226">
            <v>1.3735526272153E-8</v>
          </cell>
        </row>
        <row r="227">
          <cell r="A227" t="str">
            <v>T_B_c-HYBDSL-S4</v>
          </cell>
          <cell r="B227" t="str">
            <v>VAR_cap</v>
          </cell>
          <cell r="C227" t="str">
            <v>-</v>
          </cell>
          <cell r="E227">
            <v>1.5637310109677399E-8</v>
          </cell>
          <cell r="F227">
            <v>2.9424695743308501E-8</v>
          </cell>
          <cell r="G227">
            <v>2.85705812161393E-8</v>
          </cell>
        </row>
        <row r="228">
          <cell r="A228" t="str">
            <v>TFHGV-ICEDSLExt</v>
          </cell>
          <cell r="B228" t="str">
            <v>VAR_fout</v>
          </cell>
          <cell r="C228" t="str">
            <v>CO2_T</v>
          </cell>
          <cell r="D228">
            <v>1410.2252884373099</v>
          </cell>
          <cell r="E228">
            <v>1140.47440992826</v>
          </cell>
          <cell r="F228">
            <v>841.07101272489297</v>
          </cell>
          <cell r="G228">
            <v>362.73137200137899</v>
          </cell>
        </row>
        <row r="229">
          <cell r="A229" t="str">
            <v>TFHGV-ICEDSLExt</v>
          </cell>
          <cell r="B229" t="str">
            <v>VAR_fout</v>
          </cell>
          <cell r="C229" t="str">
            <v>TFHGV</v>
          </cell>
          <cell r="D229">
            <v>1.5767138670050349</v>
          </cell>
          <cell r="E229">
            <v>1.3068967085689625</v>
          </cell>
          <cell r="F229">
            <v>0.99895867310421316</v>
          </cell>
          <cell r="G229">
            <v>0.4308240857021321</v>
          </cell>
        </row>
        <row r="230">
          <cell r="A230" t="str">
            <v>TFHGV-ICEDSLExt</v>
          </cell>
          <cell r="B230" t="str">
            <v>VAR_fin</v>
          </cell>
          <cell r="C230" t="str">
            <v>TDSL</v>
          </cell>
          <cell r="D230">
            <v>19.239089883182917</v>
          </cell>
          <cell r="E230">
            <v>15.558996042677476</v>
          </cell>
          <cell r="F230">
            <v>11.474365794336871</v>
          </cell>
          <cell r="G230">
            <v>4.9485862483134904</v>
          </cell>
        </row>
        <row r="231">
          <cell r="A231" t="str">
            <v>TFHGV-ICEDSLExt</v>
          </cell>
          <cell r="B231" t="str">
            <v>VAR_cap</v>
          </cell>
          <cell r="C231" t="str">
            <v>-</v>
          </cell>
          <cell r="D231">
            <v>2.9662000000000001E-2</v>
          </cell>
          <cell r="E231">
            <v>2.5707066666666702E-2</v>
          </cell>
          <cell r="F231">
            <v>1.9774666666666701E-2</v>
          </cell>
          <cell r="G231">
            <v>9.8873333333333296E-3</v>
          </cell>
        </row>
        <row r="232">
          <cell r="A232" t="str">
            <v>TPSHPGSLEXT</v>
          </cell>
          <cell r="B232" t="str">
            <v>VAR_fout</v>
          </cell>
          <cell r="C232" t="str">
            <v>TPSHP</v>
          </cell>
          <cell r="D232">
            <v>1.5951113482171899</v>
          </cell>
          <cell r="E232">
            <v>0.63228305194382195</v>
          </cell>
          <cell r="F232">
            <v>2.1998995098707101E-5</v>
          </cell>
          <cell r="G232">
            <v>2.09287075676519E-5</v>
          </cell>
        </row>
        <row r="233">
          <cell r="A233" t="str">
            <v>TPSHPGSLEXT</v>
          </cell>
          <cell r="B233" t="str">
            <v>VAR_fout</v>
          </cell>
          <cell r="C233" t="str">
            <v>CO2_T</v>
          </cell>
          <cell r="D233">
            <v>129.873812963153</v>
          </cell>
          <cell r="E233">
            <v>51.480425438451803</v>
          </cell>
          <cell r="F233">
            <v>1.79115607071575E-3</v>
          </cell>
          <cell r="G233">
            <v>1.7040133626029801E-3</v>
          </cell>
        </row>
        <row r="234">
          <cell r="A234" t="str">
            <v>TPSHPGSLEXT</v>
          </cell>
          <cell r="B234" t="str">
            <v>VAR_fin</v>
          </cell>
          <cell r="C234" t="str">
            <v>TGSL</v>
          </cell>
          <cell r="D234">
            <v>1.759807763728358</v>
          </cell>
          <cell r="E234">
            <v>0.69756674035842603</v>
          </cell>
          <cell r="F234">
            <v>2.4270407462273076E-5</v>
          </cell>
          <cell r="G234">
            <v>2.3089611959390059E-5</v>
          </cell>
        </row>
        <row r="235">
          <cell r="A235" t="str">
            <v>TPSHPGSLEXT</v>
          </cell>
          <cell r="B235" t="str">
            <v>VAR_ncap</v>
          </cell>
          <cell r="C235" t="str">
            <v>-</v>
          </cell>
          <cell r="D235">
            <v>2.4488975965942001E-7</v>
          </cell>
          <cell r="E235">
            <v>5.7096002526133704E-7</v>
          </cell>
          <cell r="F235">
            <v>9.4906550821461197E-7</v>
          </cell>
          <cell r="G235">
            <v>1.3794094646612499E-6</v>
          </cell>
        </row>
        <row r="236">
          <cell r="A236" t="str">
            <v>TPSHPGSLEXT</v>
          </cell>
          <cell r="B236" t="str">
            <v>VAR_cap</v>
          </cell>
          <cell r="C236" t="str">
            <v>-</v>
          </cell>
          <cell r="D236">
            <v>1.5951115931069495</v>
          </cell>
          <cell r="E236">
            <v>1.5951121640669748</v>
          </cell>
          <cell r="F236">
            <v>2.3844470083078662E-5</v>
          </cell>
          <cell r="G236">
            <v>1.9675033417820842E-5</v>
          </cell>
        </row>
        <row r="237">
          <cell r="A237" t="str">
            <v>T-Bat-Car-STG_S2</v>
          </cell>
          <cell r="B237" t="str">
            <v>VAR_fout</v>
          </cell>
          <cell r="C237" t="str">
            <v>T-ELC-car-BatSTGAUXout_S2</v>
          </cell>
          <cell r="D237">
            <v>6.6203071035991601E-2</v>
          </cell>
          <cell r="E237">
            <v>0.10244500078446803</v>
          </cell>
          <cell r="F237">
            <v>0.12739678481118535</v>
          </cell>
          <cell r="G237">
            <v>5.2109457850085779</v>
          </cell>
        </row>
        <row r="238">
          <cell r="A238" t="str">
            <v>T-Bat-Car-STG_S2</v>
          </cell>
          <cell r="B238" t="str">
            <v>VAR_fout</v>
          </cell>
          <cell r="C238" t="str">
            <v>T-ELC-car-BatSTGOut_S2</v>
          </cell>
          <cell r="D238">
            <v>6.6203071035991601E-2</v>
          </cell>
          <cell r="E238">
            <v>0.102445000784468</v>
          </cell>
          <cell r="F238">
            <v>0.1273967848111853</v>
          </cell>
          <cell r="G238">
            <v>5.2109457850085779</v>
          </cell>
        </row>
        <row r="239">
          <cell r="A239" t="str">
            <v>T-Bat-Car-STG_S2</v>
          </cell>
          <cell r="B239" t="str">
            <v>VAR_fin</v>
          </cell>
          <cell r="C239" t="str">
            <v>T-ELC-car-BatSTGAUXin_S2</v>
          </cell>
          <cell r="D239">
            <v>6.6210445758649372E-2</v>
          </cell>
          <cell r="E239">
            <v>0.10245658311403225</v>
          </cell>
          <cell r="F239">
            <v>0.12741523170142338</v>
          </cell>
          <cell r="G239">
            <v>5.2114713498659384</v>
          </cell>
        </row>
        <row r="240">
          <cell r="A240" t="str">
            <v>T-Bat-Car-STG_S2</v>
          </cell>
          <cell r="B240" t="str">
            <v>VAR_fin</v>
          </cell>
          <cell r="C240" t="str">
            <v>T-ELC-car-BatSTGin_S2</v>
          </cell>
          <cell r="D240">
            <v>6.6210445758649372E-2</v>
          </cell>
          <cell r="E240">
            <v>0.10245658311403225</v>
          </cell>
          <cell r="F240">
            <v>0.12741523170142338</v>
          </cell>
          <cell r="G240">
            <v>5.2114713498659384</v>
          </cell>
        </row>
        <row r="241">
          <cell r="A241" t="str">
            <v>T-Bat-Car-STG_S2</v>
          </cell>
          <cell r="B241" t="str">
            <v>VAR_ncap</v>
          </cell>
          <cell r="C241" t="str">
            <v>-</v>
          </cell>
          <cell r="D241">
            <v>9.6374489254804907E-3</v>
          </cell>
          <cell r="E241">
            <v>1.7288619941638099E-2</v>
          </cell>
          <cell r="F241">
            <v>0.45582202780596298</v>
          </cell>
          <cell r="G241">
            <v>81.306571636894503</v>
          </cell>
        </row>
        <row r="242">
          <cell r="A242" t="str">
            <v>T-Bat-Car-STG_S2</v>
          </cell>
          <cell r="B242" t="str">
            <v>VAR_cap</v>
          </cell>
          <cell r="C242" t="str">
            <v>-</v>
          </cell>
          <cell r="D242">
            <v>9.6374489254804907E-3</v>
          </cell>
          <cell r="E242">
            <v>2.6417841966983314E-2</v>
          </cell>
          <cell r="F242">
            <v>0.47453883398504337</v>
          </cell>
          <cell r="G242">
            <v>77.504708658833721</v>
          </cell>
        </row>
        <row r="243">
          <cell r="A243" t="str">
            <v>T_TW-ICEGSL-S1</v>
          </cell>
          <cell r="B243" t="str">
            <v>VAR_fout</v>
          </cell>
          <cell r="C243" t="str">
            <v>CO2_T</v>
          </cell>
          <cell r="D243">
            <v>3.2714761771960106</v>
          </cell>
          <cell r="E243">
            <v>12.912199993720849</v>
          </cell>
          <cell r="F243">
            <v>25.596091903785918</v>
          </cell>
          <cell r="G243">
            <v>45.097026644196973</v>
          </cell>
        </row>
        <row r="244">
          <cell r="A244" t="str">
            <v>T_TW-ICEGSL-S1</v>
          </cell>
          <cell r="B244" t="str">
            <v>VAR_fout</v>
          </cell>
          <cell r="C244" t="str">
            <v>TPTWL</v>
          </cell>
          <cell r="D244">
            <v>8.4574469587622603E-2</v>
          </cell>
          <cell r="E244">
            <v>0.33609024734103143</v>
          </cell>
          <cell r="F244">
            <v>0.67167740368130724</v>
          </cell>
          <cell r="G244">
            <v>1.2052754479701371</v>
          </cell>
        </row>
        <row r="245">
          <cell r="A245" t="str">
            <v>T_TW-ICEGSL-S1</v>
          </cell>
          <cell r="B245" t="str">
            <v>VAR_fin</v>
          </cell>
          <cell r="C245" t="str">
            <v>TGSL</v>
          </cell>
          <cell r="D245">
            <v>4.4328945490460819E-2</v>
          </cell>
          <cell r="E245">
            <v>0.17496205953551291</v>
          </cell>
          <cell r="F245">
            <v>0.34683051360143541</v>
          </cell>
          <cell r="G245">
            <v>0.61107082173708649</v>
          </cell>
        </row>
        <row r="246">
          <cell r="A246" t="str">
            <v>T_TW-ICEGSL-S1</v>
          </cell>
          <cell r="B246" t="str">
            <v>VAR_ncap</v>
          </cell>
          <cell r="C246" t="str">
            <v>-</v>
          </cell>
          <cell r="E246">
            <v>8.2705729293676394E-2</v>
          </cell>
          <cell r="F246">
            <v>0.115510841765372</v>
          </cell>
          <cell r="G246">
            <v>0.23319905685217199</v>
          </cell>
        </row>
        <row r="247">
          <cell r="A247" t="str">
            <v>T_TW-ICEGSL-S1</v>
          </cell>
          <cell r="B247" t="str">
            <v>VAR_cap</v>
          </cell>
          <cell r="C247" t="str">
            <v>-</v>
          </cell>
          <cell r="D247">
            <v>2.9121848343363572E-2</v>
          </cell>
          <cell r="E247">
            <v>0.11567843655307154</v>
          </cell>
          <cell r="F247">
            <v>0.23118926263511691</v>
          </cell>
          <cell r="G247">
            <v>0.43830578539113629</v>
          </cell>
        </row>
        <row r="248">
          <cell r="A248" t="str">
            <v>TPSHPDSLEXT</v>
          </cell>
          <cell r="B248" t="str">
            <v>VAR_fout</v>
          </cell>
          <cell r="C248" t="str">
            <v>TPSHP</v>
          </cell>
          <cell r="D248">
            <v>17.176521919007701</v>
          </cell>
          <cell r="E248">
            <v>17.1765237530674</v>
          </cell>
          <cell r="F248">
            <v>16.935473484820601</v>
          </cell>
          <cell r="G248">
            <v>16.062102798508</v>
          </cell>
        </row>
        <row r="249">
          <cell r="A249" t="str">
            <v>TPSHPDSLEXT</v>
          </cell>
          <cell r="B249" t="str">
            <v>VAR_fout</v>
          </cell>
          <cell r="C249" t="str">
            <v>CO2_T</v>
          </cell>
          <cell r="D249">
            <v>1273.9831592043399</v>
          </cell>
          <cell r="E249">
            <v>1273.98329523661</v>
          </cell>
          <cell r="F249">
            <v>1256.10458942433</v>
          </cell>
          <cell r="G249">
            <v>1191.32665874944</v>
          </cell>
        </row>
        <row r="250">
          <cell r="A250" t="str">
            <v>TPSHPDSLEXT</v>
          </cell>
          <cell r="B250" t="str">
            <v>VAR_fin</v>
          </cell>
          <cell r="C250" t="str">
            <v>TDSL</v>
          </cell>
          <cell r="D250">
            <v>17.38039780633471</v>
          </cell>
          <cell r="E250">
            <v>17.380399662163832</v>
          </cell>
          <cell r="F250">
            <v>17.136488259540648</v>
          </cell>
          <cell r="G250">
            <v>16.252751142557276</v>
          </cell>
        </row>
        <row r="251">
          <cell r="A251" t="str">
            <v>TPSHPDSLEXT</v>
          </cell>
          <cell r="B251" t="str">
            <v>VAR_ncap</v>
          </cell>
          <cell r="C251" t="str">
            <v>-</v>
          </cell>
          <cell r="D251">
            <v>4.0039237283598502E-7</v>
          </cell>
          <cell r="E251">
            <v>1.7338518218204E-6</v>
          </cell>
          <cell r="F251">
            <v>9.3288314773490099E-7</v>
          </cell>
          <cell r="G251">
            <v>1.0325653563256401E-6</v>
          </cell>
        </row>
        <row r="252">
          <cell r="A252" t="str">
            <v>TPSHPDSLEXT</v>
          </cell>
          <cell r="B252" t="str">
            <v>VAR_cap</v>
          </cell>
          <cell r="C252" t="str">
            <v>-</v>
          </cell>
          <cell r="D252">
            <v>17.176522319400075</v>
          </cell>
          <cell r="E252">
            <v>17.176524053251896</v>
          </cell>
          <cell r="F252">
            <v>16.935470026200012</v>
          </cell>
          <cell r="G252">
            <v>16.06208767721186</v>
          </cell>
        </row>
        <row r="253">
          <cell r="A253" t="str">
            <v>T-Bat-Car-STG_S3</v>
          </cell>
          <cell r="B253" t="str">
            <v>VAR_fout</v>
          </cell>
          <cell r="C253" t="str">
            <v>T-ELC-car-BatSTGAUXout_S3</v>
          </cell>
          <cell r="D253">
            <v>4.6262405836559405E-2</v>
          </cell>
          <cell r="E253">
            <v>0.11723666405938769</v>
          </cell>
          <cell r="F253">
            <v>0.12393937739440308</v>
          </cell>
          <cell r="G253">
            <v>0.35008907131092581</v>
          </cell>
        </row>
        <row r="254">
          <cell r="A254" t="str">
            <v>T-Bat-Car-STG_S3</v>
          </cell>
          <cell r="B254" t="str">
            <v>VAR_fout</v>
          </cell>
          <cell r="C254" t="str">
            <v>T-ELC-car-BatSTGOut_S3</v>
          </cell>
          <cell r="D254">
            <v>4.6262405836559391E-2</v>
          </cell>
          <cell r="E254">
            <v>0.11723666405938769</v>
          </cell>
          <cell r="F254">
            <v>0.12393937739440308</v>
          </cell>
          <cell r="G254">
            <v>0.3500890713109257</v>
          </cell>
        </row>
        <row r="255">
          <cell r="A255" t="str">
            <v>T-Bat-Car-STG_S3</v>
          </cell>
          <cell r="B255" t="str">
            <v>VAR_fin</v>
          </cell>
          <cell r="C255" t="str">
            <v>T-ELC-car-BatSTGAUXin_S3</v>
          </cell>
          <cell r="D255">
            <v>4.6267770944706972E-2</v>
          </cell>
          <cell r="E255">
            <v>0.11724972054180265</v>
          </cell>
          <cell r="F255">
            <v>0.12395745528298041</v>
          </cell>
          <cell r="G255">
            <v>0.35012838317300399</v>
          </cell>
        </row>
        <row r="256">
          <cell r="A256" t="str">
            <v>T-Bat-Car-STG_S3</v>
          </cell>
          <cell r="B256" t="str">
            <v>VAR_fin</v>
          </cell>
          <cell r="C256" t="str">
            <v>T-ELC-car-BatSTGin_S3</v>
          </cell>
          <cell r="D256">
            <v>4.6267770944706972E-2</v>
          </cell>
          <cell r="E256">
            <v>0.11724972054180265</v>
          </cell>
          <cell r="F256">
            <v>0.12395745528298041</v>
          </cell>
          <cell r="G256">
            <v>0.35012838317300399</v>
          </cell>
        </row>
        <row r="257">
          <cell r="A257" t="str">
            <v>T-Bat-Car-STG_S3</v>
          </cell>
          <cell r="B257" t="str">
            <v>VAR_ncap</v>
          </cell>
          <cell r="C257" t="str">
            <v>-</v>
          </cell>
          <cell r="D257">
            <v>8.2968490602465493E-3</v>
          </cell>
          <cell r="E257">
            <v>0.76421577496989801</v>
          </cell>
          <cell r="F257">
            <v>0.175936028627834</v>
          </cell>
          <cell r="G257">
            <v>3.7830206151710901</v>
          </cell>
        </row>
        <row r="258">
          <cell r="A258" t="str">
            <v>T-Bat-Car-STG_S3</v>
          </cell>
          <cell r="B258" t="str">
            <v>VAR_cap</v>
          </cell>
          <cell r="C258" t="str">
            <v>-</v>
          </cell>
          <cell r="D258">
            <v>8.2968490602465493E-3</v>
          </cell>
          <cell r="E258">
            <v>0.76209705166678299</v>
          </cell>
          <cell r="F258">
            <v>0.89160492238293287</v>
          </cell>
          <cell r="G258">
            <v>4.3150778941664036</v>
          </cell>
        </row>
        <row r="259">
          <cell r="A259" t="str">
            <v>T_TW-ICEGSL-S2</v>
          </cell>
          <cell r="B259" t="str">
            <v>VAR_fout</v>
          </cell>
          <cell r="C259" t="str">
            <v>CO2_T</v>
          </cell>
          <cell r="D259">
            <v>8.3011454031531997</v>
          </cell>
          <cell r="E259">
            <v>12.02151449517565</v>
          </cell>
          <cell r="F259">
            <v>12.024555781657844</v>
          </cell>
          <cell r="G259">
            <v>7.4588277286231275</v>
          </cell>
        </row>
        <row r="260">
          <cell r="A260" t="str">
            <v>T_TW-ICEGSL-S2</v>
          </cell>
          <cell r="B260" t="str">
            <v>VAR_fout</v>
          </cell>
          <cell r="C260" t="str">
            <v>TPTWL</v>
          </cell>
          <cell r="D260">
            <v>0.12404059460166289</v>
          </cell>
          <cell r="E260">
            <v>0.17988174842127719</v>
          </cell>
          <cell r="F260">
            <v>0.17992891098011346</v>
          </cell>
          <cell r="G260">
            <v>0.11163776749515338</v>
          </cell>
        </row>
        <row r="261">
          <cell r="A261" t="str">
            <v>T_TW-ICEGSL-S2</v>
          </cell>
          <cell r="B261" t="str">
            <v>VAR_fin</v>
          </cell>
          <cell r="C261" t="str">
            <v>TGSL</v>
          </cell>
          <cell r="D261">
            <v>0.11248164502917629</v>
          </cell>
          <cell r="E261">
            <v>0.16289315034113327</v>
          </cell>
          <cell r="F261">
            <v>0.16293436018506538</v>
          </cell>
          <cell r="G261">
            <v>0.10106812640410752</v>
          </cell>
        </row>
        <row r="262">
          <cell r="A262" t="str">
            <v>T_TW-ICEGSL-S2</v>
          </cell>
          <cell r="B262" t="str">
            <v>VAR_ncap</v>
          </cell>
          <cell r="C262" t="str">
            <v>-</v>
          </cell>
          <cell r="E262">
            <v>2.6280034268894999E-5</v>
          </cell>
          <cell r="F262">
            <v>3.0812450390111202E-5</v>
          </cell>
          <cell r="G262">
            <v>3.4760792758118902E-5</v>
          </cell>
        </row>
        <row r="263">
          <cell r="A263" t="str">
            <v>T_TW-ICEGSL-S2</v>
          </cell>
          <cell r="B263" t="str">
            <v>VAR_cap</v>
          </cell>
          <cell r="C263" t="str">
            <v>-</v>
          </cell>
          <cell r="D263">
            <v>4.2720750083279503E-2</v>
          </cell>
          <cell r="E263">
            <v>6.1915321897800954E-2</v>
          </cell>
          <cell r="F263">
            <v>6.1946270739199803E-2</v>
          </cell>
          <cell r="G263">
            <v>5.368533481261055E-2</v>
          </cell>
        </row>
        <row r="264">
          <cell r="A264" t="str">
            <v>T-Bat-Car-STG_S4</v>
          </cell>
          <cell r="B264" t="str">
            <v>VAR_fout</v>
          </cell>
          <cell r="C264" t="str">
            <v>T-ELC-car-BatSTGAUXout_S4</v>
          </cell>
          <cell r="D264">
            <v>0.15037452498288909</v>
          </cell>
          <cell r="E264">
            <v>1.0702016178151872</v>
          </cell>
          <cell r="F264">
            <v>3.5810111903963309</v>
          </cell>
          <cell r="G264">
            <v>10.610361911969532</v>
          </cell>
        </row>
        <row r="265">
          <cell r="A265" t="str">
            <v>T-Bat-Car-STG_S4</v>
          </cell>
          <cell r="B265" t="str">
            <v>VAR_fout</v>
          </cell>
          <cell r="C265" t="str">
            <v>T-ELC-car-BatSTGOut_S4</v>
          </cell>
          <cell r="D265">
            <v>0.15037452498288909</v>
          </cell>
          <cell r="E265">
            <v>1.070201617815187</v>
          </cell>
          <cell r="F265">
            <v>3.58101119039633</v>
          </cell>
          <cell r="G265">
            <v>10.61036191196953</v>
          </cell>
        </row>
        <row r="266">
          <cell r="A266" t="str">
            <v>T-Bat-Car-STG_S4</v>
          </cell>
          <cell r="B266" t="str">
            <v>VAR_fin</v>
          </cell>
          <cell r="C266" t="str">
            <v>T-ELC-car-BatSTGAUXin_S4</v>
          </cell>
          <cell r="D266">
            <v>0.15039034289134179</v>
          </cell>
          <cell r="E266">
            <v>1.0703099803231677</v>
          </cell>
          <cell r="F266">
            <v>3.5813750100410466</v>
          </cell>
          <cell r="G266">
            <v>10.611427369214789</v>
          </cell>
        </row>
        <row r="267">
          <cell r="A267" t="str">
            <v>T-Bat-Car-STG_S4</v>
          </cell>
          <cell r="B267" t="str">
            <v>VAR_fin</v>
          </cell>
          <cell r="C267" t="str">
            <v>T-ELC-car-BatSTGin_S4</v>
          </cell>
          <cell r="D267">
            <v>0.15039034289134179</v>
          </cell>
          <cell r="E267">
            <v>1.0703099803231677</v>
          </cell>
          <cell r="F267">
            <v>3.5813750100410466</v>
          </cell>
          <cell r="G267">
            <v>10.611427369214789</v>
          </cell>
        </row>
        <row r="268">
          <cell r="A268" t="str">
            <v>T-Bat-Car-STG_S4</v>
          </cell>
          <cell r="B268" t="str">
            <v>VAR_ncap</v>
          </cell>
          <cell r="C268" t="str">
            <v>-</v>
          </cell>
          <cell r="D268">
            <v>2.4029972356854799E-2</v>
          </cell>
          <cell r="E268">
            <v>13.122314876138701</v>
          </cell>
          <cell r="F268">
            <v>41.765096618842101</v>
          </cell>
          <cell r="G268">
            <v>124.328463030278</v>
          </cell>
        </row>
        <row r="269">
          <cell r="A269" t="str">
            <v>T-Bat-Car-STG_S4</v>
          </cell>
          <cell r="B269" t="str">
            <v>VAR_cap</v>
          </cell>
          <cell r="C269" t="str">
            <v>-</v>
          </cell>
          <cell r="D269">
            <v>2.4029972356854799E-2</v>
          </cell>
          <cell r="E269">
            <v>12.970946390412381</v>
          </cell>
          <cell r="F269">
            <v>53.428963617625143</v>
          </cell>
          <cell r="G269">
            <v>163.86564638181463</v>
          </cell>
        </row>
        <row r="270">
          <cell r="A270" t="str">
            <v>T_TW-ICEGSL-S3</v>
          </cell>
          <cell r="B270" t="str">
            <v>VAR_fout</v>
          </cell>
          <cell r="C270" t="str">
            <v>CO2_T</v>
          </cell>
          <cell r="D270">
            <v>11.50322721151101</v>
          </cell>
          <cell r="E270">
            <v>14.519977173759969</v>
          </cell>
          <cell r="F270">
            <v>14.596250003761465</v>
          </cell>
          <cell r="G270">
            <v>14.502266325532661</v>
          </cell>
        </row>
        <row r="271">
          <cell r="A271" t="str">
            <v>T_TW-ICEGSL-S3</v>
          </cell>
          <cell r="B271" t="str">
            <v>VAR_fout</v>
          </cell>
          <cell r="C271" t="str">
            <v>TPTWL</v>
          </cell>
          <cell r="D271">
            <v>0.1136959930916797</v>
          </cell>
          <cell r="E271">
            <v>0.143659585560658</v>
          </cell>
          <cell r="F271">
            <v>0.14441491258073696</v>
          </cell>
          <cell r="G271">
            <v>0.1434866397884958</v>
          </cell>
        </row>
        <row r="272">
          <cell r="A272" t="str">
            <v>T_TW-ICEGSL-S3</v>
          </cell>
          <cell r="B272" t="str">
            <v>VAR_fin</v>
          </cell>
          <cell r="C272" t="str">
            <v>TGSL</v>
          </cell>
          <cell r="D272">
            <v>0.1558702874188484</v>
          </cell>
          <cell r="E272">
            <v>0.19674765818102927</v>
          </cell>
          <cell r="F272">
            <v>0.19778116536262175</v>
          </cell>
          <cell r="G272">
            <v>0.19650767378770528</v>
          </cell>
        </row>
        <row r="273">
          <cell r="A273" t="str">
            <v>T_TW-ICEGSL-S3</v>
          </cell>
          <cell r="B273" t="str">
            <v>VAR_ncap</v>
          </cell>
          <cell r="C273" t="str">
            <v>-</v>
          </cell>
          <cell r="E273">
            <v>1.2251933574100399E-5</v>
          </cell>
          <cell r="F273">
            <v>1.4021371740766E-5</v>
          </cell>
          <cell r="G273">
            <v>1.5337693280677999E-5</v>
          </cell>
        </row>
        <row r="274">
          <cell r="A274" t="str">
            <v>T_TW-ICEGSL-S3</v>
          </cell>
          <cell r="B274" t="str">
            <v>VAR_cap</v>
          </cell>
          <cell r="C274" t="str">
            <v>-</v>
          </cell>
          <cell r="D274">
            <v>5.3235313237965806E-2</v>
          </cell>
          <cell r="E274">
            <v>6.907165231026148E-2</v>
          </cell>
          <cell r="F274">
            <v>6.9085945543138363E-2</v>
          </cell>
          <cell r="G274">
            <v>6.910153226623332E-2</v>
          </cell>
        </row>
        <row r="275">
          <cell r="A275" t="str">
            <v>T_C-ICEGSLEXT</v>
          </cell>
          <cell r="B275" t="str">
            <v>VAR_fout</v>
          </cell>
          <cell r="C275" t="str">
            <v>CO2_T</v>
          </cell>
          <cell r="D275">
            <v>4722.2882178718601</v>
          </cell>
          <cell r="E275">
            <v>3812.9933394797099</v>
          </cell>
          <cell r="F275">
            <v>3094.5702918175102</v>
          </cell>
          <cell r="G275">
            <v>879.91601109974897</v>
          </cell>
        </row>
        <row r="276">
          <cell r="A276" t="str">
            <v>T_C-ICEGSLEXT</v>
          </cell>
          <cell r="B276" t="str">
            <v>VAR_fout</v>
          </cell>
          <cell r="C276" t="str">
            <v>TPCAR</v>
          </cell>
          <cell r="D276">
            <v>18.302988001126618</v>
          </cell>
          <cell r="E276">
            <v>15.114982010285239</v>
          </cell>
          <cell r="F276">
            <v>12.676511638962117</v>
          </cell>
          <cell r="G276">
            <v>3.7984844808519886</v>
          </cell>
        </row>
        <row r="277">
          <cell r="A277" t="str">
            <v>T_C-ICEGSLEXT</v>
          </cell>
          <cell r="B277" t="str">
            <v>VAR_fin</v>
          </cell>
          <cell r="C277" t="str">
            <v>TGSL</v>
          </cell>
          <cell r="D277">
            <v>63.987645228615996</v>
          </cell>
          <cell r="E277">
            <v>51.666576415714154</v>
          </cell>
          <cell r="F277">
            <v>41.931846772595065</v>
          </cell>
          <cell r="G277">
            <v>11.92298118021338</v>
          </cell>
        </row>
        <row r="278">
          <cell r="A278" t="str">
            <v>T_C-ICEGSLEXT</v>
          </cell>
          <cell r="B278" t="str">
            <v>VAR_cap</v>
          </cell>
          <cell r="C278" t="str">
            <v>-</v>
          </cell>
          <cell r="D278">
            <v>2.4943270000000002</v>
          </cell>
          <cell r="E278">
            <v>2.16175006666667</v>
          </cell>
          <cell r="F278">
            <v>1.6628846666666701</v>
          </cell>
          <cell r="G278">
            <v>0.83144233333333339</v>
          </cell>
        </row>
        <row r="279">
          <cell r="A279" t="str">
            <v>T_TW-ICEGSL-S4</v>
          </cell>
          <cell r="B279" t="str">
            <v>VAR_fout</v>
          </cell>
          <cell r="C279" t="str">
            <v>CO2_T</v>
          </cell>
          <cell r="D279">
            <v>7.5726349987070396</v>
          </cell>
          <cell r="E279">
            <v>9.2727708175229182</v>
          </cell>
          <cell r="F279">
            <v>9.3213580996825947</v>
          </cell>
          <cell r="G279">
            <v>9.2684929692561351</v>
          </cell>
        </row>
        <row r="280">
          <cell r="A280" t="str">
            <v>T_TW-ICEGSL-S4</v>
          </cell>
          <cell r="B280" t="str">
            <v>VAR_fout</v>
          </cell>
          <cell r="C280" t="str">
            <v>TPTWL</v>
          </cell>
          <cell r="D280">
            <v>6.9344164532638142E-2</v>
          </cell>
          <cell r="E280">
            <v>8.498948679113158E-2</v>
          </cell>
          <cell r="F280">
            <v>8.5435254755551318E-2</v>
          </cell>
          <cell r="G280">
            <v>8.4951425120084245E-2</v>
          </cell>
        </row>
        <row r="281">
          <cell r="A281" t="str">
            <v>T_TW-ICEGSL-S4</v>
          </cell>
          <cell r="B281" t="str">
            <v>VAR_fin</v>
          </cell>
          <cell r="C281" t="str">
            <v>TGSL</v>
          </cell>
          <cell r="D281">
            <v>0.10261023033478388</v>
          </cell>
          <cell r="E281">
            <v>0.1256473010504463</v>
          </cell>
          <cell r="F281">
            <v>0.12630566530735235</v>
          </cell>
          <cell r="G281">
            <v>0.12558933562677649</v>
          </cell>
        </row>
        <row r="282">
          <cell r="A282" t="str">
            <v>T_TW-ICEGSL-S4</v>
          </cell>
          <cell r="B282" t="str">
            <v>VAR_ncap</v>
          </cell>
          <cell r="C282" t="str">
            <v>-</v>
          </cell>
          <cell r="E282">
            <v>7.2258494312319699E-6</v>
          </cell>
          <cell r="F282">
            <v>7.8385330585351197E-6</v>
          </cell>
          <cell r="G282">
            <v>6.8752787872612397E-6</v>
          </cell>
        </row>
        <row r="283">
          <cell r="A283" t="str">
            <v>T_TW-ICEGSL-S4</v>
          </cell>
          <cell r="B283" t="str">
            <v>VAR_cap</v>
          </cell>
          <cell r="C283" t="str">
            <v>-</v>
          </cell>
          <cell r="D283">
            <v>3.2744388260803524E-2</v>
          </cell>
          <cell r="E283">
            <v>4.0881562764951911E-2</v>
          </cell>
          <cell r="F283">
            <v>4.0889690311556558E-2</v>
          </cell>
          <cell r="G283">
            <v>4.0896835151674853E-2</v>
          </cell>
        </row>
        <row r="284">
          <cell r="A284" t="str">
            <v>T_C-ICEDSLEXT</v>
          </cell>
          <cell r="B284" t="str">
            <v>VAR_fout</v>
          </cell>
          <cell r="C284" t="str">
            <v>CO2_T</v>
          </cell>
          <cell r="D284">
            <v>3821.2760259304</v>
          </cell>
          <cell r="E284">
            <v>3569.7775466826201</v>
          </cell>
          <cell r="F284">
            <v>2537.9775873806898</v>
          </cell>
          <cell r="G284">
            <v>1175.1387111832801</v>
          </cell>
        </row>
        <row r="285">
          <cell r="A285" t="str">
            <v>T_C-ICEDSLEXT</v>
          </cell>
          <cell r="B285" t="str">
            <v>VAR_fout</v>
          </cell>
          <cell r="C285" t="str">
            <v>TPCAR</v>
          </cell>
          <cell r="D285">
            <v>17.673714424519488</v>
          </cell>
          <cell r="E285">
            <v>17.235951165673395</v>
          </cell>
          <cell r="F285">
            <v>13.02775157405412</v>
          </cell>
          <cell r="G285">
            <v>6.6291507723532961</v>
          </cell>
        </row>
        <row r="286">
          <cell r="A286" t="str">
            <v>T_C-ICEDSLEXT</v>
          </cell>
          <cell r="B286" t="str">
            <v>VAR_fin</v>
          </cell>
          <cell r="C286" t="str">
            <v>TDSL</v>
          </cell>
          <cell r="D286">
            <v>52.132005810783085</v>
          </cell>
          <cell r="E286">
            <v>48.700921509994856</v>
          </cell>
          <cell r="F286">
            <v>34.624523702328709</v>
          </cell>
          <cell r="G286">
            <v>16.031906018871542</v>
          </cell>
        </row>
        <row r="287">
          <cell r="A287" t="str">
            <v>T_C-ICEDSLEXT</v>
          </cell>
          <cell r="B287" t="str">
            <v>VAR_cap</v>
          </cell>
          <cell r="C287" t="str">
            <v>-</v>
          </cell>
          <cell r="D287">
            <v>1.059558</v>
          </cell>
          <cell r="E287">
            <v>0.91828359999999998</v>
          </cell>
          <cell r="F287">
            <v>0.706372</v>
          </cell>
          <cell r="G287">
            <v>0.353186</v>
          </cell>
        </row>
        <row r="288">
          <cell r="A288" t="str">
            <v>T-Plg-ELC-GSL_S1</v>
          </cell>
          <cell r="B288" t="str">
            <v>VAR_fout</v>
          </cell>
          <cell r="C288" t="str">
            <v>T-PEVmix-ELC_GSL_S1</v>
          </cell>
          <cell r="E288">
            <v>4.9481789613460794E-5</v>
          </cell>
          <cell r="F288">
            <v>6.0672125693681908E-5</v>
          </cell>
          <cell r="G288">
            <v>1.0331472375594155E-4</v>
          </cell>
        </row>
        <row r="289">
          <cell r="A289" t="str">
            <v>T-Plg-ELC-GSL_S1</v>
          </cell>
          <cell r="B289" t="str">
            <v>VAR_fin</v>
          </cell>
          <cell r="C289" t="str">
            <v>T-ELC-car-PlgSTGOut_S1</v>
          </cell>
          <cell r="E289">
            <v>2.7166740742910807E-5</v>
          </cell>
          <cell r="F289">
            <v>3.3310515280820994E-5</v>
          </cell>
          <cell r="G289">
            <v>5.6722368716421432E-5</v>
          </cell>
        </row>
        <row r="290">
          <cell r="A290" t="str">
            <v>T-Plg-ELC-GSL_S2</v>
          </cell>
          <cell r="B290" t="str">
            <v>VAR_fout</v>
          </cell>
          <cell r="C290" t="str">
            <v>T-PEVmix-ELC_GSL_S2</v>
          </cell>
          <cell r="D290">
            <v>4.030558888489251E-3</v>
          </cell>
          <cell r="E290">
            <v>1.1947434858654087E-2</v>
          </cell>
          <cell r="F290">
            <v>1.3940154727550641E-2</v>
          </cell>
          <cell r="G290">
            <v>1.8206436444033861E-2</v>
          </cell>
        </row>
        <row r="291">
          <cell r="A291" t="str">
            <v>T-Plg-ELC-GSL_S2</v>
          </cell>
          <cell r="B291" t="str">
            <v>VAR_fin</v>
          </cell>
          <cell r="C291" t="str">
            <v>T-ELC-car-PlgSTGOut_S2</v>
          </cell>
          <cell r="D291">
            <v>2.6814315468601142E-3</v>
          </cell>
          <cell r="E291">
            <v>7.9483341195045101E-3</v>
          </cell>
          <cell r="F291">
            <v>9.2740415631481256E-3</v>
          </cell>
          <cell r="G291">
            <v>1.211229370109383E-2</v>
          </cell>
        </row>
        <row r="292">
          <cell r="A292" t="str">
            <v>T-Plg-ELC-DSL_S1</v>
          </cell>
          <cell r="B292" t="str">
            <v>VAR_fout</v>
          </cell>
          <cell r="C292" t="str">
            <v>T-PEVmix-ELC_DSL_S1</v>
          </cell>
          <cell r="E292">
            <v>3.0941266328485328E-5</v>
          </cell>
          <cell r="F292">
            <v>4.3957596294527406E-5</v>
          </cell>
          <cell r="G292">
            <v>8.5653579302948698E-5</v>
          </cell>
        </row>
        <row r="293">
          <cell r="A293" t="str">
            <v>T-Plg-ELC-DSL_S1</v>
          </cell>
          <cell r="B293" t="str">
            <v>VAR_fin</v>
          </cell>
          <cell r="C293" t="str">
            <v>T-ELC-car-PlgSTGOut_S1</v>
          </cell>
          <cell r="E293">
            <v>1.6987529496601948E-5</v>
          </cell>
          <cell r="F293">
            <v>2.4133820371971826E-5</v>
          </cell>
          <cell r="G293">
            <v>4.702595845467464E-5</v>
          </cell>
        </row>
        <row r="294">
          <cell r="A294" t="str">
            <v>T_TRM_ELC</v>
          </cell>
          <cell r="B294" t="str">
            <v>VAR_fout</v>
          </cell>
          <cell r="C294" t="str">
            <v>TPTRM</v>
          </cell>
          <cell r="D294">
            <v>3.3477999999999994E-2</v>
          </cell>
          <cell r="E294">
            <v>3.4238693943285006E-2</v>
          </cell>
          <cell r="F294">
            <v>3.5370833501607003E-2</v>
          </cell>
          <cell r="G294">
            <v>3.726366700321395E-2</v>
          </cell>
        </row>
        <row r="295">
          <cell r="A295" t="str">
            <v>T_TRM_ELC</v>
          </cell>
          <cell r="B295" t="str">
            <v>VAR_fin</v>
          </cell>
          <cell r="C295" t="str">
            <v>TELC</v>
          </cell>
          <cell r="D295">
            <v>0.58772895164057959</v>
          </cell>
          <cell r="E295">
            <v>0.61504030570008339</v>
          </cell>
          <cell r="F295">
            <v>0.65830556959273911</v>
          </cell>
          <cell r="G295">
            <v>0.7379148962536346</v>
          </cell>
        </row>
        <row r="296">
          <cell r="A296" t="str">
            <v>T-Plg-ELC-GSL_S3</v>
          </cell>
          <cell r="B296" t="str">
            <v>VAR_fout</v>
          </cell>
          <cell r="C296" t="str">
            <v>T-PEVmix-ELC_GSL_S3</v>
          </cell>
          <cell r="E296">
            <v>9.6626111080822849E-2</v>
          </cell>
          <cell r="F296">
            <v>0.22962838557176715</v>
          </cell>
          <cell r="G296">
            <v>1.4752421351356844</v>
          </cell>
        </row>
        <row r="297">
          <cell r="A297" t="str">
            <v>T-Plg-ELC-GSL_S3</v>
          </cell>
          <cell r="B297" t="str">
            <v>VAR_fin</v>
          </cell>
          <cell r="C297" t="str">
            <v>T-ELC-car-PlgSTGOut_S3</v>
          </cell>
          <cell r="E297">
            <v>6.8961262081119357E-2</v>
          </cell>
          <cell r="F297">
            <v>0.16388389330326433</v>
          </cell>
          <cell r="G297">
            <v>1.0528681986291055</v>
          </cell>
        </row>
        <row r="298">
          <cell r="A298" t="str">
            <v>T-Plg-ELC-DSL_S2</v>
          </cell>
          <cell r="B298" t="str">
            <v>VAR_fout</v>
          </cell>
          <cell r="C298" t="str">
            <v>T-PEVmix-ELC_DSL_S2</v>
          </cell>
          <cell r="E298">
            <v>2.2606262818651563E-5</v>
          </cell>
          <cell r="F298">
            <v>8.6997513892145655E-5</v>
          </cell>
          <cell r="G298">
            <v>2.2841597506250005E-4</v>
          </cell>
        </row>
        <row r="299">
          <cell r="A299" t="str">
            <v>T-Plg-ELC-DSL_S2</v>
          </cell>
          <cell r="B299" t="str">
            <v>VAR_fin</v>
          </cell>
          <cell r="C299" t="str">
            <v>T-ELC-car-PlgSTGOut_S2</v>
          </cell>
          <cell r="E299">
            <v>1.5039389810593712E-5</v>
          </cell>
          <cell r="F299">
            <v>5.787730304971146E-5</v>
          </cell>
          <cell r="G299">
            <v>1.5195952181434918E-4</v>
          </cell>
        </row>
        <row r="300">
          <cell r="A300" t="str">
            <v>T_TW-ICEGSLEXT</v>
          </cell>
          <cell r="B300" t="str">
            <v>VAR_fout</v>
          </cell>
          <cell r="C300" t="str">
            <v>CO2_T</v>
          </cell>
          <cell r="D300">
            <v>147.13295930655201</v>
          </cell>
          <cell r="E300">
            <v>110.581735852211</v>
          </cell>
          <cell r="F300">
            <v>76.947275069056303</v>
          </cell>
          <cell r="G300">
            <v>33.433461619986197</v>
          </cell>
        </row>
        <row r="301">
          <cell r="A301" t="str">
            <v>T_TW-ICEGSLEXT</v>
          </cell>
          <cell r="B301" t="str">
            <v>VAR_fout</v>
          </cell>
          <cell r="C301" t="str">
            <v>TPTWL</v>
          </cell>
          <cell r="D301">
            <v>1.5374499195592601</v>
          </cell>
          <cell r="E301">
            <v>1.1795959492843118</v>
          </cell>
          <cell r="F301">
            <v>0.84594892378320741</v>
          </cell>
          <cell r="G301">
            <v>0.38576743421029031</v>
          </cell>
        </row>
        <row r="302">
          <cell r="A302" t="str">
            <v>T_TW-ICEGSLEXT</v>
          </cell>
          <cell r="B302" t="str">
            <v>VAR_fin</v>
          </cell>
          <cell r="C302" t="str">
            <v>TGSL</v>
          </cell>
          <cell r="D302">
            <v>1.9936715353191363</v>
          </cell>
          <cell r="E302">
            <v>1.4983975047725102</v>
          </cell>
          <cell r="F302">
            <v>1.0426460036457499</v>
          </cell>
          <cell r="G302">
            <v>0.45302793523016488</v>
          </cell>
        </row>
        <row r="303">
          <cell r="A303" t="str">
            <v>T_TW-ICEGSLEXT</v>
          </cell>
          <cell r="B303" t="str">
            <v>VAR_cap</v>
          </cell>
          <cell r="C303" t="str">
            <v>-</v>
          </cell>
          <cell r="D303">
            <v>0.55779800000000002</v>
          </cell>
          <cell r="E303">
            <v>0.48342493333333297</v>
          </cell>
          <cell r="F303">
            <v>0.37186497450952599</v>
          </cell>
          <cell r="G303">
            <v>0.18593249970814077</v>
          </cell>
        </row>
        <row r="304">
          <cell r="A304" t="str">
            <v>T-Plg-ELC-GSL_S4</v>
          </cell>
          <cell r="B304" t="str">
            <v>VAR_fout</v>
          </cell>
          <cell r="C304" t="str">
            <v>T-PEVmix-ELC_GSL_S4</v>
          </cell>
          <cell r="E304">
            <v>2.3510763597730536E-2</v>
          </cell>
          <cell r="F304">
            <v>2.7389422978796298E-2</v>
          </cell>
          <cell r="G304">
            <v>3.3963608889163742E-2</v>
          </cell>
        </row>
        <row r="305">
          <cell r="A305" t="str">
            <v>T-Plg-ELC-GSL_S4</v>
          </cell>
          <cell r="B305" t="str">
            <v>VAR_fin</v>
          </cell>
          <cell r="C305" t="str">
            <v>T-ELC-car-PlgSTGOut_S4</v>
          </cell>
          <cell r="E305">
            <v>1.7553211807625483E-2</v>
          </cell>
          <cell r="F305">
            <v>2.0449031390961055E-2</v>
          </cell>
          <cell r="G305">
            <v>2.5357339760772007E-2</v>
          </cell>
        </row>
        <row r="306">
          <cell r="A306" t="str">
            <v>T-Plg-ELC-DSL_S3</v>
          </cell>
          <cell r="B306" t="str">
            <v>VAR_fout</v>
          </cell>
          <cell r="C306" t="str">
            <v>T-PEVmix-ELC_DSL_S3</v>
          </cell>
          <cell r="E306">
            <v>1.452068696556E-2</v>
          </cell>
          <cell r="F306">
            <v>0.19147294892910779</v>
          </cell>
          <cell r="G306">
            <v>1.0680860027405221</v>
          </cell>
        </row>
        <row r="307">
          <cell r="A307" t="str">
            <v>T-Plg-ELC-DSL_S3</v>
          </cell>
          <cell r="B307" t="str">
            <v>VAR_fin</v>
          </cell>
          <cell r="C307" t="str">
            <v>T-ELC-car-PlgSTGOut_S3</v>
          </cell>
          <cell r="E307">
            <v>1.0363295057919525E-2</v>
          </cell>
          <cell r="F307">
            <v>0.13665267146579357</v>
          </cell>
          <cell r="G307">
            <v>0.76228421009880165</v>
          </cell>
        </row>
        <row r="308">
          <cell r="A308" t="str">
            <v>T-Plg-ELC-DSL_S4</v>
          </cell>
          <cell r="B308" t="str">
            <v>VAR_fout</v>
          </cell>
          <cell r="C308" t="str">
            <v>T-PEVmix-ELC_DSL_S4</v>
          </cell>
          <cell r="E308">
            <v>1.4091484015056671E-3</v>
          </cell>
          <cell r="F308">
            <v>9.5952938561041326E-4</v>
          </cell>
          <cell r="G308">
            <v>2.3972881288072032E-3</v>
          </cell>
        </row>
        <row r="309">
          <cell r="A309" t="str">
            <v>T-Plg-ELC-DSL_S4</v>
          </cell>
          <cell r="B309" t="str">
            <v>VAR_fin</v>
          </cell>
          <cell r="C309" t="str">
            <v>T-ELC-car-PlgSTGOut_S4</v>
          </cell>
          <cell r="E309">
            <v>1.0520747340759919E-3</v>
          </cell>
          <cell r="F309">
            <v>7.1638772901813142E-4</v>
          </cell>
          <cell r="G309">
            <v>1.789823036327112E-3</v>
          </cell>
        </row>
        <row r="310">
          <cell r="A310" t="str">
            <v>TFLGV-ICENGA</v>
          </cell>
          <cell r="B310" t="str">
            <v>VAR_fout</v>
          </cell>
          <cell r="C310" t="str">
            <v>CO2_T</v>
          </cell>
          <cell r="D310">
            <v>1.4563847689666249</v>
          </cell>
          <cell r="E310">
            <v>1.2557510795566535</v>
          </cell>
          <cell r="F310">
            <v>1.7826009283275488</v>
          </cell>
          <cell r="G310">
            <v>6.2078567190180251E-3</v>
          </cell>
        </row>
        <row r="311">
          <cell r="A311" t="str">
            <v>TFLGV-ICENGA</v>
          </cell>
          <cell r="B311" t="str">
            <v>VAR_fout</v>
          </cell>
          <cell r="C311" t="str">
            <v>TFLGV</v>
          </cell>
          <cell r="D311">
            <v>8.2780736595516862E-3</v>
          </cell>
          <cell r="E311">
            <v>7.1376741614837137E-3</v>
          </cell>
          <cell r="F311">
            <v>1.0132282419261446E-2</v>
          </cell>
          <cell r="G311">
            <v>3.5285383562777214E-5</v>
          </cell>
        </row>
        <row r="312">
          <cell r="A312" t="str">
            <v>TFLGV-ICENGA</v>
          </cell>
          <cell r="B312" t="str">
            <v>VAR_fin</v>
          </cell>
          <cell r="C312" t="str">
            <v>TNGA</v>
          </cell>
          <cell r="D312">
            <v>2.582242498167775E-2</v>
          </cell>
          <cell r="E312">
            <v>2.2265090063061221E-2</v>
          </cell>
          <cell r="F312">
            <v>3.1606399438431729E-2</v>
          </cell>
          <cell r="G312">
            <v>1.1006838154287271E-4</v>
          </cell>
        </row>
        <row r="313">
          <cell r="A313" t="str">
            <v>TFLGV-ICENGA</v>
          </cell>
          <cell r="B313" t="str">
            <v>VAR_ncap</v>
          </cell>
          <cell r="C313" t="str">
            <v>-</v>
          </cell>
          <cell r="E313">
            <v>6.4807357085049703E-7</v>
          </cell>
          <cell r="F313">
            <v>6.9723317561522399E-7</v>
          </cell>
          <cell r="G313">
            <v>6.0429529304390103E-7</v>
          </cell>
        </row>
        <row r="314">
          <cell r="A314" t="str">
            <v>TFLGV-ICENGA</v>
          </cell>
          <cell r="B314" t="str">
            <v>VAR_cap</v>
          </cell>
          <cell r="C314" t="str">
            <v>-</v>
          </cell>
          <cell r="D314">
            <v>5.8249122655439566E-4</v>
          </cell>
          <cell r="E314">
            <v>7.0911046724936961E-4</v>
          </cell>
          <cell r="F314">
            <v>7.0987302221653284E-4</v>
          </cell>
          <cell r="G314">
            <v>2.8885515393965006E-6</v>
          </cell>
        </row>
        <row r="315">
          <cell r="A315" t="str">
            <v>TFLGV-BEVELC</v>
          </cell>
          <cell r="B315" t="str">
            <v>VAR_fout</v>
          </cell>
          <cell r="C315" t="str">
            <v>TFLGV</v>
          </cell>
          <cell r="D315">
            <v>2.4289109601345463E-2</v>
          </cell>
          <cell r="E315">
            <v>5.3747748967412551E-2</v>
          </cell>
          <cell r="F315">
            <v>0.21078700198873163</v>
          </cell>
          <cell r="G315">
            <v>0.85641962116038706</v>
          </cell>
        </row>
        <row r="316">
          <cell r="A316" t="str">
            <v>TFLGV-BEVELC</v>
          </cell>
          <cell r="B316" t="str">
            <v>VAR_fin</v>
          </cell>
          <cell r="C316" t="str">
            <v>T-ELC-LGV_BatSTGout</v>
          </cell>
          <cell r="D316">
            <v>3.5648109997505943E-2</v>
          </cell>
          <cell r="E316">
            <v>7.8883322557140062E-2</v>
          </cell>
          <cell r="F316">
            <v>0.30936326428872407</v>
          </cell>
          <cell r="G316">
            <v>1.2569312486224984</v>
          </cell>
        </row>
        <row r="317">
          <cell r="A317" t="str">
            <v>TFLGV-BEVELC</v>
          </cell>
          <cell r="B317" t="str">
            <v>VAR_ncap</v>
          </cell>
          <cell r="C317" t="str">
            <v>-</v>
          </cell>
          <cell r="E317">
            <v>1.15554708953872E-3</v>
          </cell>
          <cell r="F317">
            <v>1.0952333206305001E-2</v>
          </cell>
          <cell r="G317">
            <v>4.59651391974773E-2</v>
          </cell>
        </row>
        <row r="318">
          <cell r="A318" t="str">
            <v>TFLGV-BEVELC</v>
          </cell>
          <cell r="B318" t="str">
            <v>VAR_cap</v>
          </cell>
          <cell r="C318" t="str">
            <v>-</v>
          </cell>
          <cell r="D318">
            <v>1.6989478871528726E-3</v>
          </cell>
          <cell r="E318">
            <v>3.7475470895387201E-3</v>
          </cell>
          <cell r="F318">
            <v>1.46998802958437E-2</v>
          </cell>
          <cell r="G318">
            <v>5.970193368852067E-2</v>
          </cell>
        </row>
        <row r="319">
          <cell r="A319" t="str">
            <v>T_B_c-BEVELC-S1</v>
          </cell>
          <cell r="B319" t="str">
            <v>VAR_fout</v>
          </cell>
          <cell r="C319" t="str">
            <v>TPBSc</v>
          </cell>
          <cell r="D319">
            <v>1.5528773535307088E-4</v>
          </cell>
          <cell r="E319">
            <v>3.3423439986446596E-4</v>
          </cell>
          <cell r="F319">
            <v>3.161885070173378E-4</v>
          </cell>
          <cell r="G319">
            <v>6.4639977782368921E-2</v>
          </cell>
        </row>
        <row r="320">
          <cell r="A320" t="str">
            <v>T_B_c-BEVELC-S1</v>
          </cell>
          <cell r="B320" t="str">
            <v>VAR_fin</v>
          </cell>
          <cell r="C320" t="str">
            <v>T-ELC-Bus_c_BatSTGout_S1</v>
          </cell>
          <cell r="D320">
            <v>4.1006209874996344E-4</v>
          </cell>
          <cell r="E320">
            <v>8.7242349075469555E-4</v>
          </cell>
          <cell r="F320">
            <v>8.1300033119696474E-4</v>
          </cell>
          <cell r="G320">
            <v>0.14452453550198582</v>
          </cell>
        </row>
        <row r="321">
          <cell r="A321" t="str">
            <v>T_B_c-BEVELC-S1</v>
          </cell>
          <cell r="B321" t="str">
            <v>VAR_ncap</v>
          </cell>
          <cell r="C321" t="str">
            <v>-</v>
          </cell>
          <cell r="E321">
            <v>7.6691414535622297E-7</v>
          </cell>
          <cell r="F321">
            <v>1.29739498512983E-6</v>
          </cell>
          <cell r="G321">
            <v>1.4079870357437199E-3</v>
          </cell>
        </row>
        <row r="322">
          <cell r="A322" t="str">
            <v>T_B_c-BEVELC-S1</v>
          </cell>
          <cell r="B322" t="str">
            <v>VAR_cap</v>
          </cell>
          <cell r="C322" t="str">
            <v>-</v>
          </cell>
          <cell r="D322">
            <v>3.3713942307692301E-6</v>
          </cell>
          <cell r="E322">
            <v>7.5097026068946834E-6</v>
          </cell>
          <cell r="F322">
            <v>7.0337138419204409E-6</v>
          </cell>
          <cell r="G322">
            <v>1.4106086728568805E-3</v>
          </cell>
        </row>
        <row r="323">
          <cell r="A323" t="str">
            <v>T_B_c-BEVELC-S2</v>
          </cell>
          <cell r="B323" t="str">
            <v>VAR_fout</v>
          </cell>
          <cell r="C323" t="str">
            <v>TPBSc</v>
          </cell>
          <cell r="D323">
            <v>4.3975340152684392E-4</v>
          </cell>
          <cell r="E323">
            <v>5.9691284560629485E-4</v>
          </cell>
          <cell r="F323">
            <v>6.3188353006055434E-4</v>
          </cell>
          <cell r="G323">
            <v>2.2468763799472522E-2</v>
          </cell>
        </row>
        <row r="324">
          <cell r="A324" t="str">
            <v>T_B_c-BEVELC-S2</v>
          </cell>
          <cell r="B324" t="str">
            <v>VAR_fin</v>
          </cell>
          <cell r="C324" t="str">
            <v>T-ELC-Bus_c_BatSTGout_S2</v>
          </cell>
          <cell r="D324">
            <v>1.5980531832089182E-3</v>
          </cell>
          <cell r="E324">
            <v>2.1362121886500792E-3</v>
          </cell>
          <cell r="F324">
            <v>2.2533216617448655E-3</v>
          </cell>
          <cell r="G324">
            <v>6.9527367291210979E-2</v>
          </cell>
        </row>
        <row r="325">
          <cell r="A325" t="str">
            <v>T_B_c-BEVELC-S2</v>
          </cell>
          <cell r="B325" t="str">
            <v>VAR_ncap</v>
          </cell>
          <cell r="C325" t="str">
            <v>-</v>
          </cell>
          <cell r="E325">
            <v>3.2956183174019898E-7</v>
          </cell>
          <cell r="F325">
            <v>7.1949325845352596E-7</v>
          </cell>
          <cell r="G325">
            <v>4.7667631057414701E-4</v>
          </cell>
        </row>
        <row r="326">
          <cell r="A326" t="str">
            <v>T_B_c-BEVELC-S2</v>
          </cell>
          <cell r="B326" t="str">
            <v>VAR_cap</v>
          </cell>
          <cell r="C326" t="str">
            <v>-</v>
          </cell>
          <cell r="D326">
            <v>9.6046427002415304E-6</v>
          </cell>
          <cell r="E326">
            <v>1.3320241699319089E-5</v>
          </cell>
          <cell r="F326">
            <v>1.3931571107057639E-5</v>
          </cell>
          <cell r="G326">
            <v>4.8833900596454653E-4</v>
          </cell>
        </row>
        <row r="327">
          <cell r="A327" t="str">
            <v>T_B_c-BEVELC-S3</v>
          </cell>
          <cell r="B327" t="str">
            <v>VAR_fout</v>
          </cell>
          <cell r="C327" t="str">
            <v>TPBSc</v>
          </cell>
          <cell r="D327">
            <v>6.4714437065426647E-5</v>
          </cell>
          <cell r="E327">
            <v>1.5324522662836355E-4</v>
          </cell>
          <cell r="F327">
            <v>1.6339225031169915E-4</v>
          </cell>
          <cell r="G327">
            <v>1.1865373978210273E-4</v>
          </cell>
        </row>
        <row r="328">
          <cell r="A328" t="str">
            <v>T_B_c-BEVELC-S3</v>
          </cell>
          <cell r="B328" t="str">
            <v>VAR_fin</v>
          </cell>
          <cell r="C328" t="str">
            <v>T-ELC-Bus_c_BatSTGout_S3</v>
          </cell>
          <cell r="D328">
            <v>3.5368799839796715E-4</v>
          </cell>
          <cell r="E328">
            <v>8.2768741452316256E-4</v>
          </cell>
          <cell r="F328">
            <v>8.7916250479403238E-4</v>
          </cell>
          <cell r="G328">
            <v>6.112284327403671E-4</v>
          </cell>
        </row>
        <row r="329">
          <cell r="A329" t="str">
            <v>T_B_c-BEVELC-S3</v>
          </cell>
          <cell r="B329" t="str">
            <v>VAR_ncap</v>
          </cell>
          <cell r="C329" t="str">
            <v>-</v>
          </cell>
          <cell r="E329">
            <v>1.53379690048705E-7</v>
          </cell>
          <cell r="F329">
            <v>2.0142334958486401E-7</v>
          </cell>
          <cell r="G329">
            <v>7.2016091411666099E-7</v>
          </cell>
        </row>
        <row r="330">
          <cell r="A330" t="str">
            <v>T_B_c-BEVELC-S3</v>
          </cell>
          <cell r="B330" t="str">
            <v>VAR_cap</v>
          </cell>
          <cell r="C330" t="str">
            <v>-</v>
          </cell>
          <cell r="D330">
            <v>1.4143376381382643E-6</v>
          </cell>
          <cell r="E330">
            <v>3.4205050352181053E-6</v>
          </cell>
          <cell r="F330">
            <v>3.6272716638266595E-6</v>
          </cell>
          <cell r="G330">
            <v>2.6481129674395879E-6</v>
          </cell>
        </row>
        <row r="331">
          <cell r="A331" t="str">
            <v>T_B_c-BEVELC-S4</v>
          </cell>
          <cell r="B331" t="str">
            <v>VAR_fout</v>
          </cell>
          <cell r="C331" t="str">
            <v>TPBSc</v>
          </cell>
          <cell r="E331">
            <v>2.7723178257248606E-6</v>
          </cell>
          <cell r="F331">
            <v>4.7166402674753832E-6</v>
          </cell>
          <cell r="G331">
            <v>2.8814097798273882E-6</v>
          </cell>
        </row>
        <row r="332">
          <cell r="A332" t="str">
            <v>T_B_c-BEVELC-S4</v>
          </cell>
          <cell r="B332" t="str">
            <v>VAR_fin</v>
          </cell>
          <cell r="C332" t="str">
            <v>T-ELC-Bus_c_BatSTGout_S4</v>
          </cell>
          <cell r="E332">
            <v>2.1926945639249644E-5</v>
          </cell>
          <cell r="F332">
            <v>3.6485197696673973E-5</v>
          </cell>
          <cell r="G332">
            <v>2.0522568823553507E-5</v>
          </cell>
        </row>
        <row r="333">
          <cell r="A333" t="str">
            <v>T_B_c-BEVELC-S4</v>
          </cell>
          <cell r="B333" t="str">
            <v>VAR_ncap</v>
          </cell>
          <cell r="C333" t="str">
            <v>-</v>
          </cell>
          <cell r="E333">
            <v>7.1498864964499099E-8</v>
          </cell>
          <cell r="F333">
            <v>6.1083990849838304E-8</v>
          </cell>
          <cell r="G333">
            <v>7.4764206259047305E-8</v>
          </cell>
        </row>
        <row r="334">
          <cell r="A334" t="str">
            <v>T_B_c-BEVELC-S4</v>
          </cell>
          <cell r="B334" t="str">
            <v>VAR_cap</v>
          </cell>
          <cell r="C334" t="str">
            <v>-</v>
          </cell>
          <cell r="E334">
            <v>7.1498864964499099E-8</v>
          </cell>
          <cell r="F334">
            <v>1.3258285581433699E-7</v>
          </cell>
          <cell r="G334">
            <v>1.2602224274447059E-7</v>
          </cell>
        </row>
        <row r="335">
          <cell r="A335" t="str">
            <v>T_C-BAT-ELC-S1</v>
          </cell>
          <cell r="B335" t="str">
            <v>VAR_fout</v>
          </cell>
          <cell r="C335" t="str">
            <v>TPCAR</v>
          </cell>
          <cell r="D335">
            <v>1.3983342791472604E-2</v>
          </cell>
          <cell r="E335">
            <v>2.234244388282099E-2</v>
          </cell>
          <cell r="F335">
            <v>1.5957542115139809E-2</v>
          </cell>
          <cell r="G335">
            <v>1.4655609060190731E-2</v>
          </cell>
        </row>
        <row r="336">
          <cell r="A336" t="str">
            <v>T_C-BAT-ELC-S1</v>
          </cell>
          <cell r="B336" t="str">
            <v>VAR_fin</v>
          </cell>
          <cell r="C336" t="str">
            <v>T-ELC-car-BatSTGOut_S1</v>
          </cell>
          <cell r="D336">
            <v>7.7184738716292983E-3</v>
          </cell>
          <cell r="E336">
            <v>1.2332499596810409E-2</v>
          </cell>
          <cell r="F336">
            <v>8.8081851176702759E-3</v>
          </cell>
          <cell r="G336">
            <v>8.0895489219414852E-3</v>
          </cell>
        </row>
        <row r="337">
          <cell r="A337" t="str">
            <v>T_C-BAT-ELC-S1</v>
          </cell>
          <cell r="B337" t="str">
            <v>VAR_ncap</v>
          </cell>
          <cell r="C337" t="str">
            <v>-</v>
          </cell>
          <cell r="D337">
            <v>3.42633244576003E-5</v>
          </cell>
          <cell r="E337">
            <v>2.15768367252292E-4</v>
          </cell>
          <cell r="F337">
            <v>1.14560930391782E-4</v>
          </cell>
          <cell r="G337">
            <v>2.4525124376905999E-4</v>
          </cell>
        </row>
        <row r="338">
          <cell r="A338" t="str">
            <v>T_C-BAT-ELC-S1</v>
          </cell>
          <cell r="B338" t="str">
            <v>VAR_cap</v>
          </cell>
          <cell r="C338" t="str">
            <v>-</v>
          </cell>
          <cell r="D338">
            <v>1.5059561139957678E-3</v>
          </cell>
          <cell r="E338">
            <v>2.3871980263837351E-3</v>
          </cell>
          <cell r="F338">
            <v>2.4175265045414795E-3</v>
          </cell>
          <cell r="G338">
            <v>2.2214007114089098E-3</v>
          </cell>
        </row>
        <row r="339">
          <cell r="A339" t="str">
            <v>D-TNGA</v>
          </cell>
          <cell r="B339" t="str">
            <v>VAR_fout</v>
          </cell>
          <cell r="C339" t="str">
            <v>CO2</v>
          </cell>
          <cell r="D339">
            <v>16.1920263423996</v>
          </cell>
          <cell r="E339">
            <v>7.9406025098904003</v>
          </cell>
          <cell r="F339">
            <v>11.3741493886813</v>
          </cell>
          <cell r="G339">
            <v>0.35722263542508398</v>
          </cell>
        </row>
        <row r="340">
          <cell r="A340" t="str">
            <v>D-TNGA</v>
          </cell>
          <cell r="B340" t="str">
            <v>VAR_fout</v>
          </cell>
          <cell r="C340" t="str">
            <v>TNGA</v>
          </cell>
          <cell r="D340">
            <v>0.30932912473665458</v>
          </cell>
          <cell r="E340">
            <v>0.1564698182051345</v>
          </cell>
          <cell r="F340">
            <v>0.22224694212431398</v>
          </cell>
          <cell r="G340">
            <v>6.7646293708096923E-3</v>
          </cell>
        </row>
        <row r="341">
          <cell r="A341" t="str">
            <v>D-TNGA</v>
          </cell>
          <cell r="B341" t="str">
            <v>VAR_fin</v>
          </cell>
          <cell r="C341" t="str">
            <v>NGA</v>
          </cell>
          <cell r="D341">
            <v>0.28709266564538216</v>
          </cell>
          <cell r="E341">
            <v>0.14079082464344669</v>
          </cell>
          <cell r="F341">
            <v>0.20166931540215083</v>
          </cell>
          <cell r="G341">
            <v>6.3337346706575154E-3</v>
          </cell>
        </row>
        <row r="342">
          <cell r="A342" t="str">
            <v>D-TNGA</v>
          </cell>
          <cell r="B342" t="str">
            <v>VAR_fin</v>
          </cell>
          <cell r="C342" t="str">
            <v>BNGA</v>
          </cell>
          <cell r="D342">
            <v>2.3223154863957634E-2</v>
          </cell>
          <cell r="E342">
            <v>1.5325964309500178E-2</v>
          </cell>
          <cell r="F342">
            <v>2.0378997529361852E-2</v>
          </cell>
          <cell r="G342">
            <v>2.5768975259022123E-4</v>
          </cell>
        </row>
        <row r="343">
          <cell r="A343" t="str">
            <v>D-TNGA</v>
          </cell>
          <cell r="B343" t="str">
            <v>VAR_fin</v>
          </cell>
          <cell r="C343" t="str">
            <v>H2</v>
          </cell>
          <cell r="E343">
            <v>8.5207340009548708E-4</v>
          </cell>
          <cell r="F343">
            <v>9.0748739423878626E-4</v>
          </cell>
          <cell r="G343">
            <v>1.9735584921287412E-4</v>
          </cell>
        </row>
        <row r="344">
          <cell r="A344" t="str">
            <v>D-TNGA</v>
          </cell>
          <cell r="B344" t="str">
            <v>VAR_ncap</v>
          </cell>
          <cell r="C344" t="str">
            <v>-</v>
          </cell>
          <cell r="D344">
            <v>5.2509822322094497E-8</v>
          </cell>
          <cell r="E344">
            <v>1.9161737511842199E-8</v>
          </cell>
          <cell r="F344">
            <v>2.1042827657592599E-8</v>
          </cell>
          <cell r="G344">
            <v>2.19448041719882E-8</v>
          </cell>
        </row>
        <row r="345">
          <cell r="A345" t="str">
            <v>D-TNGA</v>
          </cell>
          <cell r="B345" t="str">
            <v>VAR_cap</v>
          </cell>
          <cell r="C345" t="str">
            <v>-</v>
          </cell>
          <cell r="D345">
            <v>0.95961774559146629</v>
          </cell>
          <cell r="E345">
            <v>0.95961776475320382</v>
          </cell>
          <cell r="F345">
            <v>0.95961778579603152</v>
          </cell>
          <cell r="G345">
            <v>0.95961780774083572</v>
          </cell>
        </row>
        <row r="346">
          <cell r="A346" t="str">
            <v>T_C-BAT-ELC-S2</v>
          </cell>
          <cell r="B346" t="str">
            <v>VAR_fout</v>
          </cell>
          <cell r="C346" t="str">
            <v>TPCAR</v>
          </cell>
          <cell r="D346">
            <v>9.6907940660372463E-2</v>
          </cell>
          <cell r="E346">
            <v>0.14995594092923872</v>
          </cell>
          <cell r="F346">
            <v>0.18647685153598598</v>
          </cell>
          <cell r="G346">
            <v>7.6275572225201689</v>
          </cell>
        </row>
        <row r="347">
          <cell r="A347" t="str">
            <v>T_C-BAT-ELC-S2</v>
          </cell>
          <cell r="B347" t="str">
            <v>VAR_fin</v>
          </cell>
          <cell r="C347" t="str">
            <v>T-ELC-car-BatSTGOut_S2</v>
          </cell>
          <cell r="D347">
            <v>6.620307103599167E-2</v>
          </cell>
          <cell r="E347">
            <v>0.10244303760823706</v>
          </cell>
          <cell r="F347">
            <v>0.12739245272037039</v>
          </cell>
          <cell r="G347">
            <v>5.2107980955175224</v>
          </cell>
        </row>
        <row r="348">
          <cell r="A348" t="str">
            <v>T_C-BAT-ELC-S2</v>
          </cell>
          <cell r="B348" t="str">
            <v>VAR_ncap</v>
          </cell>
          <cell r="C348" t="str">
            <v>-</v>
          </cell>
          <cell r="D348">
            <v>6.7085088226995004E-5</v>
          </cell>
          <cell r="E348">
            <v>1.2164697062221699E-4</v>
          </cell>
          <cell r="F348">
            <v>3.26022592852319E-3</v>
          </cell>
          <cell r="G348">
            <v>0.59799211212910097</v>
          </cell>
        </row>
        <row r="349">
          <cell r="A349" t="str">
            <v>T_C-BAT-ELC-S2</v>
          </cell>
          <cell r="B349" t="str">
            <v>VAR_cap</v>
          </cell>
          <cell r="C349" t="str">
            <v>-</v>
          </cell>
          <cell r="D349">
            <v>7.3541441986071246E-3</v>
          </cell>
          <cell r="E349">
            <v>1.1377548160844169E-2</v>
          </cell>
          <cell r="F349">
            <v>1.4149086379460331E-2</v>
          </cell>
          <cell r="G349">
            <v>0.57872634942262946</v>
          </cell>
        </row>
        <row r="350">
          <cell r="A350" t="str">
            <v>TFLGV-BeVELCExt</v>
          </cell>
          <cell r="B350" t="str">
            <v>VAR_fout</v>
          </cell>
          <cell r="C350" t="str">
            <v>TFLGV</v>
          </cell>
          <cell r="D350">
            <v>2.7954903715017018E-2</v>
          </cell>
          <cell r="E350">
            <v>2.4242832174881618E-2</v>
          </cell>
          <cell r="F350">
            <v>1.8635733440193231E-2</v>
          </cell>
          <cell r="G350">
            <v>9.3158154740924978E-3</v>
          </cell>
        </row>
        <row r="351">
          <cell r="A351" t="str">
            <v>TFLGV-BeVELCExt</v>
          </cell>
          <cell r="B351" t="str">
            <v>VAR_fin</v>
          </cell>
          <cell r="C351" t="str">
            <v>TELC</v>
          </cell>
          <cell r="D351">
            <v>4.056003595660073E-2</v>
          </cell>
          <cell r="E351">
            <v>3.4849358932842439E-2</v>
          </cell>
          <cell r="F351">
            <v>2.6423102776511668E-2</v>
          </cell>
          <cell r="G351">
            <v>1.320864298198568E-2</v>
          </cell>
        </row>
        <row r="352">
          <cell r="A352" t="str">
            <v>TFLGV-BeVELCExt</v>
          </cell>
          <cell r="B352" t="str">
            <v>VAR_cap</v>
          </cell>
          <cell r="C352" t="str">
            <v>-</v>
          </cell>
          <cell r="D352">
            <v>1.9499999999999999E-3</v>
          </cell>
          <cell r="E352">
            <v>1.6900000000000001E-3</v>
          </cell>
          <cell r="F352">
            <v>1.2999999999999999E-3</v>
          </cell>
          <cell r="G352">
            <v>6.4999999999999997E-4</v>
          </cell>
        </row>
        <row r="353">
          <cell r="A353" t="str">
            <v>T_C-BAT-ELC-S3</v>
          </cell>
          <cell r="B353" t="str">
            <v>VAR_fout</v>
          </cell>
          <cell r="C353" t="str">
            <v>TPCAR</v>
          </cell>
          <cell r="D353">
            <v>6.187378075806458E-2</v>
          </cell>
          <cell r="E353">
            <v>0.15679683570742928</v>
          </cell>
          <cell r="F353">
            <v>0.16575740885088086</v>
          </cell>
          <cell r="G353">
            <v>0.46799427450537323</v>
          </cell>
        </row>
        <row r="354">
          <cell r="A354" t="str">
            <v>T_C-BAT-ELC-S3</v>
          </cell>
          <cell r="B354" t="str">
            <v>VAR_fin</v>
          </cell>
          <cell r="C354" t="str">
            <v>T-ELC-car-BatSTGOut_S3</v>
          </cell>
          <cell r="D354">
            <v>4.6262405836559432E-2</v>
          </cell>
          <cell r="E354">
            <v>0.11723542279966412</v>
          </cell>
          <cell r="F354">
            <v>0.12393515354525129</v>
          </cell>
          <cell r="G354">
            <v>0.3499146292839368</v>
          </cell>
        </row>
        <row r="355">
          <cell r="A355" t="str">
            <v>T_C-BAT-ELC-S3</v>
          </cell>
          <cell r="B355" t="str">
            <v>VAR_ncap</v>
          </cell>
          <cell r="C355" t="str">
            <v>-</v>
          </cell>
          <cell r="D355">
            <v>5.013110440148E-5</v>
          </cell>
          <cell r="E355">
            <v>4.6667405770797104E-3</v>
          </cell>
          <cell r="F355">
            <v>1.0918189391432799E-3</v>
          </cell>
          <cell r="G355">
            <v>2.41298576156974E-2</v>
          </cell>
        </row>
        <row r="356">
          <cell r="A356" t="str">
            <v>T_C-BAT-ELC-S3</v>
          </cell>
          <cell r="B356" t="str">
            <v>VAR_cap</v>
          </cell>
          <cell r="C356" t="str">
            <v>-</v>
          </cell>
          <cell r="D356">
            <v>4.2712573813513096E-3</v>
          </cell>
          <cell r="E356">
            <v>1.0782050150493279E-2</v>
          </cell>
          <cell r="F356">
            <v>1.1402791995902609E-2</v>
          </cell>
          <cell r="G356">
            <v>3.2181775899894009E-2</v>
          </cell>
        </row>
        <row r="357">
          <cell r="A357" t="str">
            <v>T_C-BAT-ELC-S4</v>
          </cell>
          <cell r="B357" t="str">
            <v>VAR_fout</v>
          </cell>
          <cell r="C357" t="str">
            <v>TPCAR</v>
          </cell>
          <cell r="D357">
            <v>0.19473093824349375</v>
          </cell>
          <cell r="E357">
            <v>1.3858797367548119</v>
          </cell>
          <cell r="F357">
            <v>4.6373070976830792</v>
          </cell>
          <cell r="G357">
            <v>13.739947313918925</v>
          </cell>
        </row>
        <row r="358">
          <cell r="A358" t="str">
            <v>T_C-BAT-ELC-S4</v>
          </cell>
          <cell r="B358" t="str">
            <v>VAR_fin</v>
          </cell>
          <cell r="C358" t="str">
            <v>T-ELC-car-BatSTGOut_S4</v>
          </cell>
          <cell r="D358">
            <v>0.15037452498288956</v>
          </cell>
          <cell r="E358">
            <v>1.0701997791297504</v>
          </cell>
          <cell r="F358">
            <v>3.5810069951078796</v>
          </cell>
          <cell r="G358">
            <v>10.610219769171758</v>
          </cell>
        </row>
        <row r="359">
          <cell r="A359" t="str">
            <v>T_C-BAT-ELC-S4</v>
          </cell>
          <cell r="B359" t="str">
            <v>VAR_ncap</v>
          </cell>
          <cell r="C359" t="str">
            <v>-</v>
          </cell>
          <cell r="D359">
            <v>1.4894752914175E-4</v>
          </cell>
          <cell r="E359">
            <v>8.2139194923694397E-2</v>
          </cell>
          <cell r="F359">
            <v>0.26535226436057602</v>
          </cell>
          <cell r="G359">
            <v>0.81017892991337404</v>
          </cell>
        </row>
        <row r="360">
          <cell r="A360" t="str">
            <v>T_C-BAT-ELC-S4</v>
          </cell>
          <cell r="B360" t="str">
            <v>VAR_cap</v>
          </cell>
          <cell r="C360" t="str">
            <v>-</v>
          </cell>
          <cell r="D360">
            <v>1.5351731027099028E-2</v>
          </cell>
          <cell r="E360">
            <v>0.10912593110266927</v>
          </cell>
          <cell r="F360">
            <v>0.36515229318185394</v>
          </cell>
          <cell r="G360">
            <v>1.0818928757716175</v>
          </cell>
        </row>
        <row r="361">
          <cell r="A361" t="str">
            <v>T_B_c-ICENGA-S1</v>
          </cell>
          <cell r="B361" t="str">
            <v>VAR_fout</v>
          </cell>
          <cell r="C361" t="str">
            <v>CO2_T</v>
          </cell>
          <cell r="E361">
            <v>2.8178341254582202E-3</v>
          </cell>
          <cell r="F361">
            <v>1.343444288884311E-2</v>
          </cell>
        </row>
        <row r="362">
          <cell r="A362" t="str">
            <v>T_B_c-ICENGA-S1</v>
          </cell>
          <cell r="B362" t="str">
            <v>VAR_fout</v>
          </cell>
          <cell r="C362" t="str">
            <v>TPBSc</v>
          </cell>
          <cell r="E362">
            <v>6.0072586224769788E-6</v>
          </cell>
          <cell r="F362">
            <v>2.9799284591957362E-5</v>
          </cell>
        </row>
        <row r="363">
          <cell r="A363" t="str">
            <v>T_B_c-ICENGA-S1</v>
          </cell>
          <cell r="B363" t="str">
            <v>VAR_fin</v>
          </cell>
          <cell r="C363" t="str">
            <v>TNGA</v>
          </cell>
          <cell r="E363">
            <v>4.9961597969117362E-5</v>
          </cell>
          <cell r="F363">
            <v>2.3819934200076449E-4</v>
          </cell>
        </row>
        <row r="364">
          <cell r="A364" t="str">
            <v>T_B_c-ICENGA-S1</v>
          </cell>
          <cell r="B364" t="str">
            <v>VAR_ncap</v>
          </cell>
          <cell r="C364" t="str">
            <v>-</v>
          </cell>
          <cell r="E364">
            <v>1.7999395863691001E-7</v>
          </cell>
          <cell r="F364">
            <v>5.1354505489004803E-7</v>
          </cell>
        </row>
        <row r="365">
          <cell r="A365" t="str">
            <v>T_B_c-ICENGA-S1</v>
          </cell>
          <cell r="B365" t="str">
            <v>VAR_cap</v>
          </cell>
          <cell r="C365" t="str">
            <v>-</v>
          </cell>
          <cell r="E365">
            <v>1.7999395863691001E-7</v>
          </cell>
          <cell r="F365">
            <v>6.9353901352695801E-7</v>
          </cell>
          <cell r="G365">
            <v>3.4565885119549886E-9</v>
          </cell>
        </row>
        <row r="366">
          <cell r="A366" t="str">
            <v>TFLGV-FCLH2O</v>
          </cell>
          <cell r="B366" t="str">
            <v>VAR_fout</v>
          </cell>
          <cell r="C366" t="str">
            <v>TFLGV</v>
          </cell>
          <cell r="E366">
            <v>5.0670216466196816E-6</v>
          </cell>
          <cell r="F366">
            <v>8.5079154209976734E-6</v>
          </cell>
          <cell r="G366">
            <v>4.0056452760387024E-6</v>
          </cell>
        </row>
        <row r="367">
          <cell r="A367" t="str">
            <v>TFLGV-FCLH2O</v>
          </cell>
          <cell r="B367" t="str">
            <v>VAR_fin</v>
          </cell>
          <cell r="C367" t="str">
            <v>TH2O</v>
          </cell>
          <cell r="E367">
            <v>1.0894397463237786E-5</v>
          </cell>
          <cell r="F367">
            <v>1.7933815476686906E-5</v>
          </cell>
          <cell r="G367">
            <v>8.112273166886119E-6</v>
          </cell>
        </row>
        <row r="368">
          <cell r="A368" t="str">
            <v>TFLGV-FCLH2O</v>
          </cell>
          <cell r="B368" t="str">
            <v>VAR_ncap</v>
          </cell>
          <cell r="C368" t="str">
            <v>-</v>
          </cell>
          <cell r="E368">
            <v>4.4341685067665401E-7</v>
          </cell>
          <cell r="F368">
            <v>2.9752782103897302E-7</v>
          </cell>
          <cell r="G368">
            <v>9.21604176627869E-8</v>
          </cell>
        </row>
        <row r="369">
          <cell r="A369" t="str">
            <v>TFLGV-FCLH2O</v>
          </cell>
          <cell r="B369" t="str">
            <v>VAR_cap</v>
          </cell>
          <cell r="C369" t="str">
            <v>-</v>
          </cell>
          <cell r="E369">
            <v>4.4341685067665401E-7</v>
          </cell>
          <cell r="F369">
            <v>7.4094467171562597E-7</v>
          </cell>
          <cell r="G369">
            <v>3.0521819136013901E-7</v>
          </cell>
        </row>
        <row r="370">
          <cell r="A370" t="str">
            <v>T_B_c-ICENGA-S2</v>
          </cell>
          <cell r="B370" t="str">
            <v>VAR_fout</v>
          </cell>
          <cell r="C370" t="str">
            <v>CO2_T</v>
          </cell>
          <cell r="E370">
            <v>1.30971344314156E-3</v>
          </cell>
          <cell r="F370">
            <v>9.7410169851088104E-3</v>
          </cell>
        </row>
        <row r="371">
          <cell r="A371" t="str">
            <v>T_B_c-ICENGA-S2</v>
          </cell>
          <cell r="B371" t="str">
            <v>VAR_fout</v>
          </cell>
          <cell r="C371" t="str">
            <v>TPBSc</v>
          </cell>
          <cell r="E371">
            <v>1.9738142390838395E-6</v>
          </cell>
          <cell r="F371">
            <v>1.5300823329025253E-5</v>
          </cell>
        </row>
        <row r="372">
          <cell r="A372" t="str">
            <v>T_B_c-ICENGA-S2</v>
          </cell>
          <cell r="B372" t="str">
            <v>VAR_fin</v>
          </cell>
          <cell r="C372" t="str">
            <v>TNGA</v>
          </cell>
          <cell r="E372">
            <v>2.3221869559247504E-5</v>
          </cell>
          <cell r="F372">
            <v>1.727130671118581E-4</v>
          </cell>
        </row>
        <row r="373">
          <cell r="A373" t="str">
            <v>T_B_c-ICENGA-S2</v>
          </cell>
          <cell r="B373" t="str">
            <v>VAR_ncap</v>
          </cell>
          <cell r="C373" t="str">
            <v>-</v>
          </cell>
          <cell r="E373">
            <v>7.5911905366828606E-8</v>
          </cell>
          <cell r="F373">
            <v>2.8272144483027401E-7</v>
          </cell>
        </row>
        <row r="374">
          <cell r="A374" t="str">
            <v>T_B_c-ICENGA-S2</v>
          </cell>
          <cell r="B374" t="str">
            <v>VAR_cap</v>
          </cell>
          <cell r="C374" t="str">
            <v>-</v>
          </cell>
          <cell r="E374">
            <v>7.5911905366828606E-8</v>
          </cell>
          <cell r="F374">
            <v>3.5863335019710298E-7</v>
          </cell>
          <cell r="G374">
            <v>3.4810599776910141E-9</v>
          </cell>
        </row>
        <row r="375">
          <cell r="A375" t="str">
            <v>T_B_u-ICEDSL-S1</v>
          </cell>
          <cell r="B375" t="str">
            <v>VAR_fout</v>
          </cell>
          <cell r="C375" t="str">
            <v>CO2_T</v>
          </cell>
          <cell r="D375">
            <v>1.9568752952993311E-2</v>
          </cell>
          <cell r="E375">
            <v>0.15030416376772104</v>
          </cell>
          <cell r="F375">
            <v>15.07475924331688</v>
          </cell>
          <cell r="G375">
            <v>2.97153889454099E-3</v>
          </cell>
        </row>
        <row r="376">
          <cell r="A376" t="str">
            <v>T_B_u-ICEDSL-S1</v>
          </cell>
          <cell r="B376" t="str">
            <v>VAR_fout</v>
          </cell>
          <cell r="C376" t="str">
            <v>TPBSu</v>
          </cell>
          <cell r="D376">
            <v>3.308244985912206E-5</v>
          </cell>
          <cell r="E376">
            <v>2.622403828861115E-4</v>
          </cell>
          <cell r="F376">
            <v>2.7832647581648891E-2</v>
          </cell>
          <cell r="G376">
            <v>5.0236101768583088E-6</v>
          </cell>
        </row>
        <row r="377">
          <cell r="A377" t="str">
            <v>T_B_u-ICEDSL-S1</v>
          </cell>
          <cell r="B377" t="str">
            <v>VAR_fin</v>
          </cell>
          <cell r="C377" t="str">
            <v>TDSL</v>
          </cell>
          <cell r="D377">
            <v>2.6696798025911716E-4</v>
          </cell>
          <cell r="E377">
            <v>2.0505342942390352E-3</v>
          </cell>
          <cell r="F377">
            <v>0.20565837985425528</v>
          </cell>
          <cell r="G377">
            <v>4.0539411930982129E-5</v>
          </cell>
        </row>
        <row r="378">
          <cell r="A378" t="str">
            <v>T_B_u-ICEDSL-S1</v>
          </cell>
          <cell r="B378" t="str">
            <v>VAR_ncap</v>
          </cell>
          <cell r="C378" t="str">
            <v>-</v>
          </cell>
          <cell r="E378">
            <v>4.3861958673662096E-6</v>
          </cell>
          <cell r="F378">
            <v>5.1988829765900295E-4</v>
          </cell>
        </row>
        <row r="379">
          <cell r="A379" t="str">
            <v>T_B_u-ICEDSL-S1</v>
          </cell>
          <cell r="B379" t="str">
            <v>VAR_cap</v>
          </cell>
          <cell r="C379" t="str">
            <v>-</v>
          </cell>
          <cell r="D379">
            <v>7.0464135021097004E-7</v>
          </cell>
          <cell r="E379">
            <v>5.2181227309386422E-6</v>
          </cell>
          <cell r="F379">
            <v>5.251064203899414E-4</v>
          </cell>
          <cell r="G379">
            <v>1.2309169790836617E-7</v>
          </cell>
        </row>
        <row r="380">
          <cell r="A380" t="str">
            <v>T_B_c-ICENGA-S3</v>
          </cell>
          <cell r="B380" t="str">
            <v>VAR_fout</v>
          </cell>
          <cell r="C380" t="str">
            <v>CO2_T</v>
          </cell>
          <cell r="E380">
            <v>9.03277138418202E-4</v>
          </cell>
          <cell r="F380">
            <v>6.2647972975740894E-3</v>
          </cell>
        </row>
        <row r="381">
          <cell r="A381" t="str">
            <v>T_B_c-ICENGA-S3</v>
          </cell>
          <cell r="B381" t="str">
            <v>VAR_fout</v>
          </cell>
          <cell r="C381" t="str">
            <v>TPBSc</v>
          </cell>
          <cell r="E381">
            <v>9.0363161801979023E-7</v>
          </cell>
          <cell r="F381">
            <v>6.5306840408937762E-6</v>
          </cell>
        </row>
        <row r="382">
          <cell r="A382" t="str">
            <v>T_B_c-ICENGA-S3</v>
          </cell>
          <cell r="B382" t="str">
            <v>VAR_fin</v>
          </cell>
          <cell r="C382" t="str">
            <v>TNGA</v>
          </cell>
          <cell r="E382">
            <v>1.6015552099613519E-5</v>
          </cell>
          <cell r="F382">
            <v>1.1107796626904402E-4</v>
          </cell>
        </row>
        <row r="383">
          <cell r="A383" t="str">
            <v>T_B_c-ICENGA-S3</v>
          </cell>
          <cell r="B383" t="str">
            <v>VAR_ncap</v>
          </cell>
          <cell r="C383" t="str">
            <v>-</v>
          </cell>
          <cell r="E383">
            <v>4.3222674324862399E-8</v>
          </cell>
          <cell r="F383">
            <v>1.2967786162524899E-7</v>
          </cell>
        </row>
        <row r="384">
          <cell r="A384" t="str">
            <v>T_B_c-ICENGA-S3</v>
          </cell>
          <cell r="B384" t="str">
            <v>VAR_cap</v>
          </cell>
          <cell r="C384" t="str">
            <v>-</v>
          </cell>
          <cell r="E384">
            <v>4.3222674324862399E-8</v>
          </cell>
          <cell r="F384">
            <v>1.7290053595011101E-7</v>
          </cell>
          <cell r="G384">
            <v>7.7722999537640197E-9</v>
          </cell>
        </row>
        <row r="385">
          <cell r="A385" t="str">
            <v>T_B_u-ICEDSL-S2</v>
          </cell>
          <cell r="B385" t="str">
            <v>VAR_fout</v>
          </cell>
          <cell r="C385" t="str">
            <v>CO2_T</v>
          </cell>
          <cell r="D385">
            <v>8.1501668524608295</v>
          </cell>
          <cell r="E385">
            <v>9.9225951160471784</v>
          </cell>
          <cell r="F385">
            <v>16.234334548453177</v>
          </cell>
        </row>
        <row r="386">
          <cell r="A386" t="str">
            <v>T_B_u-ICEDSL-S2</v>
          </cell>
          <cell r="B386" t="str">
            <v>VAR_fout</v>
          </cell>
          <cell r="C386" t="str">
            <v>TPBSu</v>
          </cell>
          <cell r="D386">
            <v>9.7252558214827485E-3</v>
          </cell>
          <cell r="E386">
            <v>1.1883038662334217E-2</v>
          </cell>
          <cell r="F386">
            <v>2.0076317199409274E-2</v>
          </cell>
        </row>
        <row r="387">
          <cell r="A387" t="str">
            <v>T_B_u-ICEDSL-S2</v>
          </cell>
          <cell r="B387" t="str">
            <v>VAR_fin</v>
          </cell>
          <cell r="C387" t="str">
            <v>TDSL</v>
          </cell>
          <cell r="D387">
            <v>0.1111891794332994</v>
          </cell>
          <cell r="E387">
            <v>0.13536964687649622</v>
          </cell>
          <cell r="F387">
            <v>0.22147796109758797</v>
          </cell>
        </row>
        <row r="388">
          <cell r="A388" t="str">
            <v>T_B_u-ICEDSL-S2</v>
          </cell>
          <cell r="B388" t="str">
            <v>VAR_ncap</v>
          </cell>
          <cell r="C388" t="str">
            <v>-</v>
          </cell>
          <cell r="E388">
            <v>6.8083757737575397E-6</v>
          </cell>
          <cell r="F388">
            <v>1.5389877117238899E-4</v>
          </cell>
        </row>
        <row r="389">
          <cell r="A389" t="str">
            <v>T_B_u-ICEDSL-S2</v>
          </cell>
          <cell r="B389" t="str">
            <v>VAR_cap</v>
          </cell>
          <cell r="C389" t="str">
            <v>-</v>
          </cell>
          <cell r="D389">
            <v>1.8448915608925697E-4</v>
          </cell>
          <cell r="E389">
            <v>2.2466891402464652E-4</v>
          </cell>
          <cell r="F389">
            <v>3.78671985202124E-4</v>
          </cell>
          <cell r="G389">
            <v>-9.3556050270119512E-9</v>
          </cell>
        </row>
        <row r="390">
          <cell r="A390" t="str">
            <v>T_B_c-ICENGA-S4</v>
          </cell>
          <cell r="B390" t="str">
            <v>VAR_ncap</v>
          </cell>
          <cell r="C390" t="str">
            <v>-</v>
          </cell>
          <cell r="F390">
            <v>1.01729772787622E-8</v>
          </cell>
        </row>
        <row r="391">
          <cell r="A391" t="str">
            <v>T_B_c-ICENGA-S4</v>
          </cell>
          <cell r="B391" t="str">
            <v>VAR_cap</v>
          </cell>
          <cell r="C391" t="str">
            <v>-</v>
          </cell>
          <cell r="F391">
            <v>1.01729772787622E-8</v>
          </cell>
          <cell r="G391">
            <v>7.4435344730010101E-9</v>
          </cell>
        </row>
        <row r="392">
          <cell r="A392" t="str">
            <v>T_B_u-ICEDSL-S3</v>
          </cell>
          <cell r="B392" t="str">
            <v>VAR_fout</v>
          </cell>
          <cell r="C392" t="str">
            <v>CO2_T</v>
          </cell>
          <cell r="D392">
            <v>44.792590057354062</v>
          </cell>
          <cell r="E392">
            <v>63.743218455106472</v>
          </cell>
          <cell r="F392">
            <v>63.759368744529446</v>
          </cell>
        </row>
        <row r="393">
          <cell r="A393" t="str">
            <v>T_B_u-ICEDSL-S3</v>
          </cell>
          <cell r="B393" t="str">
            <v>VAR_fout</v>
          </cell>
          <cell r="C393" t="str">
            <v>TPBSu</v>
          </cell>
          <cell r="D393">
            <v>3.5412134394524439E-2</v>
          </cell>
          <cell r="E393">
            <v>5.0528873594463612E-2</v>
          </cell>
          <cell r="F393">
            <v>5.0542130690975594E-2</v>
          </cell>
        </row>
        <row r="394">
          <cell r="A394" t="str">
            <v>T_B_u-ICEDSL-S3</v>
          </cell>
          <cell r="B394" t="str">
            <v>VAR_fin</v>
          </cell>
          <cell r="C394" t="str">
            <v>TDSL</v>
          </cell>
          <cell r="D394">
            <v>0.61108581251506344</v>
          </cell>
          <cell r="E394">
            <v>0.8696209884734849</v>
          </cell>
          <cell r="F394">
            <v>0.86984131984351143</v>
          </cell>
        </row>
        <row r="395">
          <cell r="A395" t="str">
            <v>T_B_u-ICEDSL-S3</v>
          </cell>
          <cell r="B395" t="str">
            <v>VAR_ncap</v>
          </cell>
          <cell r="C395" t="str">
            <v>-</v>
          </cell>
          <cell r="E395">
            <v>4.2239352776315E-7</v>
          </cell>
          <cell r="F395">
            <v>1.15352024370365E-7</v>
          </cell>
        </row>
        <row r="396">
          <cell r="A396" t="str">
            <v>T_B_u-ICEDSL-S3</v>
          </cell>
          <cell r="B396" t="str">
            <v>VAR_cap</v>
          </cell>
          <cell r="C396" t="str">
            <v>-</v>
          </cell>
          <cell r="D396">
            <v>8.0670702998663344E-4</v>
          </cell>
          <cell r="E396">
            <v>9.5295726056209376E-4</v>
          </cell>
          <cell r="F396">
            <v>9.5309400434256952E-4</v>
          </cell>
          <cell r="G396">
            <v>-4.315265299460096E-8</v>
          </cell>
        </row>
        <row r="397">
          <cell r="A397" t="str">
            <v>T_B_u-ICEDSL-S4</v>
          </cell>
          <cell r="B397" t="str">
            <v>VAR_fout</v>
          </cell>
          <cell r="C397" t="str">
            <v>CO2_T</v>
          </cell>
          <cell r="D397">
            <v>0.20016394034960833</v>
          </cell>
          <cell r="F397">
            <v>1.4131747941756099E-3</v>
          </cell>
        </row>
        <row r="398">
          <cell r="A398" t="str">
            <v>T_B_u-ICEDSL-S4</v>
          </cell>
          <cell r="B398" t="str">
            <v>VAR_fout</v>
          </cell>
          <cell r="C398" t="str">
            <v>TPBSu</v>
          </cell>
          <cell r="D398">
            <v>1.0553386078116482E-4</v>
          </cell>
          <cell r="F398">
            <v>7.4946294012063805E-7</v>
          </cell>
        </row>
        <row r="399">
          <cell r="A399" t="str">
            <v>T_B_u-ICEDSL-S4</v>
          </cell>
          <cell r="B399" t="str">
            <v>VAR_fin</v>
          </cell>
          <cell r="C399" t="str">
            <v>TDSL</v>
          </cell>
          <cell r="D399">
            <v>2.7307495272797899E-3</v>
          </cell>
          <cell r="F399">
            <v>1.9279328706352115E-5</v>
          </cell>
        </row>
        <row r="400">
          <cell r="A400" t="str">
            <v>T_B_u-ICEDSL-S4</v>
          </cell>
          <cell r="B400" t="str">
            <v>VAR_cap</v>
          </cell>
          <cell r="C400" t="str">
            <v>-</v>
          </cell>
          <cell r="D400">
            <v>2.5446008978227988E-6</v>
          </cell>
          <cell r="E400">
            <v>1.5870815831992859E-9</v>
          </cell>
          <cell r="F400">
            <v>3.5915141427019507E-8</v>
          </cell>
          <cell r="G400">
            <v>-2.7669226191678931E-8</v>
          </cell>
        </row>
        <row r="401">
          <cell r="A401" t="str">
            <v>D-TBDS1intl</v>
          </cell>
          <cell r="B401" t="str">
            <v>VAR_fout</v>
          </cell>
          <cell r="C401" t="str">
            <v>TKERintl_SAF</v>
          </cell>
          <cell r="G401">
            <v>5.0592856291484898</v>
          </cell>
        </row>
        <row r="402">
          <cell r="A402" t="str">
            <v>D-TBDS1intl</v>
          </cell>
          <cell r="B402" t="str">
            <v>VAR_fin</v>
          </cell>
          <cell r="C402" t="str">
            <v>BDS1</v>
          </cell>
          <cell r="G402">
            <v>5.0592856291484898</v>
          </cell>
        </row>
        <row r="403">
          <cell r="A403" t="str">
            <v>T_B_c-ICENGAEXT</v>
          </cell>
          <cell r="B403" t="str">
            <v>VAR_fout</v>
          </cell>
          <cell r="C403" t="str">
            <v>CO2_T</v>
          </cell>
          <cell r="D403">
            <v>7.7879543815437E-3</v>
          </cell>
          <cell r="E403">
            <v>7.75851326361342E-3</v>
          </cell>
          <cell r="F403">
            <v>7.7022645735601199E-3</v>
          </cell>
        </row>
        <row r="404">
          <cell r="A404" t="str">
            <v>T_B_c-ICENGAEXT</v>
          </cell>
          <cell r="B404" t="str">
            <v>VAR_fout</v>
          </cell>
          <cell r="C404" t="str">
            <v>TPBSc</v>
          </cell>
          <cell r="D404">
            <v>1.3739732256129349E-3</v>
          </cell>
          <cell r="E404">
            <v>1.0973065606061122E-3</v>
          </cell>
          <cell r="F404">
            <v>6.8509453163211986E-4</v>
          </cell>
        </row>
        <row r="405">
          <cell r="A405" t="str">
            <v>T_B_c-ICENGAEXT</v>
          </cell>
          <cell r="B405" t="str">
            <v>VAR_fin</v>
          </cell>
          <cell r="C405" t="str">
            <v>TNGA</v>
          </cell>
          <cell r="D405">
            <v>1.3808429754510126E-4</v>
          </cell>
          <cell r="E405">
            <v>1.3756229190803917E-4</v>
          </cell>
          <cell r="F405">
            <v>1.3656497470851268E-4</v>
          </cell>
        </row>
        <row r="406">
          <cell r="A406" t="str">
            <v>T_B_c-ICENGAEXT</v>
          </cell>
          <cell r="B406" t="str">
            <v>VAR_cap</v>
          </cell>
          <cell r="C406" t="str">
            <v>-</v>
          </cell>
          <cell r="D406">
            <v>2.9722792607802899E-5</v>
          </cell>
          <cell r="E406">
            <v>2.3778234086242301E-5</v>
          </cell>
          <cell r="F406">
            <v>1.4861396303901497E-5</v>
          </cell>
        </row>
        <row r="407">
          <cell r="A407" t="str">
            <v>T_B_u-ICEDSLEXT</v>
          </cell>
          <cell r="B407" t="str">
            <v>VAR_fout</v>
          </cell>
          <cell r="C407" t="str">
            <v>CO2_T</v>
          </cell>
          <cell r="D407">
            <v>1.27103698329853</v>
          </cell>
          <cell r="E407">
            <v>1.2694188326498801</v>
          </cell>
          <cell r="F407">
            <v>1.2644547800575601</v>
          </cell>
        </row>
        <row r="408">
          <cell r="A408" t="str">
            <v>T_B_u-ICEDSLEXT</v>
          </cell>
          <cell r="B408" t="str">
            <v>VAR_fout</v>
          </cell>
          <cell r="C408" t="str">
            <v>TPBSu</v>
          </cell>
          <cell r="D408">
            <v>0.24221977894283864</v>
          </cell>
          <cell r="E408">
            <v>0.19378287284498624</v>
          </cell>
          <cell r="F408">
            <v>0.12111458980889132</v>
          </cell>
        </row>
        <row r="409">
          <cell r="A409" t="str">
            <v>T_B_u-ICEDSLEXT</v>
          </cell>
          <cell r="B409" t="str">
            <v>VAR_fin</v>
          </cell>
          <cell r="C409" t="str">
            <v>TDSL</v>
          </cell>
          <cell r="D409">
            <v>1.734020441062115E-2</v>
          </cell>
          <cell r="E409">
            <v>1.7318128685537313E-2</v>
          </cell>
          <cell r="F409">
            <v>1.7250406276365121E-2</v>
          </cell>
        </row>
        <row r="410">
          <cell r="A410" t="str">
            <v>T_B_u-ICEDSLEXT</v>
          </cell>
          <cell r="B410" t="str">
            <v>VAR_cap</v>
          </cell>
          <cell r="C410" t="str">
            <v>-</v>
          </cell>
          <cell r="D410">
            <v>4.5678362175525303E-3</v>
          </cell>
          <cell r="E410">
            <v>3.6542689740420198E-3</v>
          </cell>
          <cell r="F410">
            <v>2.2839181087762699E-3</v>
          </cell>
        </row>
        <row r="411">
          <cell r="A411" t="str">
            <v>D-T-ELC-LGV</v>
          </cell>
          <cell r="B411" t="str">
            <v>VAR_fout</v>
          </cell>
          <cell r="C411" t="str">
            <v>T-ELC-LGV_BatSTGin</v>
          </cell>
          <cell r="D411">
            <v>3.564848812214029E-2</v>
          </cell>
          <cell r="E411">
            <v>7.8890349058320403E-2</v>
          </cell>
          <cell r="F411">
            <v>0.30939387447752087</v>
          </cell>
          <cell r="G411">
            <v>1.2571741265555096</v>
          </cell>
        </row>
        <row r="412">
          <cell r="A412" t="str">
            <v>D-T-ELC-LGV</v>
          </cell>
          <cell r="B412" t="str">
            <v>VAR_fin</v>
          </cell>
          <cell r="C412" t="str">
            <v>TELC</v>
          </cell>
          <cell r="D412">
            <v>3.564848812214029E-2</v>
          </cell>
          <cell r="E412">
            <v>7.8890349058320403E-2</v>
          </cell>
          <cell r="F412">
            <v>0.30939387447752087</v>
          </cell>
          <cell r="G412">
            <v>1.2571741265555096</v>
          </cell>
        </row>
        <row r="413">
          <cell r="A413" t="str">
            <v>D-T-ELC-LGV</v>
          </cell>
          <cell r="B413" t="str">
            <v>VAR_ncap</v>
          </cell>
          <cell r="C413" t="str">
            <v>-</v>
          </cell>
          <cell r="D413">
            <v>3.7692577424523598E-3</v>
          </cell>
          <cell r="E413">
            <v>4.5699974036945102E-3</v>
          </cell>
          <cell r="F413">
            <v>2.4363941386608402E-2</v>
          </cell>
          <cell r="G413">
            <v>0.10179595059592</v>
          </cell>
        </row>
        <row r="414">
          <cell r="A414" t="str">
            <v>D-T-ELC-LGV</v>
          </cell>
          <cell r="B414" t="str">
            <v>VAR_cap</v>
          </cell>
          <cell r="C414" t="str">
            <v>-</v>
          </cell>
          <cell r="D414">
            <v>3.7692577424523598E-3</v>
          </cell>
          <cell r="E414">
            <v>8.3392551461468692E-3</v>
          </cell>
          <cell r="F414">
            <v>3.2703196532755302E-2</v>
          </cell>
          <cell r="G414">
            <v>0.13288233928434601</v>
          </cell>
        </row>
        <row r="415">
          <cell r="A415" t="str">
            <v>T_C-HYBGSLEXT</v>
          </cell>
          <cell r="B415" t="str">
            <v>VAR_fout</v>
          </cell>
          <cell r="C415" t="str">
            <v>CO2_T</v>
          </cell>
          <cell r="D415">
            <v>92.549422659254901</v>
          </cell>
          <cell r="E415">
            <v>91.724485391032701</v>
          </cell>
          <cell r="F415">
            <v>68.278605892806596</v>
          </cell>
          <cell r="G415">
            <v>32.395658075030198</v>
          </cell>
        </row>
        <row r="416">
          <cell r="A416" t="str">
            <v>T_C-HYBGSLEXT</v>
          </cell>
          <cell r="B416" t="str">
            <v>VAR_fout</v>
          </cell>
          <cell r="C416" t="str">
            <v>TPCAR</v>
          </cell>
          <cell r="D416">
            <v>0.61924761885841817</v>
          </cell>
          <cell r="E416">
            <v>0.62769403035179239</v>
          </cell>
          <cell r="F416">
            <v>0.48284215456694068</v>
          </cell>
          <cell r="G416">
            <v>0.24142212545943434</v>
          </cell>
        </row>
        <row r="417">
          <cell r="A417" t="str">
            <v>T_C-HYBGSLEXT</v>
          </cell>
          <cell r="B417" t="str">
            <v>VAR_fin</v>
          </cell>
          <cell r="C417" t="str">
            <v>TGSL</v>
          </cell>
          <cell r="D417">
            <v>1.2540572176050819</v>
          </cell>
          <cell r="E417">
            <v>1.2428792058405518</v>
          </cell>
          <cell r="F417">
            <v>0.92518436169114793</v>
          </cell>
          <cell r="G417">
            <v>0.43896555657222525</v>
          </cell>
        </row>
        <row r="418">
          <cell r="A418" t="str">
            <v>T_C-HYBGSLEXT</v>
          </cell>
          <cell r="B418" t="str">
            <v>VAR_cap</v>
          </cell>
          <cell r="C418" t="str">
            <v>-</v>
          </cell>
          <cell r="D418">
            <v>6.5841999999999998E-2</v>
          </cell>
          <cell r="E418">
            <v>5.7063066666666697E-2</v>
          </cell>
          <cell r="F418">
            <v>4.38946666666667E-2</v>
          </cell>
          <cell r="G418">
            <v>2.1947333333333301E-2</v>
          </cell>
        </row>
        <row r="419">
          <cell r="A419" t="str">
            <v>TPAVDKEREXT</v>
          </cell>
          <cell r="B419" t="str">
            <v>VAR_fout</v>
          </cell>
          <cell r="C419" t="str">
            <v>CO2_T</v>
          </cell>
          <cell r="D419">
            <v>79.576349423418094</v>
          </cell>
          <cell r="E419">
            <v>100.796237247683</v>
          </cell>
          <cell r="F419">
            <v>132.626068984081</v>
          </cell>
          <cell r="G419">
            <v>185.675788544743</v>
          </cell>
        </row>
        <row r="420">
          <cell r="A420" t="str">
            <v>TPAVDKEREXT</v>
          </cell>
          <cell r="B420" t="str">
            <v>VAR_fout</v>
          </cell>
          <cell r="C420" t="str">
            <v>TPAVD</v>
          </cell>
          <cell r="D420">
            <v>1.0930817228491501</v>
          </cell>
          <cell r="E420">
            <v>1.3845636984571901</v>
          </cell>
          <cell r="F420">
            <v>1.82178666186924</v>
          </cell>
          <cell r="G420">
            <v>2.5504916008893299</v>
          </cell>
        </row>
        <row r="421">
          <cell r="A421" t="str">
            <v>TPAVDKEREXT</v>
          </cell>
          <cell r="B421" t="str">
            <v>VAR_fin</v>
          </cell>
          <cell r="C421" t="str">
            <v>TKER</v>
          </cell>
          <cell r="D421">
            <v>1.0930817228491501</v>
          </cell>
          <cell r="E421">
            <v>1.3845636984571901</v>
          </cell>
          <cell r="F421">
            <v>1.82178666186924</v>
          </cell>
          <cell r="G421">
            <v>2.5504916008893299</v>
          </cell>
        </row>
        <row r="422">
          <cell r="A422" t="str">
            <v>TPAVDKEREXT</v>
          </cell>
          <cell r="B422" t="str">
            <v>VAR_ncap</v>
          </cell>
          <cell r="C422" t="str">
            <v>-</v>
          </cell>
          <cell r="D422">
            <v>0.37103174509485798</v>
          </cell>
          <cell r="E422">
            <v>0.92433551029231198</v>
          </cell>
          <cell r="F422">
            <v>0.81026822788238395</v>
          </cell>
          <cell r="G422">
            <v>1.2030036367141499</v>
          </cell>
        </row>
        <row r="423">
          <cell r="A423" t="str">
            <v>TPAVDKEREXT</v>
          </cell>
          <cell r="B423" t="str">
            <v>VAR_cap</v>
          </cell>
          <cell r="C423" t="str">
            <v>-</v>
          </cell>
          <cell r="D423">
            <v>1.464113467944008</v>
          </cell>
          <cell r="E423">
            <v>2.3884489782363199</v>
          </cell>
          <cell r="F423">
            <v>2.4360463624102953</v>
          </cell>
          <cell r="G423">
            <v>2.9649151878095408</v>
          </cell>
        </row>
        <row r="424">
          <cell r="A424" t="str">
            <v>T_C-ICE-GSL-S1</v>
          </cell>
          <cell r="B424" t="str">
            <v>VAR_fout</v>
          </cell>
          <cell r="C424" t="str">
            <v>CO2_T</v>
          </cell>
          <cell r="D424">
            <v>36.545527261512312</v>
          </cell>
          <cell r="E424">
            <v>40.629768008610348</v>
          </cell>
          <cell r="F424">
            <v>101.67222642602385</v>
          </cell>
          <cell r="G424">
            <v>163.50977605920912</v>
          </cell>
        </row>
        <row r="425">
          <cell r="A425" t="str">
            <v>T_C-ICE-GSL-S1</v>
          </cell>
          <cell r="B425" t="str">
            <v>VAR_fout</v>
          </cell>
          <cell r="C425" t="str">
            <v>TPCAR</v>
          </cell>
          <cell r="D425">
            <v>0.33840088256824075</v>
          </cell>
          <cell r="E425">
            <v>0.37223212104381259</v>
          </cell>
          <cell r="F425">
            <v>0.85506372431041389</v>
          </cell>
          <cell r="G425">
            <v>1.3305550939590569</v>
          </cell>
        </row>
        <row r="426">
          <cell r="A426" t="str">
            <v>T_C-ICE-GSL-S1</v>
          </cell>
          <cell r="B426" t="str">
            <v>VAR_fin</v>
          </cell>
          <cell r="C426" t="str">
            <v>TGSL</v>
          </cell>
          <cell r="D426">
            <v>0.49519684636195571</v>
          </cell>
          <cell r="E426">
            <v>0.55053886190529056</v>
          </cell>
          <cell r="F426">
            <v>1.3776724447970712</v>
          </cell>
          <cell r="G426">
            <v>2.2155796213984935</v>
          </cell>
        </row>
        <row r="427">
          <cell r="A427" t="str">
            <v>T_C-ICE-GSL-S1</v>
          </cell>
          <cell r="B427" t="str">
            <v>VAR_ncap</v>
          </cell>
          <cell r="C427" t="str">
            <v>-</v>
          </cell>
          <cell r="E427">
            <v>1.18088135911726E-5</v>
          </cell>
          <cell r="F427">
            <v>9.1860149300836705E-2</v>
          </cell>
          <cell r="G427">
            <v>9.7482542703953706E-2</v>
          </cell>
        </row>
        <row r="428">
          <cell r="A428" t="str">
            <v>T_C-ICE-GSL-S1</v>
          </cell>
          <cell r="B428" t="str">
            <v>VAR_cap</v>
          </cell>
          <cell r="C428" t="str">
            <v>-</v>
          </cell>
          <cell r="D428">
            <v>3.6542773617589494E-2</v>
          </cell>
          <cell r="E428">
            <v>3.976882528743169E-2</v>
          </cell>
          <cell r="F428">
            <v>0.1299413380809358</v>
          </cell>
          <cell r="G428">
            <v>0.2022063286914331</v>
          </cell>
        </row>
        <row r="429">
          <cell r="A429" t="str">
            <v>V2G</v>
          </cell>
          <cell r="B429" t="str">
            <v>VAR_fout</v>
          </cell>
          <cell r="C429" t="str">
            <v>ELC35</v>
          </cell>
          <cell r="G429">
            <v>4.0559774601468066E-3</v>
          </cell>
        </row>
        <row r="430">
          <cell r="A430" t="str">
            <v>V2G</v>
          </cell>
          <cell r="B430" t="str">
            <v>VAR_fin</v>
          </cell>
          <cell r="C430" t="str">
            <v>T-ELC-Bus_c_BatSTGout_S1</v>
          </cell>
          <cell r="G430">
            <v>1.1051524539554566E-4</v>
          </cell>
        </row>
        <row r="431">
          <cell r="A431" t="str">
            <v>V2G</v>
          </cell>
          <cell r="B431" t="str">
            <v>VAR_fin</v>
          </cell>
          <cell r="C431" t="str">
            <v>T-ELC-Bus_c_BatSTGout_S2</v>
          </cell>
          <cell r="G431">
            <v>1.0523264640754656E-4</v>
          </cell>
        </row>
        <row r="432">
          <cell r="A432" t="str">
            <v>V2G</v>
          </cell>
          <cell r="B432" t="str">
            <v>VAR_fin</v>
          </cell>
          <cell r="C432" t="str">
            <v>T-ELC-Bus_c_BatSTGout_S3</v>
          </cell>
          <cell r="G432">
            <v>7.0027794583910589E-5</v>
          </cell>
        </row>
        <row r="433">
          <cell r="A433" t="str">
            <v>V2G</v>
          </cell>
          <cell r="B433" t="str">
            <v>VAR_fin</v>
          </cell>
          <cell r="C433" t="str">
            <v>T-ELC-Bus_c_BatSTGout_S4</v>
          </cell>
          <cell r="G433">
            <v>9.8551287386395835E-5</v>
          </cell>
        </row>
        <row r="434">
          <cell r="A434" t="str">
            <v>V2G</v>
          </cell>
          <cell r="B434" t="str">
            <v>VAR_fin</v>
          </cell>
          <cell r="C434" t="str">
            <v>T-ELC-car-BatSTGOut_S1</v>
          </cell>
          <cell r="G434">
            <v>3.5653101350887592E-4</v>
          </cell>
        </row>
        <row r="435">
          <cell r="A435" t="str">
            <v>V2G</v>
          </cell>
          <cell r="B435" t="str">
            <v>VAR_fin</v>
          </cell>
          <cell r="C435" t="str">
            <v>T-ELC-car-BatSTGOut_S2</v>
          </cell>
          <cell r="G435">
            <v>1.4412154505481E-4</v>
          </cell>
        </row>
        <row r="436">
          <cell r="A436" t="str">
            <v>V2G</v>
          </cell>
          <cell r="B436" t="str">
            <v>VAR_fin</v>
          </cell>
          <cell r="C436" t="str">
            <v>T-ELC-car-BatSTGOut_S3</v>
          </cell>
          <cell r="G436">
            <v>1.7087188353178754E-4</v>
          </cell>
        </row>
        <row r="437">
          <cell r="A437" t="str">
            <v>V2G</v>
          </cell>
          <cell r="B437" t="str">
            <v>VAR_fin</v>
          </cell>
          <cell r="C437" t="str">
            <v>T-ELC-car-BatSTGOut_S4</v>
          </cell>
          <cell r="G437">
            <v>1.3862433180768306E-4</v>
          </cell>
        </row>
        <row r="438">
          <cell r="A438" t="str">
            <v>V2G</v>
          </cell>
          <cell r="B438" t="str">
            <v>VAR_fin</v>
          </cell>
          <cell r="C438" t="str">
            <v>T-ELC-car-PlgSTGOut_S1</v>
          </cell>
          <cell r="G438">
            <v>1.641341130912228E-4</v>
          </cell>
        </row>
        <row r="439">
          <cell r="A439" t="str">
            <v>V2G</v>
          </cell>
          <cell r="B439" t="str">
            <v>VAR_fin</v>
          </cell>
          <cell r="C439" t="str">
            <v>T-ELC-car-PlgSTGOut_S2</v>
          </cell>
          <cell r="G439">
            <v>3.3146198355678729E-5</v>
          </cell>
        </row>
        <row r="440">
          <cell r="A440" t="str">
            <v>V2G</v>
          </cell>
          <cell r="B440" t="str">
            <v>VAR_fin</v>
          </cell>
          <cell r="C440" t="str">
            <v>T-ELC-car-PlgSTGOut_S3</v>
          </cell>
          <cell r="G440">
            <v>1.4315134062945986E-4</v>
          </cell>
        </row>
        <row r="441">
          <cell r="A441" t="str">
            <v>V2G</v>
          </cell>
          <cell r="B441" t="str">
            <v>VAR_fin</v>
          </cell>
          <cell r="C441" t="str">
            <v>T-ELC-TWSTGout_S1</v>
          </cell>
          <cell r="G441">
            <v>3.3367212887668658E-4</v>
          </cell>
        </row>
        <row r="442">
          <cell r="A442" t="str">
            <v>V2G</v>
          </cell>
          <cell r="B442" t="str">
            <v>VAR_fin</v>
          </cell>
          <cell r="C442" t="str">
            <v>T-ELC-car-PlgSTGOut_S4</v>
          </cell>
          <cell r="G442">
            <v>3.2210423011573359E-5</v>
          </cell>
        </row>
        <row r="443">
          <cell r="A443" t="str">
            <v>V2G</v>
          </cell>
          <cell r="B443" t="str">
            <v>VAR_fin</v>
          </cell>
          <cell r="C443" t="str">
            <v>T-ELC-TWSTGout_S2</v>
          </cell>
          <cell r="G443">
            <v>4.811290159065512E-4</v>
          </cell>
        </row>
        <row r="444">
          <cell r="A444" t="str">
            <v>V2G</v>
          </cell>
          <cell r="B444" t="str">
            <v>VAR_fin</v>
          </cell>
          <cell r="C444" t="str">
            <v>T-ELC-TWSTGout_S3</v>
          </cell>
          <cell r="G444">
            <v>6.1519210636479824E-4</v>
          </cell>
        </row>
        <row r="445">
          <cell r="A445" t="str">
            <v>V2G</v>
          </cell>
          <cell r="B445" t="str">
            <v>VAR_fin</v>
          </cell>
          <cell r="C445" t="str">
            <v>T-ELC-TWSTGout_S4</v>
          </cell>
          <cell r="G445">
            <v>6.7767259032902431E-4</v>
          </cell>
        </row>
        <row r="446">
          <cell r="A446" t="str">
            <v>V2G</v>
          </cell>
          <cell r="B446" t="str">
            <v>VAR_fin</v>
          </cell>
          <cell r="C446" t="str">
            <v>T-ELC-Bus_u_BatSTGout_S1</v>
          </cell>
          <cell r="G446">
            <v>3.1366742089048324E-5</v>
          </cell>
        </row>
        <row r="447">
          <cell r="A447" t="str">
            <v>V2G</v>
          </cell>
          <cell r="B447" t="str">
            <v>VAR_fin</v>
          </cell>
          <cell r="C447" t="str">
            <v>T-ELC-Bus_u_BatSTGout_S2</v>
          </cell>
          <cell r="G447">
            <v>2.7144698591220553E-5</v>
          </cell>
        </row>
        <row r="448">
          <cell r="A448" t="str">
            <v>V2G</v>
          </cell>
          <cell r="B448" t="str">
            <v>VAR_fin</v>
          </cell>
          <cell r="C448" t="str">
            <v>T-ELC-Bus_u_BatSTGout_S3</v>
          </cell>
          <cell r="G448">
            <v>1.6319923972217568E-5</v>
          </cell>
        </row>
        <row r="449">
          <cell r="A449" t="str">
            <v>V2G</v>
          </cell>
          <cell r="B449" t="str">
            <v>VAR_fin</v>
          </cell>
          <cell r="C449" t="str">
            <v>T-ELC-Bus_u_BatSTGout_S4</v>
          </cell>
          <cell r="G449">
            <v>4.4370224915129209E-5</v>
          </cell>
        </row>
        <row r="450">
          <cell r="A450" t="str">
            <v>V2G</v>
          </cell>
          <cell r="B450" t="str">
            <v>VAR_fin</v>
          </cell>
          <cell r="C450" t="str">
            <v>T-ELC-LGV_BatSTGout</v>
          </cell>
          <cell r="G450">
            <v>1.1838371020137065E-4</v>
          </cell>
        </row>
        <row r="451">
          <cell r="A451" t="str">
            <v>V2G</v>
          </cell>
          <cell r="B451" t="str">
            <v>VAR_fin</v>
          </cell>
          <cell r="C451" t="str">
            <v>T-ELC-HGV_BatSTGout</v>
          </cell>
          <cell r="G451">
            <v>1.7355249151725357E-4</v>
          </cell>
        </row>
        <row r="452">
          <cell r="A452" t="str">
            <v>V2G</v>
          </cell>
          <cell r="B452" t="str">
            <v>VAR_ncap</v>
          </cell>
          <cell r="C452" t="str">
            <v>-</v>
          </cell>
          <cell r="G452">
            <v>1.1084331294218301E-3</v>
          </cell>
        </row>
        <row r="453">
          <cell r="A453" t="str">
            <v>V2G</v>
          </cell>
          <cell r="B453" t="str">
            <v>VAR_cap</v>
          </cell>
          <cell r="C453" t="str">
            <v>-</v>
          </cell>
          <cell r="G453">
            <v>1.1084331294218301E-3</v>
          </cell>
        </row>
        <row r="454">
          <cell r="A454" t="str">
            <v>TPSHPELCEXT</v>
          </cell>
          <cell r="B454" t="str">
            <v>VAR_fout</v>
          </cell>
          <cell r="C454" t="str">
            <v>TPSHP</v>
          </cell>
          <cell r="E454">
            <v>8.9491362900520094E-2</v>
          </cell>
          <cell r="F454">
            <v>8.9492977064677806E-2</v>
          </cell>
          <cell r="G454">
            <v>8.9503310796425206E-2</v>
          </cell>
        </row>
        <row r="455">
          <cell r="A455" t="str">
            <v>TPSHPELCEXT</v>
          </cell>
          <cell r="B455" t="str">
            <v>VAR_fin</v>
          </cell>
          <cell r="C455" t="str">
            <v>TELC</v>
          </cell>
          <cell r="E455">
            <v>3.6269627254836186E-2</v>
          </cell>
          <cell r="F455">
            <v>3.6270281453525711E-2</v>
          </cell>
          <cell r="G455">
            <v>3.6274469573881467E-2</v>
          </cell>
        </row>
        <row r="456">
          <cell r="A456" t="str">
            <v>TPSHPELCEXT</v>
          </cell>
          <cell r="B456" t="str">
            <v>VAR_ncap</v>
          </cell>
          <cell r="C456" t="str">
            <v>-</v>
          </cell>
          <cell r="D456">
            <v>1.30538828619357E-6</v>
          </cell>
          <cell r="E456">
            <v>8.9490276668892296E-2</v>
          </cell>
          <cell r="F456">
            <v>1.25746203661136E-6</v>
          </cell>
          <cell r="G456">
            <v>1.03235536549808E-6</v>
          </cell>
        </row>
        <row r="457">
          <cell r="A457" t="str">
            <v>TPSHPELCEXT</v>
          </cell>
          <cell r="B457" t="str">
            <v>VAR_cap</v>
          </cell>
          <cell r="C457" t="str">
            <v>-</v>
          </cell>
          <cell r="D457">
            <v>1.30538828619357E-6</v>
          </cell>
          <cell r="E457">
            <v>8.9491582057178498E-2</v>
          </cell>
          <cell r="F457">
            <v>8.9492526329082056E-2</v>
          </cell>
          <cell r="G457">
            <v>8.9492911714159032E-2</v>
          </cell>
        </row>
        <row r="458">
          <cell r="A458" t="str">
            <v>TFLGV-ICEGSL</v>
          </cell>
          <cell r="B458" t="str">
            <v>VAR_fout</v>
          </cell>
          <cell r="C458" t="str">
            <v>CO2_T</v>
          </cell>
          <cell r="D458">
            <v>37.172891416222861</v>
          </cell>
          <cell r="E458">
            <v>42.667746666657358</v>
          </cell>
          <cell r="F458">
            <v>68.587922576323166</v>
          </cell>
          <cell r="G458">
            <v>100.6251509441604</v>
          </cell>
        </row>
        <row r="459">
          <cell r="A459" t="str">
            <v>TFLGV-ICEGSL</v>
          </cell>
          <cell r="B459" t="str">
            <v>VAR_fout</v>
          </cell>
          <cell r="C459" t="str">
            <v>TFLGV</v>
          </cell>
          <cell r="D459">
            <v>0.17691355331768635</v>
          </cell>
          <cell r="E459">
            <v>0.20306471698252013</v>
          </cell>
          <cell r="F459">
            <v>0.32642424722334512</v>
          </cell>
          <cell r="G459">
            <v>0.47889610757830181</v>
          </cell>
        </row>
        <row r="460">
          <cell r="A460" t="str">
            <v>TFLGV-ICEGSL</v>
          </cell>
          <cell r="B460" t="str">
            <v>VAR_fin</v>
          </cell>
          <cell r="C460" t="str">
            <v>TGSL</v>
          </cell>
          <cell r="D460">
            <v>0.50369771566697585</v>
          </cell>
          <cell r="E460">
            <v>0.57815374887069693</v>
          </cell>
          <cell r="F460">
            <v>0.92937564466562284</v>
          </cell>
          <cell r="G460">
            <v>1.3634844301376754</v>
          </cell>
        </row>
        <row r="461">
          <cell r="A461" t="str">
            <v>TFLGV-ICEGSL</v>
          </cell>
          <cell r="B461" t="str">
            <v>VAR_ncap</v>
          </cell>
          <cell r="C461" t="str">
            <v>-</v>
          </cell>
          <cell r="E461">
            <v>3.6079798744418003E-5</v>
          </cell>
          <cell r="F461">
            <v>1.2380986188723299E-2</v>
          </cell>
          <cell r="G461">
            <v>2.7486610540009799E-2</v>
          </cell>
        </row>
        <row r="462">
          <cell r="A462" t="str">
            <v>TFLGV-ICEGSL</v>
          </cell>
          <cell r="B462" t="str">
            <v>VAR_cap</v>
          </cell>
          <cell r="C462" t="str">
            <v>-</v>
          </cell>
          <cell r="D462">
            <v>1.2434931894382469E-2</v>
          </cell>
          <cell r="E462">
            <v>1.4158079798744417E-2</v>
          </cell>
          <cell r="F462">
            <v>2.6539065987467698E-2</v>
          </cell>
          <cell r="G462">
            <v>4.7598583362717689E-2</v>
          </cell>
        </row>
        <row r="463">
          <cell r="A463" t="str">
            <v>T_C-ICE-GSL-S2</v>
          </cell>
          <cell r="B463" t="str">
            <v>VAR_fout</v>
          </cell>
          <cell r="C463" t="str">
            <v>CO2_T</v>
          </cell>
          <cell r="D463">
            <v>286.7166606919987</v>
          </cell>
          <cell r="E463">
            <v>391.63890939761046</v>
          </cell>
          <cell r="F463">
            <v>511.3457175529943</v>
          </cell>
          <cell r="G463">
            <v>412.71406671022891</v>
          </cell>
        </row>
        <row r="464">
          <cell r="A464" t="str">
            <v>T_C-ICE-GSL-S2</v>
          </cell>
          <cell r="B464" t="str">
            <v>VAR_fout</v>
          </cell>
          <cell r="C464" t="str">
            <v>TPCAR</v>
          </cell>
          <cell r="D464">
            <v>2.3602082734823493</v>
          </cell>
          <cell r="E464">
            <v>3.2077157552734468</v>
          </cell>
          <cell r="F464">
            <v>4.1026955545345904</v>
          </cell>
          <cell r="G464">
            <v>3.3250323755707143</v>
          </cell>
        </row>
        <row r="465">
          <cell r="A465" t="str">
            <v>T_C-ICE-GSL-S2</v>
          </cell>
          <cell r="B465" t="str">
            <v>VAR_fin</v>
          </cell>
          <cell r="C465" t="str">
            <v>TGSL</v>
          </cell>
          <cell r="D465">
            <v>3.8850496028726145</v>
          </cell>
          <cell r="E465">
            <v>5.3067602899405211</v>
          </cell>
          <cell r="F465">
            <v>6.9288037608806778</v>
          </cell>
          <cell r="G465">
            <v>5.5923315272388674</v>
          </cell>
        </row>
        <row r="466">
          <cell r="A466" t="str">
            <v>T_C-ICE-GSL-S2</v>
          </cell>
          <cell r="B466" t="str">
            <v>VAR_ncap</v>
          </cell>
          <cell r="C466" t="str">
            <v>-</v>
          </cell>
          <cell r="E466">
            <v>7.2563281736540203E-6</v>
          </cell>
          <cell r="F466">
            <v>7.2211253620355798E-2</v>
          </cell>
          <cell r="G466">
            <v>2.4827207599458201E-5</v>
          </cell>
        </row>
        <row r="467">
          <cell r="A467" t="str">
            <v>T_C-ICE-GSL-S2</v>
          </cell>
          <cell r="B467" t="str">
            <v>VAR_cap</v>
          </cell>
          <cell r="C467" t="str">
            <v>-</v>
          </cell>
          <cell r="D467">
            <v>0.21743082758424429</v>
          </cell>
          <cell r="E467">
            <v>0.24337921371634744</v>
          </cell>
          <cell r="F467">
            <v>0.31128511909586992</v>
          </cell>
          <cell r="G467">
            <v>0.25228240495668253</v>
          </cell>
        </row>
        <row r="468">
          <cell r="A468" t="str">
            <v>T_C-ICE-DSL-S1</v>
          </cell>
          <cell r="B468" t="str">
            <v>VAR_fout</v>
          </cell>
          <cell r="C468" t="str">
            <v>CO2_T</v>
          </cell>
          <cell r="D468">
            <v>0.38803906555104856</v>
          </cell>
          <cell r="E468">
            <v>0.43333221032393526</v>
          </cell>
          <cell r="F468">
            <v>0.31750948507769167</v>
          </cell>
          <cell r="G468">
            <v>0.22975675590489092</v>
          </cell>
        </row>
        <row r="469">
          <cell r="A469" t="str">
            <v>T_C-ICE-DSL-S1</v>
          </cell>
          <cell r="B469" t="str">
            <v>VAR_fout</v>
          </cell>
          <cell r="C469" t="str">
            <v>TPCAR</v>
          </cell>
          <cell r="D469">
            <v>3.9735454921882183E-3</v>
          </cell>
          <cell r="E469">
            <v>4.5304693678477736E-3</v>
          </cell>
          <cell r="F469">
            <v>3.3272787389763479E-3</v>
          </cell>
          <cell r="G469">
            <v>2.4667912549687552E-3</v>
          </cell>
        </row>
        <row r="470">
          <cell r="A470" t="str">
            <v>T_C-ICE-DSL-S1</v>
          </cell>
          <cell r="B470" t="str">
            <v>VAR_fin</v>
          </cell>
          <cell r="C470" t="str">
            <v>TDSL</v>
          </cell>
          <cell r="D470">
            <v>5.293848097558649E-3</v>
          </cell>
          <cell r="E470">
            <v>5.91176276021739E-3</v>
          </cell>
          <cell r="F470">
            <v>4.3316437254801009E-3</v>
          </cell>
          <cell r="G470">
            <v>3.1344714311717725E-3</v>
          </cell>
        </row>
        <row r="471">
          <cell r="A471" t="str">
            <v>T_C-ICE-DSL-S1</v>
          </cell>
          <cell r="B471" t="str">
            <v>VAR_ncap</v>
          </cell>
          <cell r="C471" t="str">
            <v>-</v>
          </cell>
          <cell r="E471">
            <v>1.19785006521852E-5</v>
          </cell>
          <cell r="F471">
            <v>2.0390690395384599E-5</v>
          </cell>
          <cell r="G471">
            <v>1.4201991355319601E-5</v>
          </cell>
        </row>
        <row r="472">
          <cell r="A472" t="str">
            <v>T_C-ICE-DSL-S1</v>
          </cell>
          <cell r="B472" t="str">
            <v>VAR_cap</v>
          </cell>
          <cell r="C472" t="str">
            <v>-</v>
          </cell>
          <cell r="D472">
            <v>4.4465691838591515E-4</v>
          </cell>
          <cell r="E472">
            <v>4.8476969179081346E-4</v>
          </cell>
          <cell r="F472">
            <v>5.010337840079096E-4</v>
          </cell>
          <cell r="G472">
            <v>3.7143668749505671E-4</v>
          </cell>
        </row>
        <row r="473">
          <cell r="A473" t="str">
            <v>T_C-ICE-GSL-S3</v>
          </cell>
          <cell r="B473" t="str">
            <v>VAR_fout</v>
          </cell>
          <cell r="C473" t="str">
            <v>CO2_T</v>
          </cell>
          <cell r="D473">
            <v>303.8381005882012</v>
          </cell>
          <cell r="E473">
            <v>423.61773236610475</v>
          </cell>
          <cell r="F473">
            <v>502.98063550716017</v>
          </cell>
          <cell r="G473">
            <v>411.42702290830272</v>
          </cell>
        </row>
        <row r="474">
          <cell r="A474" t="str">
            <v>T_C-ICE-GSL-S3</v>
          </cell>
          <cell r="B474" t="str">
            <v>VAR_fout</v>
          </cell>
          <cell r="C474" t="str">
            <v>TPCAR</v>
          </cell>
          <cell r="D474">
            <v>2.1370002796024221</v>
          </cell>
          <cell r="E474">
            <v>2.9620380690167485</v>
          </cell>
          <cell r="F474">
            <v>3.4777259694163307</v>
          </cell>
          <cell r="G474">
            <v>2.8618135615378311</v>
          </cell>
        </row>
        <row r="475">
          <cell r="A475" t="str">
            <v>T_C-ICE-GSL-S3</v>
          </cell>
          <cell r="B475" t="str">
            <v>VAR_fin</v>
          </cell>
          <cell r="C475" t="str">
            <v>TGSL</v>
          </cell>
          <cell r="D475">
            <v>4.1170474334444584</v>
          </cell>
          <cell r="E475">
            <v>5.7400776743374511</v>
          </cell>
          <cell r="F475">
            <v>6.8154557656796779</v>
          </cell>
          <cell r="G475">
            <v>5.5748919093266105</v>
          </cell>
        </row>
        <row r="476">
          <cell r="A476" t="str">
            <v>T_C-ICE-GSL-S3</v>
          </cell>
          <cell r="B476" t="str">
            <v>VAR_ncap</v>
          </cell>
          <cell r="C476" t="str">
            <v>-</v>
          </cell>
          <cell r="E476">
            <v>8.9168771200575399E-6</v>
          </cell>
          <cell r="F476">
            <v>3.9119243949954002E-2</v>
          </cell>
          <cell r="G476">
            <v>1.8368534114476101E-5</v>
          </cell>
        </row>
        <row r="477">
          <cell r="A477" t="str">
            <v>T_C-ICE-GSL-S3</v>
          </cell>
          <cell r="B477" t="str">
            <v>VAR_cap</v>
          </cell>
          <cell r="C477" t="str">
            <v>-</v>
          </cell>
          <cell r="D477">
            <v>0.18201253589393093</v>
          </cell>
          <cell r="E477">
            <v>0.20366271220038373</v>
          </cell>
          <cell r="F477">
            <v>0.23912645479668979</v>
          </cell>
          <cell r="G477">
            <v>0.1967747091474896</v>
          </cell>
        </row>
        <row r="478">
          <cell r="A478" t="str">
            <v>T_C-ICE-DSL-S2</v>
          </cell>
          <cell r="B478" t="str">
            <v>VAR_fout</v>
          </cell>
          <cell r="C478" t="str">
            <v>CO2_T</v>
          </cell>
          <cell r="D478">
            <v>77.923751126875743</v>
          </cell>
          <cell r="E478">
            <v>94.050484474053135</v>
          </cell>
          <cell r="F478">
            <v>81.454408853084615</v>
          </cell>
          <cell r="G478">
            <v>60.734045303627234</v>
          </cell>
        </row>
        <row r="479">
          <cell r="A479" t="str">
            <v>T_C-ICE-DSL-S2</v>
          </cell>
          <cell r="B479" t="str">
            <v>VAR_fout</v>
          </cell>
          <cell r="C479" t="str">
            <v>TPCAR</v>
          </cell>
          <cell r="D479">
            <v>0.77432700451008374</v>
          </cell>
          <cell r="E479">
            <v>0.90295667263028812</v>
          </cell>
          <cell r="F479">
            <v>0.81675132323614541</v>
          </cell>
          <cell r="G479">
            <v>0.63219079111762722</v>
          </cell>
        </row>
        <row r="480">
          <cell r="A480" t="str">
            <v>T_C-ICE-DSL-S2</v>
          </cell>
          <cell r="B480" t="str">
            <v>VAR_fin</v>
          </cell>
          <cell r="C480" t="str">
            <v>TDSL</v>
          </cell>
          <cell r="D480">
            <v>1.0630798243775721</v>
          </cell>
          <cell r="E480">
            <v>1.2830898291139603</v>
          </cell>
          <cell r="F480">
            <v>1.1112470512017041</v>
          </cell>
          <cell r="G480">
            <v>0.8285681487534402</v>
          </cell>
        </row>
        <row r="481">
          <cell r="A481" t="str">
            <v>T_C-ICE-DSL-S2</v>
          </cell>
          <cell r="B481" t="str">
            <v>VAR_ncap</v>
          </cell>
          <cell r="C481" t="str">
            <v>-</v>
          </cell>
          <cell r="E481">
            <v>5.3164386669359103E-6</v>
          </cell>
          <cell r="F481">
            <v>1.1804338680265899E-5</v>
          </cell>
          <cell r="G481">
            <v>6.7294947494539504E-6</v>
          </cell>
        </row>
        <row r="482">
          <cell r="A482" t="str">
            <v>T_C-ICE-DSL-S2</v>
          </cell>
          <cell r="B482" t="str">
            <v>VAR_cap</v>
          </cell>
          <cell r="C482" t="str">
            <v>-</v>
          </cell>
          <cell r="D482">
            <v>6.4569606817228481E-2</v>
          </cell>
          <cell r="E482">
            <v>6.8510065392165614E-2</v>
          </cell>
          <cell r="F482">
            <v>6.7901019301008697E-2</v>
          </cell>
          <cell r="G482">
            <v>5.148201171989366E-2</v>
          </cell>
        </row>
        <row r="483">
          <cell r="A483" t="str">
            <v>TPRLPH2OFCL</v>
          </cell>
          <cell r="B483" t="str">
            <v>VAR_fout</v>
          </cell>
          <cell r="C483" t="str">
            <v>TPRLP</v>
          </cell>
        </row>
        <row r="484">
          <cell r="A484" t="str">
            <v>TPRLPH2OFCL</v>
          </cell>
          <cell r="B484" t="str">
            <v>VAR_fin</v>
          </cell>
          <cell r="C484" t="str">
            <v>TH2O</v>
          </cell>
        </row>
        <row r="485">
          <cell r="A485" t="str">
            <v>TPRLPH2OFCL</v>
          </cell>
          <cell r="B485" t="str">
            <v>VAR_ncap</v>
          </cell>
          <cell r="C485" t="str">
            <v>-</v>
          </cell>
        </row>
        <row r="486">
          <cell r="A486" t="str">
            <v>TPRLPH2OFCL</v>
          </cell>
          <cell r="B486" t="str">
            <v>VAR_cap</v>
          </cell>
          <cell r="C486" t="str">
            <v>-</v>
          </cell>
        </row>
        <row r="487">
          <cell r="A487" t="str">
            <v>T_C-ICE-GSL-S4</v>
          </cell>
          <cell r="B487" t="str">
            <v>VAR_fout</v>
          </cell>
          <cell r="C487" t="str">
            <v>CO2_T</v>
          </cell>
          <cell r="D487">
            <v>286.8156085763539</v>
          </cell>
          <cell r="E487">
            <v>387.77248760912551</v>
          </cell>
          <cell r="F487">
            <v>627.7620782247127</v>
          </cell>
          <cell r="G487">
            <v>518.81476833689862</v>
          </cell>
        </row>
        <row r="488">
          <cell r="A488" t="str">
            <v>T_C-ICE-GSL-S4</v>
          </cell>
          <cell r="B488" t="str">
            <v>VAR_fout</v>
          </cell>
          <cell r="C488" t="str">
            <v>TPCAR</v>
          </cell>
          <cell r="D488">
            <v>1.7111951513878778</v>
          </cell>
          <cell r="E488">
            <v>2.276700540852544</v>
          </cell>
          <cell r="F488">
            <v>3.6900128483659782</v>
          </cell>
          <cell r="G488">
            <v>3.0755064039886815</v>
          </cell>
        </row>
        <row r="489">
          <cell r="A489" t="str">
            <v>T_C-ICE-GSL-S4</v>
          </cell>
          <cell r="B489" t="str">
            <v>VAR_fin</v>
          </cell>
          <cell r="C489" t="str">
            <v>TGSL</v>
          </cell>
          <cell r="D489">
            <v>3.8863903601131979</v>
          </cell>
          <cell r="E489">
            <v>5.2543697508011382</v>
          </cell>
          <cell r="F489">
            <v>8.5062612225570771</v>
          </cell>
          <cell r="G489">
            <v>7.0300104110690667</v>
          </cell>
        </row>
        <row r="490">
          <cell r="A490" t="str">
            <v>T_C-ICE-GSL-S4</v>
          </cell>
          <cell r="B490" t="str">
            <v>VAR_ncap</v>
          </cell>
          <cell r="C490" t="str">
            <v>-</v>
          </cell>
          <cell r="E490">
            <v>7.2955473142829397E-6</v>
          </cell>
          <cell r="F490">
            <v>0.11574501818427101</v>
          </cell>
          <cell r="G490">
            <v>4.8217304164457397E-5</v>
          </cell>
        </row>
        <row r="491">
          <cell r="A491" t="str">
            <v>T_C-ICE-GSL-S4</v>
          </cell>
          <cell r="B491" t="str">
            <v>VAR_cap</v>
          </cell>
          <cell r="C491" t="str">
            <v>-</v>
          </cell>
          <cell r="D491">
            <v>0.15707572224196165</v>
          </cell>
          <cell r="E491">
            <v>0.17927123455842789</v>
          </cell>
          <cell r="F491">
            <v>0.290573887883457</v>
          </cell>
          <cell r="G491">
            <v>0.242183052029743</v>
          </cell>
        </row>
        <row r="492">
          <cell r="A492" t="str">
            <v>T_C-ICE-DSL-S3</v>
          </cell>
          <cell r="B492" t="str">
            <v>VAR_fout</v>
          </cell>
          <cell r="C492" t="str">
            <v>CO2_T</v>
          </cell>
          <cell r="D492">
            <v>335.70924063513633</v>
          </cell>
          <cell r="E492">
            <v>390.45209159910371</v>
          </cell>
          <cell r="F492">
            <v>386.71705391251641</v>
          </cell>
          <cell r="G492">
            <v>295.32553730765392</v>
          </cell>
        </row>
        <row r="493">
          <cell r="A493" t="str">
            <v>T_C-ICE-DSL-S3</v>
          </cell>
          <cell r="B493" t="str">
            <v>VAR_fout</v>
          </cell>
          <cell r="C493" t="str">
            <v>TPCAR</v>
          </cell>
          <cell r="D493">
            <v>2.467103637810756</v>
          </cell>
          <cell r="E493">
            <v>2.836065631770448</v>
          </cell>
          <cell r="F493">
            <v>2.806482360250329</v>
          </cell>
          <cell r="G493">
            <v>2.1805647706465283</v>
          </cell>
        </row>
        <row r="494">
          <cell r="A494" t="str">
            <v>T_C-ICE-DSL-S3</v>
          </cell>
          <cell r="B494" t="str">
            <v>VAR_fin</v>
          </cell>
          <cell r="C494" t="str">
            <v>TDSL</v>
          </cell>
          <cell r="D494">
            <v>4.5799350700564352</v>
          </cell>
          <cell r="E494">
            <v>5.3267679617886037</v>
          </cell>
          <cell r="F494">
            <v>5.2758124681107184</v>
          </cell>
          <cell r="G494">
            <v>4.0289977804591244</v>
          </cell>
        </row>
        <row r="495">
          <cell r="A495" t="str">
            <v>T_C-ICE-DSL-S3</v>
          </cell>
          <cell r="B495" t="str">
            <v>VAR_ncap</v>
          </cell>
          <cell r="C495" t="str">
            <v>-</v>
          </cell>
          <cell r="E495">
            <v>4.6413698385860301E-6</v>
          </cell>
          <cell r="F495">
            <v>8.1474152493747094E-6</v>
          </cell>
          <cell r="G495">
            <v>5.1063222489183497E-6</v>
          </cell>
        </row>
        <row r="496">
          <cell r="A496" t="str">
            <v>T_C-ICE-DSL-S3</v>
          </cell>
          <cell r="B496" t="str">
            <v>VAR_cap</v>
          </cell>
          <cell r="C496" t="str">
            <v>-</v>
          </cell>
          <cell r="D496">
            <v>0.18324147760900036</v>
          </cell>
          <cell r="E496">
            <v>0.19500108153048012</v>
          </cell>
          <cell r="F496">
            <v>0.19297502982416803</v>
          </cell>
          <cell r="G496">
            <v>0.14993510242799174</v>
          </cell>
        </row>
        <row r="497">
          <cell r="A497" t="str">
            <v>T_C-ICE-DSL-S4</v>
          </cell>
          <cell r="B497" t="str">
            <v>VAR_fout</v>
          </cell>
          <cell r="C497" t="str">
            <v>CO2_T</v>
          </cell>
          <cell r="D497">
            <v>142.10956543637622</v>
          </cell>
          <cell r="E497">
            <v>162.05172934297943</v>
          </cell>
          <cell r="F497">
            <v>159.31984382064823</v>
          </cell>
          <cell r="G497">
            <v>117.74972708124469</v>
          </cell>
        </row>
        <row r="498">
          <cell r="A498" t="str">
            <v>T_C-ICE-DSL-S4</v>
          </cell>
          <cell r="B498" t="str">
            <v>VAR_fout</v>
          </cell>
          <cell r="C498" t="str">
            <v>TPCAR</v>
          </cell>
          <cell r="D498">
            <v>0.903576532906466</v>
          </cell>
          <cell r="E498">
            <v>1.0075730143870487</v>
          </cell>
          <cell r="F498">
            <v>0.99280047935486737</v>
          </cell>
          <cell r="G498">
            <v>0.7495038998846375</v>
          </cell>
        </row>
        <row r="499">
          <cell r="A499" t="str">
            <v>T_C-ICE-DSL-S4</v>
          </cell>
          <cell r="B499" t="str">
            <v>VAR_fin</v>
          </cell>
          <cell r="C499" t="str">
            <v>TDSL</v>
          </cell>
          <cell r="D499">
            <v>1.9387389554757966</v>
          </cell>
          <cell r="E499">
            <v>2.2108012188673865</v>
          </cell>
          <cell r="F499">
            <v>2.1735312935968327</v>
          </cell>
          <cell r="G499">
            <v>1.6064082821452221</v>
          </cell>
        </row>
        <row r="500">
          <cell r="A500" t="str">
            <v>T_C-ICE-DSL-S4</v>
          </cell>
          <cell r="B500" t="str">
            <v>VAR_ncap</v>
          </cell>
          <cell r="C500" t="str">
            <v>-</v>
          </cell>
          <cell r="E500">
            <v>2.1751896218186098E-6</v>
          </cell>
          <cell r="F500">
            <v>4.2773610258486104E-6</v>
          </cell>
          <cell r="G500">
            <v>3.6782044166946701E-6</v>
          </cell>
        </row>
        <row r="501">
          <cell r="A501" t="str">
            <v>T_C-ICE-DSL-S4</v>
          </cell>
          <cell r="B501" t="str">
            <v>VAR_cap</v>
          </cell>
          <cell r="C501" t="str">
            <v>-</v>
          </cell>
          <cell r="D501">
            <v>7.126233429968877E-2</v>
          </cell>
          <cell r="E501">
            <v>7.9339626726555826E-2</v>
          </cell>
          <cell r="F501">
            <v>7.8207922219116946E-2</v>
          </cell>
          <cell r="G501">
            <v>6.105882737586827E-2</v>
          </cell>
        </row>
        <row r="502">
          <cell r="A502" t="str">
            <v>TFLGV-ICENGAExt</v>
          </cell>
          <cell r="B502" t="str">
            <v>VAR_fout</v>
          </cell>
          <cell r="C502" t="str">
            <v>CO2_T</v>
          </cell>
          <cell r="D502">
            <v>6.07113342453831</v>
          </cell>
          <cell r="E502">
            <v>1.8271504663756</v>
          </cell>
          <cell r="F502">
            <v>3.9568290756937898</v>
          </cell>
          <cell r="G502">
            <v>4.4757261952941196E-3</v>
          </cell>
        </row>
        <row r="503">
          <cell r="A503" t="str">
            <v>TFLGV-ICENGAExt</v>
          </cell>
          <cell r="B503" t="str">
            <v>VAR_fout</v>
          </cell>
          <cell r="C503" t="str">
            <v>TFLGV</v>
          </cell>
          <cell r="D503">
            <v>2.988023022029019E-2</v>
          </cell>
          <cell r="E503">
            <v>9.0764781620222591E-3</v>
          </cell>
          <cell r="F503">
            <v>1.9928034140745496E-2</v>
          </cell>
          <cell r="G503">
            <v>2.2541389258471095E-5</v>
          </cell>
        </row>
        <row r="504">
          <cell r="A504" t="str">
            <v>TFLGV-ICENGAExt</v>
          </cell>
          <cell r="B504" t="str">
            <v>VAR_fin</v>
          </cell>
          <cell r="C504" t="str">
            <v>TNGA</v>
          </cell>
          <cell r="D504">
            <v>0.10764420965493442</v>
          </cell>
          <cell r="E504">
            <v>3.2396284864815578E-2</v>
          </cell>
          <cell r="F504">
            <v>7.015654389527988E-2</v>
          </cell>
          <cell r="G504">
            <v>7.9356847434292882E-5</v>
          </cell>
        </row>
        <row r="505">
          <cell r="A505" t="str">
            <v>TFLGV-ICENGAExt</v>
          </cell>
          <cell r="B505" t="str">
            <v>VAR_cap</v>
          </cell>
          <cell r="C505" t="str">
            <v>-</v>
          </cell>
          <cell r="D505">
            <v>2.085E-3</v>
          </cell>
          <cell r="E505">
            <v>1.807E-3</v>
          </cell>
          <cell r="F505">
            <v>1.39E-3</v>
          </cell>
          <cell r="G505">
            <v>1.6239797740119979E-6</v>
          </cell>
        </row>
        <row r="506">
          <cell r="A506" t="str">
            <v>D-TGSL</v>
          </cell>
          <cell r="B506" t="str">
            <v>VAR_fout</v>
          </cell>
          <cell r="C506" t="str">
            <v>CO2</v>
          </cell>
          <cell r="D506">
            <v>5943.7237556411001</v>
          </cell>
          <cell r="E506">
            <v>5512.9551094266999</v>
          </cell>
          <cell r="F506">
            <v>5244.1425032564202</v>
          </cell>
          <cell r="G506">
            <v>3161.8796341736702</v>
          </cell>
        </row>
        <row r="507">
          <cell r="A507" t="str">
            <v>D-TGSL</v>
          </cell>
          <cell r="B507" t="str">
            <v>VAR_fout</v>
          </cell>
          <cell r="C507" t="str">
            <v>TGSL</v>
          </cell>
          <cell r="D507">
            <v>83.950127976317987</v>
          </cell>
          <cell r="E507">
            <v>77.865890768713854</v>
          </cell>
          <cell r="F507">
            <v>74.06912294776194</v>
          </cell>
          <cell r="G507">
            <v>44.659830803997927</v>
          </cell>
        </row>
        <row r="508">
          <cell r="A508" t="str">
            <v>D-TGSL</v>
          </cell>
          <cell r="B508" t="str">
            <v>VAR_fin</v>
          </cell>
          <cell r="C508" t="str">
            <v>GSL</v>
          </cell>
          <cell r="D508">
            <v>80.538262271559617</v>
          </cell>
          <cell r="E508">
            <v>74.701288745619181</v>
          </cell>
          <cell r="F508">
            <v>71.058841507539654</v>
          </cell>
          <cell r="G508">
            <v>42.843897482028098</v>
          </cell>
        </row>
        <row r="509">
          <cell r="A509" t="str">
            <v>D-TGSL</v>
          </cell>
          <cell r="B509" t="str">
            <v>VAR_fin</v>
          </cell>
          <cell r="C509" t="str">
            <v>ETH</v>
          </cell>
          <cell r="D509">
            <v>4.6640072054864889</v>
          </cell>
          <cell r="E509">
            <v>4.3259956737113407</v>
          </cell>
          <cell r="F509">
            <v>4.115044745544238</v>
          </cell>
          <cell r="G509">
            <v>2.4820487930106023</v>
          </cell>
        </row>
        <row r="510">
          <cell r="A510" t="str">
            <v>T_TW-BEVELC-S1</v>
          </cell>
          <cell r="B510" t="str">
            <v>VAR_fout</v>
          </cell>
          <cell r="C510" t="str">
            <v>TPTWL</v>
          </cell>
          <cell r="D510">
            <v>1.735749979108062E-2</v>
          </cell>
          <cell r="E510">
            <v>2.3660886444947748E-2</v>
          </cell>
          <cell r="F510">
            <v>2.3875615852337048E-2</v>
          </cell>
          <cell r="G510">
            <v>1.6236883882030945E-2</v>
          </cell>
        </row>
        <row r="511">
          <cell r="A511" t="str">
            <v>T_TW-BEVELC-S1</v>
          </cell>
          <cell r="B511" t="str">
            <v>VAR_fin</v>
          </cell>
          <cell r="C511" t="str">
            <v>T-ELC-TWSTGout_S1</v>
          </cell>
          <cell r="D511">
            <v>1.5638898941887358E-3</v>
          </cell>
          <cell r="E511">
            <v>2.1302347981485134E-3</v>
          </cell>
          <cell r="F511">
            <v>2.1493205679388289E-3</v>
          </cell>
          <cell r="G511">
            <v>1.4605435076773881E-3</v>
          </cell>
        </row>
        <row r="512">
          <cell r="A512" t="str">
            <v>T_TW-BEVELC-S1</v>
          </cell>
          <cell r="B512" t="str">
            <v>VAR_ncap</v>
          </cell>
          <cell r="C512" t="str">
            <v>-</v>
          </cell>
          <cell r="D512">
            <v>4.2063980157097101E-5</v>
          </cell>
          <cell r="E512">
            <v>2.06303091121242E-4</v>
          </cell>
          <cell r="F512">
            <v>8.2687981089186199E-5</v>
          </cell>
          <cell r="G512">
            <v>1.19321932605908E-4</v>
          </cell>
        </row>
        <row r="513">
          <cell r="A513" t="str">
            <v>T_TW-BEVELC-S1</v>
          </cell>
          <cell r="B513" t="str">
            <v>VAR_cap</v>
          </cell>
          <cell r="C513" t="str">
            <v>-</v>
          </cell>
          <cell r="D513">
            <v>5.9829672583971748E-3</v>
          </cell>
          <cell r="E513">
            <v>8.1432671587843078E-3</v>
          </cell>
          <cell r="F513">
            <v>8.2258757739342367E-3</v>
          </cell>
          <cell r="G513">
            <v>5.6076119305486869E-3</v>
          </cell>
        </row>
        <row r="514">
          <cell r="A514" t="str">
            <v>T_TW-BEVELC-S2</v>
          </cell>
          <cell r="B514" t="str">
            <v>VAR_fout</v>
          </cell>
          <cell r="C514" t="str">
            <v>TPTWL</v>
          </cell>
          <cell r="D514">
            <v>2.2620861858348323E-3</v>
          </cell>
          <cell r="E514">
            <v>2.7553921648494789E-3</v>
          </cell>
          <cell r="F514">
            <v>2.8164309707165553E-3</v>
          </cell>
          <cell r="G514">
            <v>2.3963710286976705E-3</v>
          </cell>
        </row>
        <row r="515">
          <cell r="A515" t="str">
            <v>T_TW-BEVELC-S2</v>
          </cell>
          <cell r="B515" t="str">
            <v>VAR_fin</v>
          </cell>
          <cell r="C515" t="str">
            <v>T-ELC-TWSTGout_S2</v>
          </cell>
          <cell r="D515">
            <v>3.5994548754967871E-4</v>
          </cell>
          <cell r="E515">
            <v>4.3821456800514203E-4</v>
          </cell>
          <cell r="F515">
            <v>4.4776874145314771E-4</v>
          </cell>
          <cell r="G515">
            <v>3.8057357695290899E-4</v>
          </cell>
        </row>
        <row r="516">
          <cell r="A516" t="str">
            <v>T_TW-BEVELC-S2</v>
          </cell>
          <cell r="B516" t="str">
            <v>VAR_ncap</v>
          </cell>
          <cell r="C516" t="str">
            <v>-</v>
          </cell>
          <cell r="D516">
            <v>1.0709234669557101E-5</v>
          </cell>
          <cell r="E516">
            <v>3.5220519403624397E-5</v>
          </cell>
          <cell r="F516">
            <v>2.91328388739328E-5</v>
          </cell>
          <cell r="G516">
            <v>3.3241039792450397E-5</v>
          </cell>
        </row>
        <row r="517">
          <cell r="A517" t="str">
            <v>T_TW-BEVELC-S2</v>
          </cell>
          <cell r="B517" t="str">
            <v>VAR_cap</v>
          </cell>
          <cell r="C517" t="str">
            <v>-</v>
          </cell>
          <cell r="D517">
            <v>7.9563711140346542E-4</v>
          </cell>
          <cell r="E517">
            <v>9.4885153936137198E-4</v>
          </cell>
          <cell r="F517">
            <v>9.7794801677687131E-4</v>
          </cell>
          <cell r="G517">
            <v>8.4629834374635386E-4</v>
          </cell>
        </row>
        <row r="518">
          <cell r="A518" t="str">
            <v>TFRLFH2OFCL</v>
          </cell>
          <cell r="B518" t="str">
            <v>VAR_ncap</v>
          </cell>
          <cell r="C518" t="str">
            <v>-</v>
          </cell>
        </row>
        <row r="519">
          <cell r="A519" t="str">
            <v>TFRLFH2OFCL</v>
          </cell>
          <cell r="B519" t="str">
            <v>VAR_cap</v>
          </cell>
          <cell r="C519" t="str">
            <v>-</v>
          </cell>
        </row>
        <row r="520">
          <cell r="A520" t="str">
            <v>T_TW-BEVELC-S3</v>
          </cell>
          <cell r="B520" t="str">
            <v>VAR_fout</v>
          </cell>
          <cell r="C520" t="str">
            <v>TPTWL</v>
          </cell>
          <cell r="D520">
            <v>3.1597760336217094E-4</v>
          </cell>
          <cell r="E520">
            <v>5.4154661703630384E-4</v>
          </cell>
          <cell r="F520">
            <v>5.707159824145338E-4</v>
          </cell>
          <cell r="G520">
            <v>6.0076861328604294E-4</v>
          </cell>
        </row>
        <row r="521">
          <cell r="A521" t="str">
            <v>T_TW-BEVELC-S3</v>
          </cell>
          <cell r="B521" t="str">
            <v>VAR_fin</v>
          </cell>
          <cell r="C521" t="str">
            <v>T-ELC-TWSTGout_S3</v>
          </cell>
          <cell r="D521">
            <v>7.7253431537345477E-5</v>
          </cell>
          <cell r="E521">
            <v>1.322066236276E-4</v>
          </cell>
          <cell r="F521">
            <v>1.3918577512165304E-4</v>
          </cell>
          <cell r="G521">
            <v>1.4621931013746099E-4</v>
          </cell>
        </row>
        <row r="522">
          <cell r="A522" t="str">
            <v>T_TW-BEVELC-S3</v>
          </cell>
          <cell r="B522" t="str">
            <v>VAR_ncap</v>
          </cell>
          <cell r="C522" t="str">
            <v>-</v>
          </cell>
          <cell r="D522">
            <v>7.7883976881288904E-6</v>
          </cell>
          <cell r="E522">
            <v>1.7679940594209299E-5</v>
          </cell>
          <cell r="F522">
            <v>1.5698818815099001E-5</v>
          </cell>
          <cell r="G522">
            <v>1.6585224959487E-5</v>
          </cell>
        </row>
        <row r="523">
          <cell r="A523" t="str">
            <v>T_TW-BEVELC-S3</v>
          </cell>
          <cell r="B523" t="str">
            <v>VAR_cap</v>
          </cell>
          <cell r="C523" t="str">
            <v>-</v>
          </cell>
          <cell r="D523">
            <v>1.1477622394621884E-4</v>
          </cell>
          <cell r="E523">
            <v>1.8744531020146681E-4</v>
          </cell>
          <cell r="F523">
            <v>2.0312374987114187E-4</v>
          </cell>
          <cell r="G523">
            <v>2.1970044208210939E-4</v>
          </cell>
        </row>
        <row r="524">
          <cell r="A524" t="str">
            <v>T_TW-BEVELC-S4</v>
          </cell>
          <cell r="B524" t="str">
            <v>VAR_fout</v>
          </cell>
          <cell r="C524" t="str">
            <v>TPTWL</v>
          </cell>
          <cell r="D524">
            <v>7.7773754377636871E-5</v>
          </cell>
          <cell r="E524">
            <v>1.7668477176910257E-4</v>
          </cell>
          <cell r="F524">
            <v>2.1791615443663882E-4</v>
          </cell>
          <cell r="G524">
            <v>2.4894440981270332E-4</v>
          </cell>
        </row>
        <row r="525">
          <cell r="A525" t="str">
            <v>T_TW-BEVELC-S4</v>
          </cell>
          <cell r="B525" t="str">
            <v>VAR_fin</v>
          </cell>
          <cell r="C525" t="str">
            <v>T-ELC-TWSTGout_S4</v>
          </cell>
          <cell r="D525">
            <v>2.0656746240027413E-5</v>
          </cell>
          <cell r="E525">
            <v>4.6793402575256453E-5</v>
          </cell>
          <cell r="F525">
            <v>5.7537756472397454E-5</v>
          </cell>
          <cell r="G525">
            <v>6.5451541834808284E-5</v>
          </cell>
        </row>
        <row r="526">
          <cell r="A526" t="str">
            <v>T_TW-BEVELC-S4</v>
          </cell>
          <cell r="B526" t="str">
            <v>VAR_ncap</v>
          </cell>
          <cell r="C526" t="str">
            <v>-</v>
          </cell>
          <cell r="D526">
            <v>1.6037258838443001E-5</v>
          </cell>
          <cell r="E526">
            <v>1.89289897587454E-5</v>
          </cell>
          <cell r="F526">
            <v>1.7302757535839099E-5</v>
          </cell>
          <cell r="G526">
            <v>1.46178241885768E-5</v>
          </cell>
        </row>
        <row r="527">
          <cell r="A527" t="str">
            <v>T_TW-BEVELC-S4</v>
          </cell>
          <cell r="B527" t="str">
            <v>VAR_cap</v>
          </cell>
          <cell r="C527" t="str">
            <v>-</v>
          </cell>
          <cell r="D527">
            <v>2.9037258838443002E-5</v>
          </cell>
          <cell r="E527">
            <v>6.1952918203653782E-5</v>
          </cell>
          <cell r="F527">
            <v>7.9269006133027493E-5</v>
          </cell>
          <cell r="G527">
            <v>9.3840710954781954E-5</v>
          </cell>
        </row>
        <row r="528">
          <cell r="A528" t="str">
            <v>T_B_u-BeVELCEXT</v>
          </cell>
          <cell r="B528" t="str">
            <v>VAR_fout</v>
          </cell>
          <cell r="C528" t="str">
            <v>TPBSu</v>
          </cell>
          <cell r="D528">
            <v>2.0002679297283338E-3</v>
          </cell>
          <cell r="E528">
            <v>1.6048441278206048E-3</v>
          </cell>
          <cell r="F528">
            <v>1.0027726390878812E-3</v>
          </cell>
        </row>
        <row r="529">
          <cell r="A529" t="str">
            <v>T_B_u-BeVELCEXT</v>
          </cell>
          <cell r="B529" t="str">
            <v>VAR_fin</v>
          </cell>
          <cell r="C529" t="str">
            <v>TELC</v>
          </cell>
          <cell r="D529">
            <v>4.7732208229624195E-4</v>
          </cell>
          <cell r="E529">
            <v>4.7568544773427814E-4</v>
          </cell>
          <cell r="F529">
            <v>4.6673791165178428E-4</v>
          </cell>
        </row>
        <row r="530">
          <cell r="A530" t="str">
            <v>T_B_u-BeVELCEXT</v>
          </cell>
          <cell r="B530" t="str">
            <v>VAR_cap</v>
          </cell>
          <cell r="C530" t="str">
            <v>-</v>
          </cell>
          <cell r="D530">
            <v>3.77895550061805E-5</v>
          </cell>
          <cell r="E530">
            <v>3.02316440049444E-5</v>
          </cell>
          <cell r="F530">
            <v>1.8894777503090199E-5</v>
          </cell>
        </row>
        <row r="531">
          <cell r="A531" t="str">
            <v>T_B_u-HYBDSL-S1</v>
          </cell>
          <cell r="B531" t="str">
            <v>VAR_fout</v>
          </cell>
          <cell r="C531" t="str">
            <v>CO2_T</v>
          </cell>
          <cell r="E531">
            <v>15.394899519446501</v>
          </cell>
          <cell r="F531">
            <v>15.408492860102012</v>
          </cell>
          <cell r="G531">
            <v>8.4747287235343305E-3</v>
          </cell>
        </row>
        <row r="532">
          <cell r="A532" t="str">
            <v>T_B_u-HYBDSL-S1</v>
          </cell>
          <cell r="B532" t="str">
            <v>VAR_fout</v>
          </cell>
          <cell r="C532" t="str">
            <v>TPBSu</v>
          </cell>
          <cell r="E532">
            <v>3.4132088366209817E-2</v>
          </cell>
          <cell r="F532">
            <v>3.416377688260009E-2</v>
          </cell>
          <cell r="G532">
            <v>2.0325306011045868E-5</v>
          </cell>
        </row>
        <row r="533">
          <cell r="A533" t="str">
            <v>T_B_u-HYBDSL-S1</v>
          </cell>
          <cell r="B533" t="str">
            <v>VAR_fin</v>
          </cell>
          <cell r="C533" t="str">
            <v>TDSL</v>
          </cell>
          <cell r="E533">
            <v>0.21002591431714238</v>
          </cell>
          <cell r="F533">
            <v>0.21021136234791268</v>
          </cell>
          <cell r="G533">
            <v>1.1561703579173714E-4</v>
          </cell>
        </row>
        <row r="534">
          <cell r="A534" t="str">
            <v>T_B_u-HYBDSL-S1</v>
          </cell>
          <cell r="B534" t="str">
            <v>VAR_ncap</v>
          </cell>
          <cell r="C534" t="str">
            <v>-</v>
          </cell>
          <cell r="E534">
            <v>6.4370296065702996E-4</v>
          </cell>
          <cell r="F534">
            <v>6.5009464492263496E-7</v>
          </cell>
          <cell r="G534">
            <v>2.20045914596935E-7</v>
          </cell>
        </row>
        <row r="535">
          <cell r="A535" t="str">
            <v>T_B_u-HYBDSL-S1</v>
          </cell>
          <cell r="B535" t="str">
            <v>VAR_cap</v>
          </cell>
          <cell r="C535" t="str">
            <v>-</v>
          </cell>
          <cell r="E535">
            <v>6.4370296065702996E-4</v>
          </cell>
          <cell r="F535">
            <v>6.4435305530195297E-4</v>
          </cell>
          <cell r="G535">
            <v>4.6463631685493469E-7</v>
          </cell>
        </row>
        <row r="536">
          <cell r="A536" t="str">
            <v>T_B_u-HYBDSL-S2</v>
          </cell>
          <cell r="B536" t="str">
            <v>VAR_fout</v>
          </cell>
          <cell r="C536" t="str">
            <v>CO2_T</v>
          </cell>
          <cell r="E536">
            <v>2.51763757184831E-2</v>
          </cell>
          <cell r="F536">
            <v>3.3698974424082852E-2</v>
          </cell>
          <cell r="G536">
            <v>1.583682870534962E-2</v>
          </cell>
        </row>
        <row r="537">
          <cell r="A537" t="str">
            <v>T_B_u-HYBDSL-S2</v>
          </cell>
          <cell r="B537" t="str">
            <v>VAR_fout</v>
          </cell>
          <cell r="C537" t="str">
            <v>TPBSu</v>
          </cell>
          <cell r="E537">
            <v>4.0012210918243492E-5</v>
          </cell>
          <cell r="F537">
            <v>5.4219810261387699E-5</v>
          </cell>
          <cell r="G537">
            <v>2.6902939670903176E-5</v>
          </cell>
        </row>
        <row r="538">
          <cell r="A538" t="str">
            <v>T_B_u-HYBDSL-S2</v>
          </cell>
          <cell r="B538" t="str">
            <v>VAR_fin</v>
          </cell>
          <cell r="C538" t="str">
            <v>TDSL</v>
          </cell>
          <cell r="E538">
            <v>3.4347033722350722E-4</v>
          </cell>
          <cell r="F538">
            <v>4.5974044234765084E-4</v>
          </cell>
          <cell r="G538">
            <v>2.1605496187380093E-4</v>
          </cell>
        </row>
        <row r="539">
          <cell r="A539" t="str">
            <v>T_B_u-HYBDSL-S2</v>
          </cell>
          <cell r="B539" t="str">
            <v>VAR_ncap</v>
          </cell>
          <cell r="C539" t="str">
            <v>-</v>
          </cell>
          <cell r="E539">
            <v>7.7080251848507398E-7</v>
          </cell>
          <cell r="F539">
            <v>2.7261469926545701E-7</v>
          </cell>
          <cell r="G539">
            <v>1.88153407616823E-7</v>
          </cell>
        </row>
        <row r="540">
          <cell r="A540" t="str">
            <v>T_B_u-HYBDSL-S2</v>
          </cell>
          <cell r="B540" t="str">
            <v>VAR_cap</v>
          </cell>
          <cell r="C540" t="str">
            <v>-</v>
          </cell>
          <cell r="E540">
            <v>7.7080251848507398E-7</v>
          </cell>
          <cell r="F540">
            <v>1.04341721775053E-6</v>
          </cell>
          <cell r="G540">
            <v>5.3539743581189389E-7</v>
          </cell>
        </row>
        <row r="541">
          <cell r="A541" t="str">
            <v>T_B_u-HYBDSL-S3</v>
          </cell>
          <cell r="B541" t="str">
            <v>VAR_fout</v>
          </cell>
          <cell r="C541" t="str">
            <v>CO2_T</v>
          </cell>
          <cell r="E541">
            <v>2.0958863441841999</v>
          </cell>
          <cell r="F541">
            <v>41.563706921202709</v>
          </cell>
          <cell r="G541">
            <v>71.207133453685827</v>
          </cell>
        </row>
        <row r="542">
          <cell r="A542" t="str">
            <v>T_B_u-HYBDSL-S3</v>
          </cell>
          <cell r="B542" t="str">
            <v>VAR_fout</v>
          </cell>
          <cell r="C542" t="str">
            <v>TPBSu</v>
          </cell>
          <cell r="E542">
            <v>2.2370177882139472E-3</v>
          </cell>
          <cell r="F542">
            <v>4.6498445682507501E-2</v>
          </cell>
          <cell r="G542">
            <v>8.2539310293134008E-2</v>
          </cell>
        </row>
        <row r="543">
          <cell r="A543" t="str">
            <v>T_B_u-HYBDSL-S3</v>
          </cell>
          <cell r="B543" t="str">
            <v>VAR_fin</v>
          </cell>
          <cell r="C543" t="str">
            <v>TDSL</v>
          </cell>
          <cell r="E543">
            <v>2.8593265268542955E-2</v>
          </cell>
          <cell r="F543">
            <v>0.56703556509144171</v>
          </cell>
          <cell r="G543">
            <v>0.9714479325195895</v>
          </cell>
        </row>
        <row r="544">
          <cell r="A544" t="str">
            <v>T_B_u-HYBDSL-S3</v>
          </cell>
          <cell r="B544" t="str">
            <v>VAR_ncap</v>
          </cell>
          <cell r="C544" t="str">
            <v>-</v>
          </cell>
          <cell r="E544">
            <v>4.2188772436559197E-5</v>
          </cell>
          <cell r="F544">
            <v>8.3466448589540002E-4</v>
          </cell>
          <cell r="G544">
            <v>6.9682832034077499E-4</v>
          </cell>
        </row>
        <row r="545">
          <cell r="A545" t="str">
            <v>T_B_u-HYBDSL-S3</v>
          </cell>
          <cell r="B545" t="str">
            <v>VAR_cap</v>
          </cell>
          <cell r="C545" t="str">
            <v>-</v>
          </cell>
          <cell r="E545">
            <v>4.2188772436559197E-5</v>
          </cell>
          <cell r="F545">
            <v>8.7685325833195904E-4</v>
          </cell>
          <cell r="G545">
            <v>1.5564893900130599E-3</v>
          </cell>
        </row>
        <row r="546">
          <cell r="A546" t="str">
            <v>T_C-HY-GSL-S1</v>
          </cell>
          <cell r="B546" t="str">
            <v>VAR_fout</v>
          </cell>
          <cell r="C546" t="str">
            <v>CO2_T</v>
          </cell>
          <cell r="D546">
            <v>3.4285710930719344</v>
          </cell>
          <cell r="E546">
            <v>3.9390125944082568</v>
          </cell>
          <cell r="F546">
            <v>2.7461675523135671</v>
          </cell>
          <cell r="G546">
            <v>2.1231386306225937</v>
          </cell>
        </row>
        <row r="547">
          <cell r="A547" t="str">
            <v>T_C-HY-GSL-S1</v>
          </cell>
          <cell r="B547" t="str">
            <v>VAR_fout</v>
          </cell>
          <cell r="C547" t="str">
            <v>TPCAR</v>
          </cell>
          <cell r="D547">
            <v>5.2613327238380019E-2</v>
          </cell>
          <cell r="E547">
            <v>6.1834130383720529E-2</v>
          </cell>
          <cell r="F547">
            <v>4.2992780198102792E-2</v>
          </cell>
          <cell r="G547">
            <v>3.4491348426549565E-2</v>
          </cell>
        </row>
        <row r="548">
          <cell r="A548" t="str">
            <v>T_C-HY-GSL-S1</v>
          </cell>
          <cell r="B548" t="str">
            <v>VAR_fin</v>
          </cell>
          <cell r="C548" t="str">
            <v>TGSL</v>
          </cell>
          <cell r="D548">
            <v>4.6457602887153629E-2</v>
          </cell>
          <cell r="E548">
            <v>5.337415439577594E-2</v>
          </cell>
          <cell r="F548">
            <v>3.721094244327338E-2</v>
          </cell>
          <cell r="G548">
            <v>2.8768816133097477E-2</v>
          </cell>
        </row>
        <row r="549">
          <cell r="A549" t="str">
            <v>T_C-HY-GSL-S1</v>
          </cell>
          <cell r="B549" t="str">
            <v>VAR_ncap</v>
          </cell>
          <cell r="C549" t="str">
            <v>-</v>
          </cell>
          <cell r="E549">
            <v>4.7328719600428803E-5</v>
          </cell>
          <cell r="F549">
            <v>3.1184319411069302E-5</v>
          </cell>
          <cell r="G549">
            <v>4.4514483008715897E-5</v>
          </cell>
        </row>
        <row r="550">
          <cell r="A550" t="str">
            <v>T_C-HY-GSL-S1</v>
          </cell>
          <cell r="B550" t="str">
            <v>VAR_cap</v>
          </cell>
          <cell r="C550" t="str">
            <v>-</v>
          </cell>
          <cell r="D550">
            <v>5.669041603835849E-3</v>
          </cell>
          <cell r="E550">
            <v>6.6064596898502822E-3</v>
          </cell>
          <cell r="F550">
            <v>6.5271458005272025E-3</v>
          </cell>
          <cell r="G550">
            <v>5.236068146323946E-3</v>
          </cell>
        </row>
        <row r="551">
          <cell r="A551" t="str">
            <v>T_B_u-HYBDSL-S4</v>
          </cell>
          <cell r="B551" t="str">
            <v>VAR_fout</v>
          </cell>
          <cell r="C551" t="str">
            <v>CO2_T</v>
          </cell>
        </row>
        <row r="552">
          <cell r="A552" t="str">
            <v>T_B_u-HYBDSL-S4</v>
          </cell>
          <cell r="B552" t="str">
            <v>VAR_fout</v>
          </cell>
          <cell r="C552" t="str">
            <v>TPBSu</v>
          </cell>
        </row>
        <row r="553">
          <cell r="A553" t="str">
            <v>T_B_u-HYBDSL-S4</v>
          </cell>
          <cell r="B553" t="str">
            <v>VAR_fin</v>
          </cell>
          <cell r="C553" t="str">
            <v>TDSL</v>
          </cell>
        </row>
        <row r="554">
          <cell r="A554" t="str">
            <v>T_B_u-HYBDSL-S4</v>
          </cell>
          <cell r="B554" t="str">
            <v>VAR_ncap</v>
          </cell>
          <cell r="C554" t="str">
            <v>-</v>
          </cell>
        </row>
        <row r="555">
          <cell r="A555" t="str">
            <v>T_B_u-HYBDSL-S4</v>
          </cell>
          <cell r="B555" t="str">
            <v>VAR_cap</v>
          </cell>
          <cell r="C555" t="str">
            <v>-</v>
          </cell>
        </row>
        <row r="556">
          <cell r="A556" t="str">
            <v>TFRLFDSLEXT</v>
          </cell>
          <cell r="B556" t="str">
            <v>VAR_fout</v>
          </cell>
          <cell r="C556" t="str">
            <v>CO2_T</v>
          </cell>
          <cell r="D556">
            <v>29.033457934831201</v>
          </cell>
          <cell r="E556">
            <v>20.325545589191101</v>
          </cell>
        </row>
        <row r="557">
          <cell r="A557" t="str">
            <v>TFRLFDSLEXT</v>
          </cell>
          <cell r="B557" t="str">
            <v>VAR_fout</v>
          </cell>
          <cell r="C557" t="str">
            <v>TFRLF</v>
          </cell>
          <cell r="D557">
            <v>1.6053854051671186E-3</v>
          </cell>
          <cell r="E557">
            <v>1.1238872859784281E-3</v>
          </cell>
        </row>
        <row r="558">
          <cell r="A558" t="str">
            <v>TFRLFDSLEXT</v>
          </cell>
          <cell r="B558" t="str">
            <v>VAR_fin</v>
          </cell>
          <cell r="C558" t="str">
            <v>TDSL</v>
          </cell>
          <cell r="D558">
            <v>0.39609083130738326</v>
          </cell>
          <cell r="E558">
            <v>0.27729257284026015</v>
          </cell>
        </row>
        <row r="559">
          <cell r="A559" t="str">
            <v>TFRLFDSLEXT</v>
          </cell>
          <cell r="B559" t="str">
            <v>VAR_ncap</v>
          </cell>
          <cell r="C559" t="str">
            <v>-</v>
          </cell>
          <cell r="D559">
            <v>1.4820727069479801E-4</v>
          </cell>
        </row>
        <row r="560">
          <cell r="A560" t="str">
            <v>TFRLFDSLEXT</v>
          </cell>
          <cell r="B560" t="str">
            <v>VAR_cap</v>
          </cell>
          <cell r="C560" t="str">
            <v>-</v>
          </cell>
          <cell r="D560">
            <v>1.4820727069479801E-4</v>
          </cell>
          <cell r="E560">
            <v>1.4820727069479801E-4</v>
          </cell>
          <cell r="F560">
            <v>9.0093272725000426E-8</v>
          </cell>
          <cell r="G560">
            <v>8.4321059631023909E-8</v>
          </cell>
        </row>
        <row r="561">
          <cell r="A561" t="str">
            <v>T_C-HY-GSL-S2</v>
          </cell>
          <cell r="B561" t="str">
            <v>VAR_fout</v>
          </cell>
          <cell r="C561" t="str">
            <v>CO2_T</v>
          </cell>
          <cell r="D561">
            <v>10.070661227515011</v>
          </cell>
          <cell r="E561">
            <v>15.13263941479476</v>
          </cell>
          <cell r="F561">
            <v>54.874552823289847</v>
          </cell>
          <cell r="G561">
            <v>47.506401189937257</v>
          </cell>
        </row>
        <row r="562">
          <cell r="A562" t="str">
            <v>T_C-HY-GSL-S2</v>
          </cell>
          <cell r="B562" t="str">
            <v>VAR_fout</v>
          </cell>
          <cell r="C562" t="str">
            <v>TPCAR</v>
          </cell>
          <cell r="D562">
            <v>0.22050027715236337</v>
          </cell>
          <cell r="E562">
            <v>0.38873392972647403</v>
          </cell>
          <cell r="F562">
            <v>1.403036618757608</v>
          </cell>
          <cell r="G562">
            <v>1.211285151681349</v>
          </cell>
        </row>
        <row r="563">
          <cell r="A563" t="str">
            <v>T_C-HY-GSL-S2</v>
          </cell>
          <cell r="B563" t="str">
            <v>VAR_fin</v>
          </cell>
          <cell r="C563" t="str">
            <v>TGSL</v>
          </cell>
          <cell r="D563">
            <v>0.13645882422107061</v>
          </cell>
          <cell r="E563">
            <v>0.20504931456361494</v>
          </cell>
          <cell r="F563">
            <v>0.74355762633183964</v>
          </cell>
          <cell r="G563">
            <v>0.64371817330538417</v>
          </cell>
        </row>
        <row r="564">
          <cell r="A564" t="str">
            <v>T_C-HY-GSL-S2</v>
          </cell>
          <cell r="B564" t="str">
            <v>VAR_ncap</v>
          </cell>
          <cell r="C564" t="str">
            <v>-</v>
          </cell>
          <cell r="E564">
            <v>2.6738069652763402E-4</v>
          </cell>
          <cell r="F564">
            <v>7.9757976962129606E-2</v>
          </cell>
          <cell r="G564">
            <v>1.9325024797273402E-5</v>
          </cell>
        </row>
        <row r="565">
          <cell r="A565" t="str">
            <v>T_C-HY-GSL-S2</v>
          </cell>
          <cell r="B565" t="str">
            <v>VAR_cap</v>
          </cell>
          <cell r="C565" t="str">
            <v>-</v>
          </cell>
          <cell r="D565">
            <v>1.7227052293229423E-2</v>
          </cell>
          <cell r="E565">
            <v>2.9494342476865169E-2</v>
          </cell>
          <cell r="F565">
            <v>0.1070928028963105</v>
          </cell>
          <cell r="G565">
            <v>9.1904371476463909E-2</v>
          </cell>
        </row>
        <row r="566">
          <cell r="A566" t="str">
            <v>TPSHPNGAEXT</v>
          </cell>
          <cell r="B566" t="str">
            <v>VAR_ncap</v>
          </cell>
          <cell r="C566" t="str">
            <v>-</v>
          </cell>
          <cell r="D566">
            <v>4.7408745434342502E-7</v>
          </cell>
          <cell r="E566">
            <v>5.1614617366689203E-7</v>
          </cell>
          <cell r="F566">
            <v>1.68126163441407E-6</v>
          </cell>
          <cell r="G566">
            <v>1.1335491554602399E-6</v>
          </cell>
        </row>
        <row r="567">
          <cell r="A567" t="str">
            <v>TPSHPNGAEXT</v>
          </cell>
          <cell r="B567" t="str">
            <v>VAR_cap</v>
          </cell>
          <cell r="C567" t="str">
            <v>-</v>
          </cell>
          <cell r="D567">
            <v>4.7408745434342502E-7</v>
          </cell>
          <cell r="E567">
            <v>9.9023362801031694E-7</v>
          </cell>
          <cell r="F567">
            <v>1.934197190157647E-6</v>
          </cell>
          <cell r="G567">
            <v>1.5784584843393201E-6</v>
          </cell>
        </row>
        <row r="568">
          <cell r="A568" t="str">
            <v>T_C-HY-DSL-S1</v>
          </cell>
          <cell r="B568" t="str">
            <v>VAR_fout</v>
          </cell>
          <cell r="C568" t="str">
            <v>CO2_T</v>
          </cell>
          <cell r="D568">
            <v>2.2671362248562E-3</v>
          </cell>
          <cell r="E568">
            <v>13.438418780809471</v>
          </cell>
          <cell r="F568">
            <v>8.9210256444958187</v>
          </cell>
          <cell r="G568">
            <v>7.173898895857457</v>
          </cell>
        </row>
        <row r="569">
          <cell r="A569" t="str">
            <v>T_C-HY-DSL-S1</v>
          </cell>
          <cell r="B569" t="str">
            <v>VAR_fout</v>
          </cell>
          <cell r="C569" t="str">
            <v>TPCAR</v>
          </cell>
          <cell r="D569">
            <v>1.2936012577120663E-5</v>
          </cell>
          <cell r="E569">
            <v>0.31122686497473573</v>
          </cell>
          <cell r="F569">
            <v>0.2065401335730567</v>
          </cell>
          <cell r="G569">
            <v>0.16596721594262168</v>
          </cell>
        </row>
        <row r="570">
          <cell r="A570" t="str">
            <v>T_C-HY-DSL-S1</v>
          </cell>
          <cell r="B570" t="str">
            <v>VAR_fin</v>
          </cell>
          <cell r="C570" t="str">
            <v>TDSL</v>
          </cell>
          <cell r="D570">
            <v>3.0929552862976809E-5</v>
          </cell>
          <cell r="E570">
            <v>0.18333449905606444</v>
          </cell>
          <cell r="F570">
            <v>0.12170567045696891</v>
          </cell>
          <cell r="G570">
            <v>9.7870380571043081E-2</v>
          </cell>
        </row>
        <row r="571">
          <cell r="A571" t="str">
            <v>T_C-HY-DSL-S1</v>
          </cell>
          <cell r="B571" t="str">
            <v>VAR_ncap</v>
          </cell>
          <cell r="C571" t="str">
            <v>-</v>
          </cell>
          <cell r="E571">
            <v>3.3697927660164703E-2</v>
          </cell>
          <cell r="F571">
            <v>3.9505084020150499E-5</v>
          </cell>
          <cell r="G571">
            <v>2.1550034164543799E-5</v>
          </cell>
        </row>
        <row r="572">
          <cell r="A572" t="str">
            <v>T_C-HY-DSL-S1</v>
          </cell>
          <cell r="B572" t="str">
            <v>VAR_cap</v>
          </cell>
          <cell r="C572" t="str">
            <v>-</v>
          </cell>
          <cell r="D572">
            <v>1.5999999999999999E-6</v>
          </cell>
          <cell r="E572">
            <v>3.3250902063601796E-2</v>
          </cell>
          <cell r="F572">
            <v>3.1386734969282098E-2</v>
          </cell>
          <cell r="G572">
            <v>2.522128816461686E-2</v>
          </cell>
        </row>
        <row r="573">
          <cell r="A573" t="str">
            <v>T_C-HY-GSL-S3</v>
          </cell>
          <cell r="B573" t="str">
            <v>VAR_fout</v>
          </cell>
          <cell r="C573" t="str">
            <v>CO2_T</v>
          </cell>
          <cell r="D573">
            <v>7.5201680834057623</v>
          </cell>
          <cell r="E573">
            <v>91.445105003003619</v>
          </cell>
          <cell r="F573">
            <v>86.478939256387832</v>
          </cell>
          <cell r="G573">
            <v>69.157812678084497</v>
          </cell>
        </row>
        <row r="574">
          <cell r="A574" t="str">
            <v>T_C-HY-GSL-S3</v>
          </cell>
          <cell r="B574" t="str">
            <v>VAR_fout</v>
          </cell>
          <cell r="C574" t="str">
            <v>TPCAR</v>
          </cell>
          <cell r="D574">
            <v>0.20260144370508359</v>
          </cell>
          <cell r="E574">
            <v>3.0919359103714226</v>
          </cell>
          <cell r="F574">
            <v>2.9209423833716532</v>
          </cell>
          <cell r="G574">
            <v>2.3514113278351885</v>
          </cell>
        </row>
        <row r="575">
          <cell r="A575" t="str">
            <v>T_C-HY-GSL-S3</v>
          </cell>
          <cell r="B575" t="str">
            <v>VAR_fin</v>
          </cell>
          <cell r="C575" t="str">
            <v>TGSL</v>
          </cell>
          <cell r="D575">
            <v>0.10189929652311322</v>
          </cell>
          <cell r="E575">
            <v>1.2390935637263356</v>
          </cell>
          <cell r="F575">
            <v>1.1718013449375044</v>
          </cell>
          <cell r="G575">
            <v>0.93709773276537323</v>
          </cell>
        </row>
        <row r="576">
          <cell r="A576" t="str">
            <v>T_C-HY-GSL-S3</v>
          </cell>
          <cell r="B576" t="str">
            <v>VAR_ncap</v>
          </cell>
          <cell r="C576" t="str">
            <v>-</v>
          </cell>
          <cell r="E576">
            <v>0.189176668715658</v>
          </cell>
          <cell r="F576">
            <v>1.4144138011423399E-5</v>
          </cell>
          <cell r="G576">
            <v>5.5146567939896803E-6</v>
          </cell>
        </row>
        <row r="577">
          <cell r="A577" t="str">
            <v>T_C-HY-GSL-S3</v>
          </cell>
          <cell r="B577" t="str">
            <v>VAR_cap</v>
          </cell>
          <cell r="C577" t="str">
            <v>-</v>
          </cell>
          <cell r="D577">
            <v>1.4248797121047947E-2</v>
          </cell>
          <cell r="E577">
            <v>0.21259284874868981</v>
          </cell>
          <cell r="F577">
            <v>0.20084176034912071</v>
          </cell>
          <cell r="G577">
            <v>0.16167870700956288</v>
          </cell>
        </row>
        <row r="578">
          <cell r="A578" t="str">
            <v>T_C-HY-DSL-S2</v>
          </cell>
          <cell r="B578" t="str">
            <v>VAR_fout</v>
          </cell>
          <cell r="C578" t="str">
            <v>CO2_T</v>
          </cell>
          <cell r="D578">
            <v>0.21071325959332712</v>
          </cell>
          <cell r="E578">
            <v>49.562432118912547</v>
          </cell>
          <cell r="F578">
            <v>87.756088205589819</v>
          </cell>
          <cell r="G578">
            <v>73.595102800021863</v>
          </cell>
        </row>
        <row r="579">
          <cell r="A579" t="str">
            <v>T_C-HY-DSL-S2</v>
          </cell>
          <cell r="B579" t="str">
            <v>VAR_fout</v>
          </cell>
          <cell r="C579" t="str">
            <v>TPCAR</v>
          </cell>
          <cell r="D579">
            <v>3.3734445161855524E-3</v>
          </cell>
          <cell r="E579">
            <v>1.8130757440291774</v>
          </cell>
          <cell r="F579">
            <v>2.8026684269557243</v>
          </cell>
          <cell r="G579">
            <v>2.3336586108335702</v>
          </cell>
        </row>
        <row r="580">
          <cell r="A580" t="str">
            <v>T_C-HY-DSL-S2</v>
          </cell>
          <cell r="B580" t="str">
            <v>VAR_fin</v>
          </cell>
          <cell r="C580" t="str">
            <v>TDSL</v>
          </cell>
          <cell r="D580">
            <v>2.8746692986811387E-3</v>
          </cell>
          <cell r="E580">
            <v>0.67615869193605072</v>
          </cell>
          <cell r="F580">
            <v>1.1972181201308298</v>
          </cell>
          <cell r="G580">
            <v>1.0040259590726024</v>
          </cell>
        </row>
        <row r="581">
          <cell r="A581" t="str">
            <v>T_C-HY-DSL-S2</v>
          </cell>
          <cell r="B581" t="str">
            <v>VAR_ncap</v>
          </cell>
          <cell r="C581" t="str">
            <v>-</v>
          </cell>
          <cell r="E581">
            <v>0.13889201752635599</v>
          </cell>
          <cell r="F581">
            <v>8.4074369721864398E-2</v>
          </cell>
          <cell r="G581">
            <v>1.0986831776971601E-5</v>
          </cell>
        </row>
        <row r="582">
          <cell r="A582" t="str">
            <v>T_C-HY-DSL-S2</v>
          </cell>
          <cell r="B582" t="str">
            <v>VAR_cap</v>
          </cell>
          <cell r="C582" t="str">
            <v>-</v>
          </cell>
          <cell r="D582">
            <v>2.5979045702664378E-4</v>
          </cell>
          <cell r="E582">
            <v>0.13756357887934539</v>
          </cell>
          <cell r="F582">
            <v>0.21264757246404237</v>
          </cell>
          <cell r="G582">
            <v>0.17706340659663519</v>
          </cell>
        </row>
        <row r="583">
          <cell r="A583" t="str">
            <v>D-T-ELC-Bus_c_S1</v>
          </cell>
          <cell r="B583" t="str">
            <v>VAR_fout</v>
          </cell>
          <cell r="C583" t="str">
            <v>T-ELC-Bus_c_BatSTGin_S1</v>
          </cell>
          <cell r="D583">
            <v>4.0973353689188318E-4</v>
          </cell>
          <cell r="E583">
            <v>8.7344391935478686E-4</v>
          </cell>
          <cell r="F583">
            <v>8.1492322793346979E-4</v>
          </cell>
          <cell r="G583">
            <v>0.14465250493338314</v>
          </cell>
        </row>
        <row r="584">
          <cell r="A584" t="str">
            <v>D-T-ELC-Bus_c_S1</v>
          </cell>
          <cell r="B584" t="str">
            <v>VAR_fin</v>
          </cell>
          <cell r="C584" t="str">
            <v>TELC</v>
          </cell>
          <cell r="D584">
            <v>4.0973353689188318E-4</v>
          </cell>
          <cell r="E584">
            <v>8.7344391935478686E-4</v>
          </cell>
          <cell r="F584">
            <v>8.1492322793346979E-4</v>
          </cell>
          <cell r="G584">
            <v>0.14465250493338314</v>
          </cell>
        </row>
        <row r="585">
          <cell r="A585" t="str">
            <v>D-T-ELC-Bus_c_S1</v>
          </cell>
          <cell r="B585" t="str">
            <v>VAR_ncap</v>
          </cell>
          <cell r="C585" t="str">
            <v>-</v>
          </cell>
          <cell r="D585">
            <v>5.8981833437619703E-5</v>
          </cell>
          <cell r="E585">
            <v>3.7874314465940697E-5</v>
          </cell>
          <cell r="F585">
            <v>1.29970550139413E-5</v>
          </cell>
          <cell r="G585">
            <v>1.8341545078286999E-2</v>
          </cell>
        </row>
        <row r="586">
          <cell r="A586" t="str">
            <v>D-T-ELC-Bus_c_S1</v>
          </cell>
          <cell r="B586" t="str">
            <v>VAR_cap</v>
          </cell>
          <cell r="C586" t="str">
            <v>-</v>
          </cell>
          <cell r="D586">
            <v>5.8981833437619703E-5</v>
          </cell>
          <cell r="E586">
            <v>9.6856147903560393E-5</v>
          </cell>
          <cell r="F586">
            <v>1.0985320291750199E-4</v>
          </cell>
          <cell r="G586">
            <v>1.8430555090427202E-2</v>
          </cell>
        </row>
        <row r="587">
          <cell r="A587" t="str">
            <v>T_C-HY-GSL-S4</v>
          </cell>
          <cell r="B587" t="str">
            <v>VAR_fout</v>
          </cell>
          <cell r="C587" t="str">
            <v>CO2_T</v>
          </cell>
          <cell r="D587">
            <v>6.6975269247581846</v>
          </cell>
          <cell r="E587">
            <v>9.9732443433540148</v>
          </cell>
          <cell r="F587">
            <v>9.4084282723094521</v>
          </cell>
          <cell r="G587">
            <v>7.9467425077281044</v>
          </cell>
        </row>
        <row r="588">
          <cell r="A588" t="str">
            <v>T_C-HY-GSL-S4</v>
          </cell>
          <cell r="B588" t="str">
            <v>VAR_fout</v>
          </cell>
          <cell r="C588" t="str">
            <v>TPCAR</v>
          </cell>
          <cell r="D588">
            <v>0.10433499808528554</v>
          </cell>
          <cell r="E588">
            <v>0.17912035409520852</v>
          </cell>
          <cell r="F588">
            <v>0.1708632831318796</v>
          </cell>
          <cell r="G588">
            <v>0.14378464470985092</v>
          </cell>
        </row>
        <row r="589">
          <cell r="A589" t="str">
            <v>T_C-HY-GSL-S4</v>
          </cell>
          <cell r="B589" t="str">
            <v>VAR_fin</v>
          </cell>
          <cell r="C589" t="str">
            <v>TGSL</v>
          </cell>
          <cell r="D589">
            <v>9.0752397354446956E-2</v>
          </cell>
          <cell r="E589">
            <v>0.13513881224056962</v>
          </cell>
          <cell r="F589">
            <v>0.12748547794457218</v>
          </cell>
          <cell r="G589">
            <v>0.10767943777409372</v>
          </cell>
        </row>
        <row r="590">
          <cell r="A590" t="str">
            <v>T_C-HY-GSL-S4</v>
          </cell>
          <cell r="B590" t="str">
            <v>VAR_ncap</v>
          </cell>
          <cell r="C590" t="str">
            <v>-</v>
          </cell>
          <cell r="E590">
            <v>2.67474872674112E-5</v>
          </cell>
          <cell r="F590">
            <v>1.20317178747294E-5</v>
          </cell>
          <cell r="G590">
            <v>6.4076374981682103E-6</v>
          </cell>
        </row>
        <row r="591">
          <cell r="A591" t="str">
            <v>T_C-HY-GSL-S4</v>
          </cell>
          <cell r="B591" t="str">
            <v>VAR_cap</v>
          </cell>
          <cell r="C591" t="str">
            <v>-</v>
          </cell>
          <cell r="D591">
            <v>8.320393932386122E-3</v>
          </cell>
          <cell r="E591">
            <v>1.4105599746900736E-2</v>
          </cell>
          <cell r="F591">
            <v>1.3538200591512213E-2</v>
          </cell>
          <cell r="G591">
            <v>1.132843884130163E-2</v>
          </cell>
        </row>
        <row r="592">
          <cell r="A592" t="str">
            <v>T_C-HY-DSL-S3</v>
          </cell>
          <cell r="B592" t="str">
            <v>VAR_fout</v>
          </cell>
          <cell r="C592" t="str">
            <v>CO2_T</v>
          </cell>
          <cell r="D592">
            <v>2.1738756758991826</v>
          </cell>
          <cell r="E592">
            <v>3.3192590735678293</v>
          </cell>
          <cell r="F592">
            <v>3.1793980169137912</v>
          </cell>
          <cell r="G592">
            <v>2.3790705422229572</v>
          </cell>
        </row>
        <row r="593">
          <cell r="A593" t="str">
            <v>T_C-HY-DSL-S3</v>
          </cell>
          <cell r="B593" t="str">
            <v>VAR_fout</v>
          </cell>
          <cell r="C593" t="str">
            <v>TPCAR</v>
          </cell>
          <cell r="D593">
            <v>2.658912405943176E-2</v>
          </cell>
          <cell r="E593">
            <v>5.375373636353032E-2</v>
          </cell>
          <cell r="F593">
            <v>5.1280457688772679E-2</v>
          </cell>
          <cell r="G593">
            <v>4.0777102824961955E-2</v>
          </cell>
        </row>
        <row r="594">
          <cell r="A594" t="str">
            <v>T_C-HY-DSL-S3</v>
          </cell>
          <cell r="B594" t="str">
            <v>VAR_fin</v>
          </cell>
          <cell r="C594" t="str">
            <v>TDSL</v>
          </cell>
          <cell r="D594">
            <v>2.9657239780343601E-2</v>
          </cell>
          <cell r="E594">
            <v>4.5283207006382317E-2</v>
          </cell>
          <cell r="F594">
            <v>4.3375143477677999E-2</v>
          </cell>
          <cell r="G594">
            <v>3.2456624041241021E-2</v>
          </cell>
        </row>
        <row r="595">
          <cell r="A595" t="str">
            <v>T_C-HY-DSL-S3</v>
          </cell>
          <cell r="B595" t="str">
            <v>VAR_ncap</v>
          </cell>
          <cell r="C595" t="str">
            <v>-</v>
          </cell>
          <cell r="E595">
            <v>2.2848303222958798E-5</v>
          </cell>
          <cell r="F595">
            <v>1.06025068005769E-5</v>
          </cell>
          <cell r="G595">
            <v>4.3325107363695304E-6</v>
          </cell>
        </row>
        <row r="596">
          <cell r="A596" t="str">
            <v>T_C-HY-DSL-S3</v>
          </cell>
          <cell r="B596" t="str">
            <v>VAR_cap</v>
          </cell>
          <cell r="C596" t="str">
            <v>-</v>
          </cell>
          <cell r="D596">
            <v>1.8563744209439594E-3</v>
          </cell>
          <cell r="E596">
            <v>3.6968760461688816E-3</v>
          </cell>
          <cell r="F596">
            <v>3.5297014063966872E-3</v>
          </cell>
          <cell r="G596">
            <v>2.8069994542259786E-3</v>
          </cell>
        </row>
        <row r="597">
          <cell r="A597" t="str">
            <v>D-T-ELC-Bus_c_S2</v>
          </cell>
          <cell r="B597" t="str">
            <v>VAR_fout</v>
          </cell>
          <cell r="C597" t="str">
            <v>T-ELC-Bus_c_BatSTGin_S2</v>
          </cell>
          <cell r="D597">
            <v>1.5937538785295959E-3</v>
          </cell>
          <cell r="E597">
            <v>2.1360072403981281E-3</v>
          </cell>
          <cell r="F597">
            <v>2.2536771488991286E-3</v>
          </cell>
          <cell r="G597">
            <v>6.9640755646222213E-2</v>
          </cell>
        </row>
        <row r="598">
          <cell r="A598" t="str">
            <v>D-T-ELC-Bus_c_S2</v>
          </cell>
          <cell r="B598" t="str">
            <v>VAR_fin</v>
          </cell>
          <cell r="C598" t="str">
            <v>TELC</v>
          </cell>
          <cell r="D598">
            <v>1.5937538785295959E-3</v>
          </cell>
          <cell r="E598">
            <v>2.1360072403981281E-3</v>
          </cell>
          <cell r="F598">
            <v>2.2536771488991286E-3</v>
          </cell>
          <cell r="G598">
            <v>6.9640755646222213E-2</v>
          </cell>
        </row>
        <row r="599">
          <cell r="A599" t="str">
            <v>D-T-ELC-Bus_c_S2</v>
          </cell>
          <cell r="B599" t="str">
            <v>VAR_ncap</v>
          </cell>
          <cell r="C599" t="str">
            <v>-</v>
          </cell>
          <cell r="D599">
            <v>2.05037616700529E-4</v>
          </cell>
          <cell r="E599">
            <v>3.7165169501271398E-5</v>
          </cell>
          <cell r="F599">
            <v>3.4493975101130601E-5</v>
          </cell>
          <cell r="G599">
            <v>8.6548429679466198E-3</v>
          </cell>
        </row>
        <row r="600">
          <cell r="A600" t="str">
            <v>D-T-ELC-Bus_c_S2</v>
          </cell>
          <cell r="B600" t="str">
            <v>VAR_cap</v>
          </cell>
          <cell r="C600" t="str">
            <v>-</v>
          </cell>
          <cell r="D600">
            <v>2.05037616700529E-4</v>
          </cell>
          <cell r="E600">
            <v>2.4220278620180099E-4</v>
          </cell>
          <cell r="F600">
            <v>2.7669676130293101E-4</v>
          </cell>
          <cell r="G600">
            <v>8.8716032564733604E-3</v>
          </cell>
        </row>
        <row r="601">
          <cell r="A601" t="str">
            <v>T_C-HY-DSL-S4</v>
          </cell>
          <cell r="B601" t="str">
            <v>VAR_fout</v>
          </cell>
          <cell r="C601" t="str">
            <v>CO2_T</v>
          </cell>
          <cell r="D601">
            <v>2.5978123982880081</v>
          </cell>
          <cell r="E601">
            <v>5.1920370154476618</v>
          </cell>
          <cell r="F601">
            <v>4.9272366800137135</v>
          </cell>
          <cell r="G601">
            <v>4.0365627536652378</v>
          </cell>
        </row>
        <row r="602">
          <cell r="A602" t="str">
            <v>T_C-HY-DSL-S4</v>
          </cell>
          <cell r="B602" t="str">
            <v>VAR_fout</v>
          </cell>
          <cell r="C602" t="str">
            <v>TPCAR</v>
          </cell>
          <cell r="D602">
            <v>4.7701686285912169E-2</v>
          </cell>
          <cell r="E602">
            <v>0.1117251665548029</v>
          </cell>
          <cell r="F602">
            <v>0.10661261003892841</v>
          </cell>
          <cell r="G602">
            <v>8.9377781992343711E-2</v>
          </cell>
        </row>
        <row r="603">
          <cell r="A603" t="str">
            <v>T_C-HY-DSL-S4</v>
          </cell>
          <cell r="B603" t="str">
            <v>VAR_fin</v>
          </cell>
          <cell r="C603" t="str">
            <v>TDSL</v>
          </cell>
          <cell r="D603">
            <v>3.5440823987558025E-2</v>
          </cell>
          <cell r="E603">
            <v>7.0832701438576673E-2</v>
          </cell>
          <cell r="F603">
            <v>6.7220145702779413E-2</v>
          </cell>
          <cell r="G603">
            <v>5.5069068944955432E-2</v>
          </cell>
        </row>
        <row r="604">
          <cell r="A604" t="str">
            <v>T_C-HY-DSL-S4</v>
          </cell>
          <cell r="B604" t="str">
            <v>VAR_ncap</v>
          </cell>
          <cell r="C604" t="str">
            <v>-</v>
          </cell>
          <cell r="E604">
            <v>2.8960232316345002E-5</v>
          </cell>
          <cell r="F604">
            <v>1.2079146320055101E-5</v>
          </cell>
          <cell r="G604">
            <v>5.1067944484467804E-6</v>
          </cell>
        </row>
        <row r="605">
          <cell r="A605" t="str">
            <v>T_C-HY-DSL-S4</v>
          </cell>
          <cell r="B605" t="str">
            <v>VAR_cap</v>
          </cell>
          <cell r="C605" t="str">
            <v>-</v>
          </cell>
          <cell r="D605">
            <v>3.7728766898187426E-3</v>
          </cell>
          <cell r="E605">
            <v>8.7983925973811831E-3</v>
          </cell>
          <cell r="F605">
            <v>8.4005456892879329E-3</v>
          </cell>
          <cell r="G605">
            <v>7.0446118698682288E-3</v>
          </cell>
        </row>
        <row r="606">
          <cell r="A606" t="str">
            <v>D-T-ELC-Bus_c_S3</v>
          </cell>
          <cell r="B606" t="str">
            <v>VAR_fout</v>
          </cell>
          <cell r="C606" t="str">
            <v>T-ELC-Bus_c_BatSTGin_S3</v>
          </cell>
          <cell r="D606">
            <v>3.5418897034943195E-4</v>
          </cell>
          <cell r="E606">
            <v>8.3116758821805863E-4</v>
          </cell>
          <cell r="F606">
            <v>8.8424980128671486E-4</v>
          </cell>
          <cell r="G606">
            <v>6.9293854491417047E-4</v>
          </cell>
        </row>
        <row r="607">
          <cell r="A607" t="str">
            <v>D-T-ELC-Bus_c_S3</v>
          </cell>
          <cell r="B607" t="str">
            <v>VAR_fin</v>
          </cell>
          <cell r="C607" t="str">
            <v>TELC</v>
          </cell>
          <cell r="D607">
            <v>3.5418897034943195E-4</v>
          </cell>
          <cell r="E607">
            <v>8.3116758821805863E-4</v>
          </cell>
          <cell r="F607">
            <v>8.8424980128671486E-4</v>
          </cell>
          <cell r="G607">
            <v>6.9293854491417047E-4</v>
          </cell>
        </row>
        <row r="608">
          <cell r="A608" t="str">
            <v>D-T-ELC-Bus_c_S3</v>
          </cell>
          <cell r="B608" t="str">
            <v>VAR_ncap</v>
          </cell>
          <cell r="C608" t="str">
            <v>-</v>
          </cell>
          <cell r="D608">
            <v>5.4498521666002299E-5</v>
          </cell>
          <cell r="E608">
            <v>3.9140148028695497E-5</v>
          </cell>
          <cell r="F608">
            <v>1.1848757720469399E-5</v>
          </cell>
          <cell r="G608">
            <v>3.8215556207152702E-5</v>
          </cell>
        </row>
        <row r="609">
          <cell r="A609" t="str">
            <v>D-T-ELC-Bus_c_S3</v>
          </cell>
          <cell r="B609" t="str">
            <v>VAR_cap</v>
          </cell>
          <cell r="C609" t="str">
            <v>-</v>
          </cell>
          <cell r="D609">
            <v>5.4498521666002299E-5</v>
          </cell>
          <cell r="E609">
            <v>9.3638669694697796E-5</v>
          </cell>
          <cell r="F609">
            <v>1.05487427415167E-4</v>
          </cell>
          <cell r="G609">
            <v>9.7768622743560606E-5</v>
          </cell>
        </row>
        <row r="610">
          <cell r="A610" t="str">
            <v>D-T-ELC-Bus_c_S4</v>
          </cell>
          <cell r="B610" t="str">
            <v>VAR_fout</v>
          </cell>
          <cell r="C610" t="str">
            <v>T-ELC-Bus_c_BatSTGin_S4</v>
          </cell>
          <cell r="D610">
            <v>9.9099053019579365E-7</v>
          </cell>
          <cell r="E610">
            <v>2.6508875589286952E-5</v>
          </cell>
          <cell r="F610">
            <v>4.7630476968410294E-5</v>
          </cell>
          <cell r="G610">
            <v>1.320935206939604E-4</v>
          </cell>
        </row>
        <row r="611">
          <cell r="A611" t="str">
            <v>D-T-ELC-Bus_c_S4</v>
          </cell>
          <cell r="B611" t="str">
            <v>VAR_fin</v>
          </cell>
          <cell r="C611" t="str">
            <v>TELC</v>
          </cell>
          <cell r="D611">
            <v>9.9099053019579365E-7</v>
          </cell>
          <cell r="E611">
            <v>2.6508875589286952E-5</v>
          </cell>
          <cell r="F611">
            <v>4.7630476968410294E-5</v>
          </cell>
          <cell r="G611">
            <v>1.320935206939604E-4</v>
          </cell>
        </row>
        <row r="612">
          <cell r="A612" t="str">
            <v>D-T-ELC-Bus_c_S4</v>
          </cell>
          <cell r="B612" t="str">
            <v>VAR_ncap</v>
          </cell>
          <cell r="C612" t="str">
            <v>-</v>
          </cell>
          <cell r="D612">
            <v>4.42943330105241E-6</v>
          </cell>
          <cell r="E612">
            <v>3.8795357122733102E-6</v>
          </cell>
          <cell r="F612">
            <v>4.1358100835631004E-6</v>
          </cell>
          <cell r="G612">
            <v>2.2661666634842301E-5</v>
          </cell>
        </row>
        <row r="613">
          <cell r="A613" t="str">
            <v>D-T-ELC-Bus_c_S4</v>
          </cell>
          <cell r="B613" t="str">
            <v>VAR_cap</v>
          </cell>
          <cell r="C613" t="str">
            <v>-</v>
          </cell>
          <cell r="D613">
            <v>4.42943330105241E-6</v>
          </cell>
          <cell r="E613">
            <v>8.3089690133257203E-6</v>
          </cell>
          <cell r="F613">
            <v>1.24447790968888E-5</v>
          </cell>
          <cell r="G613">
            <v>2.7546099728243401E-5</v>
          </cell>
        </row>
        <row r="614">
          <cell r="A614" t="str">
            <v>D-TH2O</v>
          </cell>
          <cell r="B614" t="str">
            <v>VAR_fout</v>
          </cell>
          <cell r="C614" t="str">
            <v>TH2O</v>
          </cell>
          <cell r="D614">
            <v>2.5538869309411267E-3</v>
          </cell>
          <cell r="E614">
            <v>1.7494879996579247E-3</v>
          </cell>
          <cell r="F614">
            <v>1.6937752901820299E-3</v>
          </cell>
          <cell r="G614">
            <v>2.4015634290214401E-3</v>
          </cell>
        </row>
        <row r="615">
          <cell r="A615" t="str">
            <v>D-TH2O</v>
          </cell>
          <cell r="B615" t="str">
            <v>VAR_fin</v>
          </cell>
          <cell r="C615" t="str">
            <v>H2</v>
          </cell>
          <cell r="D615">
            <v>2.5538869309411267E-3</v>
          </cell>
          <cell r="E615">
            <v>1.7494879996579247E-3</v>
          </cell>
          <cell r="F615">
            <v>1.6937752901820299E-3</v>
          </cell>
          <cell r="G615">
            <v>2.4015634290214401E-3</v>
          </cell>
        </row>
        <row r="616">
          <cell r="A616" t="str">
            <v>D-TH2O</v>
          </cell>
          <cell r="B616" t="str">
            <v>VAR_ncap</v>
          </cell>
          <cell r="C616" t="str">
            <v>-</v>
          </cell>
          <cell r="D616">
            <v>4.90020783029887E-4</v>
          </cell>
          <cell r="E616">
            <v>2.9313444621777102E-7</v>
          </cell>
          <cell r="F616">
            <v>3.0231214766288303E-7</v>
          </cell>
          <cell r="G616">
            <v>8.1679474301866398E-4</v>
          </cell>
        </row>
        <row r="617">
          <cell r="A617" t="str">
            <v>D-TH2O</v>
          </cell>
          <cell r="B617" t="str">
            <v>VAR_cap</v>
          </cell>
          <cell r="C617" t="str">
            <v>-</v>
          </cell>
          <cell r="D617">
            <v>4.90020783029887E-4</v>
          </cell>
          <cell r="E617">
            <v>4.90313917476105E-4</v>
          </cell>
          <cell r="F617">
            <v>4.9061622962376795E-4</v>
          </cell>
          <cell r="G617">
            <v>1.3074109726424301E-3</v>
          </cell>
        </row>
        <row r="618">
          <cell r="A618" t="str">
            <v>TFHGV-HYBDSL</v>
          </cell>
          <cell r="B618" t="str">
            <v>VAR_fout</v>
          </cell>
          <cell r="C618" t="str">
            <v>CO2_T</v>
          </cell>
          <cell r="E618">
            <v>153.34274042390001</v>
          </cell>
          <cell r="F618">
            <v>329.79494970087103</v>
          </cell>
          <cell r="G618">
            <v>818.39031254968609</v>
          </cell>
        </row>
        <row r="619">
          <cell r="A619" t="str">
            <v>TFHGV-HYBDSL</v>
          </cell>
          <cell r="B619" t="str">
            <v>VAR_fout</v>
          </cell>
          <cell r="C619" t="str">
            <v>TFHGV</v>
          </cell>
          <cell r="E619">
            <v>0.34197073763963454</v>
          </cell>
          <cell r="F619">
            <v>0.73547806637121538</v>
          </cell>
          <cell r="G619">
            <v>1.8250980651975321</v>
          </cell>
        </row>
        <row r="620">
          <cell r="A620" t="str">
            <v>TFHGV-HYBDSL</v>
          </cell>
          <cell r="B620" t="str">
            <v>VAR_fin</v>
          </cell>
          <cell r="C620" t="str">
            <v>TDSL</v>
          </cell>
          <cell r="E620">
            <v>2.0919882731773516</v>
          </cell>
          <cell r="F620">
            <v>4.4992489727267619</v>
          </cell>
          <cell r="G620">
            <v>11.164942872437734</v>
          </cell>
        </row>
        <row r="621">
          <cell r="A621" t="str">
            <v>TFHGV-HYBDSL</v>
          </cell>
          <cell r="B621" t="str">
            <v>VAR_ncap</v>
          </cell>
          <cell r="C621" t="str">
            <v>-</v>
          </cell>
          <cell r="E621">
            <v>6.4332558358561201E-3</v>
          </cell>
          <cell r="F621">
            <v>7.4029350501018699E-3</v>
          </cell>
          <cell r="G621">
            <v>2.69647905886077E-2</v>
          </cell>
        </row>
        <row r="622">
          <cell r="A622" t="str">
            <v>TFHGV-HYBDSL</v>
          </cell>
          <cell r="B622" t="str">
            <v>VAR_cap</v>
          </cell>
          <cell r="C622" t="str">
            <v>-</v>
          </cell>
          <cell r="E622">
            <v>6.4332558358561201E-3</v>
          </cell>
          <cell r="F622">
            <v>1.3836190885958E-2</v>
          </cell>
          <cell r="G622">
            <v>3.4334376477480298E-2</v>
          </cell>
        </row>
        <row r="623">
          <cell r="A623" t="str">
            <v>D-TKER</v>
          </cell>
          <cell r="B623" t="str">
            <v>VAR_fout</v>
          </cell>
          <cell r="C623" t="str">
            <v>CO2</v>
          </cell>
          <cell r="D623">
            <v>80.734414829308605</v>
          </cell>
          <cell r="E623">
            <v>102.29881909652801</v>
          </cell>
          <cell r="F623">
            <v>134.56768699655299</v>
          </cell>
          <cell r="G623">
            <v>187.22817471910699</v>
          </cell>
        </row>
        <row r="624">
          <cell r="A624" t="str">
            <v>D-TKER</v>
          </cell>
          <cell r="B624" t="str">
            <v>VAR_fout</v>
          </cell>
          <cell r="C624" t="str">
            <v>TKER</v>
          </cell>
          <cell r="D624">
            <v>1.0926913930450199</v>
          </cell>
          <cell r="E624">
            <v>1.38455254034822</v>
          </cell>
          <cell r="F624">
            <v>1.82129211779127</v>
          </cell>
          <cell r="G624">
            <v>2.5340199155915402</v>
          </cell>
        </row>
        <row r="625">
          <cell r="A625" t="str">
            <v>D-TKER</v>
          </cell>
          <cell r="B625" t="str">
            <v>VAR_fin</v>
          </cell>
          <cell r="C625" t="str">
            <v>KER</v>
          </cell>
          <cell r="D625">
            <v>1.1089892146883054</v>
          </cell>
          <cell r="E625">
            <v>1.4052035590182419</v>
          </cell>
          <cell r="F625">
            <v>1.8484572389636504</v>
          </cell>
          <cell r="G625">
            <v>2.5718155868009052</v>
          </cell>
        </row>
        <row r="626">
          <cell r="A626" t="str">
            <v>T_B_u-BEVELC-S1</v>
          </cell>
          <cell r="B626" t="str">
            <v>VAR_fout</v>
          </cell>
          <cell r="C626" t="str">
            <v>TPBSu</v>
          </cell>
          <cell r="D626">
            <v>1.3871771594006989E-7</v>
          </cell>
          <cell r="E626">
            <v>3.7302369468714878E-4</v>
          </cell>
          <cell r="F626">
            <v>8.162563980251556E-4</v>
          </cell>
          <cell r="G626">
            <v>0.10983276372356061</v>
          </cell>
        </row>
        <row r="627">
          <cell r="A627" t="str">
            <v>T_B_u-BEVELC-S1</v>
          </cell>
          <cell r="B627" t="str">
            <v>VAR_fin</v>
          </cell>
          <cell r="C627" t="str">
            <v>T-ELC-Bus_u_BatSTGout_S1</v>
          </cell>
          <cell r="D627">
            <v>3.6630631261930826E-7</v>
          </cell>
          <cell r="E627">
            <v>9.5057828538310646E-4</v>
          </cell>
          <cell r="F627">
            <v>2.023441791174271E-3</v>
          </cell>
          <cell r="G627">
            <v>0.24553075850686898</v>
          </cell>
        </row>
        <row r="628">
          <cell r="A628" t="str">
            <v>T_B_u-BEVELC-S1</v>
          </cell>
          <cell r="B628" t="str">
            <v>VAR_ncap</v>
          </cell>
          <cell r="C628" t="str">
            <v>-</v>
          </cell>
          <cell r="E628">
            <v>7.0601110792603301E-6</v>
          </cell>
          <cell r="F628">
            <v>8.4639071851481203E-6</v>
          </cell>
          <cell r="G628">
            <v>2.5516864338657398E-3</v>
          </cell>
        </row>
        <row r="629">
          <cell r="A629" t="str">
            <v>T_B_u-BEVELC-S1</v>
          </cell>
          <cell r="B629" t="str">
            <v>VAR_cap</v>
          </cell>
          <cell r="C629" t="str">
            <v>-</v>
          </cell>
          <cell r="D629">
            <v>3.02390998593531E-8</v>
          </cell>
          <cell r="E629">
            <v>7.101601937206884E-6</v>
          </cell>
          <cell r="F629">
            <v>1.5565509122354956E-5</v>
          </cell>
          <cell r="G629">
            <v>2.5529858152837223E-3</v>
          </cell>
        </row>
        <row r="630">
          <cell r="A630" t="str">
            <v>TPSHPH2OEXT</v>
          </cell>
          <cell r="B630" t="str">
            <v>VAR_fout</v>
          </cell>
          <cell r="C630" t="str">
            <v>TPSHP</v>
          </cell>
        </row>
        <row r="631">
          <cell r="A631" t="str">
            <v>TPSHPH2OEXT</v>
          </cell>
          <cell r="B631" t="str">
            <v>VAR_fin</v>
          </cell>
          <cell r="C631" t="str">
            <v>TH2O</v>
          </cell>
        </row>
        <row r="632">
          <cell r="A632" t="str">
            <v>TPSHPH2OEXT</v>
          </cell>
          <cell r="B632" t="str">
            <v>VAR_ncap</v>
          </cell>
          <cell r="C632" t="str">
            <v>-</v>
          </cell>
        </row>
        <row r="633">
          <cell r="A633" t="str">
            <v>TPSHPH2OEXT</v>
          </cell>
          <cell r="B633" t="str">
            <v>VAR_cap</v>
          </cell>
          <cell r="C633" t="str">
            <v>-</v>
          </cell>
        </row>
        <row r="634">
          <cell r="A634" t="str">
            <v>T_B_u-BEVELC-S2</v>
          </cell>
          <cell r="B634" t="str">
            <v>VAR_fout</v>
          </cell>
          <cell r="C634" t="str">
            <v>TPBSu</v>
          </cell>
          <cell r="D634">
            <v>4.0395981701595479E-4</v>
          </cell>
          <cell r="E634">
            <v>6.3040913327459943E-4</v>
          </cell>
          <cell r="F634">
            <v>8.4994376226906648E-4</v>
          </cell>
          <cell r="G634">
            <v>3.9620259407942546E-2</v>
          </cell>
        </row>
        <row r="635">
          <cell r="A635" t="str">
            <v>T_B_u-BEVELC-S2</v>
          </cell>
          <cell r="B635" t="str">
            <v>VAR_fin</v>
          </cell>
          <cell r="C635" t="str">
            <v>T-ELC-Bus_u_BatSTGout_S2</v>
          </cell>
          <cell r="D635">
            <v>1.4679801662237592E-3</v>
          </cell>
          <cell r="E635">
            <v>2.274246406421316E-3</v>
          </cell>
          <cell r="F635">
            <v>3.0064512025952017E-3</v>
          </cell>
          <cell r="G635">
            <v>0.1222392240955199</v>
          </cell>
        </row>
        <row r="636">
          <cell r="A636" t="str">
            <v>T_B_u-BEVELC-S2</v>
          </cell>
          <cell r="B636" t="str">
            <v>VAR_ncap</v>
          </cell>
          <cell r="C636" t="str">
            <v>-</v>
          </cell>
          <cell r="E636">
            <v>1.0152188358074499E-6</v>
          </cell>
          <cell r="F636">
            <v>4.1716248215360001E-6</v>
          </cell>
          <cell r="G636">
            <v>7.4181293167870305E-4</v>
          </cell>
        </row>
        <row r="637">
          <cell r="A637" t="str">
            <v>T_B_u-BEVELC-S2</v>
          </cell>
          <cell r="B637" t="str">
            <v>VAR_cap</v>
          </cell>
          <cell r="C637" t="str">
            <v>-</v>
          </cell>
          <cell r="D637">
            <v>7.8200584258769274E-6</v>
          </cell>
          <cell r="E637">
            <v>1.1885823617804649E-5</v>
          </cell>
          <cell r="F637">
            <v>1.6057448439340649E-5</v>
          </cell>
          <cell r="G637">
            <v>7.4722772860341972E-4</v>
          </cell>
        </row>
        <row r="638">
          <cell r="A638" t="str">
            <v>TFHGV-ICEDSL</v>
          </cell>
          <cell r="B638" t="str">
            <v>VAR_fout</v>
          </cell>
          <cell r="C638" t="str">
            <v>CO2_T</v>
          </cell>
          <cell r="D638">
            <v>381.05936924267723</v>
          </cell>
          <cell r="E638">
            <v>352.17856395852704</v>
          </cell>
          <cell r="F638">
            <v>318.26411446415563</v>
          </cell>
          <cell r="G638">
            <v>32.202569347137981</v>
          </cell>
        </row>
        <row r="639">
          <cell r="A639" t="str">
            <v>TFHGV-ICEDSL</v>
          </cell>
          <cell r="B639" t="str">
            <v>VAR_fout</v>
          </cell>
          <cell r="C639" t="str">
            <v>TFHGV</v>
          </cell>
          <cell r="D639">
            <v>0.61709531429400066</v>
          </cell>
          <cell r="E639">
            <v>0.57032514919005084</v>
          </cell>
          <cell r="F639">
            <v>0.51540339799041424</v>
          </cell>
          <cell r="G639">
            <v>5.2149497575247707E-2</v>
          </cell>
        </row>
        <row r="640">
          <cell r="A640" t="str">
            <v>TFHGV-ICEDSL</v>
          </cell>
          <cell r="B640" t="str">
            <v>VAR_fin</v>
          </cell>
          <cell r="C640" t="str">
            <v>TDSL</v>
          </cell>
          <cell r="D640">
            <v>5.198627138372145</v>
          </cell>
          <cell r="E640">
            <v>4.8046188807438899</v>
          </cell>
          <cell r="F640">
            <v>4.3419388057865804</v>
          </cell>
          <cell r="G640">
            <v>0.43932563911511552</v>
          </cell>
        </row>
        <row r="641">
          <cell r="A641" t="str">
            <v>TFHGV-ICEDSL</v>
          </cell>
          <cell r="B641" t="str">
            <v>VAR_ncap</v>
          </cell>
          <cell r="C641" t="str">
            <v>-</v>
          </cell>
          <cell r="E641">
            <v>3.1011678537834898E-7</v>
          </cell>
          <cell r="F641">
            <v>7.2667004273617595E-7</v>
          </cell>
          <cell r="G641">
            <v>7.8449196271040296E-7</v>
          </cell>
        </row>
        <row r="642">
          <cell r="A642" t="str">
            <v>TFHGV-ICEDSL</v>
          </cell>
          <cell r="B642" t="str">
            <v>VAR_cap</v>
          </cell>
          <cell r="C642" t="str">
            <v>-</v>
          </cell>
          <cell r="D642">
            <v>1.1609616998070232E-2</v>
          </cell>
          <cell r="E642">
            <v>1.0729235724586879E-2</v>
          </cell>
          <cell r="F642">
            <v>9.6966868444705243E-3</v>
          </cell>
          <cell r="G642">
            <v>9.812998646704272E-4</v>
          </cell>
        </row>
        <row r="643">
          <cell r="A643" t="str">
            <v>D-T-ELC-Bus_u_S1</v>
          </cell>
          <cell r="B643" t="str">
            <v>VAR_fout</v>
          </cell>
          <cell r="C643" t="str">
            <v>T-ELC-Bus_u_BatSTGin_S1</v>
          </cell>
          <cell r="D643">
            <v>5.8896129810498029E-6</v>
          </cell>
          <cell r="E643">
            <v>9.5670626652553448E-4</v>
          </cell>
          <cell r="F643">
            <v>2.0305247753857223E-3</v>
          </cell>
          <cell r="G643">
            <v>0.2455923078231308</v>
          </cell>
        </row>
        <row r="644">
          <cell r="A644" t="str">
            <v>D-T-ELC-Bus_u_S1</v>
          </cell>
          <cell r="B644" t="str">
            <v>VAR_fin</v>
          </cell>
          <cell r="C644" t="str">
            <v>TELC</v>
          </cell>
          <cell r="D644">
            <v>5.8896129810498029E-6</v>
          </cell>
          <cell r="E644">
            <v>9.5670626652553448E-4</v>
          </cell>
          <cell r="F644">
            <v>2.0305247753857223E-3</v>
          </cell>
          <cell r="G644">
            <v>0.2455923078231308</v>
          </cell>
        </row>
        <row r="645">
          <cell r="A645" t="str">
            <v>D-T-ELC-Bus_u_S1</v>
          </cell>
          <cell r="B645" t="str">
            <v>VAR_ncap</v>
          </cell>
          <cell r="C645" t="str">
            <v>-</v>
          </cell>
          <cell r="D645">
            <v>6.0662469040802599E-5</v>
          </cell>
          <cell r="E645">
            <v>6.8727373429867996E-5</v>
          </cell>
          <cell r="F645">
            <v>1.5344194435279901E-4</v>
          </cell>
          <cell r="G645">
            <v>2.5701518579682701E-2</v>
          </cell>
        </row>
        <row r="646">
          <cell r="A646" t="str">
            <v>D-T-ELC-Bus_u_S1</v>
          </cell>
          <cell r="B646" t="str">
            <v>VAR_cap</v>
          </cell>
          <cell r="C646" t="str">
            <v>-</v>
          </cell>
          <cell r="D646">
            <v>6.0662469040802599E-5</v>
          </cell>
          <cell r="E646">
            <v>1.2938984247067099E-4</v>
          </cell>
          <cell r="F646">
            <v>2.8283178682346997E-4</v>
          </cell>
          <cell r="G646">
            <v>2.59589683664763E-2</v>
          </cell>
        </row>
        <row r="647">
          <cell r="A647" t="str">
            <v>T-Plg-DSL-mix_S1</v>
          </cell>
          <cell r="B647" t="str">
            <v>VAR_fout</v>
          </cell>
          <cell r="C647" t="str">
            <v>CO2_T</v>
          </cell>
          <cell r="D647">
            <v>1.24446458947547E-3</v>
          </cell>
          <cell r="E647">
            <v>2.7541457226805198E-2</v>
          </cell>
          <cell r="F647">
            <v>3.1089788133265669E-2</v>
          </cell>
          <cell r="G647">
            <v>3.447732736412501E-2</v>
          </cell>
        </row>
        <row r="648">
          <cell r="A648" t="str">
            <v>T-Plg-DSL-mix_S1</v>
          </cell>
          <cell r="B648" t="str">
            <v>VAR_fout</v>
          </cell>
          <cell r="C648" t="str">
            <v>T-PEVmix-ELC_DSL_S1</v>
          </cell>
          <cell r="D648">
            <v>1.2366645228201394E-5</v>
          </cell>
          <cell r="E648">
            <v>2.7368832626659188E-4</v>
          </cell>
          <cell r="F648">
            <v>3.0894923271870258E-4</v>
          </cell>
          <cell r="G648">
            <v>3.4261230053030469E-4</v>
          </cell>
        </row>
        <row r="649">
          <cell r="A649" t="str">
            <v>T-Plg-DSL-mix_S1</v>
          </cell>
          <cell r="B649" t="str">
            <v>VAR_fin</v>
          </cell>
          <cell r="C649" t="str">
            <v>TDSL</v>
          </cell>
          <cell r="D649">
            <v>1.6977688805940945E-5</v>
          </cell>
          <cell r="E649">
            <v>3.7573611496323614E-4</v>
          </cell>
          <cell r="F649">
            <v>4.2414444929421121E-4</v>
          </cell>
          <cell r="G649">
            <v>4.7035917277114467E-4</v>
          </cell>
        </row>
        <row r="650">
          <cell r="A650" t="str">
            <v>T_B_u-BEVELC-S3</v>
          </cell>
          <cell r="B650" t="str">
            <v>VAR_fout</v>
          </cell>
          <cell r="C650" t="str">
            <v>TPBSu</v>
          </cell>
          <cell r="D650">
            <v>1.0359709852208185E-3</v>
          </cell>
          <cell r="E650">
            <v>2.107864430161293E-3</v>
          </cell>
          <cell r="F650">
            <v>2.1270489264796615E-3</v>
          </cell>
          <cell r="G650">
            <v>9.0740214424851307E-2</v>
          </cell>
        </row>
        <row r="651">
          <cell r="A651" t="str">
            <v>T_B_u-BEVELC-S3</v>
          </cell>
          <cell r="B651" t="str">
            <v>VAR_fin</v>
          </cell>
          <cell r="C651" t="str">
            <v>T-ELC-Bus_u_BatSTGout_S3</v>
          </cell>
          <cell r="D651">
            <v>5.6619592285208032E-3</v>
          </cell>
          <cell r="E651">
            <v>1.1450008509257238E-2</v>
          </cell>
          <cell r="F651">
            <v>1.1536732170595459E-2</v>
          </cell>
          <cell r="G651">
            <v>0.42076221892352694</v>
          </cell>
        </row>
        <row r="652">
          <cell r="A652" t="str">
            <v>T_B_u-BEVELC-S3</v>
          </cell>
          <cell r="B652" t="str">
            <v>VAR_ncap</v>
          </cell>
          <cell r="C652" t="str">
            <v>-</v>
          </cell>
          <cell r="E652">
            <v>3.9033398030284902E-7</v>
          </cell>
          <cell r="F652">
            <v>7.6143143217463301E-7</v>
          </cell>
          <cell r="G652">
            <v>1.6940844281729301E-3</v>
          </cell>
        </row>
        <row r="653">
          <cell r="A653" t="str">
            <v>T_B_u-BEVELC-S3</v>
          </cell>
          <cell r="B653" t="str">
            <v>VAR_cap</v>
          </cell>
          <cell r="C653" t="str">
            <v>-</v>
          </cell>
          <cell r="D653">
            <v>2.6377068004953629E-5</v>
          </cell>
          <cell r="E653">
            <v>3.9690668926246068E-5</v>
          </cell>
          <cell r="F653">
            <v>4.0094585634611219E-5</v>
          </cell>
          <cell r="G653">
            <v>1.7111135631963704E-3</v>
          </cell>
        </row>
        <row r="654">
          <cell r="A654" t="str">
            <v>D-T-ELC-Bus_u_S2</v>
          </cell>
          <cell r="B654" t="str">
            <v>VAR_fout</v>
          </cell>
          <cell r="C654" t="str">
            <v>T-ELC-Bus_u_BatSTGin_S2</v>
          </cell>
          <cell r="D654">
            <v>1.4636251380181935E-3</v>
          </cell>
          <cell r="E654">
            <v>2.2748662713192795E-3</v>
          </cell>
          <cell r="F654">
            <v>3.0077821642316778E-3</v>
          </cell>
          <cell r="G654">
            <v>0.12228331051199989</v>
          </cell>
        </row>
        <row r="655">
          <cell r="A655" t="str">
            <v>D-T-ELC-Bus_u_S2</v>
          </cell>
          <cell r="B655" t="str">
            <v>VAR_fin</v>
          </cell>
          <cell r="C655" t="str">
            <v>TELC</v>
          </cell>
          <cell r="D655">
            <v>1.4636251380181935E-3</v>
          </cell>
          <cell r="E655">
            <v>2.2748662713192795E-3</v>
          </cell>
          <cell r="F655">
            <v>3.0077821642316778E-3</v>
          </cell>
          <cell r="G655">
            <v>0.12228331051199989</v>
          </cell>
        </row>
        <row r="656">
          <cell r="A656" t="str">
            <v>D-T-ELC-Bus_u_S2</v>
          </cell>
          <cell r="B656" t="str">
            <v>VAR_ncap</v>
          </cell>
          <cell r="C656" t="str">
            <v>-</v>
          </cell>
          <cell r="D656">
            <v>1.6208160255520599E-4</v>
          </cell>
          <cell r="E656">
            <v>8.5057452561818596E-5</v>
          </cell>
          <cell r="F656">
            <v>1.1531965347235E-4</v>
          </cell>
          <cell r="G656">
            <v>1.26178069049334E-2</v>
          </cell>
        </row>
        <row r="657">
          <cell r="A657" t="str">
            <v>D-T-ELC-Bus_u_S2</v>
          </cell>
          <cell r="B657" t="str">
            <v>VAR_cap</v>
          </cell>
          <cell r="C657" t="str">
            <v>-</v>
          </cell>
          <cell r="D657">
            <v>1.6208160255520599E-4</v>
          </cell>
          <cell r="E657">
            <v>2.4713905511702402E-4</v>
          </cell>
          <cell r="F657">
            <v>3.6245870858937399E-4</v>
          </cell>
          <cell r="G657">
            <v>1.29255088701278E-2</v>
          </cell>
        </row>
        <row r="658">
          <cell r="A658" t="str">
            <v>T-Plg-DSL-mix_S2</v>
          </cell>
          <cell r="B658" t="str">
            <v>VAR_fout</v>
          </cell>
          <cell r="C658" t="str">
            <v>CO2_T</v>
          </cell>
          <cell r="D658">
            <v>4.23494960615745E-4</v>
          </cell>
          <cell r="E658">
            <v>2.0457846321739699E-2</v>
          </cell>
          <cell r="F658">
            <v>6.43280042603252E-2</v>
          </cell>
          <cell r="G658">
            <v>9.2914902191809257E-2</v>
          </cell>
        </row>
        <row r="659">
          <cell r="A659" t="str">
            <v>T-Plg-DSL-mix_S2</v>
          </cell>
          <cell r="B659" t="str">
            <v>VAR_fout</v>
          </cell>
          <cell r="C659" t="str">
            <v>T-PEVmix-ELC_DSL_S2</v>
          </cell>
          <cell r="D659">
            <v>3.4406744526824595E-6</v>
          </cell>
          <cell r="E659">
            <v>1.6620927222787041E-4</v>
          </cell>
          <cell r="F659">
            <v>5.2263129773431546E-4</v>
          </cell>
          <cell r="G659">
            <v>7.5488485100278521E-4</v>
          </cell>
        </row>
        <row r="660">
          <cell r="A660" t="str">
            <v>T-Plg-DSL-mix_S2</v>
          </cell>
          <cell r="B660" t="str">
            <v>VAR_fin</v>
          </cell>
          <cell r="C660" t="str">
            <v>TDSL</v>
          </cell>
          <cell r="D660">
            <v>5.777557443598158E-6</v>
          </cell>
          <cell r="E660">
            <v>2.790974941574313E-4</v>
          </cell>
          <cell r="F660">
            <v>8.7759896671657902E-4</v>
          </cell>
          <cell r="G660">
            <v>1.2675975742402362E-3</v>
          </cell>
        </row>
        <row r="661">
          <cell r="A661" t="str">
            <v>T_B_u-BEVELC-S4</v>
          </cell>
          <cell r="B661" t="str">
            <v>VAR_fout</v>
          </cell>
          <cell r="C661" t="str">
            <v>TPBSu</v>
          </cell>
          <cell r="D661">
            <v>9.6706513972493786E-6</v>
          </cell>
          <cell r="E661">
            <v>8.401996551761254E-6</v>
          </cell>
          <cell r="F661">
            <v>1.1246556460085396E-5</v>
          </cell>
          <cell r="G661">
            <v>1.9713306901173698E-6</v>
          </cell>
        </row>
        <row r="662">
          <cell r="A662" t="str">
            <v>T_B_u-BEVELC-S4</v>
          </cell>
          <cell r="B662" t="str">
            <v>VAR_fin</v>
          </cell>
          <cell r="C662" t="str">
            <v>T-ELC-Bus_u_BatSTGout_S4</v>
          </cell>
          <cell r="D662">
            <v>7.9276012670841865E-5</v>
          </cell>
          <cell r="E662">
            <v>6.7525150068892292E-5</v>
          </cell>
          <cell r="F662">
            <v>8.7910512204545098E-5</v>
          </cell>
          <cell r="G662">
            <v>1.3668626303285826E-5</v>
          </cell>
        </row>
        <row r="663">
          <cell r="A663" t="str">
            <v>T_B_u-BEVELC-S4</v>
          </cell>
          <cell r="B663" t="str">
            <v>VAR_ncap</v>
          </cell>
          <cell r="C663" t="str">
            <v>-</v>
          </cell>
          <cell r="E663">
            <v>7.1588184906343899E-8</v>
          </cell>
          <cell r="F663">
            <v>7.4427526839172903E-8</v>
          </cell>
          <cell r="G663">
            <v>7.7347739645518401E-8</v>
          </cell>
        </row>
        <row r="664">
          <cell r="A664" t="str">
            <v>T_B_u-BEVELC-S4</v>
          </cell>
          <cell r="B664" t="str">
            <v>VAR_cap</v>
          </cell>
          <cell r="C664" t="str">
            <v>-</v>
          </cell>
          <cell r="D664">
            <v>2.7795086897221001E-7</v>
          </cell>
          <cell r="E664">
            <v>2.0084412177570887E-7</v>
          </cell>
          <cell r="F664">
            <v>2.5328473248036405E-7</v>
          </cell>
          <cell r="G664">
            <v>1.1688953045297879E-7</v>
          </cell>
        </row>
        <row r="665">
          <cell r="A665" t="str">
            <v>D-TBDS1</v>
          </cell>
          <cell r="B665" t="str">
            <v>VAR_fout</v>
          </cell>
          <cell r="C665" t="str">
            <v>TDSL</v>
          </cell>
          <cell r="D665">
            <v>2.9713152671641083</v>
          </cell>
          <cell r="E665">
            <v>2.9709411541170097</v>
          </cell>
          <cell r="F665">
            <v>4.4328121888229681</v>
          </cell>
          <cell r="G665">
            <v>3.184639869045085</v>
          </cell>
        </row>
        <row r="666">
          <cell r="A666" t="str">
            <v>D-TBDS1</v>
          </cell>
          <cell r="B666" t="str">
            <v>VAR_fout</v>
          </cell>
          <cell r="C666" t="str">
            <v>TKER</v>
          </cell>
          <cell r="D666">
            <v>3.9081036054261899E-4</v>
          </cell>
          <cell r="E666">
            <v>1.2177234380080199E-5</v>
          </cell>
          <cell r="F666">
            <v>4.9472060891920101E-4</v>
          </cell>
          <cell r="G666">
            <v>1.6472102665924599E-2</v>
          </cell>
        </row>
        <row r="667">
          <cell r="A667" t="str">
            <v>D-TBDS1</v>
          </cell>
          <cell r="B667" t="str">
            <v>VAR_fin</v>
          </cell>
          <cell r="C667" t="str">
            <v>BDS</v>
          </cell>
          <cell r="D667">
            <v>3.0160298940759662</v>
          </cell>
          <cell r="E667">
            <v>3.0152649583997069</v>
          </cell>
          <cell r="F667">
            <v>4.4994310189103395</v>
          </cell>
          <cell r="G667">
            <v>3.2488571592449906</v>
          </cell>
        </row>
        <row r="668">
          <cell r="A668" t="str">
            <v>D-T-ELC-Bus_u_S3</v>
          </cell>
          <cell r="B668" t="str">
            <v>VAR_fout</v>
          </cell>
          <cell r="C668" t="str">
            <v>T-ELC-Bus_u_BatSTGin_S3</v>
          </cell>
          <cell r="D668">
            <v>5.6444627614333871E-3</v>
          </cell>
          <cell r="E668">
            <v>1.1444303420283373E-2</v>
          </cell>
          <cell r="F668">
            <v>1.1530575279594772E-2</v>
          </cell>
          <cell r="G668">
            <v>0.42081346152433574</v>
          </cell>
        </row>
        <row r="669">
          <cell r="A669" t="str">
            <v>D-T-ELC-Bus_u_S3</v>
          </cell>
          <cell r="B669" t="str">
            <v>VAR_fin</v>
          </cell>
          <cell r="C669" t="str">
            <v>TELC</v>
          </cell>
          <cell r="D669">
            <v>5.6444627614333871E-3</v>
          </cell>
          <cell r="E669">
            <v>1.1444303420283373E-2</v>
          </cell>
          <cell r="F669">
            <v>1.1530575279594772E-2</v>
          </cell>
          <cell r="G669">
            <v>0.42081346152433574</v>
          </cell>
        </row>
        <row r="670">
          <cell r="A670" t="str">
            <v>D-T-ELC-Bus_u_S3</v>
          </cell>
          <cell r="B670" t="str">
            <v>VAR_ncap</v>
          </cell>
          <cell r="C670" t="str">
            <v>-</v>
          </cell>
          <cell r="D670">
            <v>5.9752932839295895E-4</v>
          </cell>
          <cell r="E670">
            <v>6.1264753031804796E-4</v>
          </cell>
          <cell r="F670">
            <v>5.8120277622066198E-5</v>
          </cell>
          <cell r="G670">
            <v>4.3789752780732299E-2</v>
          </cell>
        </row>
        <row r="671">
          <cell r="A671" t="str">
            <v>D-T-ELC-Bus_u_S3</v>
          </cell>
          <cell r="B671" t="str">
            <v>VAR_cap</v>
          </cell>
          <cell r="C671" t="str">
            <v>-</v>
          </cell>
          <cell r="D671">
            <v>5.9752932839295895E-4</v>
          </cell>
          <cell r="E671">
            <v>1.2101768587110099E-3</v>
          </cell>
          <cell r="F671">
            <v>1.2682971363330701E-3</v>
          </cell>
          <cell r="G671">
            <v>4.4479637948769898E-2</v>
          </cell>
        </row>
        <row r="672">
          <cell r="A672" t="str">
            <v>T-Plg-DSL-mix_S3</v>
          </cell>
          <cell r="B672" t="str">
            <v>VAR_fout</v>
          </cell>
          <cell r="C672" t="str">
            <v>CO2_T</v>
          </cell>
          <cell r="D672">
            <v>7.0608859312940196E-3</v>
          </cell>
          <cell r="E672">
            <v>10.19913176921318</v>
          </cell>
          <cell r="F672">
            <v>106.7955276701642</v>
          </cell>
          <cell r="G672">
            <v>338.2668380454179</v>
          </cell>
        </row>
        <row r="673">
          <cell r="A673" t="str">
            <v>T-Plg-DSL-mix_S3</v>
          </cell>
          <cell r="B673" t="str">
            <v>VAR_fout</v>
          </cell>
          <cell r="C673" t="str">
            <v>T-PEVmix-ELC_DSL_S3</v>
          </cell>
          <cell r="D673">
            <v>5.332586460191845E-5</v>
          </cell>
          <cell r="E673">
            <v>7.7026810102073379E-2</v>
          </cell>
          <cell r="F673">
            <v>0.8065508923447382</v>
          </cell>
          <cell r="G673">
            <v>2.5546895645180401</v>
          </cell>
        </row>
        <row r="674">
          <cell r="A674" t="str">
            <v>T-Plg-DSL-mix_S3</v>
          </cell>
          <cell r="B674" t="str">
            <v>VAR_fin</v>
          </cell>
          <cell r="C674" t="str">
            <v>TDSL</v>
          </cell>
          <cell r="D674">
            <v>9.6328593878499644E-5</v>
          </cell>
          <cell r="E674">
            <v>0.13914231608749211</v>
          </cell>
          <cell r="F674">
            <v>1.4569649068235202</v>
          </cell>
          <cell r="G674">
            <v>4.6148272584640999</v>
          </cell>
        </row>
        <row r="675">
          <cell r="A675" t="str">
            <v>D-T-ELC-Bus_u_S4</v>
          </cell>
          <cell r="B675" t="str">
            <v>VAR_fout</v>
          </cell>
          <cell r="C675" t="str">
            <v>T-ELC-Bus_u_BatSTGin_S4</v>
          </cell>
          <cell r="D675">
            <v>9.0474089483477934E-5</v>
          </cell>
          <cell r="E675">
            <v>1.0424621219399422E-4</v>
          </cell>
          <cell r="F675">
            <v>1.2490782830479466E-4</v>
          </cell>
          <cell r="G675">
            <v>8.3881121822228946E-5</v>
          </cell>
        </row>
        <row r="676">
          <cell r="A676" t="str">
            <v>D-T-ELC-Bus_u_S4</v>
          </cell>
          <cell r="B676" t="str">
            <v>VAR_fin</v>
          </cell>
          <cell r="C676" t="str">
            <v>TELC</v>
          </cell>
          <cell r="D676">
            <v>9.0474089483477934E-5</v>
          </cell>
          <cell r="E676">
            <v>1.0424621219399422E-4</v>
          </cell>
          <cell r="F676">
            <v>1.2490782830479466E-4</v>
          </cell>
          <cell r="G676">
            <v>8.3881121822228946E-5</v>
          </cell>
        </row>
        <row r="677">
          <cell r="A677" t="str">
            <v>D-T-ELC-Bus_u_S4</v>
          </cell>
          <cell r="B677" t="str">
            <v>VAR_ncap</v>
          </cell>
          <cell r="C677" t="str">
            <v>-</v>
          </cell>
          <cell r="D677">
            <v>2.51449219144062E-5</v>
          </cell>
          <cell r="E677">
            <v>1.9061882873374901E-5</v>
          </cell>
          <cell r="F677">
            <v>1.3586245959178101E-5</v>
          </cell>
          <cell r="G677">
            <v>1.66429344891469E-5</v>
          </cell>
        </row>
        <row r="678">
          <cell r="A678" t="str">
            <v>D-T-ELC-Bus_u_S4</v>
          </cell>
          <cell r="B678" t="str">
            <v>VAR_cap</v>
          </cell>
          <cell r="C678" t="str">
            <v>-</v>
          </cell>
          <cell r="D678">
            <v>2.51449219144062E-5</v>
          </cell>
          <cell r="E678">
            <v>4.4206804787781098E-5</v>
          </cell>
          <cell r="F678">
            <v>5.77930507469592E-5</v>
          </cell>
          <cell r="G678">
            <v>3.6234000981115002E-5</v>
          </cell>
        </row>
        <row r="679">
          <cell r="A679" t="str">
            <v>T_C-FC-H2O-S1</v>
          </cell>
          <cell r="B679" t="str">
            <v>VAR_fout</v>
          </cell>
          <cell r="C679" t="str">
            <v>TPCAR</v>
          </cell>
          <cell r="E679">
            <v>6.4203746166894931E-6</v>
          </cell>
          <cell r="F679">
            <v>8.4892245560427748E-6</v>
          </cell>
          <cell r="G679">
            <v>1.6524142332366539E-6</v>
          </cell>
        </row>
        <row r="680">
          <cell r="A680" t="str">
            <v>T_C-FC-H2O-S1</v>
          </cell>
          <cell r="B680" t="str">
            <v>VAR_fin</v>
          </cell>
          <cell r="C680" t="str">
            <v>TH2O</v>
          </cell>
          <cell r="E680">
            <v>5.8549628154083497E-6</v>
          </cell>
          <cell r="F680">
            <v>7.741618998068781E-6</v>
          </cell>
          <cell r="G680">
            <v>1.5068939849869208E-6</v>
          </cell>
        </row>
        <row r="681">
          <cell r="A681" t="str">
            <v>T_C-FC-H2O-S1</v>
          </cell>
          <cell r="B681" t="str">
            <v>VAR_ncap</v>
          </cell>
          <cell r="C681" t="str">
            <v>-</v>
          </cell>
          <cell r="E681">
            <v>7.8442126539215298E-7</v>
          </cell>
          <cell r="F681">
            <v>4.4699859529681401E-7</v>
          </cell>
          <cell r="G681">
            <v>1.6284337777524901E-7</v>
          </cell>
        </row>
        <row r="682">
          <cell r="A682" t="str">
            <v>T_C-FC-H2O-S1</v>
          </cell>
          <cell r="B682" t="str">
            <v>VAR_cap</v>
          </cell>
          <cell r="C682" t="str">
            <v>-</v>
          </cell>
          <cell r="E682">
            <v>7.7397814670271595E-7</v>
          </cell>
          <cell r="F682">
            <v>1.1707242929083199E-6</v>
          </cell>
          <cell r="G682">
            <v>4.0323175326443903E-7</v>
          </cell>
        </row>
        <row r="683">
          <cell r="A683" t="str">
            <v>T_B_c-ICEDSL-S1</v>
          </cell>
          <cell r="B683" t="str">
            <v>VAR_fout</v>
          </cell>
          <cell r="C683" t="str">
            <v>CO2_T</v>
          </cell>
          <cell r="D683">
            <v>8.3209627598675198</v>
          </cell>
          <cell r="E683">
            <v>22.55467058287914</v>
          </cell>
          <cell r="F683">
            <v>27.5987073253403</v>
          </cell>
        </row>
        <row r="684">
          <cell r="A684" t="str">
            <v>T_B_c-ICEDSL-S1</v>
          </cell>
          <cell r="B684" t="str">
            <v>VAR_fout</v>
          </cell>
          <cell r="C684" t="str">
            <v>TPBSc</v>
          </cell>
          <cell r="D684">
            <v>1.4067213886556389E-2</v>
          </cell>
          <cell r="E684">
            <v>3.8978808600841117E-2</v>
          </cell>
          <cell r="F684">
            <v>4.829750220295094E-2</v>
          </cell>
        </row>
        <row r="685">
          <cell r="A685" t="str">
            <v>T_B_c-ICEDSL-S1</v>
          </cell>
          <cell r="B685" t="str">
            <v>VAR_fin</v>
          </cell>
          <cell r="C685" t="str">
            <v>TDSL</v>
          </cell>
          <cell r="D685">
            <v>0.11351927366804251</v>
          </cell>
          <cell r="E685">
            <v>0.30770355501881519</v>
          </cell>
          <cell r="F685">
            <v>0.37651715314243267</v>
          </cell>
        </row>
        <row r="686">
          <cell r="A686" t="str">
            <v>T_B_c-ICEDSL-S1</v>
          </cell>
          <cell r="B686" t="str">
            <v>VAR_ncap</v>
          </cell>
          <cell r="C686" t="str">
            <v>-</v>
          </cell>
          <cell r="E686">
            <v>4.8837217163735401E-4</v>
          </cell>
          <cell r="F686">
            <v>2.0277800742680399E-4</v>
          </cell>
        </row>
        <row r="687">
          <cell r="A687" t="str">
            <v>T_B_c-ICEDSL-S1</v>
          </cell>
          <cell r="B687" t="str">
            <v>VAR_cap</v>
          </cell>
          <cell r="C687" t="str">
            <v>-</v>
          </cell>
          <cell r="D687">
            <v>3.05805288461538E-4</v>
          </cell>
          <cell r="E687">
            <v>8.4768556901466485E-4</v>
          </cell>
          <cell r="F687">
            <v>1.0505011406026191E-3</v>
          </cell>
          <cell r="G687">
            <v>-9.5280462903205021E-10</v>
          </cell>
        </row>
        <row r="688">
          <cell r="A688" t="str">
            <v>T-Plg-DSL-mix_S4</v>
          </cell>
          <cell r="B688" t="str">
            <v>VAR_fout</v>
          </cell>
          <cell r="C688" t="str">
            <v>CO2_T</v>
          </cell>
          <cell r="D688">
            <v>0.431242835782434</v>
          </cell>
          <cell r="E688">
            <v>1.1293938655738209</v>
          </cell>
          <cell r="F688">
            <v>1.253023164614403</v>
          </cell>
          <cell r="G688">
            <v>0.87586523651587345</v>
          </cell>
        </row>
        <row r="689">
          <cell r="A689" t="str">
            <v>T-Plg-DSL-mix_S4</v>
          </cell>
          <cell r="B689" t="str">
            <v>VAR_fout</v>
          </cell>
          <cell r="C689" t="str">
            <v>T-PEVmix-ELC_DSL_S4</v>
          </cell>
          <cell r="D689">
            <v>3.1004681573351461E-3</v>
          </cell>
          <cell r="E689">
            <v>8.1199023537353275E-3</v>
          </cell>
          <cell r="F689">
            <v>9.0087488995417644E-3</v>
          </cell>
          <cell r="G689">
            <v>6.2971301795824485E-3</v>
          </cell>
        </row>
        <row r="690">
          <cell r="A690" t="str">
            <v>T-Plg-DSL-mix_S4</v>
          </cell>
          <cell r="B690" t="str">
            <v>VAR_fin</v>
          </cell>
          <cell r="C690" t="str">
            <v>TDSL</v>
          </cell>
          <cell r="D690">
            <v>5.8832583326389421E-3</v>
          </cell>
          <cell r="E690">
            <v>1.5407828998278613E-2</v>
          </cell>
          <cell r="F690">
            <v>1.7094449721888175E-2</v>
          </cell>
          <cell r="G690">
            <v>1.1949048247146982E-2</v>
          </cell>
        </row>
        <row r="691">
          <cell r="A691" t="str">
            <v>T_C-FC-H2O-S2</v>
          </cell>
          <cell r="B691" t="str">
            <v>VAR_fout</v>
          </cell>
          <cell r="C691" t="str">
            <v>TPCAR</v>
          </cell>
          <cell r="D691">
            <v>1.2891377919137469E-5</v>
          </cell>
          <cell r="E691">
            <v>2.2365418969976199E-5</v>
          </cell>
          <cell r="F691">
            <v>2.7316508656266413E-5</v>
          </cell>
          <cell r="G691">
            <v>6.1456110266244802E-6</v>
          </cell>
        </row>
        <row r="692">
          <cell r="A692" t="str">
            <v>T_C-FC-H2O-S2</v>
          </cell>
          <cell r="B692" t="str">
            <v>VAR_fin</v>
          </cell>
          <cell r="C692" t="str">
            <v>TH2O</v>
          </cell>
          <cell r="D692">
            <v>1.4460400849233071E-5</v>
          </cell>
          <cell r="E692">
            <v>2.508753722802475E-5</v>
          </cell>
          <cell r="F692">
            <v>3.0641229157106756E-5</v>
          </cell>
          <cell r="G692">
            <v>6.8935996963156808E-6</v>
          </cell>
        </row>
        <row r="693">
          <cell r="A693" t="str">
            <v>T_C-FC-H2O-S2</v>
          </cell>
          <cell r="B693" t="str">
            <v>VAR_ncap</v>
          </cell>
          <cell r="C693" t="str">
            <v>-</v>
          </cell>
          <cell r="E693">
            <v>3.7401685092293702E-7</v>
          </cell>
          <cell r="F693">
            <v>3.2842977866207698E-7</v>
          </cell>
          <cell r="G693">
            <v>1.71138081952067E-7</v>
          </cell>
        </row>
        <row r="694">
          <cell r="A694" t="str">
            <v>T_C-FC-H2O-S2</v>
          </cell>
          <cell r="B694" t="str">
            <v>VAR_cap</v>
          </cell>
          <cell r="C694" t="str">
            <v>-</v>
          </cell>
          <cell r="D694">
            <v>1.2899879104720302E-6</v>
          </cell>
          <cell r="E694">
            <v>1.8058797267872429E-6</v>
          </cell>
          <cell r="F694">
            <v>2.2442052388497987E-6</v>
          </cell>
          <cell r="G694">
            <v>7.2175025532131865E-7</v>
          </cell>
        </row>
        <row r="695">
          <cell r="A695" t="str">
            <v>T_B_c-ICEDSL-S2</v>
          </cell>
          <cell r="B695" t="str">
            <v>VAR_fout</v>
          </cell>
          <cell r="C695" t="str">
            <v>CO2_T</v>
          </cell>
          <cell r="D695">
            <v>38.091279270627297</v>
          </cell>
          <cell r="E695">
            <v>28.91562055902406</v>
          </cell>
          <cell r="F695">
            <v>29.39735159226543</v>
          </cell>
        </row>
        <row r="696">
          <cell r="A696" t="str">
            <v>T_B_c-ICEDSL-S2</v>
          </cell>
          <cell r="B696" t="str">
            <v>VAR_fout</v>
          </cell>
          <cell r="C696" t="str">
            <v>TPBSc</v>
          </cell>
          <cell r="D696">
            <v>4.5452742524227041E-2</v>
          </cell>
          <cell r="E696">
            <v>3.4641788620793167E-2</v>
          </cell>
          <cell r="F696">
            <v>3.5218412856590074E-2</v>
          </cell>
        </row>
        <row r="697">
          <cell r="A697" t="str">
            <v>T_B_c-ICEDSL-S2</v>
          </cell>
          <cell r="B697" t="str">
            <v>VAR_fin</v>
          </cell>
          <cell r="C697" t="str">
            <v>TDSL</v>
          </cell>
          <cell r="D697">
            <v>0.51966274584757577</v>
          </cell>
          <cell r="E697">
            <v>0.39448322727181573</v>
          </cell>
          <cell r="F697">
            <v>0.401055274110033</v>
          </cell>
        </row>
        <row r="698">
          <cell r="A698" t="str">
            <v>T_B_c-ICEDSL-S2</v>
          </cell>
          <cell r="B698" t="str">
            <v>VAR_ncap</v>
          </cell>
          <cell r="C698" t="str">
            <v>-</v>
          </cell>
          <cell r="E698">
            <v>2.6544042009511599E-7</v>
          </cell>
          <cell r="F698">
            <v>3.84715289005288E-7</v>
          </cell>
        </row>
        <row r="699">
          <cell r="A699" t="str">
            <v>T_B_c-ICEDSL-S2</v>
          </cell>
          <cell r="B699" t="str">
            <v>VAR_cap</v>
          </cell>
          <cell r="C699" t="str">
            <v>-</v>
          </cell>
          <cell r="D699">
            <v>9.8784375000000001E-4</v>
          </cell>
          <cell r="E699">
            <v>7.6497523261002108E-4</v>
          </cell>
          <cell r="F699">
            <v>7.6540645436017432E-4</v>
          </cell>
          <cell r="G699">
            <v>-2.5799009756863681E-9</v>
          </cell>
        </row>
        <row r="700">
          <cell r="A700" t="str">
            <v>T_TW-FCLH2O-S1</v>
          </cell>
          <cell r="B700" t="str">
            <v>VAR_fout</v>
          </cell>
          <cell r="C700" t="str">
            <v>TPTWL</v>
          </cell>
          <cell r="G700">
            <v>9.8370603252774559E-3</v>
          </cell>
        </row>
        <row r="701">
          <cell r="A701" t="str">
            <v>T_TW-FCLH2O-S1</v>
          </cell>
          <cell r="B701" t="str">
            <v>VAR_fin</v>
          </cell>
          <cell r="C701" t="str">
            <v>TH2O</v>
          </cell>
          <cell r="G701">
            <v>2.1204591981499737E-3</v>
          </cell>
        </row>
        <row r="702">
          <cell r="A702" t="str">
            <v>T_TW-FCLH2O-S1</v>
          </cell>
          <cell r="B702" t="str">
            <v>VAR_ncap</v>
          </cell>
          <cell r="C702" t="str">
            <v>-</v>
          </cell>
          <cell r="G702">
            <v>3.38561690068664E-3</v>
          </cell>
        </row>
        <row r="703">
          <cell r="A703" t="str">
            <v>T_TW-FCLH2O-S1</v>
          </cell>
          <cell r="B703" t="str">
            <v>VAR_cap</v>
          </cell>
          <cell r="C703" t="str">
            <v>-</v>
          </cell>
          <cell r="G703">
            <v>3.38561690068664E-3</v>
          </cell>
        </row>
        <row r="704">
          <cell r="A704" t="str">
            <v>D-T-ELC-TW_Bat_S1</v>
          </cell>
          <cell r="B704" t="str">
            <v>VAR_fout</v>
          </cell>
          <cell r="C704" t="str">
            <v>T-ELC-TWSTGin_S1</v>
          </cell>
          <cell r="D704">
            <v>1.5647808500232462E-3</v>
          </cell>
          <cell r="E704">
            <v>2.1307162447503744E-3</v>
          </cell>
          <cell r="F704">
            <v>2.1494982211914229E-3</v>
          </cell>
          <cell r="G704">
            <v>1.7939258433720244E-3</v>
          </cell>
        </row>
        <row r="705">
          <cell r="A705" t="str">
            <v>D-T-ELC-TW_Bat_S1</v>
          </cell>
          <cell r="B705" t="str">
            <v>VAR_fin</v>
          </cell>
          <cell r="C705" t="str">
            <v>TELC</v>
          </cell>
          <cell r="D705">
            <v>1.5647808500232462E-3</v>
          </cell>
          <cell r="E705">
            <v>2.1307162447503744E-3</v>
          </cell>
          <cell r="F705">
            <v>2.1494982211914229E-3</v>
          </cell>
          <cell r="G705">
            <v>1.7939258433720244E-3</v>
          </cell>
        </row>
        <row r="706">
          <cell r="A706" t="str">
            <v>D-T-ELC-TW_Bat_S1</v>
          </cell>
          <cell r="B706" t="str">
            <v>VAR_ncap</v>
          </cell>
          <cell r="C706" t="str">
            <v>-</v>
          </cell>
          <cell r="D706">
            <v>1.7011531552752301E-4</v>
          </cell>
          <cell r="E706">
            <v>5.5929142133538303E-5</v>
          </cell>
          <cell r="F706">
            <v>2.1846422419592801E-6</v>
          </cell>
          <cell r="G706">
            <v>1.4487540831887E-5</v>
          </cell>
        </row>
        <row r="707">
          <cell r="A707" t="str">
            <v>D-T-ELC-TW_Bat_S1</v>
          </cell>
          <cell r="B707" t="str">
            <v>VAR_cap</v>
          </cell>
          <cell r="C707" t="str">
            <v>-</v>
          </cell>
          <cell r="D707">
            <v>1.7011531552752301E-4</v>
          </cell>
          <cell r="E707">
            <v>2.2604445766106099E-4</v>
          </cell>
          <cell r="F707">
            <v>2.2822909990302001E-4</v>
          </cell>
          <cell r="G707">
            <v>1.8966379405944801E-4</v>
          </cell>
        </row>
        <row r="708">
          <cell r="A708" t="str">
            <v>T_C-FC-H2O-S3</v>
          </cell>
          <cell r="B708" t="str">
            <v>VAR_fout</v>
          </cell>
          <cell r="C708" t="str">
            <v>TPCAR</v>
          </cell>
          <cell r="D708">
            <v>3.3124026219196097E-4</v>
          </cell>
          <cell r="E708">
            <v>1.2567239117936015E-3</v>
          </cell>
          <cell r="F708">
            <v>1.1791125480666495E-3</v>
          </cell>
          <cell r="G708">
            <v>1.7643110596870627E-5</v>
          </cell>
        </row>
        <row r="709">
          <cell r="A709" t="str">
            <v>T_C-FC-H2O-S3</v>
          </cell>
          <cell r="B709" t="str">
            <v>VAR_fin</v>
          </cell>
          <cell r="C709" t="str">
            <v>TH2O</v>
          </cell>
          <cell r="D709">
            <v>3.9908221424280263E-4</v>
          </cell>
          <cell r="E709">
            <v>1.5141159413761605E-3</v>
          </cell>
          <cell r="F709">
            <v>1.4206088457061126E-3</v>
          </cell>
          <cell r="G709">
            <v>2.1256629844862746E-5</v>
          </cell>
        </row>
        <row r="710">
          <cell r="A710" t="str">
            <v>T_C-FC-H2O-S3</v>
          </cell>
          <cell r="B710" t="str">
            <v>VAR_ncap</v>
          </cell>
          <cell r="C710" t="str">
            <v>-</v>
          </cell>
          <cell r="E710">
            <v>3.4213048855635202E-7</v>
          </cell>
          <cell r="F710">
            <v>2.5914254864433299E-7</v>
          </cell>
          <cell r="G710">
            <v>1.5931161361487799E-7</v>
          </cell>
        </row>
        <row r="711">
          <cell r="A711" t="str">
            <v>T_C-FC-H2O-S3</v>
          </cell>
          <cell r="B711" t="str">
            <v>VAR_cap</v>
          </cell>
          <cell r="C711" t="str">
            <v>-</v>
          </cell>
          <cell r="D711">
            <v>3.2117189885621703E-5</v>
          </cell>
          <cell r="E711">
            <v>8.6998269507163652E-5</v>
          </cell>
          <cell r="F711">
            <v>8.2193826842482588E-5</v>
          </cell>
          <cell r="G711">
            <v>1.3720600312928027E-6</v>
          </cell>
        </row>
        <row r="712">
          <cell r="A712" t="str">
            <v>T_B_c-ICEDSL-S3</v>
          </cell>
          <cell r="B712" t="str">
            <v>VAR_fout</v>
          </cell>
          <cell r="C712" t="str">
            <v>CO2_T</v>
          </cell>
          <cell r="D712">
            <v>11.303542788914552</v>
          </cell>
          <cell r="E712">
            <v>9.2949088291296409</v>
          </cell>
          <cell r="F712">
            <v>11.135932551061357</v>
          </cell>
        </row>
        <row r="713">
          <cell r="A713" t="str">
            <v>T_B_c-ICEDSL-S3</v>
          </cell>
          <cell r="B713" t="str">
            <v>VAR_fout</v>
          </cell>
          <cell r="C713" t="str">
            <v>TPBSc</v>
          </cell>
          <cell r="D713">
            <v>8.9363570149161315E-3</v>
          </cell>
          <cell r="E713">
            <v>7.3777366332127168E-3</v>
          </cell>
          <cell r="F713">
            <v>8.833905145203793E-3</v>
          </cell>
        </row>
        <row r="714">
          <cell r="A714" t="str">
            <v>T_B_c-ICEDSL-S3</v>
          </cell>
          <cell r="B714" t="str">
            <v>VAR_fin</v>
          </cell>
          <cell r="C714" t="str">
            <v>TDSL</v>
          </cell>
          <cell r="D714">
            <v>0.1542093149920131</v>
          </cell>
          <cell r="E714">
            <v>0.12680639603178218</v>
          </cell>
          <cell r="F714">
            <v>0.15192268146059132</v>
          </cell>
        </row>
        <row r="715">
          <cell r="A715" t="str">
            <v>T_B_c-ICEDSL-S3</v>
          </cell>
          <cell r="B715" t="str">
            <v>VAR_ncap</v>
          </cell>
          <cell r="C715" t="str">
            <v>-</v>
          </cell>
          <cell r="E715">
            <v>1.13588232456042E-7</v>
          </cell>
          <cell r="F715">
            <v>1.2076127645651399E-7</v>
          </cell>
        </row>
        <row r="716">
          <cell r="A716" t="str">
            <v>T_B_c-ICEDSL-S3</v>
          </cell>
          <cell r="B716" t="str">
            <v>VAR_cap</v>
          </cell>
          <cell r="C716" t="str">
            <v>-</v>
          </cell>
          <cell r="D716">
            <v>1.944145133939648E-4</v>
          </cell>
          <cell r="E716">
            <v>1.9188004626563695E-4</v>
          </cell>
          <cell r="F716">
            <v>1.9204307620599703E-4</v>
          </cell>
          <cell r="G716">
            <v>-2.8814450386805378E-9</v>
          </cell>
        </row>
        <row r="717">
          <cell r="A717" t="str">
            <v>T_TW-FCLH2O-S2</v>
          </cell>
          <cell r="B717" t="str">
            <v>VAR_fout</v>
          </cell>
          <cell r="C717" t="str">
            <v>TPTWL</v>
          </cell>
          <cell r="G717">
            <v>1.5896960741155905E-4</v>
          </cell>
        </row>
        <row r="718">
          <cell r="A718" t="str">
            <v>T_TW-FCLH2O-S2</v>
          </cell>
          <cell r="B718" t="str">
            <v>VAR_fin</v>
          </cell>
          <cell r="C718" t="str">
            <v>TH2O</v>
          </cell>
          <cell r="G718">
            <v>5.8858299581390651E-5</v>
          </cell>
        </row>
        <row r="719">
          <cell r="A719" t="str">
            <v>T_TW-FCLH2O-S2</v>
          </cell>
          <cell r="B719" t="str">
            <v>VAR_ncap</v>
          </cell>
          <cell r="C719" t="str">
            <v>-</v>
          </cell>
          <cell r="G719">
            <v>5.48495231906999E-5</v>
          </cell>
        </row>
        <row r="720">
          <cell r="A720" t="str">
            <v>T_TW-FCLH2O-S2</v>
          </cell>
          <cell r="B720" t="str">
            <v>VAR_cap</v>
          </cell>
          <cell r="C720" t="str">
            <v>-</v>
          </cell>
          <cell r="G720">
            <v>5.48495231906999E-5</v>
          </cell>
        </row>
        <row r="721">
          <cell r="A721" t="str">
            <v>D-T-ELC-TW_Bat_S2</v>
          </cell>
          <cell r="B721" t="str">
            <v>VAR_fout</v>
          </cell>
          <cell r="C721" t="str">
            <v>T-ELC-TWSTGin_S2</v>
          </cell>
          <cell r="D721">
            <v>3.608451138846729E-4</v>
          </cell>
          <cell r="E721">
            <v>4.3851014634761607E-4</v>
          </cell>
          <cell r="F721">
            <v>4.4775742694991516E-4</v>
          </cell>
          <cell r="G721">
            <v>8.6110198675675787E-4</v>
          </cell>
        </row>
        <row r="722">
          <cell r="A722" t="str">
            <v>D-T-ELC-TW_Bat_S2</v>
          </cell>
          <cell r="B722" t="str">
            <v>VAR_fin</v>
          </cell>
          <cell r="C722" t="str">
            <v>TELC</v>
          </cell>
          <cell r="D722">
            <v>3.608451138846729E-4</v>
          </cell>
          <cell r="E722">
            <v>4.3851014634761607E-4</v>
          </cell>
          <cell r="F722">
            <v>4.4775742694991516E-4</v>
          </cell>
          <cell r="G722">
            <v>8.6110198675675787E-4</v>
          </cell>
        </row>
        <row r="723">
          <cell r="A723" t="str">
            <v>D-T-ELC-TW_Bat_S2</v>
          </cell>
          <cell r="B723" t="str">
            <v>VAR_ncap</v>
          </cell>
          <cell r="C723" t="str">
            <v>-</v>
          </cell>
          <cell r="D723">
            <v>5.1940744889726399E-5</v>
          </cell>
          <cell r="E723">
            <v>3.5956298442621798E-7</v>
          </cell>
          <cell r="F723">
            <v>2.7436717727948301E-6</v>
          </cell>
          <cell r="G723">
            <v>3.6043559623689898E-5</v>
          </cell>
        </row>
        <row r="724">
          <cell r="A724" t="str">
            <v>D-T-ELC-TW_Bat_S2</v>
          </cell>
          <cell r="B724" t="str">
            <v>VAR_cap</v>
          </cell>
          <cell r="C724" t="str">
            <v>-</v>
          </cell>
          <cell r="D724">
            <v>5.1940744889726399E-5</v>
          </cell>
          <cell r="E724">
            <v>5.2300307874152602E-5</v>
          </cell>
          <cell r="F724">
            <v>5.50439796469474E-5</v>
          </cell>
          <cell r="G724">
            <v>9.1087539270637304E-5</v>
          </cell>
        </row>
        <row r="725">
          <cell r="A725" t="str">
            <v>T_C-FC-H2O-S4</v>
          </cell>
          <cell r="B725" t="str">
            <v>VAR_fout</v>
          </cell>
          <cell r="C725" t="str">
            <v>TPCAR</v>
          </cell>
          <cell r="E725">
            <v>4.4490081632791992E-6</v>
          </cell>
          <cell r="F725">
            <v>7.704248554031638E-6</v>
          </cell>
          <cell r="G725">
            <v>4.3980802425809083E-6</v>
          </cell>
        </row>
        <row r="726">
          <cell r="A726" t="str">
            <v>T_C-FC-H2O-S4</v>
          </cell>
          <cell r="B726" t="str">
            <v>VAR_fin</v>
          </cell>
          <cell r="C726" t="str">
            <v>TH2O</v>
          </cell>
          <cell r="E726">
            <v>5.3169921293364752E-6</v>
          </cell>
          <cell r="F726">
            <v>9.2073170965021441E-6</v>
          </cell>
          <cell r="G726">
            <v>5.2561283719374131E-6</v>
          </cell>
        </row>
        <row r="727">
          <cell r="A727" t="str">
            <v>T_C-FC-H2O-S4</v>
          </cell>
          <cell r="B727" t="str">
            <v>VAR_ncap</v>
          </cell>
          <cell r="C727" t="str">
            <v>-</v>
          </cell>
          <cell r="E727">
            <v>3.9544992673156601E-7</v>
          </cell>
          <cell r="F727">
            <v>3.1487724906241801E-7</v>
          </cell>
          <cell r="G727">
            <v>1.6102370325341101E-7</v>
          </cell>
        </row>
        <row r="728">
          <cell r="A728" t="str">
            <v>T_C-FC-H2O-S4</v>
          </cell>
          <cell r="B728" t="str">
            <v>VAR_cap</v>
          </cell>
          <cell r="C728" t="str">
            <v>-</v>
          </cell>
          <cell r="E728">
            <v>3.9018524217648501E-7</v>
          </cell>
          <cell r="F728">
            <v>6.7853679374323605E-7</v>
          </cell>
          <cell r="G728">
            <v>5.2620491148647502E-7</v>
          </cell>
        </row>
        <row r="729">
          <cell r="A729" t="str">
            <v>T_B_c-ICEDSL-S4</v>
          </cell>
          <cell r="B729" t="str">
            <v>VAR_fout</v>
          </cell>
          <cell r="C729" t="str">
            <v>CO2_T</v>
          </cell>
          <cell r="D729">
            <v>0.91917321630004423</v>
          </cell>
          <cell r="F729">
            <v>1.2662791913329609E-3</v>
          </cell>
        </row>
        <row r="730">
          <cell r="A730" t="str">
            <v>T_B_c-ICEDSL-S4</v>
          </cell>
          <cell r="B730" t="str">
            <v>VAR_fout</v>
          </cell>
          <cell r="C730" t="str">
            <v>TPBSc</v>
          </cell>
          <cell r="D730">
            <v>4.8462224551213502E-4</v>
          </cell>
          <cell r="F730">
            <v>6.7136448103432098E-7</v>
          </cell>
        </row>
        <row r="731">
          <cell r="A731" t="str">
            <v>T_B_c-ICEDSL-S4</v>
          </cell>
          <cell r="B731" t="str">
            <v>VAR_fin</v>
          </cell>
          <cell r="C731" t="str">
            <v>TDSL</v>
          </cell>
          <cell r="D731">
            <v>1.2539880167804156E-2</v>
          </cell>
          <cell r="F731">
            <v>1.727529592541557E-5</v>
          </cell>
        </row>
        <row r="732">
          <cell r="A732" t="str">
            <v>T_B_c-ICEDSL-S4</v>
          </cell>
          <cell r="B732" t="str">
            <v>VAR_cap</v>
          </cell>
          <cell r="C732" t="str">
            <v>-</v>
          </cell>
          <cell r="D732">
            <v>1.0717708677914802E-5</v>
          </cell>
          <cell r="E732">
            <v>4.6535919780300156E-8</v>
          </cell>
          <cell r="F732">
            <v>6.1708380493801667E-8</v>
          </cell>
          <cell r="G732">
            <v>-9.6746777296299772E-9</v>
          </cell>
        </row>
        <row r="733">
          <cell r="A733" t="str">
            <v>D-T-ELC-HGV</v>
          </cell>
          <cell r="B733" t="str">
            <v>VAR_fout</v>
          </cell>
          <cell r="C733" t="str">
            <v>T-ELC-HGV_BatSTGin</v>
          </cell>
          <cell r="D733">
            <v>1.0232390664775772E-2</v>
          </cell>
          <cell r="E733">
            <v>2.4764707508120848E-2</v>
          </cell>
          <cell r="F733">
            <v>2.3703339952059994E-2</v>
          </cell>
          <cell r="G733">
            <v>6.2813693268329055E-3</v>
          </cell>
        </row>
        <row r="734">
          <cell r="A734" t="str">
            <v>D-T-ELC-HGV</v>
          </cell>
          <cell r="B734" t="str">
            <v>VAR_fin</v>
          </cell>
          <cell r="C734" t="str">
            <v>TELC</v>
          </cell>
          <cell r="D734">
            <v>1.0232390664775772E-2</v>
          </cell>
          <cell r="E734">
            <v>2.4764707508120848E-2</v>
          </cell>
          <cell r="F734">
            <v>2.3703339952059994E-2</v>
          </cell>
          <cell r="G734">
            <v>6.2813693268329055E-3</v>
          </cell>
        </row>
        <row r="735">
          <cell r="A735" t="str">
            <v>D-T-ELC-HGV</v>
          </cell>
          <cell r="B735" t="str">
            <v>VAR_ncap</v>
          </cell>
          <cell r="C735" t="str">
            <v>-</v>
          </cell>
          <cell r="D735">
            <v>1.35179866068797E-3</v>
          </cell>
          <cell r="E735">
            <v>1.79267820265183E-3</v>
          </cell>
          <cell r="F735">
            <v>2.6829268986850101E-5</v>
          </cell>
          <cell r="G735">
            <v>3.75159686202148E-5</v>
          </cell>
        </row>
        <row r="736">
          <cell r="A736" t="str">
            <v>D-T-ELC-HGV</v>
          </cell>
          <cell r="B736" t="str">
            <v>VAR_cap</v>
          </cell>
          <cell r="C736" t="str">
            <v>-</v>
          </cell>
          <cell r="D736">
            <v>1.35179866068797E-3</v>
          </cell>
          <cell r="E736">
            <v>3.1444768633398E-3</v>
          </cell>
          <cell r="F736">
            <v>3.1713061323266501E-3</v>
          </cell>
          <cell r="G736">
            <v>8.0904251765363398E-4</v>
          </cell>
        </row>
        <row r="737">
          <cell r="A737" t="str">
            <v>T_TW-FCLH2O-S3</v>
          </cell>
          <cell r="B737" t="str">
            <v>VAR_fout</v>
          </cell>
          <cell r="C737" t="str">
            <v>TPTWL</v>
          </cell>
          <cell r="G737">
            <v>3.9939527050705452E-5</v>
          </cell>
        </row>
        <row r="738">
          <cell r="A738" t="str">
            <v>T_TW-FCLH2O-S3</v>
          </cell>
          <cell r="B738" t="str">
            <v>VAR_fin</v>
          </cell>
          <cell r="C738" t="str">
            <v>TH2O</v>
          </cell>
          <cell r="G738">
            <v>2.268455415878167E-5</v>
          </cell>
        </row>
        <row r="739">
          <cell r="A739" t="str">
            <v>T_TW-FCLH2O-S3</v>
          </cell>
          <cell r="B739" t="str">
            <v>VAR_ncap</v>
          </cell>
          <cell r="C739" t="str">
            <v>-</v>
          </cell>
          <cell r="G739">
            <v>1.3901361411343901E-5</v>
          </cell>
        </row>
        <row r="740">
          <cell r="A740" t="str">
            <v>T_TW-FCLH2O-S3</v>
          </cell>
          <cell r="B740" t="str">
            <v>VAR_cap</v>
          </cell>
          <cell r="C740" t="str">
            <v>-</v>
          </cell>
          <cell r="G740">
            <v>1.3901361411343901E-5</v>
          </cell>
        </row>
        <row r="741">
          <cell r="A741" t="str">
            <v>D-T-ELC-TW_Bat_S3</v>
          </cell>
          <cell r="B741" t="str">
            <v>VAR_fout</v>
          </cell>
          <cell r="C741" t="str">
            <v>T-ELC-TWSTGin_S3</v>
          </cell>
          <cell r="D741">
            <v>7.8573946970924766E-5</v>
          </cell>
          <cell r="E741">
            <v>1.3251820405627102E-4</v>
          </cell>
          <cell r="F741">
            <v>1.3919561547347676E-4</v>
          </cell>
          <cell r="G741">
            <v>7.6062897499875888E-4</v>
          </cell>
        </row>
        <row r="742">
          <cell r="A742" t="str">
            <v>D-T-ELC-TW_Bat_S3</v>
          </cell>
          <cell r="B742" t="str">
            <v>VAR_fin</v>
          </cell>
          <cell r="C742" t="str">
            <v>TELC</v>
          </cell>
          <cell r="D742">
            <v>7.8573946970924766E-5</v>
          </cell>
          <cell r="E742">
            <v>1.3251820405627102E-4</v>
          </cell>
          <cell r="F742">
            <v>1.3919561547347676E-4</v>
          </cell>
          <cell r="G742">
            <v>7.6062897499875888E-4</v>
          </cell>
        </row>
        <row r="743">
          <cell r="A743" t="str">
            <v>D-T-ELC-TW_Bat_S3</v>
          </cell>
          <cell r="B743" t="str">
            <v>VAR_ncap</v>
          </cell>
          <cell r="C743" t="str">
            <v>-</v>
          </cell>
          <cell r="D743">
            <v>4.0341129688280702E-5</v>
          </cell>
          <cell r="E743">
            <v>2.6396838528057799E-7</v>
          </cell>
          <cell r="F743">
            <v>1.24381253264895E-6</v>
          </cell>
          <cell r="G743">
            <v>3.86549770342974E-5</v>
          </cell>
        </row>
        <row r="744">
          <cell r="A744" t="str">
            <v>D-T-ELC-TW_Bat_S3</v>
          </cell>
          <cell r="B744" t="str">
            <v>VAR_cap</v>
          </cell>
          <cell r="C744" t="str">
            <v>-</v>
          </cell>
          <cell r="D744">
            <v>4.0341129688280702E-5</v>
          </cell>
          <cell r="E744">
            <v>4.0605098073561298E-5</v>
          </cell>
          <cell r="F744">
            <v>4.1848910606210299E-5</v>
          </cell>
          <cell r="G744">
            <v>8.0503887640507698E-5</v>
          </cell>
        </row>
        <row r="745">
          <cell r="A745" t="str">
            <v>T_TW-FCLH2O-S4</v>
          </cell>
          <cell r="B745" t="str">
            <v>VAR_fout</v>
          </cell>
          <cell r="C745" t="str">
            <v>TPTWL</v>
          </cell>
          <cell r="G745">
            <v>1.3176267612446265E-5</v>
          </cell>
        </row>
        <row r="746">
          <cell r="A746" t="str">
            <v>T_TW-FCLH2O-S4</v>
          </cell>
          <cell r="B746" t="str">
            <v>VAR_fin</v>
          </cell>
          <cell r="C746" t="str">
            <v>TH2O</v>
          </cell>
          <cell r="G746">
            <v>8.4352882581774254E-6</v>
          </cell>
        </row>
        <row r="747">
          <cell r="A747" t="str">
            <v>T_TW-FCLH2O-S4</v>
          </cell>
          <cell r="B747" t="str">
            <v>VAR_ncap</v>
          </cell>
          <cell r="C747" t="str">
            <v>-</v>
          </cell>
          <cell r="G747">
            <v>4.64707544015912E-6</v>
          </cell>
        </row>
        <row r="748">
          <cell r="A748" t="str">
            <v>T_TW-FCLH2O-S4</v>
          </cell>
          <cell r="B748" t="str">
            <v>VAR_cap</v>
          </cell>
          <cell r="C748" t="str">
            <v>-</v>
          </cell>
          <cell r="G748">
            <v>4.64707544015912E-6</v>
          </cell>
        </row>
        <row r="749">
          <cell r="A749" t="str">
            <v>D-T-ELC-TW_Bat_S4</v>
          </cell>
          <cell r="B749" t="str">
            <v>VAR_fout</v>
          </cell>
          <cell r="C749" t="str">
            <v>T-ELC-TWSTGin_S4</v>
          </cell>
          <cell r="D749">
            <v>2.2079830310913801E-5</v>
          </cell>
          <cell r="E749">
            <v>4.7191306034798749E-5</v>
          </cell>
          <cell r="F749">
            <v>5.7584394716942802E-5</v>
          </cell>
          <cell r="G749">
            <v>7.4242626461734358E-4</v>
          </cell>
        </row>
        <row r="750">
          <cell r="A750" t="str">
            <v>D-T-ELC-TW_Bat_S4</v>
          </cell>
          <cell r="B750" t="str">
            <v>VAR_fin</v>
          </cell>
          <cell r="C750" t="str">
            <v>TELC</v>
          </cell>
          <cell r="D750">
            <v>2.2079830310913801E-5</v>
          </cell>
          <cell r="E750">
            <v>4.7191306034798749E-5</v>
          </cell>
          <cell r="F750">
            <v>5.7584394716942802E-5</v>
          </cell>
          <cell r="G750">
            <v>7.4242626461734358E-4</v>
          </cell>
        </row>
        <row r="751">
          <cell r="A751" t="str">
            <v>D-T-ELC-TW_Bat_S4</v>
          </cell>
          <cell r="B751" t="str">
            <v>VAR_ncap</v>
          </cell>
          <cell r="C751" t="str">
            <v>-</v>
          </cell>
          <cell r="D751">
            <v>4.1985863665132797E-5</v>
          </cell>
          <cell r="E751">
            <v>2.6998672730625502E-7</v>
          </cell>
          <cell r="F751">
            <v>6.8945344758267495E-7</v>
          </cell>
          <cell r="G751">
            <v>3.5635825182010897E-5</v>
          </cell>
        </row>
        <row r="752">
          <cell r="A752" t="str">
            <v>D-T-ELC-TW_Bat_S4</v>
          </cell>
          <cell r="B752" t="str">
            <v>VAR_cap</v>
          </cell>
          <cell r="C752" t="str">
            <v>-</v>
          </cell>
          <cell r="D752">
            <v>4.1985863665132797E-5</v>
          </cell>
          <cell r="E752">
            <v>4.2255850392439099E-5</v>
          </cell>
          <cell r="F752">
            <v>4.2945303840021803E-5</v>
          </cell>
          <cell r="G752">
            <v>7.8581129022032694E-5</v>
          </cell>
        </row>
        <row r="753">
          <cell r="A753" t="str">
            <v>T_B_u-ICENGA-S1</v>
          </cell>
          <cell r="B753" t="str">
            <v>VAR_fout</v>
          </cell>
          <cell r="C753" t="str">
            <v>CO2_T</v>
          </cell>
          <cell r="E753">
            <v>3.1483625821722501E-3</v>
          </cell>
          <cell r="F753">
            <v>1.9679800203094878E-2</v>
          </cell>
        </row>
        <row r="754">
          <cell r="A754" t="str">
            <v>T_B_u-ICENGA-S1</v>
          </cell>
          <cell r="B754" t="str">
            <v>VAR_fout</v>
          </cell>
          <cell r="C754" t="str">
            <v>TPBSu</v>
          </cell>
          <cell r="E754">
            <v>6.7119026267604095E-6</v>
          </cell>
          <cell r="F754">
            <v>4.3801010248246218E-5</v>
          </cell>
        </row>
        <row r="755">
          <cell r="A755" t="str">
            <v>T_B_u-ICENGA-S1</v>
          </cell>
          <cell r="B755" t="str">
            <v>VAR_fin</v>
          </cell>
          <cell r="C755" t="str">
            <v>TNGA</v>
          </cell>
          <cell r="E755">
            <v>5.5822031598798761E-5</v>
          </cell>
          <cell r="F755">
            <v>3.4893262771444855E-4</v>
          </cell>
        </row>
        <row r="756">
          <cell r="A756" t="str">
            <v>T_B_u-ICENGA-S1</v>
          </cell>
          <cell r="B756" t="str">
            <v>VAR_ncap</v>
          </cell>
          <cell r="C756" t="str">
            <v>-</v>
          </cell>
          <cell r="E756">
            <v>1.72325609787325E-7</v>
          </cell>
          <cell r="F756">
            <v>7.0113339067213795E-7</v>
          </cell>
          <cell r="G756">
            <v>1.05482540284045E-8</v>
          </cell>
        </row>
        <row r="757">
          <cell r="A757" t="str">
            <v>T_B_u-ICENGA-S1</v>
          </cell>
          <cell r="B757" t="str">
            <v>VAR_cap</v>
          </cell>
          <cell r="C757" t="str">
            <v>-</v>
          </cell>
          <cell r="E757">
            <v>1.72325609787325E-7</v>
          </cell>
          <cell r="F757">
            <v>8.7345900045946298E-7</v>
          </cell>
          <cell r="G757">
            <v>2.4443673482875016E-8</v>
          </cell>
        </row>
        <row r="758">
          <cell r="A758" t="str">
            <v>T_B_u-ICENGA-S2</v>
          </cell>
          <cell r="B758" t="str">
            <v>VAR_fout</v>
          </cell>
          <cell r="C758" t="str">
            <v>CO2_T</v>
          </cell>
          <cell r="E758">
            <v>1.64221800001333E-3</v>
          </cell>
          <cell r="F758">
            <v>1.0803042627409354</v>
          </cell>
        </row>
        <row r="759">
          <cell r="A759" t="str">
            <v>T_B_u-ICENGA-S2</v>
          </cell>
          <cell r="B759" t="str">
            <v>VAR_fout</v>
          </cell>
          <cell r="C759" t="str">
            <v>TPBSu</v>
          </cell>
          <cell r="E759">
            <v>2.4749179212293925E-6</v>
          </cell>
          <cell r="F759">
            <v>1.7126554728049922E-3</v>
          </cell>
        </row>
        <row r="760">
          <cell r="A760" t="str">
            <v>T_B_u-ICENGA-S2</v>
          </cell>
          <cell r="B760" t="str">
            <v>VAR_fin</v>
          </cell>
          <cell r="C760" t="str">
            <v>TNGA</v>
          </cell>
          <cell r="E760">
            <v>2.9117340425768286E-5</v>
          </cell>
          <cell r="F760">
            <v>1.9154330899662019E-2</v>
          </cell>
        </row>
        <row r="761">
          <cell r="A761" t="str">
            <v>T_B_u-ICENGA-S2</v>
          </cell>
          <cell r="B761" t="str">
            <v>VAR_ncap</v>
          </cell>
          <cell r="C761" t="str">
            <v>-</v>
          </cell>
          <cell r="E761">
            <v>7.7311389224089996E-8</v>
          </cell>
          <cell r="F761">
            <v>3.2237443144942098E-5</v>
          </cell>
        </row>
        <row r="762">
          <cell r="A762" t="str">
            <v>T_B_u-ICENGA-S2</v>
          </cell>
          <cell r="B762" t="str">
            <v>VAR_cap</v>
          </cell>
          <cell r="C762" t="str">
            <v>-</v>
          </cell>
          <cell r="E762">
            <v>7.7311389224089996E-8</v>
          </cell>
          <cell r="F762">
            <v>3.2314754534166202E-5</v>
          </cell>
          <cell r="G762">
            <v>9.6225926898995296E-9</v>
          </cell>
        </row>
        <row r="763">
          <cell r="A763" t="str">
            <v>T_B_c-ICEDSLEXT</v>
          </cell>
          <cell r="B763" t="str">
            <v>VAR_fout</v>
          </cell>
          <cell r="C763" t="str">
            <v>CO2_T</v>
          </cell>
          <cell r="D763">
            <v>0.44188211992259602</v>
          </cell>
          <cell r="E763">
            <v>0.44077338426422502</v>
          </cell>
          <cell r="F763">
            <v>0.43756334585825601</v>
          </cell>
        </row>
        <row r="764">
          <cell r="A764" t="str">
            <v>T_B_c-ICEDSLEXT</v>
          </cell>
          <cell r="B764" t="str">
            <v>VAR_fout</v>
          </cell>
          <cell r="C764" t="str">
            <v>TPBSc</v>
          </cell>
          <cell r="D764">
            <v>5.9984138941911694E-2</v>
          </cell>
          <cell r="E764">
            <v>4.7984326351336815E-2</v>
          </cell>
          <cell r="F764">
            <v>2.9990354358693731E-2</v>
          </cell>
        </row>
        <row r="765">
          <cell r="A765" t="str">
            <v>T_B_c-ICEDSLEXT</v>
          </cell>
          <cell r="B765" t="str">
            <v>VAR_fin</v>
          </cell>
          <cell r="C765" t="str">
            <v>TDSL</v>
          </cell>
          <cell r="D765">
            <v>6.0284054559699256E-3</v>
          </cell>
          <cell r="E765">
            <v>6.0132794579021058E-3</v>
          </cell>
          <cell r="F765">
            <v>5.9694863009311832E-3</v>
          </cell>
        </row>
        <row r="766">
          <cell r="A766" t="str">
            <v>T_B_c-ICEDSLEXT</v>
          </cell>
          <cell r="B766" t="str">
            <v>VAR_cap</v>
          </cell>
          <cell r="C766" t="str">
            <v>-</v>
          </cell>
          <cell r="D766">
            <v>1.30332047521267E-3</v>
          </cell>
          <cell r="E766">
            <v>1.04265638017014E-3</v>
          </cell>
          <cell r="F766">
            <v>6.5166023760633498E-4</v>
          </cell>
        </row>
        <row r="767">
          <cell r="A767" t="str">
            <v>T_B_u-ICENGA-S3</v>
          </cell>
          <cell r="B767" t="str">
            <v>VAR_fout</v>
          </cell>
          <cell r="C767" t="str">
            <v>CO2_T</v>
          </cell>
          <cell r="E767">
            <v>6.70880156856787E-4</v>
          </cell>
          <cell r="F767">
            <v>7.4365280824607001E-3</v>
          </cell>
          <cell r="G767">
            <v>3.8319410002057902E-5</v>
          </cell>
        </row>
        <row r="768">
          <cell r="A768" t="str">
            <v>T_B_u-ICENGA-S3</v>
          </cell>
          <cell r="B768" t="str">
            <v>VAR_fout</v>
          </cell>
          <cell r="C768" t="str">
            <v>TPBSu</v>
          </cell>
          <cell r="E768">
            <v>6.7114343522463391E-7</v>
          </cell>
          <cell r="F768">
            <v>7.7567560625122881E-6</v>
          </cell>
          <cell r="G768">
            <v>4.03282076970115E-8</v>
          </cell>
        </row>
        <row r="769">
          <cell r="A769" t="str">
            <v>T_B_u-ICENGA-S3</v>
          </cell>
          <cell r="B769" t="str">
            <v>VAR_fin</v>
          </cell>
          <cell r="C769" t="str">
            <v>TNGA</v>
          </cell>
          <cell r="E769">
            <v>1.1895038242141623E-5</v>
          </cell>
          <cell r="F769">
            <v>1.3185333479540242E-4</v>
          </cell>
          <cell r="G769">
            <v>6.7942216315705499E-7</v>
          </cell>
        </row>
        <row r="770">
          <cell r="A770" t="str">
            <v>T_B_u-ICENGA-S3</v>
          </cell>
          <cell r="B770" t="str">
            <v>VAR_ncap</v>
          </cell>
          <cell r="C770" t="str">
            <v>-</v>
          </cell>
          <cell r="E770">
            <v>3.1911862628051998E-8</v>
          </cell>
          <cell r="F770">
            <v>1.2471756525059899E-7</v>
          </cell>
        </row>
        <row r="771">
          <cell r="A771" t="str">
            <v>T_B_u-ICENGA-S3</v>
          </cell>
          <cell r="B771" t="str">
            <v>VAR_cap</v>
          </cell>
          <cell r="C771" t="str">
            <v>-</v>
          </cell>
          <cell r="E771">
            <v>3.1911862628051998E-8</v>
          </cell>
          <cell r="F771">
            <v>1.56629427878651E-7</v>
          </cell>
          <cell r="G771">
            <v>1.3110621570967988E-8</v>
          </cell>
        </row>
        <row r="772">
          <cell r="A772"/>
          <cell r="B772"/>
          <cell r="C772"/>
        </row>
        <row r="773">
          <cell r="A773"/>
          <cell r="B773"/>
          <cell r="C773"/>
        </row>
        <row r="774">
          <cell r="A774"/>
          <cell r="B774"/>
          <cell r="C774"/>
        </row>
        <row r="775">
          <cell r="A775"/>
          <cell r="B775"/>
          <cell r="C775"/>
        </row>
        <row r="776">
          <cell r="A776"/>
          <cell r="B776"/>
          <cell r="C776"/>
        </row>
        <row r="777">
          <cell r="A777"/>
          <cell r="B777"/>
          <cell r="C777"/>
        </row>
        <row r="778">
          <cell r="A778"/>
          <cell r="B778"/>
          <cell r="C778"/>
        </row>
        <row r="779">
          <cell r="A779"/>
          <cell r="B779"/>
          <cell r="C779"/>
        </row>
        <row r="780">
          <cell r="A780"/>
          <cell r="B780"/>
          <cell r="C780"/>
        </row>
        <row r="781">
          <cell r="A781"/>
          <cell r="B781"/>
          <cell r="C781"/>
        </row>
        <row r="782">
          <cell r="A782"/>
          <cell r="B782"/>
          <cell r="C782"/>
        </row>
        <row r="783">
          <cell r="A783"/>
          <cell r="B783"/>
          <cell r="C783"/>
        </row>
        <row r="784">
          <cell r="A784"/>
          <cell r="B784"/>
          <cell r="C784"/>
        </row>
        <row r="785">
          <cell r="A785"/>
          <cell r="B785"/>
          <cell r="C785"/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B9">
            <v>18.873044481613956</v>
          </cell>
          <cell r="C9">
            <v>21.777499389657525</v>
          </cell>
          <cell r="D9">
            <v>30.279618665040868</v>
          </cell>
          <cell r="E9">
            <v>45.898068735404799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</sheetData>
      <sheetData sheetId="56"/>
      <sheetData sheetId="57"/>
      <sheetData sheetId="58">
        <row r="14">
          <cell r="B14">
            <v>82.760000148976332</v>
          </cell>
          <cell r="C14">
            <v>82.759995330706502</v>
          </cell>
          <cell r="D14">
            <v>76.101924503147643</v>
          </cell>
          <cell r="E14">
            <v>69.934413130818442</v>
          </cell>
        </row>
        <row r="15">
          <cell r="B15">
            <v>66.745679999995161</v>
          </cell>
          <cell r="C15">
            <v>49.798799902568817</v>
          </cell>
          <cell r="D15">
            <v>69.098091987387846</v>
          </cell>
          <cell r="E15">
            <v>70.384657838973283</v>
          </cell>
        </row>
        <row r="16">
          <cell r="B16">
            <v>66.632400218261907</v>
          </cell>
          <cell r="C16">
            <v>55.76400049992705</v>
          </cell>
          <cell r="D16">
            <v>65.549520725005422</v>
          </cell>
          <cell r="E16">
            <v>64.46572592756182</v>
          </cell>
        </row>
        <row r="17">
          <cell r="B17">
            <v>12.841920623724477</v>
          </cell>
          <cell r="C17">
            <v>16.033523236884484</v>
          </cell>
          <cell r="D17">
            <v>2.3808806286884696</v>
          </cell>
          <cell r="E17">
            <v>12.619333149979209</v>
          </cell>
        </row>
        <row r="18">
          <cell r="B18">
            <v>3.960103094555574E-2</v>
          </cell>
          <cell r="C18">
            <v>4.0467292091570133E-5</v>
          </cell>
          <cell r="D18">
            <v>3.9569265600404883E-3</v>
          </cell>
          <cell r="E18">
            <v>2.3315827825481447E-4</v>
          </cell>
        </row>
        <row r="19">
          <cell r="B19">
            <v>6.5070001520524157</v>
          </cell>
          <cell r="C19">
            <v>7.3027684791455458</v>
          </cell>
          <cell r="D19">
            <v>8.1988180793970962</v>
          </cell>
          <cell r="E19">
            <v>7.3981388411421944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0.96588145389344926</v>
          </cell>
          <cell r="C24">
            <v>1.709298336433726E-4</v>
          </cell>
          <cell r="D24">
            <v>7.4197658419084378E-2</v>
          </cell>
          <cell r="E24">
            <v>8.2432140627669778E-3</v>
          </cell>
        </row>
        <row r="25">
          <cell r="B25">
            <v>0.35678446084797527</v>
          </cell>
          <cell r="C25">
            <v>7.0788979913009337E-2</v>
          </cell>
          <cell r="D25">
            <v>1.5026042914924159E-2</v>
          </cell>
          <cell r="E25">
            <v>1.0672528061508546</v>
          </cell>
        </row>
        <row r="26">
          <cell r="B26">
            <v>1.5475485809514915</v>
          </cell>
          <cell r="C26">
            <v>1.4243000803949111</v>
          </cell>
          <cell r="D26">
            <v>1.3364046724518277</v>
          </cell>
          <cell r="E26">
            <v>1.4145516217731176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1.8009909297917062E-3</v>
          </cell>
          <cell r="C28">
            <v>4.2907107324721099E-5</v>
          </cell>
          <cell r="D28">
            <v>4.742982662441835E-4</v>
          </cell>
          <cell r="E28">
            <v>1.2521024452642618E-4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0.54529210298713582</v>
          </cell>
          <cell r="D33">
            <v>0.50316470132068525</v>
          </cell>
          <cell r="E33">
            <v>2.0502622389415159</v>
          </cell>
        </row>
        <row r="34">
          <cell r="B34">
            <v>0</v>
          </cell>
          <cell r="C34">
            <v>0</v>
          </cell>
          <cell r="D34">
            <v>0.14080626641931424</v>
          </cell>
          <cell r="E34">
            <v>0.57934225734925171</v>
          </cell>
        </row>
        <row r="35">
          <cell r="B35">
            <v>3.517953999707534</v>
          </cell>
          <cell r="C35">
            <v>4.8486222706482938</v>
          </cell>
          <cell r="D35">
            <v>11.161492733716585</v>
          </cell>
          <cell r="E35">
            <v>19.477109007315924</v>
          </cell>
        </row>
        <row r="36">
          <cell r="B36">
            <v>2.1349390887346629</v>
          </cell>
          <cell r="C36">
            <v>3.3906769249173712</v>
          </cell>
          <cell r="D36">
            <v>4.0409717607174107</v>
          </cell>
          <cell r="E36">
            <v>4.3446264915594917</v>
          </cell>
        </row>
        <row r="37">
          <cell r="B37">
            <v>0.86248322578584768</v>
          </cell>
          <cell r="C37">
            <v>1.2875959332939062</v>
          </cell>
          <cell r="D37">
            <v>3.4901269439935434</v>
          </cell>
          <cell r="E37">
            <v>3.822219782981545</v>
          </cell>
        </row>
        <row r="38">
          <cell r="B38">
            <v>2.8396236857719668</v>
          </cell>
          <cell r="C38">
            <v>3.2944550867381746</v>
          </cell>
          <cell r="D38">
            <v>9.966605559919822</v>
          </cell>
          <cell r="E38">
            <v>10.737733560188992</v>
          </cell>
        </row>
        <row r="39">
          <cell r="B39">
            <v>0.66996706142721818</v>
          </cell>
          <cell r="C39">
            <v>0.16578928313456487</v>
          </cell>
          <cell r="D39">
            <v>0.95518478301099263</v>
          </cell>
          <cell r="E39">
            <v>1.4159657289009404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7.0502718642756743E-2</v>
          </cell>
          <cell r="C41">
            <v>0.17144535464502705</v>
          </cell>
          <cell r="D41">
            <v>9.7566647758342648E-3</v>
          </cell>
          <cell r="E41">
            <v>0.17117233291840359</v>
          </cell>
        </row>
        <row r="42">
          <cell r="B42">
            <v>0.17246474365950104</v>
          </cell>
          <cell r="C42">
            <v>0.4584570069089392</v>
          </cell>
          <cell r="D42">
            <v>1.2561389768441567</v>
          </cell>
          <cell r="E42">
            <v>1.604031072193671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0.23004508076834598</v>
          </cell>
          <cell r="C44">
            <v>0.23015798149413452</v>
          </cell>
          <cell r="D44">
            <v>2.958919532228629E-4</v>
          </cell>
          <cell r="E44">
            <v>2.6392534957786484E-4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3.1198220526869157E-4</v>
          </cell>
        </row>
        <row r="48">
          <cell r="B48">
            <v>1.3144636281895751E-2</v>
          </cell>
          <cell r="C48">
            <v>8.5641395012026143E-4</v>
          </cell>
          <cell r="D48">
            <v>1.9970662080508964E-3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2.7688806333293497E-2</v>
          </cell>
          <cell r="C51">
            <v>1.5160623731566888E-3</v>
          </cell>
          <cell r="D51">
            <v>2.5605282946524121E-3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0.9593676447766335</v>
          </cell>
          <cell r="C54">
            <v>1.1059448075564708</v>
          </cell>
          <cell r="D54">
            <v>1.1059444382561738</v>
          </cell>
          <cell r="E54">
            <v>1.1059445509953427</v>
          </cell>
        </row>
        <row r="55">
          <cell r="B55">
            <v>0.59440009100289515</v>
          </cell>
          <cell r="C55">
            <v>0.6258699299833278</v>
          </cell>
          <cell r="D55">
            <v>1.5073805788654335E-2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70">
          <cell r="B70">
            <v>9.4514589055027284E-2</v>
          </cell>
          <cell r="C70">
            <v>4.0065384849682327E-3</v>
          </cell>
          <cell r="D70">
            <v>1.9592865137364069E-2</v>
          </cell>
          <cell r="E70">
            <v>2.1973018464116881E-2</v>
          </cell>
        </row>
        <row r="71">
          <cell r="B71">
            <v>1.3317454006918146E-3</v>
          </cell>
          <cell r="C71">
            <v>9.9708434125425258E-4</v>
          </cell>
          <cell r="D71">
            <v>1.7309873094720901E-2</v>
          </cell>
          <cell r="E71">
            <v>4.3766006679706572E-2</v>
          </cell>
        </row>
        <row r="72">
          <cell r="B72">
            <v>1.196373329620501E-3</v>
          </cell>
          <cell r="C72">
            <v>9.1410815747314776E-4</v>
          </cell>
          <cell r="D72">
            <v>1.6591688888070725E-2</v>
          </cell>
          <cell r="E72">
            <v>3.3233102588472271E-2</v>
          </cell>
        </row>
        <row r="73">
          <cell r="B73">
            <v>3.9501986098739036E-4</v>
          </cell>
          <cell r="C73">
            <v>3.927010851207019E-4</v>
          </cell>
          <cell r="D73">
            <v>0.11085669778146721</v>
          </cell>
          <cell r="E73">
            <v>0.19966215499985171</v>
          </cell>
        </row>
        <row r="74">
          <cell r="B74">
            <v>7.8679156802894746E-4</v>
          </cell>
          <cell r="C74">
            <v>7.8182836716881763E-4</v>
          </cell>
          <cell r="D74">
            <v>0.20015719087856509</v>
          </cell>
          <cell r="E74">
            <v>8.7966392368422491E-2</v>
          </cell>
        </row>
        <row r="75">
          <cell r="B75">
            <v>7.717521283479062E-4</v>
          </cell>
          <cell r="C75">
            <v>7.6683661121047277E-4</v>
          </cell>
          <cell r="D75">
            <v>6.139790945112765E-2</v>
          </cell>
          <cell r="E75">
            <v>3.1806120436836852E-2</v>
          </cell>
        </row>
        <row r="76">
          <cell r="B76">
            <v>3.9691664334334993E-4</v>
          </cell>
          <cell r="C76">
            <v>3.9456757781399236E-4</v>
          </cell>
          <cell r="D76">
            <v>0.19215144118163985</v>
          </cell>
          <cell r="E76">
            <v>9.4047293753573305E-2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</row>
        <row r="91">
          <cell r="B91">
            <v>1.8035525350352892</v>
          </cell>
          <cell r="C91">
            <v>3.2845107055776769E-4</v>
          </cell>
          <cell r="D91">
            <v>0.1486176336031976</v>
          </cell>
          <cell r="E91">
            <v>1.7630024029392188E-2</v>
          </cell>
        </row>
        <row r="92">
          <cell r="B92">
            <v>1.1846305391341421</v>
          </cell>
          <cell r="C92">
            <v>0.43365821567148233</v>
          </cell>
          <cell r="D92">
            <v>0.50879080717686853</v>
          </cell>
          <cell r="E92">
            <v>2.7910833511593554</v>
          </cell>
        </row>
        <row r="93">
          <cell r="B93">
            <v>14.461262506045051</v>
          </cell>
          <cell r="C93">
            <v>13.051648122990354</v>
          </cell>
          <cell r="D93">
            <v>12.14799542740662</v>
          </cell>
          <cell r="E93">
            <v>12.779635147773988</v>
          </cell>
        </row>
        <row r="94">
          <cell r="B94">
            <v>9.262239067500188E-3</v>
          </cell>
          <cell r="C94">
            <v>2.2066512338427986E-4</v>
          </cell>
          <cell r="D94">
            <v>2.4392482263986548E-3</v>
          </cell>
          <cell r="E94">
            <v>6.4393840042161995E-4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1.7329034351756449</v>
          </cell>
          <cell r="C97">
            <v>1.4657145158969569</v>
          </cell>
          <cell r="D97">
            <v>0.8158321377751796</v>
          </cell>
          <cell r="E97">
            <v>3.032898443710117</v>
          </cell>
        </row>
        <row r="98">
          <cell r="B98">
            <v>0.90177654254630846</v>
          </cell>
          <cell r="C98">
            <v>0.9017747865163952</v>
          </cell>
          <cell r="D98">
            <v>0.90177517777553207</v>
          </cell>
          <cell r="E98">
            <v>0.90177435650507365</v>
          </cell>
        </row>
        <row r="99">
          <cell r="B99">
            <v>2.9000157579919024</v>
          </cell>
          <cell r="C99">
            <v>7.6038350689429333</v>
          </cell>
          <cell r="D99">
            <v>7.6029700964530829</v>
          </cell>
          <cell r="E99">
            <v>2.1392835595942317</v>
          </cell>
        </row>
        <row r="100">
          <cell r="B100">
            <v>0.18406930057918613</v>
          </cell>
          <cell r="C100">
            <v>0.18582287704850181</v>
          </cell>
          <cell r="D100">
            <v>4.1569472738406187E-4</v>
          </cell>
          <cell r="E100">
            <v>2.707221857956106E-4</v>
          </cell>
        </row>
        <row r="101">
          <cell r="B101">
            <v>1.3304362853182492</v>
          </cell>
          <cell r="C101">
            <v>1.2007174356058459</v>
          </cell>
          <cell r="D101">
            <v>1.0294642410766712</v>
          </cell>
          <cell r="E101">
            <v>0.79658032335149787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1.2934234108348537E-5</v>
          </cell>
        </row>
        <row r="104">
          <cell r="B104">
            <v>0.9293540184727046</v>
          </cell>
          <cell r="C104">
            <v>2.0719699777675049</v>
          </cell>
          <cell r="D104">
            <v>0.10186488424774717</v>
          </cell>
          <cell r="E104">
            <v>1.3179018489092584</v>
          </cell>
        </row>
        <row r="105">
          <cell r="B105">
            <v>0.65957904103620457</v>
          </cell>
          <cell r="C105">
            <v>1.5966313296763068</v>
          </cell>
          <cell r="D105">
            <v>3.7306152395417373</v>
          </cell>
          <cell r="E105">
            <v>3.393142652717386</v>
          </cell>
        </row>
        <row r="106">
          <cell r="B106">
            <v>1.9348222656546448</v>
          </cell>
          <cell r="C106">
            <v>1.8587705616024293</v>
          </cell>
          <cell r="D106">
            <v>2.2411526409390576E-3</v>
          </cell>
          <cell r="E106">
            <v>1.7782842889798008E-3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1.5599110263434578E-4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</row>
        <row r="109">
          <cell r="B109">
            <v>3.1644494752712055E-2</v>
          </cell>
          <cell r="C109">
            <v>2.0408933499162234E-3</v>
          </cell>
          <cell r="D109">
            <v>4.6862373718019792E-3</v>
          </cell>
          <cell r="E109">
            <v>0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0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</row>
        <row r="112">
          <cell r="B112">
            <v>6.0151544793016945E-2</v>
          </cell>
          <cell r="C112">
            <v>3.2614509627586904E-3</v>
          </cell>
          <cell r="D112">
            <v>5.4271427302747723E-3</v>
          </cell>
          <cell r="E112">
            <v>0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0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5">
          <cell r="B115">
            <v>1.4243128743059836</v>
          </cell>
          <cell r="C115">
            <v>1.578325399859821</v>
          </cell>
          <cell r="D115">
            <v>1.4829228347016219</v>
          </cell>
          <cell r="E115">
            <v>1.323919743665777</v>
          </cell>
        </row>
        <row r="116">
          <cell r="B116">
            <v>0.69257884120802715</v>
          </cell>
          <cell r="C116">
            <v>0.75020246803404356</v>
          </cell>
          <cell r="D116">
            <v>1.8825368978488858E-2</v>
          </cell>
          <cell r="E116">
            <v>0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0</v>
          </cell>
        </row>
        <row r="123">
          <cell r="B123">
            <v>0</v>
          </cell>
          <cell r="C123">
            <v>4.5023057005928955</v>
          </cell>
          <cell r="D123">
            <v>4.638730214684279</v>
          </cell>
          <cell r="E123">
            <v>4.8753521612184842</v>
          </cell>
        </row>
      </sheetData>
      <sheetData sheetId="59">
        <row r="13">
          <cell r="B13">
            <v>16.052401440315233</v>
          </cell>
          <cell r="C13">
            <v>20.041905375183251</v>
          </cell>
          <cell r="D13">
            <v>2.9761011567091971</v>
          </cell>
          <cell r="E13">
            <v>15.77416630619749</v>
          </cell>
        </row>
        <row r="14">
          <cell r="B14">
            <v>250.94817811360252</v>
          </cell>
          <cell r="C14">
            <v>253.30007324334684</v>
          </cell>
          <cell r="D14">
            <v>233.22742609086157</v>
          </cell>
          <cell r="E14">
            <v>211.9022672167373</v>
          </cell>
        </row>
        <row r="15">
          <cell r="B15">
            <v>66.745679999995161</v>
          </cell>
          <cell r="C15">
            <v>49.798799902568817</v>
          </cell>
          <cell r="D15">
            <v>69.098091987387846</v>
          </cell>
          <cell r="E15">
            <v>70.384657838973283</v>
          </cell>
        </row>
        <row r="16">
          <cell r="B16">
            <v>66.632400218261907</v>
          </cell>
          <cell r="C16">
            <v>55.76400049992705</v>
          </cell>
          <cell r="D16">
            <v>65.549520725005422</v>
          </cell>
          <cell r="E16">
            <v>64.46572592756182</v>
          </cell>
        </row>
        <row r="18">
          <cell r="B18">
            <v>0.1150495568555423</v>
          </cell>
          <cell r="C18">
            <v>7.8458380946845867E-4</v>
          </cell>
          <cell r="D18">
            <v>1.2136483573367761E-2</v>
          </cell>
          <cell r="E18">
            <v>8.0039582076863705E-4</v>
          </cell>
        </row>
        <row r="19">
          <cell r="B19">
            <v>18.203590904034439</v>
          </cell>
          <cell r="C19">
            <v>20.42978434837023</v>
          </cell>
          <cell r="D19">
            <v>22.936518630151056</v>
          </cell>
          <cell r="E19">
            <v>20.696586717140612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L22">
            <v>2.5516561678071752</v>
          </cell>
          <cell r="M22">
            <v>1.0607132052590551</v>
          </cell>
          <cell r="N22">
            <v>1.0183010355776245</v>
          </cell>
          <cell r="O22">
            <v>1.8085386998460753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L23">
            <v>6.6715090708825711E-2</v>
          </cell>
          <cell r="M23">
            <v>3.211177605668819E-2</v>
          </cell>
          <cell r="N23">
            <v>9.2417319951841617E-2</v>
          </cell>
          <cell r="O23">
            <v>0.27949633666492169</v>
          </cell>
        </row>
        <row r="24">
          <cell r="B24">
            <v>3.6698887751007416</v>
          </cell>
          <cell r="C24">
            <v>7.7468128572949534E-4</v>
          </cell>
          <cell r="D24">
            <v>0.29137867800874645</v>
          </cell>
          <cell r="E24">
            <v>3.3521247665010384E-2</v>
          </cell>
        </row>
        <row r="25">
          <cell r="B25">
            <v>1.4627766602335668</v>
          </cell>
          <cell r="C25">
            <v>0.28300194632154602</v>
          </cell>
          <cell r="D25">
            <v>5.8122718085274631E-2</v>
          </cell>
          <cell r="E25">
            <v>3.8797998513057581</v>
          </cell>
        </row>
        <row r="26">
          <cell r="B26">
            <v>40.31790819125591</v>
          </cell>
          <cell r="C26">
            <v>38.473209041312444</v>
          </cell>
          <cell r="D26">
            <v>36.326159832581681</v>
          </cell>
          <cell r="E26">
            <v>38.239896005150783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1.8256410008228072E-2</v>
          </cell>
          <cell r="C28">
            <v>1.0776708444711011E-3</v>
          </cell>
          <cell r="D28">
            <v>4.8601470652460208E-3</v>
          </cell>
          <cell r="E28">
            <v>1.2416229782616767E-3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0.54529210298713582</v>
          </cell>
          <cell r="D33">
            <v>0.50316470132068525</v>
          </cell>
          <cell r="E33">
            <v>2.0502622389415159</v>
          </cell>
        </row>
        <row r="34">
          <cell r="B34">
            <v>0</v>
          </cell>
          <cell r="C34">
            <v>0</v>
          </cell>
          <cell r="D34">
            <v>0.14080626641931424</v>
          </cell>
          <cell r="E34">
            <v>0.57934225734925171</v>
          </cell>
        </row>
        <row r="35">
          <cell r="B35">
            <v>3.517953999707534</v>
          </cell>
          <cell r="C35">
            <v>4.8486222706482938</v>
          </cell>
          <cell r="D35">
            <v>11.161492733716585</v>
          </cell>
          <cell r="E35">
            <v>19.477109007315924</v>
          </cell>
        </row>
        <row r="36">
          <cell r="B36">
            <v>2.1349390887346629</v>
          </cell>
          <cell r="C36">
            <v>3.3906769249173712</v>
          </cell>
          <cell r="D36">
            <v>4.0409717607174107</v>
          </cell>
          <cell r="E36">
            <v>4.3446264915594917</v>
          </cell>
        </row>
        <row r="37">
          <cell r="B37">
            <v>0.86248322578584768</v>
          </cell>
          <cell r="C37">
            <v>1.2875959332939062</v>
          </cell>
          <cell r="D37">
            <v>3.4901269439935434</v>
          </cell>
          <cell r="E37">
            <v>3.822219782981545</v>
          </cell>
        </row>
        <row r="38">
          <cell r="B38">
            <v>2.8396236857719668</v>
          </cell>
          <cell r="C38">
            <v>3.2944550867381746</v>
          </cell>
          <cell r="D38">
            <v>9.966605559919822</v>
          </cell>
          <cell r="E38">
            <v>10.737733560188992</v>
          </cell>
        </row>
        <row r="39">
          <cell r="B39">
            <v>1.9179614112518257</v>
          </cell>
          <cell r="C39">
            <v>0.47102789681270035</v>
          </cell>
          <cell r="D39">
            <v>2.6910219992016531</v>
          </cell>
          <cell r="E39">
            <v>3.9332941528565617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0.29225886759354214</v>
          </cell>
          <cell r="C41">
            <v>0.69503733298809534</v>
          </cell>
          <cell r="D41">
            <v>3.9178577188249603E-2</v>
          </cell>
          <cell r="E41">
            <v>0.64995002761281984</v>
          </cell>
        </row>
        <row r="42">
          <cell r="B42">
            <v>0.87270138427743704</v>
          </cell>
          <cell r="C42">
            <v>2.0302149632354261</v>
          </cell>
          <cell r="D42">
            <v>4.6860382025657925</v>
          </cell>
          <cell r="E42">
            <v>4.7384954561536325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3.7119628730136038</v>
          </cell>
          <cell r="C44">
            <v>3.7138498658555261</v>
          </cell>
          <cell r="D44">
            <v>4.7745570104552994E-3</v>
          </cell>
          <cell r="E44">
            <v>4.2587390915451656E-3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</row>
        <row r="48">
          <cell r="B48">
            <v>5.4247212122868912E-2</v>
          </cell>
          <cell r="C48">
            <v>3.2043714061842339E-3</v>
          </cell>
          <cell r="D48">
            <v>8.7803043246946124E-3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0.10067913043484628</v>
          </cell>
          <cell r="C51">
            <v>5.2495115366545334E-3</v>
          </cell>
          <cell r="D51">
            <v>1.0124464780940897E-2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2.6453956633088667</v>
          </cell>
          <cell r="C54">
            <v>3.0460464587742369</v>
          </cell>
          <cell r="D54">
            <v>3.0423987923177669</v>
          </cell>
          <cell r="E54">
            <v>3.0321071621897415</v>
          </cell>
        </row>
        <row r="55">
          <cell r="B55">
            <v>1.655279631638912</v>
          </cell>
          <cell r="C55">
            <v>1.7385340815147439</v>
          </cell>
          <cell r="D55">
            <v>4.2482397092972579E-2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63">
          <cell r="B63">
            <v>0.13502546585350092</v>
          </cell>
          <cell r="C63">
            <v>5.7261980877209738E-3</v>
          </cell>
          <cell r="D63">
            <v>2.7989845055682534E-2</v>
          </cell>
          <cell r="E63">
            <v>3.1390657413825677E-2</v>
          </cell>
        </row>
        <row r="64">
          <cell r="B64">
            <v>1.5438967366048877E-3</v>
          </cell>
          <cell r="C64">
            <v>1.1547766018546127E-3</v>
          </cell>
          <cell r="D64">
            <v>1.996437563908468E-2</v>
          </cell>
          <cell r="E64">
            <v>5.0477852928681892E-2</v>
          </cell>
        </row>
        <row r="65">
          <cell r="B65">
            <v>1.3378216471674805E-3</v>
          </cell>
          <cell r="C65">
            <v>1.0223605512423516E-3</v>
          </cell>
          <cell r="D65">
            <v>1.8553665626403881E-2</v>
          </cell>
          <cell r="E65">
            <v>3.716286138491675E-2</v>
          </cell>
        </row>
        <row r="66">
          <cell r="B66">
            <v>4.3815987883659603E-4</v>
          </cell>
          <cell r="C66">
            <v>4.369092048283886E-4</v>
          </cell>
          <cell r="D66">
            <v>0.12259288657356644</v>
          </cell>
          <cell r="E66">
            <v>0.22079967206576276</v>
          </cell>
        </row>
        <row r="67">
          <cell r="B67">
            <v>8.7669170069212354E-4</v>
          </cell>
          <cell r="C67">
            <v>8.6982497537758702E-4</v>
          </cell>
          <cell r="D67">
            <v>0.22134744473586326</v>
          </cell>
          <cell r="E67">
            <v>9.7279571470471379E-2</v>
          </cell>
        </row>
        <row r="68">
          <cell r="B68">
            <v>8.6006011379185197E-4</v>
          </cell>
          <cell r="C68">
            <v>8.5324612022760543E-4</v>
          </cell>
          <cell r="D68">
            <v>6.7898156586768038E-2</v>
          </cell>
          <cell r="E68">
            <v>3.517385524158452E-2</v>
          </cell>
        </row>
        <row r="69">
          <cell r="B69">
            <v>4.4223944473081438E-4</v>
          </cell>
          <cell r="C69">
            <v>4.3895264775452032E-4</v>
          </cell>
          <cell r="D69">
            <v>0.21249374162385173</v>
          </cell>
          <cell r="E69">
            <v>0.10400390048488352</v>
          </cell>
        </row>
        <row r="90">
          <cell r="B90">
            <v>2.0280803701084138</v>
          </cell>
          <cell r="C90">
            <v>1.7153793901806633</v>
          </cell>
          <cell r="D90">
            <v>0.95479823649707263</v>
          </cell>
          <cell r="E90">
            <v>3.549512150166287</v>
          </cell>
        </row>
        <row r="91">
          <cell r="B91">
            <v>1.1839529493940701</v>
          </cell>
          <cell r="C91">
            <v>1.1839506438818965</v>
          </cell>
          <cell r="D91">
            <v>1.1839511575705857</v>
          </cell>
          <cell r="E91">
            <v>1.1839500793150159</v>
          </cell>
        </row>
        <row r="92">
          <cell r="B92">
            <v>1.4500078789959512</v>
          </cell>
          <cell r="C92">
            <v>3.8019175344714666</v>
          </cell>
          <cell r="D92">
            <v>3.8014850482265414</v>
          </cell>
          <cell r="E92">
            <v>1.0696417797971158</v>
          </cell>
        </row>
        <row r="93">
          <cell r="B93">
            <v>0.21542304531607956</v>
          </cell>
          <cell r="C93">
            <v>0.21747532009533904</v>
          </cell>
          <cell r="D93">
            <v>4.8650276723569011E-4</v>
          </cell>
          <cell r="E93">
            <v>3.1683609116353893E-4</v>
          </cell>
        </row>
        <row r="94">
          <cell r="B94">
            <v>1.900623264740356</v>
          </cell>
          <cell r="C94">
            <v>1.7153106222940671</v>
          </cell>
          <cell r="D94">
            <v>1.4706632015381014</v>
          </cell>
          <cell r="E94">
            <v>1.1379718905021399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2.5868468216697036E-5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0</v>
          </cell>
          <cell r="C97">
            <v>1.5007685668642978</v>
          </cell>
          <cell r="D97">
            <v>1.5462434048947613</v>
          </cell>
          <cell r="E97">
            <v>1.6251173870728275</v>
          </cell>
        </row>
      </sheetData>
      <sheetData sheetId="60">
        <row r="14">
          <cell r="B14">
            <v>3.0805587016157077</v>
          </cell>
          <cell r="C14">
            <v>3.080558631060204</v>
          </cell>
          <cell r="D14">
            <v>2.840241771507114</v>
          </cell>
          <cell r="E14">
            <v>2.6090416682333681</v>
          </cell>
        </row>
        <row r="15">
          <cell r="B15">
            <v>7.3394300010600002</v>
          </cell>
          <cell r="C15">
            <v>7.340129520814533</v>
          </cell>
          <cell r="D15">
            <v>7.3433065433839069</v>
          </cell>
          <cell r="E15">
            <v>7.4148363376080182</v>
          </cell>
        </row>
        <row r="16">
          <cell r="B16">
            <v>4.7247299999999992</v>
          </cell>
          <cell r="C16">
            <v>4.8072225801712865</v>
          </cell>
          <cell r="D16">
            <v>4.8593603461091757</v>
          </cell>
          <cell r="E16">
            <v>4.8631934657379645</v>
          </cell>
        </row>
        <row r="17">
          <cell r="B17">
            <v>3.3394499999999998</v>
          </cell>
          <cell r="C17">
            <v>3.9710957768813762</v>
          </cell>
          <cell r="D17">
            <v>4.3595168307603265</v>
          </cell>
          <cell r="E17">
            <v>4.3595168307603265</v>
          </cell>
        </row>
        <row r="18">
          <cell r="B18">
            <v>1.7740408038023209E-2</v>
          </cell>
          <cell r="C18">
            <v>1.7709049015198347E-2</v>
          </cell>
          <cell r="D18">
            <v>1.069946053958622E-2</v>
          </cell>
          <cell r="E18">
            <v>1.5061168316146473E-2</v>
          </cell>
        </row>
        <row r="19">
          <cell r="B19">
            <v>0.30586268122458643</v>
          </cell>
          <cell r="C19">
            <v>0.30586220918301166</v>
          </cell>
          <cell r="D19">
            <v>0.30586216537556749</v>
          </cell>
          <cell r="E19">
            <v>0.2759923019498291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4.7423957056209498E-2</v>
          </cell>
          <cell r="C24">
            <v>5.8279444817566084E-5</v>
          </cell>
          <cell r="D24">
            <v>2.7698857114982767E-3</v>
          </cell>
          <cell r="E24">
            <v>2.7155260560995029E-3</v>
          </cell>
        </row>
        <row r="25">
          <cell r="B25">
            <v>1.3313684453287199E-2</v>
          </cell>
          <cell r="C25">
            <v>2.7511037404386804E-3</v>
          </cell>
          <cell r="D25">
            <v>2.7438266746095188E-3</v>
          </cell>
          <cell r="E25">
            <v>3.9814622617166791E-2</v>
          </cell>
        </row>
        <row r="26">
          <cell r="B26">
            <v>7.8399999999999997E-2</v>
          </cell>
          <cell r="C26">
            <v>7.1001051873236229E-2</v>
          </cell>
          <cell r="D26">
            <v>7.0489792349326133E-2</v>
          </cell>
          <cell r="E26">
            <v>7.0489665526808631E-2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1.3779547072016105E-3</v>
          </cell>
          <cell r="C28">
            <v>3.0197636330717668E-4</v>
          </cell>
          <cell r="D28">
            <v>2.832903513590463E-4</v>
          </cell>
          <cell r="E28">
            <v>2.0645003532958339E-4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8.7120000000000003E-2</v>
          </cell>
          <cell r="C33">
            <v>9.0660015290532983E-2</v>
          </cell>
          <cell r="D33">
            <v>8.3655932784461984E-2</v>
          </cell>
          <cell r="E33">
            <v>0.34087568043792532</v>
          </cell>
        </row>
        <row r="34">
          <cell r="B34">
            <v>0</v>
          </cell>
          <cell r="C34">
            <v>0</v>
          </cell>
          <cell r="D34">
            <v>4.49256426329794E-2</v>
          </cell>
          <cell r="E34">
            <v>0.12137559051701421</v>
          </cell>
        </row>
        <row r="35">
          <cell r="B35">
            <v>1.1186210000000001</v>
          </cell>
          <cell r="C35">
            <v>1.6529270324457845</v>
          </cell>
          <cell r="D35">
            <v>3.5611858876934601</v>
          </cell>
          <cell r="E35">
            <v>5.6146830368830303</v>
          </cell>
        </row>
        <row r="36">
          <cell r="B36">
            <v>0.67885700000000004</v>
          </cell>
          <cell r="C36">
            <v>1.1559039665013733</v>
          </cell>
          <cell r="D36">
            <v>1.2893124122744692</v>
          </cell>
          <cell r="E36">
            <v>1.2524298029135548</v>
          </cell>
        </row>
        <row r="37">
          <cell r="B37">
            <v>0.27424799999999999</v>
          </cell>
          <cell r="C37">
            <v>0.43894990355640812</v>
          </cell>
          <cell r="D37">
            <v>1.1135606130346667</v>
          </cell>
          <cell r="E37">
            <v>1.1018360969315868</v>
          </cell>
        </row>
        <row r="38">
          <cell r="B38">
            <v>0.90292899999999998</v>
          </cell>
          <cell r="C38">
            <v>1.1231012782771315</v>
          </cell>
          <cell r="D38">
            <v>3.1799453355176599</v>
          </cell>
          <cell r="E38">
            <v>3.0953760754309401</v>
          </cell>
        </row>
        <row r="39">
          <cell r="B39">
            <v>5.3315818187333205E-2</v>
          </cell>
          <cell r="C39">
            <v>3.9432518674767505E-2</v>
          </cell>
          <cell r="D39">
            <v>4.5908271928096739E-2</v>
          </cell>
          <cell r="E39">
            <v>5.5468315607730634E-2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8.3052325815200796E-3</v>
          </cell>
          <cell r="C41">
            <v>7.0743874282106203E-3</v>
          </cell>
          <cell r="D41">
            <v>9.4652080890489324E-3</v>
          </cell>
          <cell r="E41">
            <v>2.4205518852551837E-2</v>
          </cell>
        </row>
        <row r="42">
          <cell r="B42">
            <v>6.4392195429600809E-3</v>
          </cell>
          <cell r="C42">
            <v>1.6951192319200208E-2</v>
          </cell>
          <cell r="D42">
            <v>4.6445000965936109E-2</v>
          </cell>
          <cell r="E42">
            <v>5.9308203443770142E-2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3.8830585659036999E-2</v>
          </cell>
          <cell r="C44">
            <v>9.3641992011918584E-3</v>
          </cell>
          <cell r="D44">
            <v>7.9480693156566695E-5</v>
          </cell>
          <cell r="E44">
            <v>7.7955582672952634E-5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3.1801650507618999E-5</v>
          </cell>
        </row>
        <row r="48">
          <cell r="B48">
            <v>3.9198137348719379E-3</v>
          </cell>
          <cell r="C48">
            <v>1.7907270346318179E-4</v>
          </cell>
          <cell r="D48">
            <v>1.7767906011318155E-4</v>
          </cell>
          <cell r="E48">
            <v>1.6935473814964916E-4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7.701321675011561E-7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1.796585766999992E-6</v>
          </cell>
        </row>
        <row r="51">
          <cell r="B51">
            <v>8.3678803772576013E-3</v>
          </cell>
          <cell r="C51">
            <v>1.9211841693825372E-4</v>
          </cell>
          <cell r="D51">
            <v>1.9256313759058105E-4</v>
          </cell>
          <cell r="E51">
            <v>7.5641256551824343E-5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2.7153873415405197E-6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3.22523526235424E-6</v>
          </cell>
        </row>
        <row r="54">
          <cell r="B54">
            <v>7.35127E-2</v>
          </cell>
          <cell r="C54">
            <v>8.4744615041142016E-2</v>
          </cell>
          <cell r="D54">
            <v>8.4744519225760401E-2</v>
          </cell>
          <cell r="E54">
            <v>8.4744682181003228E-2</v>
          </cell>
        </row>
        <row r="55">
          <cell r="B55">
            <v>6.5199883456219868E-2</v>
          </cell>
          <cell r="C55">
            <v>4.7876845561993231E-2</v>
          </cell>
          <cell r="D55">
            <v>8.9914882571760085E-4</v>
          </cell>
          <cell r="E55">
            <v>7.4967982266395394E-5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3.4333028508195999E-6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1.37250391558667E-6</v>
          </cell>
        </row>
        <row r="63">
          <cell r="B63">
            <v>0.1</v>
          </cell>
          <cell r="C63">
            <v>9.9997017632778851E-2</v>
          </cell>
          <cell r="D63">
            <v>9.9996845895696837E-2</v>
          </cell>
          <cell r="E63">
            <v>9.9996756667802403E-2</v>
          </cell>
        </row>
        <row r="64">
          <cell r="B64">
            <v>2.27130938849804E-4</v>
          </cell>
          <cell r="C64">
            <v>2.2730491745640331E-4</v>
          </cell>
          <cell r="D64">
            <v>6.3016306518305443E-3</v>
          </cell>
          <cell r="E64">
            <v>2.649775207111453E-2</v>
          </cell>
        </row>
        <row r="65">
          <cell r="B65">
            <v>1.6545657109003699E-4</v>
          </cell>
          <cell r="C65">
            <v>1.6558970330380008E-4</v>
          </cell>
          <cell r="D65">
            <v>3.8837261403423477E-3</v>
          </cell>
          <cell r="E65">
            <v>1.4393967474372917E-2</v>
          </cell>
        </row>
        <row r="66">
          <cell r="B66">
            <v>1.6085671997848882E-4</v>
          </cell>
          <cell r="C66">
            <v>1.6105266035990667E-4</v>
          </cell>
          <cell r="D66">
            <v>6.9483698079187403E-2</v>
          </cell>
          <cell r="E66">
            <v>0.15319936296179992</v>
          </cell>
        </row>
        <row r="67">
          <cell r="B67">
            <v>3.20276464083962E-4</v>
          </cell>
          <cell r="C67">
            <v>3.2065829125296145E-4</v>
          </cell>
          <cell r="D67">
            <v>0.12808601663663455</v>
          </cell>
          <cell r="E67">
            <v>0.12869411358905883</v>
          </cell>
        </row>
        <row r="68">
          <cell r="B68">
            <v>3.1412669526998185E-4</v>
          </cell>
          <cell r="C68">
            <v>3.145023461360484E-4</v>
          </cell>
          <cell r="D68">
            <v>3.8241603831495677E-2</v>
          </cell>
          <cell r="E68">
            <v>3.9359354055821812E-2</v>
          </cell>
        </row>
        <row r="69">
          <cell r="B69">
            <v>1.6163549904325657E-4</v>
          </cell>
          <cell r="C69">
            <v>1.6183151654969709E-4</v>
          </cell>
          <cell r="D69">
            <v>0.12408998844761741</v>
          </cell>
          <cell r="E69">
            <v>0.12490816930700231</v>
          </cell>
        </row>
      </sheetData>
      <sheetData sheetId="61"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  <row r="15">
          <cell r="B15">
            <v>0</v>
          </cell>
          <cell r="C15">
            <v>6.9951975453304499E-4</v>
          </cell>
          <cell r="D15">
            <v>3.1775907876245495E-3</v>
          </cell>
          <cell r="E15">
            <v>0.2795250626809509</v>
          </cell>
        </row>
        <row r="16">
          <cell r="B16">
            <v>0</v>
          </cell>
          <cell r="C16">
            <v>1.5801416680534888E-4</v>
          </cell>
          <cell r="D16">
            <v>1.2171909605957307E-3</v>
          </cell>
          <cell r="E16">
            <v>8.9075758296030463E-7</v>
          </cell>
        </row>
        <row r="17">
          <cell r="B17">
            <v>0</v>
          </cell>
          <cell r="C17">
            <v>6.6830760326266799E-5</v>
          </cell>
          <cell r="D17">
            <v>4.69113536203915E-8</v>
          </cell>
          <cell r="E17">
            <v>4.7674089535733098E-8</v>
          </cell>
        </row>
        <row r="18">
          <cell r="B18">
            <v>0</v>
          </cell>
          <cell r="C18">
            <v>2.1604719164306202E-6</v>
          </cell>
          <cell r="D18">
            <v>4.1756510618392801E-5</v>
          </cell>
          <cell r="E18">
            <v>8.0179569884006908E-3</v>
          </cell>
        </row>
        <row r="19">
          <cell r="B19">
            <v>0</v>
          </cell>
          <cell r="C19">
            <v>4.1905992957292102E-8</v>
          </cell>
          <cell r="D19">
            <v>9.4402605497841098E-8</v>
          </cell>
          <cell r="E19">
            <v>5.4107989895066502E-2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9.6381445964454604E-8</v>
          </cell>
          <cell r="D24">
            <v>2.7115324089321199E-3</v>
          </cell>
          <cell r="E24">
            <v>5.5185581081762498E-7</v>
          </cell>
        </row>
        <row r="25">
          <cell r="B25">
            <v>0</v>
          </cell>
          <cell r="C25">
            <v>3.53339480790937E-8</v>
          </cell>
          <cell r="D25">
            <v>3.0943961463134699E-7</v>
          </cell>
          <cell r="E25">
            <v>3.70711202822653E-2</v>
          </cell>
        </row>
        <row r="26">
          <cell r="B26">
            <v>0</v>
          </cell>
          <cell r="C26">
            <v>2.6400649049387E-8</v>
          </cell>
          <cell r="D26">
            <v>2.63322594213968E-8</v>
          </cell>
          <cell r="E26">
            <v>6.5415622175895802E-8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</v>
          </cell>
          <cell r="C28">
            <v>4.01678452575365E-7</v>
          </cell>
          <cell r="D28">
            <v>4.3055743559194101E-7</v>
          </cell>
          <cell r="E28">
            <v>5.0150988235647799E-7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</v>
          </cell>
          <cell r="C33">
            <v>7.1321272539257904E-3</v>
          </cell>
          <cell r="D33">
            <v>0.402134121651257</v>
          </cell>
          <cell r="E33">
            <v>2.75956300363124E-5</v>
          </cell>
        </row>
        <row r="34">
          <cell r="B34">
            <v>0</v>
          </cell>
          <cell r="C34">
            <v>0</v>
          </cell>
          <cell r="D34">
            <v>0.12066642319246701</v>
          </cell>
          <cell r="E34">
            <v>2.3701566231692586E-2</v>
          </cell>
        </row>
        <row r="35">
          <cell r="B35">
            <v>0</v>
          </cell>
          <cell r="C35">
            <v>1.78587344204381E-8</v>
          </cell>
          <cell r="D35">
            <v>1.7679648698347199</v>
          </cell>
          <cell r="E35">
            <v>2.1224130459936799</v>
          </cell>
        </row>
        <row r="36">
          <cell r="B36">
            <v>0</v>
          </cell>
          <cell r="C36">
            <v>4.0488232233393173E-6</v>
          </cell>
          <cell r="D36">
            <v>1.5136345124583671E-4</v>
          </cell>
          <cell r="E36">
            <v>2.2558270568979002E-7</v>
          </cell>
        </row>
        <row r="37">
          <cell r="B37">
            <v>0</v>
          </cell>
          <cell r="C37">
            <v>4.5860799951374544E-6</v>
          </cell>
          <cell r="D37">
            <v>0.63040802695467102</v>
          </cell>
          <cell r="E37">
            <v>2.7163743878570002E-7</v>
          </cell>
        </row>
        <row r="38">
          <cell r="B38">
            <v>0</v>
          </cell>
          <cell r="C38">
            <v>1.6709121408821401E-8</v>
          </cell>
          <cell r="D38">
            <v>2.0047163188085402</v>
          </cell>
          <cell r="E38">
            <v>5.6167260048787296E-7</v>
          </cell>
        </row>
        <row r="39">
          <cell r="B39">
            <v>0</v>
          </cell>
          <cell r="C39">
            <v>1.6531589830338499E-7</v>
          </cell>
          <cell r="D39">
            <v>6.4758760470310199E-3</v>
          </cell>
          <cell r="E39">
            <v>3.7022233279364401E-2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</v>
          </cell>
          <cell r="C41">
            <v>6.1416293832427804E-3</v>
          </cell>
          <cell r="D41">
            <v>2.39098461257324E-3</v>
          </cell>
          <cell r="E41">
            <v>1.47403717868171E-2</v>
          </cell>
        </row>
        <row r="42">
          <cell r="B42">
            <v>0</v>
          </cell>
          <cell r="C42">
            <v>1.5272198809611E-2</v>
          </cell>
          <cell r="D42">
            <v>2.9493875340350001E-2</v>
          </cell>
          <cell r="E42">
            <v>1.28633152077642E-2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</v>
          </cell>
          <cell r="C44">
            <v>1.6698904853676301E-8</v>
          </cell>
          <cell r="D44">
            <v>1.21387107098253E-8</v>
          </cell>
          <cell r="E44">
            <v>2.4048645689022301E-8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3.1801650507618999E-5</v>
          </cell>
        </row>
        <row r="48">
          <cell r="B48">
            <v>0</v>
          </cell>
          <cell r="C48">
            <v>3.6151709307951818E-5</v>
          </cell>
          <cell r="D48">
            <v>9.4368435150526997E-8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7.701321675011561E-7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1.796585766999992E-6</v>
          </cell>
        </row>
        <row r="51">
          <cell r="B51">
            <v>0</v>
          </cell>
          <cell r="C51">
            <v>1.04636750250073E-4</v>
          </cell>
          <cell r="D51">
            <v>4.2282536963265729E-7</v>
          </cell>
          <cell r="E51">
            <v>3.45164196397029E-8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2.7153873415405197E-6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3.22523526235424E-6</v>
          </cell>
        </row>
        <row r="54">
          <cell r="B54">
            <v>0</v>
          </cell>
          <cell r="C54">
            <v>2.6187181431673302E-2</v>
          </cell>
          <cell r="D54">
            <v>6.5661032912017201E-3</v>
          </cell>
          <cell r="E54">
            <v>1.22210139226939E-2</v>
          </cell>
        </row>
        <row r="55">
          <cell r="B55">
            <v>0</v>
          </cell>
          <cell r="C55">
            <v>2.7170740878326799E-2</v>
          </cell>
          <cell r="D55">
            <v>1.33784884002385E-8</v>
          </cell>
          <cell r="E55">
            <v>2.1006864876620199E-8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3.4333028508195999E-6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1.37250391558667E-6</v>
          </cell>
        </row>
        <row r="63">
          <cell r="B63">
            <v>0</v>
          </cell>
          <cell r="C63">
            <v>8.4795812707926096E-8</v>
          </cell>
          <cell r="D63">
            <v>8.6838575934311005E-8</v>
          </cell>
          <cell r="E63">
            <v>8.4290698011414404E-8</v>
          </cell>
        </row>
        <row r="64">
          <cell r="B64">
            <v>2.27130938849804E-4</v>
          </cell>
          <cell r="C64">
            <v>2.86598755482789E-7</v>
          </cell>
          <cell r="D64">
            <v>6.0743992761981298E-3</v>
          </cell>
          <cell r="E64">
            <v>2.0257101790822098E-2</v>
          </cell>
        </row>
        <row r="65">
          <cell r="B65">
            <v>1.6545657109003699E-4</v>
          </cell>
          <cell r="C65">
            <v>2.1387204600278399E-7</v>
          </cell>
          <cell r="D65">
            <v>3.7181924230773101E-3</v>
          </cell>
          <cell r="E65">
            <v>1.05546537276884E-2</v>
          </cell>
        </row>
        <row r="66">
          <cell r="B66">
            <v>1.5873746779717E-4</v>
          </cell>
          <cell r="C66">
            <v>2.6147105143463598E-7</v>
          </cell>
          <cell r="D66">
            <v>6.9322770828444E-2</v>
          </cell>
          <cell r="E66">
            <v>8.3760384804503901E-2</v>
          </cell>
        </row>
        <row r="67">
          <cell r="B67">
            <v>3.1479725580527303E-4</v>
          </cell>
          <cell r="C67">
            <v>5.1691208332084695E-7</v>
          </cell>
          <cell r="D67">
            <v>0.12776561605488129</v>
          </cell>
          <cell r="E67">
            <v>6.9803953939970103E-4</v>
          </cell>
        </row>
        <row r="68">
          <cell r="B68">
            <v>3.0864747361540297E-4</v>
          </cell>
          <cell r="C68">
            <v>5.08797203939092E-7</v>
          </cell>
          <cell r="D68">
            <v>3.7927368718747898E-2</v>
          </cell>
          <cell r="E68">
            <v>1.2060377406137549E-3</v>
          </cell>
        </row>
        <row r="69">
          <cell r="B69">
            <v>1.59257725138859E-4</v>
          </cell>
          <cell r="C69">
            <v>2.62092700841697E-7</v>
          </cell>
          <cell r="D69">
            <v>0.123928278686293</v>
          </cell>
          <cell r="E69">
            <v>8.6329915471033795E-4</v>
          </cell>
        </row>
      </sheetData>
      <sheetData sheetId="62"/>
      <sheetData sheetId="63"/>
      <sheetData sheetId="64"/>
      <sheetData sheetId="65"/>
      <sheetData sheetId="66"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</row>
      </sheetData>
      <sheetData sheetId="67">
        <row r="5">
          <cell r="B5">
            <v>0.64505964940675253</v>
          </cell>
          <cell r="C5">
            <v>0.63725221790630937</v>
          </cell>
          <cell r="D5">
            <v>1.2038229470264161</v>
          </cell>
          <cell r="E5">
            <v>4.0322246870264504E-5</v>
          </cell>
        </row>
        <row r="12">
          <cell r="B12">
            <v>0.22985656360389739</v>
          </cell>
          <cell r="C12">
            <v>1.1249629377452704E-5</v>
          </cell>
          <cell r="D12">
            <v>0.22985781698420915</v>
          </cell>
          <cell r="E12">
            <v>1.8346684366102156E-5</v>
          </cell>
        </row>
        <row r="19">
          <cell r="B19">
            <v>1.3280019752265102</v>
          </cell>
          <cell r="C19">
            <v>4.2362056033759155</v>
          </cell>
          <cell r="D19">
            <v>4.3847312883975667</v>
          </cell>
          <cell r="E19">
            <v>4.384764263299056</v>
          </cell>
        </row>
        <row r="20">
          <cell r="B20">
            <v>5.629412979512491</v>
          </cell>
          <cell r="C20">
            <v>6.2382338806993749</v>
          </cell>
          <cell r="D20">
            <v>6.029047941182804</v>
          </cell>
          <cell r="E20">
            <v>6.2187592720217086</v>
          </cell>
        </row>
        <row r="21">
          <cell r="B21">
            <v>0</v>
          </cell>
          <cell r="C21">
            <v>2.9924828619671559E-5</v>
          </cell>
          <cell r="D21">
            <v>6.4414245245076102E-5</v>
          </cell>
          <cell r="E21">
            <v>7.3680301321450307E-5</v>
          </cell>
        </row>
        <row r="28">
          <cell r="B28">
            <v>2.5538869309411267E-3</v>
          </cell>
          <cell r="C28">
            <v>2.6010142187142629E-3</v>
          </cell>
          <cell r="D28">
            <v>2.6005748133837692E-3</v>
          </cell>
          <cell r="E28">
            <v>2.600261201527487E-3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8">
          <cell r="B38">
            <v>1.2890720728256426</v>
          </cell>
          <cell r="C38">
            <v>4.6716855195331997</v>
          </cell>
          <cell r="D38">
            <v>4.5089454363978714</v>
          </cell>
          <cell r="E38">
            <v>4.5089074625673478</v>
          </cell>
        </row>
        <row r="39">
          <cell r="B39">
            <v>1.1764723346029966</v>
          </cell>
          <cell r="C39">
            <v>4.2636163528457924</v>
          </cell>
          <cell r="D39">
            <v>4.1150915266737194</v>
          </cell>
          <cell r="E39">
            <v>4.11505686983645</v>
          </cell>
        </row>
      </sheetData>
      <sheetData sheetId="68">
        <row r="3">
          <cell r="B3">
            <v>48.063397652170998</v>
          </cell>
          <cell r="C3">
            <v>49.195461773834658</v>
          </cell>
          <cell r="D3">
            <v>51.968433951332621</v>
          </cell>
          <cell r="E3">
            <v>53.376898095454827</v>
          </cell>
        </row>
        <row r="6">
          <cell r="B6">
            <v>0</v>
          </cell>
          <cell r="C6">
            <v>1.8405401942699688</v>
          </cell>
          <cell r="D6">
            <v>1.8405392445252828</v>
          </cell>
          <cell r="E6">
            <v>1.841359206333768</v>
          </cell>
        </row>
        <row r="11">
          <cell r="B11">
            <v>60.07001492343538</v>
          </cell>
          <cell r="C11">
            <v>61.585624125267366</v>
          </cell>
          <cell r="D11">
            <v>64.629933566078819</v>
          </cell>
          <cell r="E11">
            <v>67.246281769433907</v>
          </cell>
        </row>
        <row r="18">
          <cell r="B18">
            <v>3.5600044603966894</v>
          </cell>
          <cell r="C18">
            <v>3.464717415452482</v>
          </cell>
          <cell r="D18">
            <v>3.3403267487415373</v>
          </cell>
          <cell r="E18">
            <v>2.3688697598404625E-4</v>
          </cell>
        </row>
        <row r="19">
          <cell r="B19">
            <v>12.728644643289989</v>
          </cell>
          <cell r="C19">
            <v>13.638427482139384</v>
          </cell>
          <cell r="D19">
            <v>13.954535867209007</v>
          </cell>
          <cell r="E19">
            <v>15.337062167562612</v>
          </cell>
        </row>
        <row r="21">
          <cell r="B21">
            <v>7.7980455576488188</v>
          </cell>
          <cell r="C21">
            <v>8.0801506269820464</v>
          </cell>
          <cell r="D21">
            <v>11.036651992679024</v>
          </cell>
          <cell r="E21">
            <v>10.913845350247737</v>
          </cell>
        </row>
        <row r="22">
          <cell r="B22">
            <v>6.7641181729311065E-2</v>
          </cell>
          <cell r="C22">
            <v>8.5491523208523268E-2</v>
          </cell>
          <cell r="D22">
            <v>8.419430149156891E-2</v>
          </cell>
          <cell r="E22">
            <v>8.5486550814930021E-2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0.74847265314895872</v>
          </cell>
          <cell r="C24">
            <v>0.94973041973511985</v>
          </cell>
          <cell r="D24">
            <v>0.96763560947960825</v>
          </cell>
          <cell r="E24">
            <v>2.7543819951566579</v>
          </cell>
        </row>
        <row r="33">
          <cell r="B33">
            <v>12.006617271264387</v>
          </cell>
          <cell r="C33">
            <v>12.710041369816869</v>
          </cell>
          <cell r="D33">
            <v>12.981378440889857</v>
          </cell>
          <cell r="E33">
            <v>14.189558373781807</v>
          </cell>
        </row>
        <row r="34">
          <cell r="B34">
            <v>8.8978100102315807</v>
          </cell>
          <cell r="C34">
            <v>8.1049791533429705</v>
          </cell>
          <cell r="D34">
            <v>8.2566838481507698</v>
          </cell>
          <cell r="E34">
            <v>5.9025186964543765</v>
          </cell>
        </row>
        <row r="35">
          <cell r="B35">
            <v>2.7300043049484755</v>
          </cell>
          <cell r="C35">
            <v>2.7182407459178735</v>
          </cell>
          <cell r="D35">
            <v>1.1675918814892839E-3</v>
          </cell>
          <cell r="E35">
            <v>2.1361049538120043E-4</v>
          </cell>
        </row>
        <row r="36">
          <cell r="B36">
            <v>0</v>
          </cell>
          <cell r="C36">
            <v>0</v>
          </cell>
          <cell r="D36">
            <v>2.4991290934578744E-5</v>
          </cell>
          <cell r="E36">
            <v>0.82020612674500781</v>
          </cell>
        </row>
        <row r="37">
          <cell r="B37">
            <v>35.241713890709484</v>
          </cell>
          <cell r="C37">
            <v>32.195431459920798</v>
          </cell>
          <cell r="D37">
            <v>30.88433310601064</v>
          </cell>
          <cell r="E37">
            <v>27.911397509570108</v>
          </cell>
        </row>
        <row r="38">
          <cell r="B38">
            <v>0.3106472960880986</v>
          </cell>
          <cell r="C38">
            <v>1.8743633474667863E-5</v>
          </cell>
          <cell r="D38">
            <v>2.7573369355255473</v>
          </cell>
          <cell r="E38">
            <v>3.0941189834217866</v>
          </cell>
        </row>
        <row r="39">
          <cell r="B39">
            <v>0.43672788829695591</v>
          </cell>
          <cell r="C39">
            <v>0.552066785112303</v>
          </cell>
          <cell r="D39">
            <v>1.7181878395373353</v>
          </cell>
          <cell r="E39">
            <v>4.5887008579231034</v>
          </cell>
        </row>
        <row r="55">
          <cell r="B55">
            <v>9.8138948399438988</v>
          </cell>
          <cell r="C55">
            <v>10.33508315108238</v>
          </cell>
          <cell r="D55">
            <v>10.576617256713416</v>
          </cell>
          <cell r="E55">
            <v>10.937121345826959</v>
          </cell>
        </row>
        <row r="56">
          <cell r="B56">
            <v>1.1081457819623317</v>
          </cell>
          <cell r="C56">
            <v>1.4007935947799854</v>
          </cell>
          <cell r="D56">
            <v>1.4010974392223721</v>
          </cell>
          <cell r="E56">
            <v>3.9852394058452272</v>
          </cell>
        </row>
        <row r="57">
          <cell r="B57">
            <v>6.9177103428533977</v>
          </cell>
          <cell r="C57">
            <v>6.3115084394813961</v>
          </cell>
          <cell r="D57">
            <v>6.4452407187836736</v>
          </cell>
          <cell r="E57">
            <v>5.2689416257412374</v>
          </cell>
        </row>
        <row r="58">
          <cell r="B58">
            <v>1.8458241606832879</v>
          </cell>
          <cell r="C58">
            <v>1.845821378515532</v>
          </cell>
          <cell r="D58">
            <v>7.9797607650533195E-4</v>
          </cell>
          <cell r="E58">
            <v>1.4755144968456413E-4</v>
          </cell>
        </row>
        <row r="59">
          <cell r="B59">
            <v>28.619769183654057</v>
          </cell>
          <cell r="C59">
            <v>25.940130340218875</v>
          </cell>
          <cell r="D59">
            <v>27.129610248367513</v>
          </cell>
          <cell r="E59">
            <v>25.057325745743384</v>
          </cell>
        </row>
        <row r="60">
          <cell r="B60">
            <v>0</v>
          </cell>
          <cell r="C60">
            <v>0</v>
          </cell>
          <cell r="D60">
            <v>2.642700299469216E-2</v>
          </cell>
          <cell r="E60">
            <v>2.7232758394501656E-2</v>
          </cell>
        </row>
        <row r="61">
          <cell r="B61">
            <v>2.3674029661637963</v>
          </cell>
          <cell r="C61">
            <v>2.3075017986913506</v>
          </cell>
          <cell r="D61">
            <v>2.2296681047849765</v>
          </cell>
          <cell r="E61">
            <v>1.5871427390931096E-4</v>
          </cell>
        </row>
        <row r="62">
          <cell r="B62">
            <v>5.1850560883247825</v>
          </cell>
          <cell r="C62">
            <v>5.5675584428525999</v>
          </cell>
          <cell r="D62">
            <v>5.8792076071780022</v>
          </cell>
          <cell r="E62">
            <v>7.202313811396686</v>
          </cell>
        </row>
        <row r="63">
          <cell r="B63">
            <v>6.5822737364857833</v>
          </cell>
          <cell r="C63">
            <v>7.0678494946773647</v>
          </cell>
          <cell r="D63">
            <v>7.0905080570527623</v>
          </cell>
          <cell r="E63">
            <v>7.1282808160922153</v>
          </cell>
        </row>
        <row r="64">
          <cell r="B64">
            <v>5.3111240812657341</v>
          </cell>
          <cell r="C64">
            <v>6.2669396196579381</v>
          </cell>
          <cell r="D64">
            <v>6.0336283593019617</v>
          </cell>
          <cell r="E64">
            <v>6.1244687297876785</v>
          </cell>
        </row>
        <row r="65">
          <cell r="B65">
            <v>0.46151963789818995</v>
          </cell>
          <cell r="C65">
            <v>0.54457578943301721</v>
          </cell>
          <cell r="D65">
            <v>0.54462772317199415</v>
          </cell>
          <cell r="E65">
            <v>0.54462916795666838</v>
          </cell>
        </row>
        <row r="66">
          <cell r="B66">
            <v>4.1173680544385762</v>
          </cell>
          <cell r="C66">
            <v>4.2663195310465181</v>
          </cell>
          <cell r="D66">
            <v>5.8273522521345233</v>
          </cell>
          <cell r="E66">
            <v>5.7625103449308108</v>
          </cell>
        </row>
        <row r="67">
          <cell r="B67">
            <v>6.7641181729311065E-2</v>
          </cell>
          <cell r="C67">
            <v>8.5491523208523268E-2</v>
          </cell>
          <cell r="D67">
            <v>8.419430149156891E-2</v>
          </cell>
          <cell r="E67">
            <v>8.5486550814930021E-2</v>
          </cell>
        </row>
        <row r="68">
          <cell r="B68">
            <v>0.31051352857913567</v>
          </cell>
          <cell r="C68">
            <v>0.3925194842148475</v>
          </cell>
          <cell r="D68">
            <v>1.2216315539110449</v>
          </cell>
          <cell r="E68">
            <v>3.2625663099833249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</row>
        <row r="70">
          <cell r="B70">
            <v>0</v>
          </cell>
          <cell r="C70">
            <v>1.5206604623210096</v>
          </cell>
          <cell r="D70">
            <v>1.5206596776387744</v>
          </cell>
          <cell r="E70">
            <v>1.5211894795154641</v>
          </cell>
        </row>
        <row r="71">
          <cell r="B71">
            <v>72.708243583982281</v>
          </cell>
          <cell r="C71">
            <v>73.852753050181306</v>
          </cell>
          <cell r="D71">
            <v>76.011268278823763</v>
          </cell>
          <cell r="E71">
            <v>76.907612357752697</v>
          </cell>
        </row>
      </sheetData>
      <sheetData sheetId="69">
        <row r="3">
          <cell r="B3">
            <v>56.994774574912441</v>
          </cell>
          <cell r="C3">
            <v>58.701894564490466</v>
          </cell>
          <cell r="D3">
            <v>58.514299984879372</v>
          </cell>
          <cell r="E3">
            <v>58.51574783260034</v>
          </cell>
        </row>
        <row r="6">
          <cell r="B6">
            <v>0</v>
          </cell>
          <cell r="C6">
            <v>6.9643117502210981</v>
          </cell>
          <cell r="D6">
            <v>2.2375721213979114</v>
          </cell>
          <cell r="E6">
            <v>4.0645233314683571</v>
          </cell>
        </row>
        <row r="11">
          <cell r="B11">
            <v>60.950012993458756</v>
          </cell>
          <cell r="C11">
            <v>60.772354382465515</v>
          </cell>
          <cell r="D11">
            <v>61.297766763411531</v>
          </cell>
          <cell r="E11">
            <v>61.728948601616267</v>
          </cell>
        </row>
        <row r="12">
          <cell r="B12">
            <v>30.256634055456193</v>
          </cell>
          <cell r="C12">
            <v>26.400372028683567</v>
          </cell>
          <cell r="D12">
            <v>27.0577555788281</v>
          </cell>
          <cell r="E12">
            <v>19.55712571454012</v>
          </cell>
        </row>
        <row r="13">
          <cell r="B13">
            <v>0</v>
          </cell>
          <cell r="C13">
            <v>0</v>
          </cell>
          <cell r="D13">
            <v>2.1385234244311305E-5</v>
          </cell>
          <cell r="E13">
            <v>6.5950739768542421E-5</v>
          </cell>
        </row>
        <row r="14">
          <cell r="B14">
            <v>25.260291123940856</v>
          </cell>
          <cell r="C14">
            <v>24.977783818816171</v>
          </cell>
          <cell r="D14">
            <v>24.453278760161044</v>
          </cell>
          <cell r="E14">
            <v>22.682945914576919</v>
          </cell>
        </row>
        <row r="15">
          <cell r="B15">
            <v>0.28839652393049381</v>
          </cell>
          <cell r="C15">
            <v>1.7719980092627461</v>
          </cell>
          <cell r="D15">
            <v>0.46315466748991557</v>
          </cell>
          <cell r="E15">
            <v>6.9432504944597865E-4</v>
          </cell>
        </row>
        <row r="16">
          <cell r="B16">
            <v>1.4022788770303827</v>
          </cell>
          <cell r="C16">
            <v>1.5372259007775346</v>
          </cell>
          <cell r="D16">
            <v>0</v>
          </cell>
          <cell r="E16">
            <v>0</v>
          </cell>
        </row>
        <row r="17">
          <cell r="B17">
            <v>7.7268858741017405</v>
          </cell>
          <cell r="C17">
            <v>8.3696933978694918</v>
          </cell>
          <cell r="D17">
            <v>5.9892066213564963</v>
          </cell>
          <cell r="E17">
            <v>6.9909215167352032</v>
          </cell>
        </row>
        <row r="19">
          <cell r="B19">
            <v>0.62699637824958021</v>
          </cell>
          <cell r="C19">
            <v>0.68733688927713943</v>
          </cell>
          <cell r="D19">
            <v>0.52379311326975142</v>
          </cell>
          <cell r="E19">
            <v>0.61029278424826483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2.9295877734153501</v>
          </cell>
          <cell r="C21">
            <v>3.1924505167333601</v>
          </cell>
          <cell r="D21">
            <v>3.9068718489460488</v>
          </cell>
          <cell r="E21">
            <v>6.7203620348808482</v>
          </cell>
        </row>
        <row r="28">
          <cell r="B28">
            <v>3.9552384185463154</v>
          </cell>
          <cell r="C28">
            <v>2.0704598179750504</v>
          </cell>
          <cell r="D28">
            <v>2.7834667785321514</v>
          </cell>
          <cell r="E28">
            <v>3.2132007690159163</v>
          </cell>
        </row>
        <row r="47">
          <cell r="B47">
            <v>4.2612185795132396</v>
          </cell>
          <cell r="C47">
            <v>4.6176516402750387</v>
          </cell>
          <cell r="D47">
            <v>4.7664917213640079</v>
          </cell>
          <cell r="E47">
            <v>7.5118334938063009</v>
          </cell>
        </row>
        <row r="48">
          <cell r="B48">
            <v>24.843069628867219</v>
          </cell>
          <cell r="C48">
            <v>21.719700361978994</v>
          </cell>
          <cell r="D48">
            <v>21.493883801556422</v>
          </cell>
          <cell r="E48">
            <v>15.849715032645875</v>
          </cell>
        </row>
        <row r="49">
          <cell r="B49">
            <v>24.189714900644145</v>
          </cell>
          <cell r="C49">
            <v>25.326921092542829</v>
          </cell>
          <cell r="D49">
            <v>20.5470425238986</v>
          </cell>
          <cell r="E49">
            <v>18.075175015545405</v>
          </cell>
        </row>
        <row r="50">
          <cell r="B50">
            <v>0</v>
          </cell>
          <cell r="C50">
            <v>0</v>
          </cell>
          <cell r="D50">
            <v>1.7217033205497339</v>
          </cell>
          <cell r="E50">
            <v>3.4536906775593574</v>
          </cell>
        </row>
        <row r="51">
          <cell r="B51">
            <v>2.0957156773978651</v>
          </cell>
          <cell r="C51">
            <v>2.2700604344124597</v>
          </cell>
          <cell r="D51">
            <v>0</v>
          </cell>
          <cell r="E51">
            <v>0</v>
          </cell>
        </row>
        <row r="52">
          <cell r="B52">
            <v>5.5539013379628575</v>
          </cell>
          <cell r="C52">
            <v>6.0159360294783326</v>
          </cell>
          <cell r="D52">
            <v>4.9302573283011286</v>
          </cell>
          <cell r="E52">
            <v>5.7793794550250759</v>
          </cell>
        </row>
        <row r="53">
          <cell r="B53">
            <v>6.1735456032767795</v>
          </cell>
          <cell r="C53">
            <v>6.8807335819935878</v>
          </cell>
          <cell r="D53">
            <v>6.1542998136493985</v>
          </cell>
          <cell r="E53">
            <v>6.278426986203284</v>
          </cell>
        </row>
        <row r="54">
          <cell r="B54">
            <v>1.8770715308791384</v>
          </cell>
          <cell r="C54">
            <v>2.1600830818836454</v>
          </cell>
          <cell r="D54">
            <v>0.42489618913846366</v>
          </cell>
          <cell r="E54">
            <v>0.71393835559870633</v>
          </cell>
        </row>
        <row r="55">
          <cell r="B55">
            <v>0.62699637824958021</v>
          </cell>
          <cell r="C55">
            <v>0.68733688927713943</v>
          </cell>
          <cell r="D55">
            <v>0.52379311326975142</v>
          </cell>
          <cell r="E55">
            <v>0.61029278424826483</v>
          </cell>
        </row>
        <row r="56">
          <cell r="B56">
            <v>1.2230676365458992</v>
          </cell>
          <cell r="C56">
            <v>1.340768430658166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6.9643117502210981</v>
          </cell>
          <cell r="D58">
            <v>2.2375721213979114</v>
          </cell>
          <cell r="E58">
            <v>4.0645233314683571</v>
          </cell>
        </row>
        <row r="59">
          <cell r="B59">
            <v>73.238343219695921</v>
          </cell>
          <cell r="C59">
            <v>78.573914998127819</v>
          </cell>
          <cell r="D59">
            <v>63.321895988711674</v>
          </cell>
          <cell r="E59">
            <v>62.691426460253616</v>
          </cell>
        </row>
      </sheetData>
      <sheetData sheetId="70">
        <row r="3">
          <cell r="B3">
            <v>44.576905675476212</v>
          </cell>
          <cell r="C3">
            <v>44.861180662748197</v>
          </cell>
          <cell r="D3">
            <v>49.523391932068883</v>
          </cell>
          <cell r="E3">
            <v>50.016883451970948</v>
          </cell>
        </row>
        <row r="10">
          <cell r="B10">
            <v>4.4947373750853725E-2</v>
          </cell>
          <cell r="C10">
            <v>8.1783676962274736</v>
          </cell>
          <cell r="D10">
            <v>5.1188932621152974</v>
          </cell>
          <cell r="E10">
            <v>9.2440915833001114</v>
          </cell>
        </row>
        <row r="15">
          <cell r="B15">
            <v>69.470033851746962</v>
          </cell>
          <cell r="C15">
            <v>70.028411723656916</v>
          </cell>
          <cell r="D15">
            <v>69.491915727101642</v>
          </cell>
          <cell r="E15">
            <v>70.760390832898594</v>
          </cell>
        </row>
        <row r="16">
          <cell r="B16">
            <v>60.231828915783481</v>
          </cell>
          <cell r="C16">
            <v>51.320008617506552</v>
          </cell>
          <cell r="D16">
            <v>50.991262938038375</v>
          </cell>
          <cell r="E16">
            <v>33.332629373233573</v>
          </cell>
        </row>
        <row r="17">
          <cell r="B17">
            <v>0</v>
          </cell>
          <cell r="C17">
            <v>0</v>
          </cell>
          <cell r="D17">
            <v>2.1456804431857636E-5</v>
          </cell>
          <cell r="E17">
            <v>6.627843330687327E-5</v>
          </cell>
        </row>
        <row r="18">
          <cell r="B18">
            <v>46.691551575696771</v>
          </cell>
          <cell r="C18">
            <v>45.248017789277483</v>
          </cell>
          <cell r="D18">
            <v>47.61151836864952</v>
          </cell>
          <cell r="E18">
            <v>43.564118781118502</v>
          </cell>
        </row>
        <row r="19">
          <cell r="B19">
            <v>0.31036786950997175</v>
          </cell>
          <cell r="C19">
            <v>2.3471514137136982</v>
          </cell>
          <cell r="D19">
            <v>0.52848935319942258</v>
          </cell>
          <cell r="E19">
            <v>6.9646377635419656E-4</v>
          </cell>
        </row>
        <row r="20">
          <cell r="B20">
            <v>0.10000087481723838</v>
          </cell>
          <cell r="C20">
            <v>0.10000064147796808</v>
          </cell>
          <cell r="D20">
            <v>2.6953289373847958E-2</v>
          </cell>
          <cell r="E20">
            <v>6.0615561167295905E-3</v>
          </cell>
        </row>
        <row r="21">
          <cell r="B21">
            <v>8.4154782471943737</v>
          </cell>
          <cell r="C21">
            <v>9.67146109314284</v>
          </cell>
          <cell r="D21">
            <v>8.3537854965563145</v>
          </cell>
          <cell r="E21">
            <v>9.4662594568640426</v>
          </cell>
        </row>
        <row r="22">
          <cell r="B22">
            <v>16.991209788510226</v>
          </cell>
          <cell r="C22">
            <v>17.714327403802947</v>
          </cell>
          <cell r="D22">
            <v>17.008792778189399</v>
          </cell>
          <cell r="E22">
            <v>16.518899425525213</v>
          </cell>
        </row>
        <row r="23">
          <cell r="B23">
            <v>2.5068274400828376</v>
          </cell>
          <cell r="C23">
            <v>2.9280139363750326</v>
          </cell>
          <cell r="D23">
            <v>0.93532387787510463</v>
          </cell>
          <cell r="E23">
            <v>1.1101405338707628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</row>
        <row r="25">
          <cell r="B25">
            <v>15.194984055049646</v>
          </cell>
          <cell r="C25">
            <v>17.635318453189043</v>
          </cell>
          <cell r="D25">
            <v>25.40511120661521</v>
          </cell>
          <cell r="E25">
            <v>36.423324705367293</v>
          </cell>
        </row>
        <row r="26">
          <cell r="B26">
            <v>219.91228261839149</v>
          </cell>
          <cell r="C26">
            <v>216.99271107214253</v>
          </cell>
          <cell r="D26">
            <v>220.35317449240327</v>
          </cell>
          <cell r="E26">
            <v>211.18258740720438</v>
          </cell>
        </row>
        <row r="102">
          <cell r="B102">
            <v>8.9080130703557643</v>
          </cell>
          <cell r="C102">
            <v>7.8831623706678933</v>
          </cell>
          <cell r="D102">
            <v>0.83392771630437856</v>
          </cell>
          <cell r="E102">
            <v>0.22621841137272364</v>
          </cell>
        </row>
        <row r="104">
          <cell r="B104">
            <v>19.060343258291716</v>
          </cell>
          <cell r="C104">
            <v>22.07014907416902</v>
          </cell>
          <cell r="D104">
            <v>31.190550991056536</v>
          </cell>
          <cell r="E104">
            <v>39.677370569549588</v>
          </cell>
        </row>
        <row r="105">
          <cell r="B105">
            <v>45.124394631453718</v>
          </cell>
          <cell r="C105">
            <v>38.53718010888177</v>
          </cell>
          <cell r="D105">
            <v>35.664179462760892</v>
          </cell>
          <cell r="E105">
            <v>23.874396835014501</v>
          </cell>
        </row>
        <row r="106">
          <cell r="B106">
            <v>36.569918490616288</v>
          </cell>
          <cell r="C106">
            <v>38.724976350030296</v>
          </cell>
          <cell r="D106">
            <v>32.834148891139904</v>
          </cell>
          <cell r="E106">
            <v>27.849842249207754</v>
          </cell>
        </row>
        <row r="107">
          <cell r="B107">
            <v>0</v>
          </cell>
          <cell r="C107">
            <v>0</v>
          </cell>
          <cell r="D107">
            <v>4.399792038962496</v>
          </cell>
          <cell r="E107">
            <v>9.3573957163317019</v>
          </cell>
        </row>
        <row r="108">
          <cell r="B108">
            <v>7.2000629868411645E-2</v>
          </cell>
          <cell r="C108">
            <v>7.2000461864137069E-2</v>
          </cell>
          <cell r="D108">
            <v>2.1543782378820975E-2</v>
          </cell>
          <cell r="E108">
            <v>4.8487062290993458E-3</v>
          </cell>
        </row>
        <row r="109">
          <cell r="B109">
            <v>7.850397182183963E-2</v>
          </cell>
          <cell r="C109">
            <v>5.085287618143251E-3</v>
          </cell>
          <cell r="D109">
            <v>0</v>
          </cell>
          <cell r="E109">
            <v>0</v>
          </cell>
        </row>
        <row r="110">
          <cell r="B110">
            <v>6.5594773709658787</v>
          </cell>
          <cell r="C110">
            <v>7.6930519625798857</v>
          </cell>
          <cell r="D110">
            <v>5.8862265040764612</v>
          </cell>
          <cell r="E110">
            <v>6.6017962709459468</v>
          </cell>
        </row>
        <row r="111">
          <cell r="B111">
            <v>9.1310770474944682</v>
          </cell>
          <cell r="C111">
            <v>9.1352576792618922</v>
          </cell>
          <cell r="D111">
            <v>9.8809311262269262</v>
          </cell>
          <cell r="E111">
            <v>9.3222701913975055</v>
          </cell>
        </row>
        <row r="112">
          <cell r="B112">
            <v>2.6968886507046301</v>
          </cell>
          <cell r="C112">
            <v>3.1682220538640093</v>
          </cell>
          <cell r="D112">
            <v>0.33866507657896777</v>
          </cell>
          <cell r="E112">
            <v>0.53529597735031631</v>
          </cell>
        </row>
        <row r="113">
          <cell r="B113">
            <v>0.78533941542298669</v>
          </cell>
          <cell r="C113">
            <v>0.94128629309483069</v>
          </cell>
          <cell r="D113">
            <v>3.0776095350368664E-2</v>
          </cell>
          <cell r="E113">
            <v>3.5919727013563503E-2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6">
          <cell r="B116">
            <v>129.03090391074656</v>
          </cell>
          <cell r="C116">
            <v>136.40873933825935</v>
          </cell>
          <cell r="D116">
            <v>126.19963494695105</v>
          </cell>
          <cell r="E116">
            <v>126.72944623771281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</row>
        <row r="224">
          <cell r="B224">
            <v>26.978307937597791</v>
          </cell>
          <cell r="C224">
            <v>25.930006720386537</v>
          </cell>
          <cell r="D224">
            <v>21.653224432401725</v>
          </cell>
          <cell r="E224">
            <v>22.580872169497709</v>
          </cell>
        </row>
        <row r="231">
          <cell r="B231">
            <v>15.552714927325264</v>
          </cell>
          <cell r="C231">
            <v>14.851871449951048</v>
          </cell>
          <cell r="D231">
            <v>3.6556755878107232</v>
          </cell>
          <cell r="E231">
            <v>2.454576032230714</v>
          </cell>
        </row>
        <row r="233">
          <cell r="B233">
            <v>22.300241358965852</v>
          </cell>
          <cell r="C233">
            <v>25.705608760658137</v>
          </cell>
          <cell r="D233">
            <v>35.929866095932262</v>
          </cell>
          <cell r="E233">
            <v>46.665327366105842</v>
          </cell>
        </row>
        <row r="234">
          <cell r="B234">
            <v>52.108852885495892</v>
          </cell>
          <cell r="C234">
            <v>44.469480195460001</v>
          </cell>
          <cell r="D234">
            <v>40.340318556683478</v>
          </cell>
          <cell r="E234">
            <v>26.976189604638598</v>
          </cell>
        </row>
        <row r="235">
          <cell r="B235">
            <v>42.950369792455874</v>
          </cell>
          <cell r="C235">
            <v>43.876331647061591</v>
          </cell>
          <cell r="D235">
            <v>38.25338556544812</v>
          </cell>
          <cell r="E235">
            <v>32.294727256811704</v>
          </cell>
        </row>
        <row r="236">
          <cell r="B236">
            <v>0</v>
          </cell>
          <cell r="C236">
            <v>0</v>
          </cell>
          <cell r="D236">
            <v>5.2977690718722528</v>
          </cell>
          <cell r="E236">
            <v>11.54909421214407</v>
          </cell>
        </row>
        <row r="238">
          <cell r="B238">
            <v>9.4079968457669666E-2</v>
          </cell>
          <cell r="C238">
            <v>6.0519745008398114E-3</v>
          </cell>
          <cell r="D238">
            <v>0</v>
          </cell>
          <cell r="E238">
            <v>0</v>
          </cell>
        </row>
        <row r="239">
          <cell r="B239">
            <v>7.8609452469459349</v>
          </cell>
          <cell r="C239">
            <v>9.1554613636914652</v>
          </cell>
          <cell r="D239">
            <v>6.8394732694590488</v>
          </cell>
          <cell r="E239">
            <v>7.777002426806753</v>
          </cell>
        </row>
        <row r="240">
          <cell r="B240">
            <v>9.6515494113814331</v>
          </cell>
          <cell r="C240">
            <v>9.7324992938999522</v>
          </cell>
          <cell r="D240">
            <v>11.03901434662316</v>
          </cell>
          <cell r="E240">
            <v>10.55977445765782</v>
          </cell>
        </row>
        <row r="241">
          <cell r="B241">
            <v>2.866682813614319</v>
          </cell>
          <cell r="C241">
            <v>3.3630592789562135</v>
          </cell>
          <cell r="D241">
            <v>0.42159596315450532</v>
          </cell>
          <cell r="E241">
            <v>0.67454622741504311</v>
          </cell>
        </row>
        <row r="242">
          <cell r="B242">
            <v>2.5068274400828376</v>
          </cell>
          <cell r="C242">
            <v>2.9280139363750326</v>
          </cell>
          <cell r="D242">
            <v>0.93532387787510463</v>
          </cell>
          <cell r="E242">
            <v>1.1101405338707628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</row>
        <row r="244">
          <cell r="B244">
            <v>4.4947373750853725E-2</v>
          </cell>
          <cell r="C244">
            <v>8.1783676962274736</v>
          </cell>
          <cell r="D244">
            <v>5.1188932621152974</v>
          </cell>
          <cell r="E244">
            <v>9.2440915833001114</v>
          </cell>
        </row>
        <row r="245">
          <cell r="B245">
            <v>156.00921184834434</v>
          </cell>
          <cell r="C245">
            <v>162.33874605864591</v>
          </cell>
          <cell r="D245">
            <v>147.85285937935279</v>
          </cell>
          <cell r="E245">
            <v>149.31031840721053</v>
          </cell>
        </row>
      </sheetData>
      <sheetData sheetId="71">
        <row r="21">
          <cell r="B21">
            <v>79.354663510567534</v>
          </cell>
          <cell r="C21">
            <v>73.603470402504982</v>
          </cell>
          <cell r="D21">
            <v>70.014553330766063</v>
          </cell>
          <cell r="E21">
            <v>42.214258493813958</v>
          </cell>
        </row>
        <row r="22">
          <cell r="B22">
            <v>115.79772931063417</v>
          </cell>
          <cell r="C22">
            <v>111.02979220813491</v>
          </cell>
          <cell r="D22">
            <v>94.341316534967731</v>
          </cell>
          <cell r="E22">
            <v>68.120034325751902</v>
          </cell>
        </row>
        <row r="23">
          <cell r="B23">
            <v>1.0926909124886075</v>
          </cell>
          <cell r="C23">
            <v>1.3845515212228099</v>
          </cell>
          <cell r="D23">
            <v>1.8212919412603208</v>
          </cell>
          <cell r="E23">
            <v>2.5340194982234054</v>
          </cell>
        </row>
        <row r="24">
          <cell r="B24">
            <v>0.28617981138259824</v>
          </cell>
          <cell r="C24">
            <v>0.14034321461388932</v>
          </cell>
          <cell r="D24">
            <v>0.20102813473767725</v>
          </cell>
          <cell r="E24">
            <v>6.3112025813903787E-3</v>
          </cell>
        </row>
        <row r="25">
          <cell r="B25">
            <v>4.5954644657504549</v>
          </cell>
          <cell r="C25">
            <v>4.262420366208878</v>
          </cell>
          <cell r="D25">
            <v>4.0545696169958756</v>
          </cell>
          <cell r="E25">
            <v>2.4455723101839668</v>
          </cell>
        </row>
        <row r="26">
          <cell r="B26">
            <v>2.9713152671641083</v>
          </cell>
          <cell r="C26">
            <v>2.9709411541170097</v>
          </cell>
          <cell r="D26">
            <v>4.4328121888229681</v>
          </cell>
          <cell r="E26">
            <v>3.184639869045085</v>
          </cell>
        </row>
        <row r="27">
          <cell r="B27">
            <v>2.3149313354056299E-2</v>
          </cell>
          <cell r="C27">
            <v>1.527723915035047E-2</v>
          </cell>
          <cell r="D27">
            <v>2.031420522741386E-2</v>
          </cell>
          <cell r="E27">
            <v>2.5677302828607754E-4</v>
          </cell>
        </row>
        <row r="28">
          <cell r="B28">
            <v>3.9081036054261899E-4</v>
          </cell>
          <cell r="C28">
            <v>1.2177234380080199E-5</v>
          </cell>
          <cell r="D28">
            <v>4.9472060891920101E-4</v>
          </cell>
          <cell r="E28">
            <v>1.6472102665924599E-2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4.0559774601468066E-3</v>
          </cell>
        </row>
      </sheetData>
      <sheetData sheetId="72">
        <row r="11">
          <cell r="B11">
            <v>29.53691830097284</v>
          </cell>
          <cell r="C11">
            <v>58.495436317992393</v>
          </cell>
          <cell r="D11">
            <v>80.687923733392367</v>
          </cell>
          <cell r="E11">
            <v>79.262150882178446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5.0592953141739274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</sheetData>
      <sheetData sheetId="73"/>
      <sheetData sheetId="74">
        <row r="53">
          <cell r="B53">
            <v>2.6032787722438342</v>
          </cell>
          <cell r="C53">
            <v>2.3489418869843472</v>
          </cell>
          <cell r="D53">
            <v>2.3343115197309583</v>
          </cell>
          <cell r="E53">
            <v>2.4066962427459213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</row>
        <row r="55">
          <cell r="B55">
            <v>6.4916335366911131</v>
          </cell>
          <cell r="C55">
            <v>6.2473838442459515</v>
          </cell>
          <cell r="D55">
            <v>5.9456565169538731</v>
          </cell>
          <cell r="E55">
            <v>5.3716687749723881</v>
          </cell>
        </row>
        <row r="56">
          <cell r="B56">
            <v>3.7896191883983401</v>
          </cell>
          <cell r="C56">
            <v>3.4838527740473801</v>
          </cell>
          <cell r="D56">
            <v>3.4139556459734002</v>
          </cell>
          <cell r="E56">
            <v>2.7492464452779699</v>
          </cell>
        </row>
        <row r="57">
          <cell r="B57">
            <v>7.1742764520305569</v>
          </cell>
          <cell r="C57">
            <v>6.4163909367503074</v>
          </cell>
          <cell r="D57">
            <v>6.5193057300018653</v>
          </cell>
          <cell r="E57">
            <v>4.9637638921579113</v>
          </cell>
        </row>
        <row r="58">
          <cell r="B58">
            <v>14.53750522307284</v>
          </cell>
          <cell r="C58">
            <v>13.836403750339436</v>
          </cell>
          <cell r="D58">
            <v>12.408443787465096</v>
          </cell>
          <cell r="E58">
            <v>8.417138609240352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</row>
      </sheetData>
      <sheetData sheetId="75">
        <row r="99">
          <cell r="F99">
            <v>17.776488637642093</v>
          </cell>
          <cell r="G99">
            <v>17.657692235004092</v>
          </cell>
          <cell r="H99">
            <v>17.136488259540648</v>
          </cell>
          <cell r="I99">
            <v>16.252751142557276</v>
          </cell>
        </row>
      </sheetData>
      <sheetData sheetId="76"/>
      <sheetData sheetId="77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I1"/>
          <cell r="J1"/>
          <cell r="K1"/>
        </row>
        <row r="2">
          <cell r="B2"/>
          <cell r="C2"/>
          <cell r="D2"/>
          <cell r="I2"/>
          <cell r="J2"/>
          <cell r="K2"/>
        </row>
        <row r="3">
          <cell r="B3"/>
          <cell r="C3"/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I4">
            <v>1.2023917796336655E-3</v>
          </cell>
          <cell r="J4">
            <v>6.2612706459822161E-4</v>
          </cell>
          <cell r="K4">
            <v>2.4252302673877391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I5">
            <v>3.4373089521818446E-4</v>
          </cell>
          <cell r="J5">
            <v>1.6758860943742331E-4</v>
          </cell>
          <cell r="K5">
            <v>1.8487552113574293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I6">
            <v>1.4667588933384363E-4</v>
          </cell>
          <cell r="J6">
            <v>7.6982762317796618E-5</v>
          </cell>
          <cell r="K6">
            <v>1.3271320483359528E-4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I7">
            <v>9.4903377845652264E-5</v>
          </cell>
          <cell r="J7">
            <v>5.8498363078772574E-5</v>
          </cell>
          <cell r="K7">
            <v>8.4464822052737374E-5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I8">
            <v>1.4957289565253027E-4</v>
          </cell>
          <cell r="J8">
            <v>7.806819752664833E-5</v>
          </cell>
          <cell r="K8">
            <v>1.3445880943058647E-4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I9">
            <v>1.5169377763390489E-4</v>
          </cell>
          <cell r="J9">
            <v>8.0001665056736077E-5</v>
          </cell>
          <cell r="K9">
            <v>3.0745540738506244E-2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I10">
            <v>1.6917276484846122E-4</v>
          </cell>
          <cell r="J10">
            <v>8.8004061267024501E-5</v>
          </cell>
          <cell r="K10">
            <v>0.54524511626227656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I11">
            <v>1.4663078366991853E-4</v>
          </cell>
          <cell r="J11">
            <v>7.6971521003961225E-5</v>
          </cell>
          <cell r="K11">
            <v>1.3274924613064005E-4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I12">
            <v>0.10976237549291253</v>
          </cell>
          <cell r="J12">
            <v>0.48059707628649401</v>
          </cell>
          <cell r="K12">
            <v>2.7089762027627056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I13">
            <v>0.10976237549291253</v>
          </cell>
          <cell r="J13">
            <v>0.48059707628649401</v>
          </cell>
          <cell r="K13">
            <v>2.7089762027627056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I14">
            <v>3.4465029978425598E-7</v>
          </cell>
          <cell r="J14">
            <v>1.0441474010786999E-6</v>
          </cell>
          <cell r="K14">
            <v>1.3154535470698401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I15">
            <v>1.2054406697567801E-2</v>
          </cell>
          <cell r="J15">
            <v>4.8558480122463402E-2</v>
          </cell>
          <cell r="K15">
            <v>0.31578036654542302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I16">
            <v>1.3465309995409311</v>
          </cell>
          <cell r="J16">
            <v>1.5568601884128392</v>
          </cell>
          <cell r="K16">
            <v>1.9289680657442472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I17">
            <v>1.3465309995409311</v>
          </cell>
          <cell r="J17">
            <v>1.5568601884128392</v>
          </cell>
          <cell r="K17">
            <v>1.9289680657442472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I18">
            <v>1.0219901487534169</v>
          </cell>
          <cell r="J18">
            <v>0.20222578720951212</v>
          </cell>
          <cell r="K18">
            <v>4.4553195051633132E-2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I19">
            <v>1.6632801706172475</v>
          </cell>
          <cell r="J19">
            <v>0.22904256400395931</v>
          </cell>
          <cell r="K19">
            <v>4.9243005057068329E-2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I20">
            <v>160.12747659421899</v>
          </cell>
          <cell r="J20">
            <v>32.079427492696503</v>
          </cell>
          <cell r="K20">
            <v>7.0582000733128103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I21">
            <v>2.8391396559258664</v>
          </cell>
          <cell r="J21">
            <v>0.56878417540242066</v>
          </cell>
          <cell r="K21">
            <v>0.12514539137079458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I22">
            <v>2.5489900745667602E-6</v>
          </cell>
          <cell r="J22">
            <v>2.3103903196586902E-6</v>
          </cell>
          <cell r="K22">
            <v>1.4566008557096E-5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I23">
            <v>4.7712380538085679E-2</v>
          </cell>
          <cell r="J23">
            <v>4.7712248471541145E-2</v>
          </cell>
          <cell r="K23">
            <v>1.0594231435445561E-2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I24">
            <v>1.8783655610214589E-4</v>
          </cell>
          <cell r="J24">
            <v>1.6852423454338659E-4</v>
          </cell>
          <cell r="K24">
            <v>1.5012183801789699E-4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I25">
            <v>1.8783655610214589E-4</v>
          </cell>
          <cell r="J25">
            <v>1.6852423454338659E-4</v>
          </cell>
          <cell r="K25">
            <v>1.5012183801789699E-4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I26">
            <v>5.9418614696253404E-7</v>
          </cell>
          <cell r="J26">
            <v>8.5246688860523495E-7</v>
          </cell>
          <cell r="K26">
            <v>1.3577463038699601E-6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I27">
            <v>3.619860722947621E-4</v>
          </cell>
          <cell r="J27">
            <v>3.6059898467977192E-4</v>
          </cell>
          <cell r="K27">
            <v>3.6050420421762652E-4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I28">
            <v>0.15557503076352472</v>
          </cell>
          <cell r="J28">
            <v>0.12821751022852737</v>
          </cell>
          <cell r="K28">
            <v>0.4354230802873516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I29">
            <v>0.15557503076352458</v>
          </cell>
          <cell r="J29">
            <v>0.12821751022852729</v>
          </cell>
          <cell r="K29">
            <v>0.43542308028735127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I30">
            <v>0.17204515081269656</v>
          </cell>
          <cell r="J30">
            <v>0.14179143590555734</v>
          </cell>
          <cell r="K30">
            <v>0.48151934798928514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I31">
            <v>0.17204515081269656</v>
          </cell>
          <cell r="J31">
            <v>0.14179143590555734</v>
          </cell>
          <cell r="K31">
            <v>0.48151934798928514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I32">
            <v>6.7784879712089699E-2</v>
          </cell>
          <cell r="J32">
            <v>7.7463344372841594E-2</v>
          </cell>
          <cell r="K32">
            <v>0.12764721579830801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I33">
            <v>0.14042916177264064</v>
          </cell>
          <cell r="J33">
            <v>0.14689236621683124</v>
          </cell>
          <cell r="K33">
            <v>0.17839076418420624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I34">
            <v>70.684248170870902</v>
          </cell>
          <cell r="J34">
            <v>105.39206882986912</v>
          </cell>
          <cell r="K34">
            <v>213.86343615937704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I35">
            <v>70.60571011734784</v>
          </cell>
          <cell r="J35">
            <v>105.39206882986926</v>
          </cell>
          <cell r="K35">
            <v>213.86343615937704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I36">
            <v>78.538050798098567</v>
          </cell>
          <cell r="J36">
            <v>113.32480489430311</v>
          </cell>
          <cell r="K36">
            <v>216.02367406504743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I37">
            <v>78.538050798098567</v>
          </cell>
          <cell r="J37">
            <v>113.32480489430311</v>
          </cell>
          <cell r="K37">
            <v>216.02367406504743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I38">
            <v>4.05167336280602</v>
          </cell>
          <cell r="J38">
            <v>2.41664653034753</v>
          </cell>
          <cell r="K38">
            <v>9.8214584565096494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I39">
            <v>4.4187319270981709</v>
          </cell>
          <cell r="J39">
            <v>6.5761199239949324</v>
          </cell>
          <cell r="K39">
            <v>13.289127949989979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I40">
            <v>7.3784929074564029E-4</v>
          </cell>
          <cell r="J40">
            <v>4.1951561853026924E-4</v>
          </cell>
          <cell r="K40">
            <v>4.8391553509180021E-4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I41">
            <v>2.3734531921496376E-4</v>
          </cell>
          <cell r="J41">
            <v>1.2984302481259855E-4</v>
          </cell>
          <cell r="K41">
            <v>1.839925043211853E-4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I42">
            <v>7.6694336044709022E-5</v>
          </cell>
          <cell r="J42">
            <v>4.5185768674318256E-5</v>
          </cell>
          <cell r="K42">
            <v>3.9333111177650715E-5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I43">
            <v>5.7907166505438634E-5</v>
          </cell>
          <cell r="J43">
            <v>3.7641326525336406E-5</v>
          </cell>
          <cell r="K43">
            <v>3.3650158755759845E-5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I44">
            <v>7.7482000569191329E-5</v>
          </cell>
          <cell r="J44">
            <v>4.5578869986387431E-5</v>
          </cell>
          <cell r="K44">
            <v>3.9757206813762695E-5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I45">
            <v>9.8715828074799844E-5</v>
          </cell>
          <cell r="J45">
            <v>5.574127407984078E-5</v>
          </cell>
          <cell r="K45">
            <v>6.5922412543511502E-5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I46">
            <v>1.1302568310400318E-4</v>
          </cell>
          <cell r="J46">
            <v>6.0337224766940766E-5</v>
          </cell>
          <cell r="K46">
            <v>8.1914994997449615E-5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I47">
            <v>7.6667617451958462E-5</v>
          </cell>
          <cell r="J47">
            <v>4.5176327775017552E-5</v>
          </cell>
          <cell r="K47">
            <v>3.9332326498102401E-5</v>
          </cell>
        </row>
        <row r="48">
          <cell r="B48" t="str">
            <v>ITOT-EBAT</v>
          </cell>
          <cell r="C48" t="str">
            <v>VAR_fout</v>
          </cell>
          <cell r="D48" t="str">
            <v>AUX_ITOT-EBAT_OUT</v>
          </cell>
          <cell r="I48">
            <v>0.20785319338933847</v>
          </cell>
          <cell r="J48">
            <v>0.31809205515757549</v>
          </cell>
          <cell r="K48">
            <v>0.73082936276574539</v>
          </cell>
        </row>
        <row r="49">
          <cell r="B49" t="str">
            <v>ITOT-EBAT</v>
          </cell>
          <cell r="C49" t="str">
            <v>VAR_fout</v>
          </cell>
          <cell r="D49" t="str">
            <v>ITOT_ELC</v>
          </cell>
          <cell r="I49">
            <v>0.20785319338933811</v>
          </cell>
          <cell r="J49">
            <v>0.31809205515757505</v>
          </cell>
          <cell r="K49">
            <v>0.73082936276574462</v>
          </cell>
        </row>
        <row r="50">
          <cell r="B50" t="str">
            <v>ITOT-EBAT</v>
          </cell>
          <cell r="C50" t="str">
            <v>VAR_fin</v>
          </cell>
          <cell r="D50" t="str">
            <v>ITOT_ELC</v>
          </cell>
          <cell r="I50">
            <v>0.22985773264774198</v>
          </cell>
          <cell r="J50">
            <v>0.35176701105223418</v>
          </cell>
          <cell r="K50">
            <v>0.80819878139076595</v>
          </cell>
        </row>
        <row r="51">
          <cell r="B51" t="str">
            <v>ITOT-EBAT</v>
          </cell>
          <cell r="C51" t="str">
            <v>VAR_fin</v>
          </cell>
          <cell r="D51" t="str">
            <v>AUX_ITOT-EBAT_IN</v>
          </cell>
          <cell r="I51">
            <v>0.22985773264774198</v>
          </cell>
          <cell r="J51">
            <v>0.35176701105223418</v>
          </cell>
          <cell r="K51">
            <v>0.80819878139076595</v>
          </cell>
        </row>
        <row r="52">
          <cell r="B52" t="str">
            <v>ITOT-EBAT</v>
          </cell>
          <cell r="C52" t="str">
            <v>VAR_ncap</v>
          </cell>
          <cell r="D52" t="str">
            <v>-</v>
          </cell>
          <cell r="I52">
            <v>4.6605214565616698E-2</v>
          </cell>
          <cell r="J52">
            <v>0.189329627516892</v>
          </cell>
          <cell r="K52">
            <v>0.19621980483990401</v>
          </cell>
        </row>
        <row r="53">
          <cell r="B53" t="str">
            <v>ITOT-EBAT</v>
          </cell>
          <cell r="C53" t="str">
            <v>VAR_cap</v>
          </cell>
          <cell r="D53" t="str">
            <v>-</v>
          </cell>
          <cell r="I53">
            <v>0.13914371468186723</v>
          </cell>
          <cell r="J53">
            <v>0.2460580311690013</v>
          </cell>
          <cell r="K53">
            <v>0.2993480954463944</v>
          </cell>
        </row>
        <row r="54">
          <cell r="B54" t="str">
            <v>D-RES_LTH</v>
          </cell>
          <cell r="C54" t="str">
            <v>VAR_fout</v>
          </cell>
          <cell r="D54" t="str">
            <v>RHNS_LTH_DH</v>
          </cell>
          <cell r="I54">
            <v>9.3928314338935521E-3</v>
          </cell>
          <cell r="J54">
            <v>1.1331288405578165E-2</v>
          </cell>
          <cell r="K54">
            <v>1.4099937916506303E-2</v>
          </cell>
        </row>
        <row r="55">
          <cell r="B55" t="str">
            <v>D-RES_LTH</v>
          </cell>
          <cell r="C55" t="str">
            <v>VAR_fout</v>
          </cell>
          <cell r="D55" t="str">
            <v>RHEM_LTH_DH</v>
          </cell>
          <cell r="I55">
            <v>5.5385461181734943</v>
          </cell>
          <cell r="J55">
            <v>5.5595977500364056</v>
          </cell>
          <cell r="K55">
            <v>5.6103637538575919</v>
          </cell>
        </row>
        <row r="56">
          <cell r="B56" t="str">
            <v>D-RES_LTH</v>
          </cell>
          <cell r="C56" t="str">
            <v>VAR_fout</v>
          </cell>
          <cell r="D56" t="str">
            <v>RHES_LTH_DH</v>
          </cell>
          <cell r="I56">
            <v>1.8359230887253921</v>
          </cell>
          <cell r="J56">
            <v>1.8538254792710986</v>
          </cell>
          <cell r="K56">
            <v>1.8833084323074547</v>
          </cell>
        </row>
        <row r="57">
          <cell r="B57" t="str">
            <v>D-RES_LTH</v>
          </cell>
          <cell r="C57" t="str">
            <v>VAR_fout</v>
          </cell>
          <cell r="D57" t="str">
            <v>RHSA_LTH</v>
          </cell>
          <cell r="I57">
            <v>0.28692861022692334</v>
          </cell>
          <cell r="J57">
            <v>1.2596559168796267E-4</v>
          </cell>
          <cell r="K57">
            <v>1.0848739061888574E-4</v>
          </cell>
        </row>
        <row r="58">
          <cell r="B58" t="str">
            <v>D-RES_LTH</v>
          </cell>
          <cell r="C58" t="str">
            <v>VAR_fout</v>
          </cell>
          <cell r="D58" t="str">
            <v>RHNM_LTH_DH</v>
          </cell>
          <cell r="I58">
            <v>0.16535435965642903</v>
          </cell>
          <cell r="J58">
            <v>0.19649085500872171</v>
          </cell>
          <cell r="K58">
            <v>0.25072408750483605</v>
          </cell>
        </row>
        <row r="59">
          <cell r="B59" t="str">
            <v>D-RES_LTH</v>
          </cell>
          <cell r="C59" t="str">
            <v>VAR_fin</v>
          </cell>
          <cell r="D59" t="str">
            <v>LTH</v>
          </cell>
          <cell r="I59">
            <v>8.5789369378746478</v>
          </cell>
          <cell r="J59">
            <v>8.3132437569948898</v>
          </cell>
          <cell r="K59">
            <v>8.4013914440842541</v>
          </cell>
        </row>
        <row r="60">
          <cell r="B60" t="str">
            <v>D-RES_LTH</v>
          </cell>
          <cell r="C60" t="str">
            <v>VAR_ncap</v>
          </cell>
          <cell r="D60" t="str">
            <v>-</v>
          </cell>
          <cell r="I60">
            <v>7.1257060911548502E-8</v>
          </cell>
          <cell r="J60">
            <v>6.5124809252870494E-8</v>
          </cell>
          <cell r="K60">
            <v>8.27560197344481E-8</v>
          </cell>
        </row>
        <row r="61">
          <cell r="B61" t="str">
            <v>D-RES_LTH</v>
          </cell>
          <cell r="C61" t="str">
            <v>VAR_cap</v>
          </cell>
          <cell r="D61" t="str">
            <v>-</v>
          </cell>
          <cell r="I61">
            <v>0.62767454418353796</v>
          </cell>
          <cell r="J61">
            <v>0.62767460930834695</v>
          </cell>
          <cell r="K61">
            <v>0.62767469206436699</v>
          </cell>
        </row>
        <row r="62">
          <cell r="B62" t="str">
            <v>RHES-SHSTG-CHPNGA</v>
          </cell>
          <cell r="C62" t="str">
            <v>VAR_fout</v>
          </cell>
          <cell r="D62" t="str">
            <v>RHES_LTH_CHPNGA</v>
          </cell>
          <cell r="I62">
            <v>1.844311918503945E-2</v>
          </cell>
          <cell r="J62">
            <v>1.6752899745959799E-2</v>
          </cell>
          <cell r="K62">
            <v>1.3613929725710934E-2</v>
          </cell>
        </row>
        <row r="63">
          <cell r="B63" t="str">
            <v>RHES-SHSTG-CHPNGA</v>
          </cell>
          <cell r="C63" t="str">
            <v>VAR_fout</v>
          </cell>
          <cell r="D63" t="str">
            <v>AUX_RES_CHPNGA_OUT</v>
          </cell>
          <cell r="I63">
            <v>1.8426183354750197E-2</v>
          </cell>
          <cell r="J63">
            <v>1.6752899745959855E-2</v>
          </cell>
          <cell r="K63">
            <v>1.3613929725710948E-2</v>
          </cell>
        </row>
        <row r="64">
          <cell r="B64" t="str">
            <v>RHES-SHSTG-CHPNGA</v>
          </cell>
          <cell r="C64" t="str">
            <v>VAR_fin</v>
          </cell>
          <cell r="D64" t="str">
            <v>RHES_LTH_CHPNGA</v>
          </cell>
          <cell r="I64">
            <v>2.2353732631221264E-2</v>
          </cell>
          <cell r="J64">
            <v>1.9710075494099415E-2</v>
          </cell>
          <cell r="K64">
            <v>1.5127370259443843E-2</v>
          </cell>
        </row>
        <row r="65">
          <cell r="B65" t="str">
            <v>RHES-SHSTG-CHPNGA</v>
          </cell>
          <cell r="C65" t="str">
            <v>VAR_fin</v>
          </cell>
          <cell r="D65" t="str">
            <v>AUX_RES_CHPNGA_IN</v>
          </cell>
          <cell r="I65">
            <v>2.2353732631221264E-2</v>
          </cell>
          <cell r="J65">
            <v>1.9710075494099415E-2</v>
          </cell>
          <cell r="K65">
            <v>1.5127370259443843E-2</v>
          </cell>
        </row>
        <row r="66">
          <cell r="B66" t="str">
            <v>RHES-SHSTG-CHPNGA</v>
          </cell>
          <cell r="C66" t="str">
            <v>VAR_ncap</v>
          </cell>
          <cell r="D66" t="str">
            <v>-</v>
          </cell>
          <cell r="I66">
            <v>1.2359187993188901E-3</v>
          </cell>
          <cell r="J66">
            <v>2.01457109224296E-4</v>
          </cell>
          <cell r="K66">
            <v>2.55532131156063E-4</v>
          </cell>
        </row>
        <row r="67">
          <cell r="B67" t="str">
            <v>RHES-SHSTG-CHPNGA</v>
          </cell>
          <cell r="C67" t="str">
            <v>VAR_cap</v>
          </cell>
          <cell r="D67" t="str">
            <v>-</v>
          </cell>
          <cell r="I67">
            <v>1.7931830793410217E-3</v>
          </cell>
          <cell r="J67">
            <v>1.4486836143904694E-3</v>
          </cell>
          <cell r="K67">
            <v>9.1637043700784507E-4</v>
          </cell>
        </row>
        <row r="68">
          <cell r="B68" t="str">
            <v>RHNS-CHPWOD</v>
          </cell>
          <cell r="C68" t="str">
            <v>VAR_fout</v>
          </cell>
          <cell r="D68" t="str">
            <v>RHNS_LTH_CHPWOD</v>
          </cell>
          <cell r="I68">
            <v>1.8243640731234472E-3</v>
          </cell>
          <cell r="J68">
            <v>1.4078772468485296E-3</v>
          </cell>
          <cell r="K68">
            <v>8.4413448708334292E-4</v>
          </cell>
        </row>
        <row r="69">
          <cell r="B69" t="str">
            <v>RHNS-CHPWOD</v>
          </cell>
          <cell r="C69" t="str">
            <v>VAR_fout</v>
          </cell>
          <cell r="D69" t="str">
            <v>RHNS_KEV_WOD_ELC_CHP</v>
          </cell>
          <cell r="I69">
            <v>6.9005592352121097E-4</v>
          </cell>
          <cell r="J69">
            <v>5.4399878338512431E-4</v>
          </cell>
          <cell r="K69">
            <v>3.3964870004390209E-4</v>
          </cell>
        </row>
        <row r="70">
          <cell r="B70" t="str">
            <v>RHNS-CHPWOD</v>
          </cell>
          <cell r="C70" t="str">
            <v>VAR_fin</v>
          </cell>
          <cell r="D70" t="str">
            <v>RWOD</v>
          </cell>
          <cell r="I70">
            <v>3.2681030736541219E-3</v>
          </cell>
          <cell r="J70">
            <v>2.4780604226208479E-3</v>
          </cell>
          <cell r="K70">
            <v>1.5346903232544677E-3</v>
          </cell>
        </row>
        <row r="71">
          <cell r="B71" t="str">
            <v>RHNS-CHPWOD</v>
          </cell>
          <cell r="C71" t="str">
            <v>VAR_ncap</v>
          </cell>
          <cell r="D71" t="str">
            <v>-</v>
          </cell>
          <cell r="I71">
            <v>2.1063944850054399E-5</v>
          </cell>
          <cell r="J71">
            <v>3.8176871733895602E-7</v>
          </cell>
          <cell r="K71">
            <v>2.1148514350089099E-5</v>
          </cell>
        </row>
        <row r="72">
          <cell r="B72" t="str">
            <v>RHNS-CHPWOD</v>
          </cell>
          <cell r="C72" t="str">
            <v>VAR_cap</v>
          </cell>
          <cell r="D72" t="str">
            <v>-</v>
          </cell>
          <cell r="I72">
            <v>6.1520005809185537E-5</v>
          </cell>
          <cell r="J72">
            <v>4.9033663220713642E-5</v>
          </cell>
          <cell r="K72">
            <v>3.0302892486681163E-5</v>
          </cell>
        </row>
        <row r="73">
          <cell r="B73" t="str">
            <v>D-ICOA</v>
          </cell>
          <cell r="C73" t="str">
            <v>VAR_fout</v>
          </cell>
          <cell r="D73" t="str">
            <v>ICOA</v>
          </cell>
          <cell r="I73">
            <v>1.042406781341394E-3</v>
          </cell>
          <cell r="J73">
            <v>6.9834283561204908E-4</v>
          </cell>
          <cell r="K73">
            <v>3.697954643951093E-4</v>
          </cell>
        </row>
        <row r="74">
          <cell r="B74" t="str">
            <v>D-ICOA</v>
          </cell>
          <cell r="C74" t="str">
            <v>VAR_fout</v>
          </cell>
          <cell r="D74" t="str">
            <v>CO2</v>
          </cell>
          <cell r="I74">
            <v>9.6631108630347198E-2</v>
          </cell>
          <cell r="J74">
            <v>6.4736380861236897E-2</v>
          </cell>
          <cell r="K74">
            <v>3.42800395494266E-2</v>
          </cell>
        </row>
        <row r="75">
          <cell r="B75" t="str">
            <v>D-ICOA</v>
          </cell>
          <cell r="C75" t="str">
            <v>VAR_fin</v>
          </cell>
          <cell r="D75" t="str">
            <v>COA</v>
          </cell>
          <cell r="I75">
            <v>1.042406781341394E-3</v>
          </cell>
          <cell r="J75">
            <v>6.9834283561204908E-4</v>
          </cell>
          <cell r="K75">
            <v>3.697954643951093E-4</v>
          </cell>
        </row>
        <row r="76">
          <cell r="B76" t="str">
            <v>RHNM-SHSTG-CHPWOD</v>
          </cell>
          <cell r="C76" t="str">
            <v>VAR_fout</v>
          </cell>
          <cell r="D76" t="str">
            <v>RHNM_LTH_CHPWOD</v>
          </cell>
          <cell r="I76">
            <v>3.8293992528463947E-3</v>
          </cell>
          <cell r="J76">
            <v>4.6810546233178362E-3</v>
          </cell>
          <cell r="K76">
            <v>5.2188476532077817E-3</v>
          </cell>
        </row>
        <row r="77">
          <cell r="B77" t="str">
            <v>RHNM-SHSTG-CHPWOD</v>
          </cell>
          <cell r="C77" t="str">
            <v>VAR_fout</v>
          </cell>
          <cell r="D77" t="str">
            <v>AUX_RNM-CHPWOD_OUT</v>
          </cell>
          <cell r="I77">
            <v>3.8258828164342363E-3</v>
          </cell>
          <cell r="J77">
            <v>4.6810546233178561E-3</v>
          </cell>
          <cell r="K77">
            <v>5.2188476532077869E-3</v>
          </cell>
        </row>
        <row r="78">
          <cell r="B78" t="str">
            <v>RHNM-SHSTG-CHPWOD</v>
          </cell>
          <cell r="C78" t="str">
            <v>VAR_fin</v>
          </cell>
          <cell r="D78" t="str">
            <v>RHNM_LTH_CHPWOD</v>
          </cell>
          <cell r="I78">
            <v>4.6401327134004671E-3</v>
          </cell>
          <cell r="J78">
            <v>5.5079047615745128E-3</v>
          </cell>
          <cell r="K78">
            <v>5.7995012899963892E-3</v>
          </cell>
        </row>
        <row r="79">
          <cell r="B79" t="str">
            <v>RHNM-SHSTG-CHPWOD</v>
          </cell>
          <cell r="C79" t="str">
            <v>VAR_fin</v>
          </cell>
          <cell r="D79" t="str">
            <v>AUX_RNM-CHPWOD_IN</v>
          </cell>
          <cell r="I79">
            <v>4.6401327134004671E-3</v>
          </cell>
          <cell r="J79">
            <v>5.5079047615745128E-3</v>
          </cell>
          <cell r="K79">
            <v>5.7995012899963892E-3</v>
          </cell>
        </row>
        <row r="80">
          <cell r="B80" t="str">
            <v>RHNM-SHSTG-CHPWOD</v>
          </cell>
          <cell r="C80" t="str">
            <v>VAR_ncap</v>
          </cell>
          <cell r="D80" t="str">
            <v>-</v>
          </cell>
          <cell r="I80">
            <v>2.18953806220974E-3</v>
          </cell>
          <cell r="J80">
            <v>1.5027534402029999E-4</v>
          </cell>
          <cell r="K80">
            <v>3.1512992610754703E-4</v>
          </cell>
        </row>
        <row r="81">
          <cell r="B81" t="str">
            <v>RHNM-SHSTG-CHPWOD</v>
          </cell>
          <cell r="C81" t="str">
            <v>VAR_cap</v>
          </cell>
          <cell r="D81" t="str">
            <v>-</v>
          </cell>
          <cell r="I81">
            <v>2.7166850212306695E-3</v>
          </cell>
          <cell r="J81">
            <v>2.3588529394371238E-3</v>
          </cell>
          <cell r="K81">
            <v>1.3372407188981445E-3</v>
          </cell>
        </row>
        <row r="82">
          <cell r="B82" t="str">
            <v>ENGA-CCS</v>
          </cell>
          <cell r="C82" t="str">
            <v>VAR_fout</v>
          </cell>
          <cell r="D82" t="str">
            <v>CO2_E</v>
          </cell>
          <cell r="J82">
            <v>9.9439913109234095E-3</v>
          </cell>
          <cell r="K82">
            <v>5.5195313913848701E-3</v>
          </cell>
        </row>
        <row r="83">
          <cell r="B83" t="str">
            <v>ENGA-CCS</v>
          </cell>
          <cell r="C83" t="str">
            <v>VAR_fin</v>
          </cell>
          <cell r="D83" t="str">
            <v>ENGA</v>
          </cell>
          <cell r="J83">
            <v>1.7631190267594664E-4</v>
          </cell>
          <cell r="K83">
            <v>9.7864031762143002E-5</v>
          </cell>
        </row>
        <row r="84">
          <cell r="B84" t="str">
            <v>RHNS-CHPGFC</v>
          </cell>
          <cell r="C84" t="str">
            <v>VAR_fout</v>
          </cell>
          <cell r="D84" t="str">
            <v>CO2_R</v>
          </cell>
          <cell r="I84">
            <v>4.40746442112167E-2</v>
          </cell>
          <cell r="J84">
            <v>4.3443655693795998E-2</v>
          </cell>
          <cell r="K84">
            <v>4.0197989948440899E-2</v>
          </cell>
        </row>
        <row r="85">
          <cell r="B85" t="str">
            <v>RHNS-CHPGFC</v>
          </cell>
          <cell r="C85" t="str">
            <v>VAR_fout</v>
          </cell>
          <cell r="D85" t="str">
            <v>RHNS_LTH_CHPNGA</v>
          </cell>
          <cell r="I85">
            <v>3.662727968403776E-4</v>
          </cell>
          <cell r="J85">
            <v>3.5925746481536283E-4</v>
          </cell>
          <cell r="K85">
            <v>3.2072864320564537E-4</v>
          </cell>
        </row>
        <row r="86">
          <cell r="B86" t="str">
            <v>RHNS-CHPGFC</v>
          </cell>
          <cell r="C86" t="str">
            <v>VAR_fout</v>
          </cell>
          <cell r="D86" t="str">
            <v>RHNS_NKEV_GAS_ELC_CHP</v>
          </cell>
          <cell r="I86">
            <v>3.3603008884438293E-4</v>
          </cell>
          <cell r="J86">
            <v>3.3892213661826696E-4</v>
          </cell>
          <cell r="K86">
            <v>3.2072864320564537E-4</v>
          </cell>
        </row>
        <row r="87">
          <cell r="B87" t="str">
            <v>RHNS-CHPGFC</v>
          </cell>
          <cell r="C87" t="str">
            <v>VAR_fin</v>
          </cell>
          <cell r="D87" t="str">
            <v>RNGA</v>
          </cell>
          <cell r="I87">
            <v>7.8146532289391426E-4</v>
          </cell>
          <cell r="J87">
            <v>7.7027758322333463E-4</v>
          </cell>
          <cell r="K87">
            <v>7.1273031823476717E-4</v>
          </cell>
        </row>
        <row r="88">
          <cell r="B88" t="str">
            <v>RHNS-CHPGFC</v>
          </cell>
          <cell r="C88" t="str">
            <v>VAR_ncap</v>
          </cell>
          <cell r="D88" t="str">
            <v>-</v>
          </cell>
          <cell r="I88">
            <v>1.98927716589149E-5</v>
          </cell>
          <cell r="J88">
            <v>2.5619782090029799E-7</v>
          </cell>
          <cell r="K88">
            <v>9.8000681573520997E-6</v>
          </cell>
        </row>
        <row r="89">
          <cell r="B89" t="str">
            <v>RHNS-CHPGFC</v>
          </cell>
          <cell r="C89" t="str">
            <v>VAR_cap</v>
          </cell>
          <cell r="D89" t="str">
            <v>-</v>
          </cell>
          <cell r="I89">
            <v>2.98654671681181E-5</v>
          </cell>
          <cell r="J89">
            <v>3.0106635945807163E-5</v>
          </cell>
          <cell r="K89">
            <v>2.8471459300530171E-5</v>
          </cell>
        </row>
        <row r="90">
          <cell r="B90" t="str">
            <v>D-ENGA</v>
          </cell>
          <cell r="C90" t="str">
            <v>VAR_fout</v>
          </cell>
          <cell r="D90" t="str">
            <v>CO2</v>
          </cell>
          <cell r="I90">
            <v>120.877153496796</v>
          </cell>
          <cell r="J90">
            <v>327.38826234757602</v>
          </cell>
          <cell r="K90">
            <v>1430.4482903313401</v>
          </cell>
        </row>
        <row r="91">
          <cell r="B91" t="str">
            <v>D-ENGA</v>
          </cell>
          <cell r="C91" t="str">
            <v>VAR_fout</v>
          </cell>
          <cell r="D91" t="str">
            <v>ENGA</v>
          </cell>
          <cell r="I91">
            <v>2.2308827979365868</v>
          </cell>
          <cell r="J91">
            <v>5.8807687149915866</v>
          </cell>
          <cell r="K91">
            <v>25.376291872732736</v>
          </cell>
        </row>
        <row r="92">
          <cell r="B92" t="str">
            <v>D-ENGA</v>
          </cell>
          <cell r="C92" t="str">
            <v>VAR_fin</v>
          </cell>
          <cell r="D92" t="str">
            <v>NGA</v>
          </cell>
          <cell r="I92">
            <v>2.1432119414325452</v>
          </cell>
          <cell r="J92">
            <v>5.8047564246024237</v>
          </cell>
          <cell r="K92">
            <v>25.362558339208196</v>
          </cell>
        </row>
        <row r="93">
          <cell r="B93" t="str">
            <v>D-ENGA</v>
          </cell>
          <cell r="C93" t="str">
            <v>VAR_fin</v>
          </cell>
          <cell r="D93" t="str">
            <v>BNGA</v>
          </cell>
          <cell r="I93">
            <v>9.4799759526988436E-2</v>
          </cell>
          <cell r="J93">
            <v>9.4801190456926004E-2</v>
          </cell>
          <cell r="K93">
            <v>9.4803213751551887E-2</v>
          </cell>
        </row>
        <row r="94">
          <cell r="B94" t="str">
            <v>D-ENGA</v>
          </cell>
          <cell r="C94" t="str">
            <v>VAR_ncap</v>
          </cell>
          <cell r="D94" t="str">
            <v>-</v>
          </cell>
          <cell r="I94">
            <v>1.2305857463791699E-6</v>
          </cell>
          <cell r="J94">
            <v>2.3076060758339E-6</v>
          </cell>
          <cell r="K94">
            <v>0.36075813722730299</v>
          </cell>
        </row>
        <row r="95">
          <cell r="B95" t="str">
            <v>D-ENGA</v>
          </cell>
          <cell r="C95" t="str">
            <v>VAR_cap</v>
          </cell>
          <cell r="D95" t="str">
            <v>-</v>
          </cell>
          <cell r="I95">
            <v>1.0275151387821442</v>
          </cell>
          <cell r="J95">
            <v>1.02751744638822</v>
          </cell>
          <cell r="K95">
            <v>1.0854402703893031</v>
          </cell>
        </row>
        <row r="96">
          <cell r="B96" t="str">
            <v>D-ILFO</v>
          </cell>
          <cell r="C96" t="str">
            <v>VAR_fout</v>
          </cell>
          <cell r="D96" t="str">
            <v>CO2</v>
          </cell>
          <cell r="I96">
            <v>336.11815433155903</v>
          </cell>
          <cell r="J96">
            <v>165.32919551461401</v>
          </cell>
          <cell r="K96">
            <v>1.51892527982068E-2</v>
          </cell>
        </row>
        <row r="97">
          <cell r="B97" t="str">
            <v>D-ILFO</v>
          </cell>
          <cell r="C97" t="str">
            <v>VAR_fout</v>
          </cell>
          <cell r="D97" t="str">
            <v>ILFO</v>
          </cell>
          <cell r="I97">
            <v>5.7523399237269981</v>
          </cell>
          <cell r="J97">
            <v>3.4737140933230042</v>
          </cell>
          <cell r="K97">
            <v>1.2681147701843245</v>
          </cell>
        </row>
        <row r="98">
          <cell r="B98" t="str">
            <v>D-ILFO</v>
          </cell>
          <cell r="C98" t="str">
            <v>VAR_fin</v>
          </cell>
          <cell r="D98" t="str">
            <v>LFO</v>
          </cell>
          <cell r="I98">
            <v>4.5606262460184368</v>
          </cell>
          <cell r="J98">
            <v>2.243272666412679</v>
          </cell>
          <cell r="K98">
            <v>2.0609569604079756E-4</v>
          </cell>
        </row>
        <row r="99">
          <cell r="B99" t="str">
            <v>D-ILFO</v>
          </cell>
          <cell r="C99" t="str">
            <v>VAR_fin</v>
          </cell>
          <cell r="D99" t="str">
            <v>BDS</v>
          </cell>
          <cell r="I99">
            <v>1.289416438954319</v>
          </cell>
          <cell r="J99">
            <v>1.289442111504971</v>
          </cell>
          <cell r="K99">
            <v>1.289447570996652</v>
          </cell>
        </row>
        <row r="100">
          <cell r="B100" t="str">
            <v>HPLNGA</v>
          </cell>
          <cell r="C100" t="str">
            <v>VAR_fout</v>
          </cell>
          <cell r="D100" t="str">
            <v>LTH</v>
          </cell>
          <cell r="I100">
            <v>1.8465504698050139</v>
          </cell>
          <cell r="J100">
            <v>1.8465074754863418</v>
          </cell>
          <cell r="K100">
            <v>0.13592016190928274</v>
          </cell>
        </row>
        <row r="101">
          <cell r="B101" t="str">
            <v>HPLNGA</v>
          </cell>
          <cell r="C101" t="str">
            <v>VAR_fout</v>
          </cell>
          <cell r="D101" t="str">
            <v>CO2_E</v>
          </cell>
          <cell r="I101">
            <v>121.885231103682</v>
          </cell>
          <cell r="J101">
            <v>121.88239317828901</v>
          </cell>
          <cell r="K101">
            <v>8.9716802312541795</v>
          </cell>
        </row>
        <row r="102">
          <cell r="B102" t="str">
            <v>HPLNGA</v>
          </cell>
          <cell r="C102" t="str">
            <v>VAR_fin</v>
          </cell>
          <cell r="D102" t="str">
            <v>ENGA</v>
          </cell>
          <cell r="I102">
            <v>2.1610856578666975</v>
          </cell>
          <cell r="J102">
            <v>2.161035340040582</v>
          </cell>
          <cell r="K102">
            <v>0.15907234452578339</v>
          </cell>
        </row>
        <row r="103">
          <cell r="B103" t="str">
            <v>HPLNGA</v>
          </cell>
          <cell r="C103" t="str">
            <v>VAR_ncap</v>
          </cell>
          <cell r="D103" t="str">
            <v>-</v>
          </cell>
          <cell r="I103">
            <v>0.23393820912983199</v>
          </cell>
          <cell r="J103">
            <v>3.6236682058535901E-6</v>
          </cell>
          <cell r="K103">
            <v>1.7218511731421601E-6</v>
          </cell>
        </row>
        <row r="104">
          <cell r="B104" t="str">
            <v>HPLNGA</v>
          </cell>
          <cell r="C104" t="str">
            <v>VAR_cap</v>
          </cell>
          <cell r="D104" t="str">
            <v>-</v>
          </cell>
          <cell r="I104">
            <v>0.23421551745740357</v>
          </cell>
          <cell r="J104">
            <v>0.2342115240782115</v>
          </cell>
          <cell r="K104">
            <v>1.7413443637796011E-2</v>
          </cell>
        </row>
        <row r="105">
          <cell r="B105" t="str">
            <v>G-INTC-IMP00-AT</v>
          </cell>
          <cell r="C105" t="str">
            <v>VAR_fout</v>
          </cell>
          <cell r="D105" t="str">
            <v>ELC</v>
          </cell>
          <cell r="I105">
            <v>8.7168089748295187E-3</v>
          </cell>
          <cell r="J105">
            <v>5.7906563738243178E-3</v>
          </cell>
          <cell r="K105">
            <v>3.4512566144094653E-3</v>
          </cell>
        </row>
        <row r="106">
          <cell r="B106" t="str">
            <v>G-INTC-IMP00-AT</v>
          </cell>
          <cell r="C106" t="str">
            <v>VAR_fin</v>
          </cell>
          <cell r="D106" t="str">
            <v>ELC_I-AT</v>
          </cell>
          <cell r="I106">
            <v>8.7168089748295187E-3</v>
          </cell>
          <cell r="J106">
            <v>5.7906563738243178E-3</v>
          </cell>
          <cell r="K106">
            <v>3.4512566144094653E-3</v>
          </cell>
        </row>
        <row r="107">
          <cell r="B107" t="str">
            <v>G-INTC-IMP00-AT</v>
          </cell>
          <cell r="C107" t="str">
            <v>VAR_ncap</v>
          </cell>
          <cell r="D107" t="str">
            <v>-</v>
          </cell>
          <cell r="I107">
            <v>6.6966240746656504E-7</v>
          </cell>
          <cell r="J107">
            <v>9.87497449696043E-7</v>
          </cell>
          <cell r="K107">
            <v>1.47731303061277E-6</v>
          </cell>
        </row>
        <row r="108">
          <cell r="B108" t="str">
            <v>G-INTC-IMP00-AT</v>
          </cell>
          <cell r="C108" t="str">
            <v>VAR_cap</v>
          </cell>
          <cell r="D108" t="str">
            <v>-</v>
          </cell>
          <cell r="I108">
            <v>8.7845760862426125E-4</v>
          </cell>
          <cell r="J108">
            <v>8.7729065804609263E-4</v>
          </cell>
          <cell r="K108">
            <v>8.7729423783966531E-4</v>
          </cell>
        </row>
        <row r="109">
          <cell r="B109" t="str">
            <v>CHPWST</v>
          </cell>
          <cell r="C109" t="str">
            <v>VAR_fout</v>
          </cell>
          <cell r="D109" t="str">
            <v>ELC35</v>
          </cell>
          <cell r="I109">
            <v>1.2798570918151091</v>
          </cell>
          <cell r="J109">
            <v>1.2826612926505758</v>
          </cell>
          <cell r="K109">
            <v>1.2865769995632401</v>
          </cell>
        </row>
        <row r="110">
          <cell r="B110" t="str">
            <v>CHPWST</v>
          </cell>
          <cell r="C110" t="str">
            <v>VAR_fout</v>
          </cell>
          <cell r="D110" t="str">
            <v>LTH</v>
          </cell>
          <cell r="I110">
            <v>12.342947363866385</v>
          </cell>
          <cell r="J110">
            <v>12.034787076913705</v>
          </cell>
          <cell r="K110">
            <v>11.399072216130314</v>
          </cell>
        </row>
        <row r="111">
          <cell r="B111" t="str">
            <v>CHPWST</v>
          </cell>
          <cell r="C111" t="str">
            <v>VAR_fout</v>
          </cell>
          <cell r="D111" t="str">
            <v>CO2_E</v>
          </cell>
          <cell r="I111">
            <v>2535.9317076427501</v>
          </cell>
          <cell r="J111">
            <v>2541.4880012779799</v>
          </cell>
          <cell r="K111">
            <v>2549.24665291274</v>
          </cell>
        </row>
        <row r="112">
          <cell r="B112" t="str">
            <v>CHPWST</v>
          </cell>
          <cell r="C112" t="str">
            <v>VAR_fin</v>
          </cell>
          <cell r="D112" t="str">
            <v>EWST</v>
          </cell>
          <cell r="I112">
            <v>27.326850297874465</v>
          </cell>
          <cell r="J112">
            <v>27.386724151702388</v>
          </cell>
          <cell r="K112">
            <v>27.470330311559668</v>
          </cell>
        </row>
        <row r="113">
          <cell r="B113" t="str">
            <v>CHPWST</v>
          </cell>
          <cell r="C113" t="str">
            <v>VAR_ncap</v>
          </cell>
          <cell r="D113" t="str">
            <v>-</v>
          </cell>
          <cell r="I113">
            <v>5.6598175995063397E-3</v>
          </cell>
          <cell r="J113">
            <v>1.96085801139122E-2</v>
          </cell>
          <cell r="K113">
            <v>2.84573075498471E-2</v>
          </cell>
        </row>
        <row r="114">
          <cell r="B114" t="str">
            <v>CHPWST</v>
          </cell>
          <cell r="C114" t="str">
            <v>VAR_cap</v>
          </cell>
          <cell r="D114" t="str">
            <v>-</v>
          </cell>
          <cell r="I114">
            <v>6.9925920550502813E-2</v>
          </cell>
          <cell r="J114">
            <v>7.007912151012681E-2</v>
          </cell>
          <cell r="K114">
            <v>7.0293040596515366E-2</v>
          </cell>
        </row>
        <row r="115">
          <cell r="B115" t="str">
            <v>RHES-CHPNGA</v>
          </cell>
          <cell r="C115" t="str">
            <v>VAR_fout</v>
          </cell>
          <cell r="D115" t="str">
            <v>CO2_R</v>
          </cell>
          <cell r="I115">
            <v>1.1364131333384599</v>
          </cell>
          <cell r="J115">
            <v>0.52743018987574897</v>
          </cell>
          <cell r="K115">
            <v>0.24905966931298601</v>
          </cell>
        </row>
        <row r="116">
          <cell r="B116" t="str">
            <v>RHES-CHPNGA</v>
          </cell>
          <cell r="C116" t="str">
            <v>VAR_fout</v>
          </cell>
          <cell r="D116" t="str">
            <v>RHES_NKEV_GAS_ELC_CHP</v>
          </cell>
          <cell r="I116">
            <v>4.9291473301409337E-3</v>
          </cell>
          <cell r="J116">
            <v>2.0981323623643655E-3</v>
          </cell>
          <cell r="K116">
            <v>9.8154418757596105E-4</v>
          </cell>
        </row>
        <row r="117">
          <cell r="B117" t="str">
            <v>RHES-CHPNGA</v>
          </cell>
          <cell r="C117" t="str">
            <v>VAR_fout</v>
          </cell>
          <cell r="D117" t="str">
            <v>RHES_LTH_CHPNGA</v>
          </cell>
          <cell r="I117">
            <v>1.1167792447236603E-2</v>
          </cell>
          <cell r="J117">
            <v>4.7115954803971733E-3</v>
          </cell>
          <cell r="K117">
            <v>2.132320131630539E-3</v>
          </cell>
        </row>
        <row r="118">
          <cell r="B118" t="str">
            <v>RHES-CHPNGA</v>
          </cell>
          <cell r="C118" t="str">
            <v>VAR_fin</v>
          </cell>
          <cell r="D118" t="str">
            <v>RNGA</v>
          </cell>
          <cell r="I118">
            <v>2.0149169030823859E-2</v>
          </cell>
          <cell r="J118">
            <v>9.3515991112721516E-3</v>
          </cell>
          <cell r="K118">
            <v>4.4159515835635703E-3</v>
          </cell>
        </row>
        <row r="119">
          <cell r="B119" t="str">
            <v>RHES-CHPNGA</v>
          </cell>
          <cell r="C119" t="str">
            <v>VAR_ncap</v>
          </cell>
          <cell r="D119" t="str">
            <v>-</v>
          </cell>
          <cell r="I119">
            <v>3.3013611491936599E-5</v>
          </cell>
          <cell r="J119">
            <v>1.47098023954075E-5</v>
          </cell>
          <cell r="K119">
            <v>4.6194815545336503E-5</v>
          </cell>
        </row>
        <row r="120">
          <cell r="B120" t="str">
            <v>RHES-CHPNGA</v>
          </cell>
          <cell r="C120" t="str">
            <v>VAR_cap</v>
          </cell>
          <cell r="D120" t="str">
            <v>-</v>
          </cell>
          <cell r="I120">
            <v>4.3824134913892217E-4</v>
          </cell>
          <cell r="J120">
            <v>1.8654168758626348E-4</v>
          </cell>
          <cell r="K120">
            <v>8.7252590243941923E-5</v>
          </cell>
        </row>
        <row r="121">
          <cell r="B121" t="str">
            <v>RHEM-CHPWOD</v>
          </cell>
          <cell r="C121" t="str">
            <v>VAR_fout</v>
          </cell>
          <cell r="D121" t="str">
            <v>RHEM_KEV_WOD_ELC_CHP</v>
          </cell>
          <cell r="I121">
            <v>1.1421937737969234E-3</v>
          </cell>
          <cell r="J121">
            <v>7.3338497559237762E-4</v>
          </cell>
          <cell r="K121">
            <v>4.8343395645270964E-4</v>
          </cell>
        </row>
        <row r="122">
          <cell r="B122" t="str">
            <v>RHEM-CHPWOD</v>
          </cell>
          <cell r="C122" t="str">
            <v>VAR_fout</v>
          </cell>
          <cell r="D122" t="str">
            <v>RHEM_LTH_CHPWOD</v>
          </cell>
          <cell r="I122">
            <v>3.0383479697061043E-3</v>
          </cell>
          <cell r="J122">
            <v>1.9508762897531269E-3</v>
          </cell>
          <cell r="K122">
            <v>1.2859819531254356E-3</v>
          </cell>
        </row>
        <row r="123">
          <cell r="B123" t="str">
            <v>RHEM-CHPWOD</v>
          </cell>
          <cell r="C123" t="str">
            <v>VAR_fin</v>
          </cell>
          <cell r="D123" t="str">
            <v>RWOD</v>
          </cell>
          <cell r="I123">
            <v>4.746667121659668E-3</v>
          </cell>
          <cell r="J123">
            <v>3.0388694340597387E-3</v>
          </cell>
          <cell r="K123">
            <v>1.9518640913041439E-3</v>
          </cell>
        </row>
        <row r="124">
          <cell r="B124" t="str">
            <v>RHEM-CHPWOD</v>
          </cell>
          <cell r="C124" t="str">
            <v>VAR_ncap</v>
          </cell>
          <cell r="D124" t="str">
            <v>-</v>
          </cell>
          <cell r="I124">
            <v>2.7971306594451999E-5</v>
          </cell>
          <cell r="J124">
            <v>6.8900402934450703E-7</v>
          </cell>
          <cell r="K124">
            <v>2.77486042101032E-5</v>
          </cell>
        </row>
        <row r="125">
          <cell r="B125" t="str">
            <v>RHEM-CHPWOD</v>
          </cell>
          <cell r="C125" t="str">
            <v>VAR_cap</v>
          </cell>
          <cell r="D125" t="str">
            <v>-</v>
          </cell>
          <cell r="I125">
            <v>8.6400938857703481E-5</v>
          </cell>
          <cell r="J125">
            <v>6.848495433432343E-5</v>
          </cell>
          <cell r="K125">
            <v>4.00194562890365E-5</v>
          </cell>
        </row>
        <row r="126">
          <cell r="B126" t="str">
            <v>G-INTC-IMP00-FR</v>
          </cell>
          <cell r="C126" t="str">
            <v>VAR_fout</v>
          </cell>
          <cell r="D126" t="str">
            <v>ELC</v>
          </cell>
          <cell r="I126">
            <v>16.53269816641042</v>
          </cell>
          <cell r="J126">
            <v>10.200771984061106</v>
          </cell>
          <cell r="K126">
            <v>10.381060609426209</v>
          </cell>
        </row>
        <row r="127">
          <cell r="B127" t="str">
            <v>G-INTC-IMP00-FR</v>
          </cell>
          <cell r="C127" t="str">
            <v>VAR_fin</v>
          </cell>
          <cell r="D127" t="str">
            <v>ELC_I-FR</v>
          </cell>
          <cell r="I127">
            <v>16.53269816641042</v>
          </cell>
          <cell r="J127">
            <v>10.200771984061106</v>
          </cell>
          <cell r="K127">
            <v>10.381060609426209</v>
          </cell>
        </row>
        <row r="128">
          <cell r="B128" t="str">
            <v>G-INTC-IMP00-FR</v>
          </cell>
          <cell r="C128" t="str">
            <v>VAR_ncap</v>
          </cell>
          <cell r="D128" t="str">
            <v>-</v>
          </cell>
          <cell r="I128">
            <v>8.1198627448534098E-7</v>
          </cell>
          <cell r="J128">
            <v>1.2234809138822701E-6</v>
          </cell>
          <cell r="K128">
            <v>1.8509123584559001E-6</v>
          </cell>
        </row>
        <row r="129">
          <cell r="B129" t="str">
            <v>G-INTC-IMP00-FR</v>
          </cell>
          <cell r="C129" t="str">
            <v>VAR_cap</v>
          </cell>
          <cell r="D129" t="str">
            <v>-</v>
          </cell>
          <cell r="I129">
            <v>1.60293268111302</v>
          </cell>
          <cell r="J129">
            <v>1.199999613668679</v>
          </cell>
          <cell r="K129">
            <v>1.1999990983313609</v>
          </cell>
        </row>
        <row r="130">
          <cell r="B130" t="str">
            <v>RHEM-CHPGFC</v>
          </cell>
          <cell r="C130" t="str">
            <v>VAR_fout</v>
          </cell>
          <cell r="D130" t="str">
            <v>CO2_R</v>
          </cell>
          <cell r="I130">
            <v>0.25920873610051398</v>
          </cell>
          <cell r="J130">
            <v>0.35816074245804502</v>
          </cell>
          <cell r="K130">
            <v>83.001027357341897</v>
          </cell>
        </row>
        <row r="131">
          <cell r="B131" t="str">
            <v>RHEM-CHPGFC</v>
          </cell>
          <cell r="C131" t="str">
            <v>VAR_fout</v>
          </cell>
          <cell r="D131" t="str">
            <v>RHEM_LTH_CHPNGA</v>
          </cell>
          <cell r="I131">
            <v>2.1540981313884931E-3</v>
          </cell>
          <cell r="J131">
            <v>2.9618115298303584E-3</v>
          </cell>
          <cell r="K131">
            <v>0.66224223955325967</v>
          </cell>
        </row>
        <row r="132">
          <cell r="B132" t="str">
            <v>RHEM-CHPGFC</v>
          </cell>
          <cell r="C132" t="str">
            <v>VAR_fout</v>
          </cell>
          <cell r="D132" t="str">
            <v>RHEM_NKEV_GAS_ELC_CHP</v>
          </cell>
          <cell r="I132">
            <v>1.9762368177876099E-3</v>
          </cell>
          <cell r="J132">
            <v>2.7941618205946754E-3</v>
          </cell>
          <cell r="K132">
            <v>0.66224223955325967</v>
          </cell>
        </row>
        <row r="133">
          <cell r="B133" t="str">
            <v>RHEM-CHPGFC</v>
          </cell>
          <cell r="C133" t="str">
            <v>VAR_fin</v>
          </cell>
          <cell r="D133" t="str">
            <v>RNGA</v>
          </cell>
          <cell r="I133">
            <v>4.5958995762502581E-3</v>
          </cell>
          <cell r="J133">
            <v>6.3503677740788123E-3</v>
          </cell>
          <cell r="K133">
            <v>1.471649421229466</v>
          </cell>
        </row>
        <row r="134">
          <cell r="B134" t="str">
            <v>RHEM-CHPGFC</v>
          </cell>
          <cell r="C134" t="str">
            <v>VAR_ncap</v>
          </cell>
          <cell r="D134" t="str">
            <v>-</v>
          </cell>
          <cell r="I134">
            <v>1.2853832125852299E-4</v>
          </cell>
          <cell r="J134">
            <v>7.2693319565514896E-5</v>
          </cell>
          <cell r="K134">
            <v>5.8680280944277199E-2</v>
          </cell>
        </row>
        <row r="135">
          <cell r="B135" t="str">
            <v>RHEM-CHPGFC</v>
          </cell>
          <cell r="C135" t="str">
            <v>VAR_cap</v>
          </cell>
          <cell r="D135" t="str">
            <v>-</v>
          </cell>
          <cell r="I135">
            <v>1.7578083474562679E-4</v>
          </cell>
          <cell r="J135">
            <v>2.4841949526409167E-4</v>
          </cell>
          <cell r="K135">
            <v>5.8867549726819665E-2</v>
          </cell>
        </row>
        <row r="136">
          <cell r="B136" t="str">
            <v>EHYD-RUNS10</v>
          </cell>
          <cell r="C136" t="str">
            <v>VAR_fout</v>
          </cell>
          <cell r="D136" t="str">
            <v>ELC35</v>
          </cell>
          <cell r="I136">
            <v>4.0904263584368106E-2</v>
          </cell>
          <cell r="J136">
            <v>4.7076497897679731E-2</v>
          </cell>
          <cell r="K136">
            <v>4.830736696586848E-2</v>
          </cell>
        </row>
        <row r="137">
          <cell r="B137" t="str">
            <v>EHYD-RUNS10</v>
          </cell>
          <cell r="C137" t="str">
            <v>VAR_fin</v>
          </cell>
          <cell r="D137" t="str">
            <v>HYDR</v>
          </cell>
          <cell r="I137">
            <v>4.0904263584368106E-2</v>
          </cell>
          <cell r="J137">
            <v>4.7076497897679731E-2</v>
          </cell>
          <cell r="K137">
            <v>4.830736696586848E-2</v>
          </cell>
        </row>
        <row r="138">
          <cell r="B138" t="str">
            <v>EHYD-RUNS10</v>
          </cell>
          <cell r="C138" t="str">
            <v>VAR_ncap</v>
          </cell>
          <cell r="D138" t="str">
            <v>-</v>
          </cell>
          <cell r="I138">
            <v>3.07549684196756E-3</v>
          </cell>
          <cell r="J138">
            <v>1.06258171123016E-8</v>
          </cell>
          <cell r="K138">
            <v>1.63783526927985E-8</v>
          </cell>
        </row>
        <row r="139">
          <cell r="B139" t="str">
            <v>EHYD-RUNS10</v>
          </cell>
          <cell r="C139" t="str">
            <v>VAR_cap</v>
          </cell>
          <cell r="D139" t="str">
            <v>-</v>
          </cell>
          <cell r="I139">
            <v>3.6404918814201999E-3</v>
          </cell>
          <cell r="J139">
            <v>3.6405025072373102E-3</v>
          </cell>
          <cell r="K139">
            <v>3.6405188855900099E-3</v>
          </cell>
        </row>
        <row r="140">
          <cell r="B140" t="str">
            <v>SUP_WSTBIO</v>
          </cell>
          <cell r="C140" t="str">
            <v>VAR_fout</v>
          </cell>
          <cell r="D140" t="str">
            <v>ELC35</v>
          </cell>
          <cell r="I140">
            <v>0.12413046100470115</v>
          </cell>
          <cell r="J140">
            <v>0.12091100142259859</v>
          </cell>
          <cell r="K140">
            <v>0.11448172296752822</v>
          </cell>
        </row>
        <row r="141">
          <cell r="B141" t="str">
            <v>SUP_WSTBIO</v>
          </cell>
          <cell r="C141" t="str">
            <v>VAR_fout</v>
          </cell>
          <cell r="D141" t="str">
            <v>BIO</v>
          </cell>
          <cell r="I141">
            <v>6.2065230502350595</v>
          </cell>
          <cell r="J141">
            <v>6.0455500711299361</v>
          </cell>
          <cell r="K141">
            <v>5.7240861483764052</v>
          </cell>
        </row>
        <row r="142">
          <cell r="B142" t="str">
            <v>SUP_WSTBIO</v>
          </cell>
          <cell r="C142" t="str">
            <v>VAR_fin</v>
          </cell>
          <cell r="D142" t="str">
            <v>CWST</v>
          </cell>
          <cell r="I142">
            <v>10.671673061804158</v>
          </cell>
          <cell r="J142">
            <v>10.39489152230283</v>
          </cell>
          <cell r="K142">
            <v>9.8421572688369139</v>
          </cell>
        </row>
        <row r="143">
          <cell r="B143" t="str">
            <v>SUP_WSTBIO</v>
          </cell>
          <cell r="C143" t="str">
            <v>VAR_ncap</v>
          </cell>
          <cell r="D143" t="str">
            <v>-</v>
          </cell>
          <cell r="I143">
            <v>0.11685345767303</v>
          </cell>
          <cell r="J143">
            <v>2.5326948749127599E-2</v>
          </cell>
          <cell r="K143">
            <v>7.8857192760380002E-2</v>
          </cell>
        </row>
        <row r="144">
          <cell r="B144" t="str">
            <v>SUP_WSTBIO</v>
          </cell>
          <cell r="C144" t="str">
            <v>VAR_cap</v>
          </cell>
          <cell r="D144" t="str">
            <v>-</v>
          </cell>
          <cell r="I144">
            <v>0.23446887480544226</v>
          </cell>
          <cell r="J144">
            <v>0.22838749041565193</v>
          </cell>
          <cell r="K144">
            <v>0.21624323061363199</v>
          </cell>
        </row>
        <row r="145">
          <cell r="B145" t="str">
            <v>ITOT-CHPNGACCS</v>
          </cell>
          <cell r="C145" t="str">
            <v>VAR_fout</v>
          </cell>
          <cell r="D145" t="str">
            <v>CO2_I</v>
          </cell>
          <cell r="J145">
            <v>8.6614539125815897E-3</v>
          </cell>
          <cell r="K145">
            <v>4.8515888331434002E-3</v>
          </cell>
        </row>
        <row r="146">
          <cell r="B146" t="str">
            <v>ITOT-CHPNGACCS</v>
          </cell>
          <cell r="C146" t="str">
            <v>VAR_fin</v>
          </cell>
          <cell r="D146" t="str">
            <v>INGA</v>
          </cell>
          <cell r="J146">
            <v>1.535718778826521E-4</v>
          </cell>
          <cell r="K146">
            <v>8.6021078601833235E-5</v>
          </cell>
        </row>
        <row r="147">
          <cell r="B147" t="str">
            <v>SCOM-ESOLPV</v>
          </cell>
          <cell r="C147" t="str">
            <v>VAR_fout</v>
          </cell>
          <cell r="D147" t="str">
            <v>SCOM_SOL_ELC</v>
          </cell>
          <cell r="I147">
            <v>11.285467078190468</v>
          </cell>
          <cell r="J147">
            <v>11.861143330610505</v>
          </cell>
          <cell r="K147">
            <v>13.102083616006292</v>
          </cell>
        </row>
        <row r="148">
          <cell r="B148" t="str">
            <v>SCOM-ESOLPV</v>
          </cell>
          <cell r="C148" t="str">
            <v>VAR_fin</v>
          </cell>
          <cell r="D148" t="str">
            <v>SOL</v>
          </cell>
          <cell r="I148">
            <v>11.285467078190468</v>
          </cell>
          <cell r="J148">
            <v>11.861143330610505</v>
          </cell>
          <cell r="K148">
            <v>13.102083616006292</v>
          </cell>
        </row>
        <row r="149">
          <cell r="B149" t="str">
            <v>SCOM-ESOLPV</v>
          </cell>
          <cell r="C149" t="str">
            <v>VAR_fin</v>
          </cell>
          <cell r="D149" t="str">
            <v>SOLPVC</v>
          </cell>
          <cell r="I149">
            <v>11.2854670781905</v>
          </cell>
          <cell r="J149">
            <v>11.861143330610499</v>
          </cell>
          <cell r="K149">
            <v>13.102083616006301</v>
          </cell>
        </row>
        <row r="150">
          <cell r="B150" t="str">
            <v>SCOM-ESOLPV</v>
          </cell>
          <cell r="C150" t="str">
            <v>VAR_ncap</v>
          </cell>
          <cell r="D150" t="str">
            <v>-</v>
          </cell>
          <cell r="I150">
            <v>0.624724588965894</v>
          </cell>
          <cell r="J150">
            <v>0.57340100692002605</v>
          </cell>
          <cell r="K150">
            <v>2.7057294267349401</v>
          </cell>
        </row>
        <row r="151">
          <cell r="B151" t="str">
            <v>SCOM-ESOLPV</v>
          </cell>
          <cell r="C151" t="str">
            <v>VAR_cap</v>
          </cell>
          <cell r="D151" t="str">
            <v>-</v>
          </cell>
          <cell r="I151">
            <v>3.253271955836099</v>
          </cell>
          <cell r="J151">
            <v>3.4192226553785692</v>
          </cell>
          <cell r="K151">
            <v>3.77694905589505</v>
          </cell>
        </row>
        <row r="152">
          <cell r="B152" t="str">
            <v>D-SCOM_LTH</v>
          </cell>
          <cell r="C152" t="str">
            <v>VAR_fout</v>
          </cell>
          <cell r="D152" t="str">
            <v>SCOM_LTH_DH</v>
          </cell>
          <cell r="I152">
            <v>7.4463291853115559</v>
          </cell>
          <cell r="J152">
            <v>7.8147929692513269</v>
          </cell>
          <cell r="K152">
            <v>8.3571086944377289</v>
          </cell>
        </row>
        <row r="153">
          <cell r="B153" t="str">
            <v>D-SCOM_LTH</v>
          </cell>
          <cell r="C153" t="str">
            <v>VAR_fin</v>
          </cell>
          <cell r="D153" t="str">
            <v>LTH</v>
          </cell>
          <cell r="I153">
            <v>8.0791676087187287</v>
          </cell>
          <cell r="J153">
            <v>8.4733881100863986</v>
          </cell>
          <cell r="K153">
            <v>9.0495441463783557</v>
          </cell>
        </row>
        <row r="154">
          <cell r="B154" t="str">
            <v>D-SCOM_LTH</v>
          </cell>
          <cell r="C154" t="str">
            <v>VAR_ncap</v>
          </cell>
          <cell r="D154" t="str">
            <v>-</v>
          </cell>
          <cell r="I154">
            <v>5.5208054292689698E-8</v>
          </cell>
          <cell r="J154">
            <v>5.6386070570128303E-8</v>
          </cell>
          <cell r="K154">
            <v>1.1614406763473701E-7</v>
          </cell>
        </row>
        <row r="155">
          <cell r="B155" t="str">
            <v>D-SCOM_LTH</v>
          </cell>
          <cell r="C155" t="str">
            <v>VAR_cap</v>
          </cell>
          <cell r="D155" t="str">
            <v>-</v>
          </cell>
          <cell r="I155">
            <v>0.84970040010381298</v>
          </cell>
          <cell r="J155">
            <v>0.84970045648988302</v>
          </cell>
          <cell r="K155">
            <v>0.84970057263395105</v>
          </cell>
        </row>
        <row r="156">
          <cell r="B156" t="str">
            <v>EHYD-RUNS15</v>
          </cell>
          <cell r="C156" t="str">
            <v>VAR_fout</v>
          </cell>
          <cell r="D156" t="str">
            <v>ELC35</v>
          </cell>
          <cell r="I156">
            <v>3.2746571934772653E-3</v>
          </cell>
          <cell r="J156">
            <v>3.9689078853647588E-3</v>
          </cell>
          <cell r="K156">
            <v>3.9881211179409E-3</v>
          </cell>
        </row>
        <row r="157">
          <cell r="B157" t="str">
            <v>EHYD-RUNS15</v>
          </cell>
          <cell r="C157" t="str">
            <v>VAR_fin</v>
          </cell>
          <cell r="D157" t="str">
            <v>HYDR</v>
          </cell>
          <cell r="I157">
            <v>3.2746571934772653E-3</v>
          </cell>
          <cell r="J157">
            <v>3.9689078853647588E-3</v>
          </cell>
          <cell r="K157">
            <v>3.9881211179409E-3</v>
          </cell>
        </row>
        <row r="158">
          <cell r="B158" t="str">
            <v>EHYD-RUNS15</v>
          </cell>
          <cell r="C158" t="str">
            <v>VAR_ncap</v>
          </cell>
          <cell r="D158" t="str">
            <v>-</v>
          </cell>
          <cell r="I158">
            <v>7.8896958600518502E-8</v>
          </cell>
          <cell r="J158">
            <v>1.03588072747498E-7</v>
          </cell>
          <cell r="K158">
            <v>6.7005808179034604E-7</v>
          </cell>
        </row>
        <row r="159">
          <cell r="B159" t="str">
            <v>EHYD-RUNS15</v>
          </cell>
          <cell r="C159" t="str">
            <v>VAR_cap</v>
          </cell>
          <cell r="D159" t="str">
            <v>-</v>
          </cell>
          <cell r="I159">
            <v>2.52522317352332E-4</v>
          </cell>
          <cell r="J159">
            <v>2.5262590542507999E-4</v>
          </cell>
          <cell r="K159">
            <v>2.5329596350687E-4</v>
          </cell>
        </row>
        <row r="160">
          <cell r="B160" t="str">
            <v>EHYD-RUN10</v>
          </cell>
          <cell r="C160" t="str">
            <v>VAR_fout</v>
          </cell>
          <cell r="D160" t="str">
            <v>ELC13</v>
          </cell>
          <cell r="I160">
            <v>6.0355309013306997E-2</v>
          </cell>
          <cell r="J160">
            <v>6.5245816784461216E-2</v>
          </cell>
          <cell r="K160">
            <v>6.2907402641920476E-2</v>
          </cell>
        </row>
        <row r="161">
          <cell r="B161" t="str">
            <v>EHYD-RUN10</v>
          </cell>
          <cell r="C161" t="str">
            <v>VAR_fin</v>
          </cell>
          <cell r="D161" t="str">
            <v>HYDR</v>
          </cell>
          <cell r="I161">
            <v>6.0355309013306997E-2</v>
          </cell>
          <cell r="J161">
            <v>6.5245816784461216E-2</v>
          </cell>
          <cell r="K161">
            <v>6.2907402641920476E-2</v>
          </cell>
        </row>
        <row r="162">
          <cell r="B162" t="str">
            <v>EHYD-RUN10</v>
          </cell>
          <cell r="C162" t="str">
            <v>VAR_ncap</v>
          </cell>
          <cell r="D162" t="str">
            <v>-</v>
          </cell>
          <cell r="J162"/>
          <cell r="K162"/>
        </row>
        <row r="163">
          <cell r="B163" t="str">
            <v>EHYD-RUN10</v>
          </cell>
          <cell r="C163" t="str">
            <v>VAR_cap</v>
          </cell>
          <cell r="D163" t="str">
            <v>-</v>
          </cell>
          <cell r="I163">
            <v>5.0208519100731304E-3</v>
          </cell>
          <cell r="J163">
            <v>5.0208519100731304E-3</v>
          </cell>
          <cell r="K163">
            <v>5.0208519100731304E-3</v>
          </cell>
        </row>
        <row r="164">
          <cell r="B164" t="str">
            <v>ITOT-CHPWOD</v>
          </cell>
          <cell r="C164" t="str">
            <v>VAR_fout</v>
          </cell>
          <cell r="D164" t="str">
            <v>ITOT_LTH_CHP</v>
          </cell>
          <cell r="I164">
            <v>4.740617095840987</v>
          </cell>
          <cell r="J164">
            <v>7.3675781968931533</v>
          </cell>
          <cell r="K164">
            <v>8.2854471348011902</v>
          </cell>
        </row>
        <row r="165">
          <cell r="B165" t="str">
            <v>ITOT-CHPWOD</v>
          </cell>
          <cell r="C165" t="str">
            <v>VAR_fout</v>
          </cell>
          <cell r="D165" t="str">
            <v>ITOT_KEV_WOD_ELC_CHP</v>
          </cell>
          <cell r="I165">
            <v>2.2410189907611899</v>
          </cell>
          <cell r="J165">
            <v>3.4828551476222125</v>
          </cell>
          <cell r="K165">
            <v>3.9167568273605533</v>
          </cell>
        </row>
        <row r="166">
          <cell r="B166" t="str">
            <v>ITOT-CHPWOD</v>
          </cell>
          <cell r="C166" t="str">
            <v>VAR_fin</v>
          </cell>
          <cell r="D166" t="str">
            <v>IWOD</v>
          </cell>
          <cell r="I166">
            <v>6.4808476686938778</v>
          </cell>
          <cell r="J166">
            <v>9.8642535061966701</v>
          </cell>
          <cell r="K166">
            <v>10.652737841633728</v>
          </cell>
        </row>
        <row r="167">
          <cell r="B167" t="str">
            <v>ITOT-CHPWOD</v>
          </cell>
          <cell r="C167" t="str">
            <v>VAR_ncap</v>
          </cell>
          <cell r="D167" t="str">
            <v>-</v>
          </cell>
          <cell r="I167">
            <v>3.34126412177344E-2</v>
          </cell>
          <cell r="J167">
            <v>8.7958956693527698E-2</v>
          </cell>
          <cell r="K167">
            <v>6.6968554666819599E-2</v>
          </cell>
        </row>
        <row r="168">
          <cell r="B168" t="str">
            <v>ITOT-CHPWOD</v>
          </cell>
          <cell r="C168" t="str">
            <v>VAR_cap</v>
          </cell>
          <cell r="D168" t="str">
            <v>-</v>
          </cell>
          <cell r="I168">
            <v>8.2861366875301587E-2</v>
          </cell>
          <cell r="J168">
            <v>0.13511213938548572</v>
          </cell>
          <cell r="K168">
            <v>0.14493656293848714</v>
          </cell>
        </row>
        <row r="169">
          <cell r="B169" t="str">
            <v>EHYD-RUN15</v>
          </cell>
          <cell r="C169" t="str">
            <v>VAR_fout</v>
          </cell>
          <cell r="D169" t="str">
            <v>ELC13</v>
          </cell>
          <cell r="I169">
            <v>4.9829326640944442E-3</v>
          </cell>
          <cell r="J169">
            <v>5.2227966665714734E-3</v>
          </cell>
          <cell r="K169">
            <v>5.2507919975962221E-3</v>
          </cell>
        </row>
        <row r="170">
          <cell r="B170" t="str">
            <v>EHYD-RUN15</v>
          </cell>
          <cell r="C170" t="str">
            <v>VAR_fin</v>
          </cell>
          <cell r="D170" t="str">
            <v>HYDR</v>
          </cell>
          <cell r="I170">
            <v>4.9829326640944442E-3</v>
          </cell>
          <cell r="J170">
            <v>5.2227966665714734E-3</v>
          </cell>
          <cell r="K170">
            <v>5.2507919975962221E-3</v>
          </cell>
        </row>
        <row r="171">
          <cell r="B171" t="str">
            <v>EHYD-RUN15</v>
          </cell>
          <cell r="C171" t="str">
            <v>VAR_ncap</v>
          </cell>
          <cell r="D171" t="str">
            <v>-</v>
          </cell>
          <cell r="I171">
            <v>2.97733897309252E-7</v>
          </cell>
          <cell r="J171">
            <v>6.1420558441149402E-7</v>
          </cell>
          <cell r="K171">
            <v>2.5360833876280099E-6</v>
          </cell>
        </row>
        <row r="172">
          <cell r="B172" t="str">
            <v>EHYD-RUN15</v>
          </cell>
          <cell r="C172" t="str">
            <v>VAR_cap</v>
          </cell>
          <cell r="D172" t="str">
            <v>-</v>
          </cell>
          <cell r="I172">
            <v>3.7122464513519301E-4</v>
          </cell>
          <cell r="J172">
            <v>3.71565797697656E-4</v>
          </cell>
          <cell r="K172">
            <v>3.7359991829621398E-4</v>
          </cell>
        </row>
        <row r="173">
          <cell r="B173" t="str">
            <v>SCOM-SWHSTG-CHPWOD</v>
          </cell>
          <cell r="C173" t="str">
            <v>VAR_fout</v>
          </cell>
          <cell r="D173" t="str">
            <v>AUX_SCOM-CHPWOD_OUT</v>
          </cell>
          <cell r="I173">
            <v>1.7623089931231808E-2</v>
          </cell>
          <cell r="J173">
            <v>1.9779246560475524E-2</v>
          </cell>
          <cell r="K173">
            <v>4.9806623627825938E-2</v>
          </cell>
        </row>
        <row r="174">
          <cell r="B174" t="str">
            <v>SCOM-SWHSTG-CHPWOD</v>
          </cell>
          <cell r="C174" t="str">
            <v>VAR_fout</v>
          </cell>
          <cell r="D174" t="str">
            <v>SCOM_LTH_CHPWOD</v>
          </cell>
          <cell r="I174">
            <v>1.7642692923368855E-2</v>
          </cell>
          <cell r="J174">
            <v>1.9779246560475503E-2</v>
          </cell>
          <cell r="K174">
            <v>4.9806623627825938E-2</v>
          </cell>
        </row>
        <row r="175">
          <cell r="B175" t="str">
            <v>SCOM-SWHSTG-CHPWOD</v>
          </cell>
          <cell r="C175" t="str">
            <v>VAR_fin</v>
          </cell>
          <cell r="D175" t="str">
            <v>AUX_SCOM-CHPWOD_IN</v>
          </cell>
          <cell r="I175">
            <v>1.9596542921334725E-2</v>
          </cell>
          <cell r="J175">
            <v>2.1266306570171561E-2</v>
          </cell>
          <cell r="K175">
            <v>5.0309961361289471E-2</v>
          </cell>
        </row>
        <row r="176">
          <cell r="B176" t="str">
            <v>SCOM-SWHSTG-CHPWOD</v>
          </cell>
          <cell r="C176" t="str">
            <v>VAR_fin</v>
          </cell>
          <cell r="D176" t="str">
            <v>SCOM_LTH_CHPWOD</v>
          </cell>
          <cell r="I176">
            <v>1.9596542921334725E-2</v>
          </cell>
          <cell r="J176">
            <v>2.1266306570171561E-2</v>
          </cell>
          <cell r="K176">
            <v>5.0309961361289471E-2</v>
          </cell>
        </row>
        <row r="177">
          <cell r="B177" t="str">
            <v>SCOM-SWHSTG-CHPWOD</v>
          </cell>
          <cell r="C177" t="str">
            <v>VAR_ncap</v>
          </cell>
          <cell r="D177" t="str">
            <v>-</v>
          </cell>
          <cell r="I177">
            <v>1.37456276881036E-3</v>
          </cell>
          <cell r="J177">
            <v>9.9974811892492501E-5</v>
          </cell>
          <cell r="K177">
            <v>2.4501333056952701E-3</v>
          </cell>
        </row>
        <row r="178">
          <cell r="B178" t="str">
            <v>SCOM-SWHSTG-CHPWOD</v>
          </cell>
          <cell r="C178" t="str">
            <v>VAR_cap</v>
          </cell>
          <cell r="D178" t="str">
            <v>-</v>
          </cell>
          <cell r="I178">
            <v>1.695665617488265E-3</v>
          </cell>
          <cell r="J178">
            <v>1.4932390411830953E-3</v>
          </cell>
          <cell r="K178">
            <v>3.0960406071074277E-3</v>
          </cell>
        </row>
        <row r="179">
          <cell r="B179" t="str">
            <v>RHNM-ESOLPV</v>
          </cell>
          <cell r="C179" t="str">
            <v>VAR_fout</v>
          </cell>
          <cell r="D179" t="str">
            <v>RHNM_SOL_ELC</v>
          </cell>
          <cell r="I179">
            <v>1.9758558220302558</v>
          </cell>
          <cell r="J179">
            <v>2.0766458961265983</v>
          </cell>
          <cell r="K179">
            <v>2.2939103991302292</v>
          </cell>
        </row>
        <row r="180">
          <cell r="B180" t="str">
            <v>RHNM-ESOLPV</v>
          </cell>
          <cell r="C180" t="str">
            <v>VAR_fin</v>
          </cell>
          <cell r="D180" t="str">
            <v>SOL</v>
          </cell>
          <cell r="I180">
            <v>1.9758558220302558</v>
          </cell>
          <cell r="J180">
            <v>2.0766458961265983</v>
          </cell>
          <cell r="K180">
            <v>2.2939103991302292</v>
          </cell>
        </row>
        <row r="181">
          <cell r="B181" t="str">
            <v>RHNM-ESOLPV</v>
          </cell>
          <cell r="C181" t="str">
            <v>VAR_fin</v>
          </cell>
          <cell r="D181" t="str">
            <v>SOLPVC</v>
          </cell>
          <cell r="I181">
            <v>1.97585582203026</v>
          </cell>
          <cell r="J181">
            <v>2.0766458961266001</v>
          </cell>
          <cell r="K181">
            <v>2.2939103991302301</v>
          </cell>
        </row>
        <row r="182">
          <cell r="B182" t="str">
            <v>RHNM-ESOLPV</v>
          </cell>
          <cell r="C182" t="str">
            <v>VAR_ncap</v>
          </cell>
          <cell r="D182" t="str">
            <v>-</v>
          </cell>
          <cell r="I182">
            <v>2.7644886799854301E-2</v>
          </cell>
          <cell r="J182">
            <v>2.9060413249199901E-2</v>
          </cell>
          <cell r="K182">
            <v>0.61017832349036905</v>
          </cell>
        </row>
        <row r="183">
          <cell r="B183" t="str">
            <v>RHNM-ESOLPV</v>
          </cell>
          <cell r="C183" t="str">
            <v>VAR_cap</v>
          </cell>
          <cell r="D183" t="str">
            <v>-</v>
          </cell>
          <cell r="I183">
            <v>0.56958272232770901</v>
          </cell>
          <cell r="J183">
            <v>0.598637623451308</v>
          </cell>
          <cell r="K183">
            <v>0.66126794874369699</v>
          </cell>
        </row>
        <row r="184">
          <cell r="B184" t="str">
            <v>CHPNGA</v>
          </cell>
          <cell r="C184" t="str">
            <v>VAR_fout</v>
          </cell>
          <cell r="D184" t="str">
            <v>ELC35</v>
          </cell>
          <cell r="I184">
            <v>1.5097439401076607E-2</v>
          </cell>
          <cell r="J184">
            <v>0.28720759305979465</v>
          </cell>
          <cell r="K184">
            <v>0.18379107536310185</v>
          </cell>
        </row>
        <row r="185">
          <cell r="B185" t="str">
            <v>CHPNGA</v>
          </cell>
          <cell r="C185" t="str">
            <v>VAR_fout</v>
          </cell>
          <cell r="D185" t="str">
            <v>LTH</v>
          </cell>
          <cell r="I185">
            <v>3.2115774924086571E-2</v>
          </cell>
          <cell r="J185">
            <v>0.60765506538890379</v>
          </cell>
          <cell r="K185">
            <v>0.38471641660921568</v>
          </cell>
        </row>
        <row r="186">
          <cell r="B186" t="str">
            <v>CHPNGA</v>
          </cell>
          <cell r="C186" t="str">
            <v>VAR_fout</v>
          </cell>
          <cell r="D186" t="str">
            <v>CO2_E</v>
          </cell>
          <cell r="I186">
            <v>3.45790399301944</v>
          </cell>
          <cell r="J186">
            <v>65.024439911306004</v>
          </cell>
          <cell r="K186">
            <v>41.295457605222602</v>
          </cell>
        </row>
        <row r="187">
          <cell r="B187" t="str">
            <v>CHPNGA</v>
          </cell>
          <cell r="C187" t="str">
            <v>VAR_fin</v>
          </cell>
          <cell r="D187" t="str">
            <v>ENGA</v>
          </cell>
          <cell r="I187">
            <v>6.131035448616038E-2</v>
          </cell>
          <cell r="J187">
            <v>1.1529156012642898</v>
          </cell>
          <cell r="K187">
            <v>0.7321889646316061</v>
          </cell>
        </row>
        <row r="188">
          <cell r="B188" t="str">
            <v>CHPNGA</v>
          </cell>
          <cell r="C188" t="str">
            <v>VAR_ncap</v>
          </cell>
          <cell r="D188" t="str">
            <v>-</v>
          </cell>
          <cell r="I188">
            <v>1.3008360937084099E-5</v>
          </cell>
          <cell r="J188">
            <v>1.6319315484175999E-2</v>
          </cell>
          <cell r="K188">
            <v>5.2493839347401402E-3</v>
          </cell>
        </row>
        <row r="189">
          <cell r="B189" t="str">
            <v>CHPNGA</v>
          </cell>
          <cell r="C189" t="str">
            <v>VAR_cap</v>
          </cell>
          <cell r="D189" t="str">
            <v>-</v>
          </cell>
          <cell r="I189">
            <v>1.4482964238544597E-3</v>
          </cell>
          <cell r="J189">
            <v>1.7752858751417876E-2</v>
          </cell>
          <cell r="K189">
            <v>2.1578862542017383E-2</v>
          </cell>
        </row>
        <row r="190">
          <cell r="B190" t="str">
            <v>EHYD-PUM00</v>
          </cell>
          <cell r="C190" t="str">
            <v>VAR_fout</v>
          </cell>
          <cell r="D190" t="str">
            <v>ELC</v>
          </cell>
          <cell r="I190">
            <v>12.624837319262914</v>
          </cell>
          <cell r="J190">
            <v>12.73125541315062</v>
          </cell>
          <cell r="K190">
            <v>12.924672604367633</v>
          </cell>
        </row>
        <row r="191">
          <cell r="B191" t="str">
            <v>EHYD-PUM00</v>
          </cell>
          <cell r="C191" t="str">
            <v>VAR_fout</v>
          </cell>
          <cell r="D191" t="str">
            <v>AUX_PUMP_OUT</v>
          </cell>
          <cell r="I191">
            <v>12.624837319262914</v>
          </cell>
          <cell r="J191">
            <v>12.73125541315062</v>
          </cell>
          <cell r="K191">
            <v>12.924672604367636</v>
          </cell>
        </row>
        <row r="192">
          <cell r="B192" t="str">
            <v>EHYD-PUM00</v>
          </cell>
          <cell r="C192" t="str">
            <v>VAR_fin</v>
          </cell>
          <cell r="D192" t="str">
            <v>AUX_PUMP_IN</v>
          </cell>
          <cell r="I192">
            <v>15.781046602731374</v>
          </cell>
          <cell r="J192">
            <v>15.91406923522859</v>
          </cell>
          <cell r="K192">
            <v>16.155840725155574</v>
          </cell>
        </row>
        <row r="193">
          <cell r="B193" t="str">
            <v>EHYD-PUM00</v>
          </cell>
          <cell r="C193" t="str">
            <v>VAR_fin</v>
          </cell>
          <cell r="D193" t="str">
            <v>ELC</v>
          </cell>
          <cell r="I193">
            <v>15.781046602731374</v>
          </cell>
          <cell r="J193">
            <v>15.91406923522859</v>
          </cell>
          <cell r="K193">
            <v>16.155840725155574</v>
          </cell>
        </row>
        <row r="194">
          <cell r="B194" t="str">
            <v>EHYD-PUM00</v>
          </cell>
          <cell r="C194" t="str">
            <v>VAR_cap</v>
          </cell>
          <cell r="D194" t="str">
            <v>-</v>
          </cell>
          <cell r="I194">
            <v>4.3594499999999998</v>
          </cell>
          <cell r="J194">
            <v>4.3594499999999998</v>
          </cell>
          <cell r="K194">
            <v>4.3594499999999998</v>
          </cell>
        </row>
        <row r="195">
          <cell r="B195" t="str">
            <v>RHNS-SHSTG-CHPNGA</v>
          </cell>
          <cell r="C195" t="str">
            <v>VAR_fout</v>
          </cell>
          <cell r="D195" t="str">
            <v>RHNS_LTH_CHPNGA</v>
          </cell>
          <cell r="I195">
            <v>7.80594825861387E-3</v>
          </cell>
          <cell r="J195">
            <v>1.3461153171879466E-2</v>
          </cell>
          <cell r="K195">
            <v>1.3761998817191919E-2</v>
          </cell>
        </row>
        <row r="196">
          <cell r="B196" t="str">
            <v>RHNS-SHSTG-CHPNGA</v>
          </cell>
          <cell r="C196" t="str">
            <v>VAR_fout</v>
          </cell>
          <cell r="D196" t="str">
            <v>AUX_RNS-CHPNGA_OUT</v>
          </cell>
          <cell r="I196">
            <v>7.7987802620494984E-3</v>
          </cell>
          <cell r="J196">
            <v>1.3461153171879514E-2</v>
          </cell>
          <cell r="K196">
            <v>1.376199881719193E-2</v>
          </cell>
        </row>
        <row r="197">
          <cell r="B197" t="str">
            <v>RHNS-SHSTG-CHPNGA</v>
          </cell>
          <cell r="C197" t="str">
            <v>VAR_fin</v>
          </cell>
          <cell r="D197" t="str">
            <v>RHNS_LTH_CHPNGA</v>
          </cell>
          <cell r="I197">
            <v>9.4601921143416413E-3</v>
          </cell>
          <cell r="J197">
            <v>1.5837432465768318E-2</v>
          </cell>
          <cell r="K197">
            <v>1.5291891472202614E-2</v>
          </cell>
        </row>
        <row r="198">
          <cell r="B198" t="str">
            <v>RHNS-SHSTG-CHPNGA</v>
          </cell>
          <cell r="C198" t="str">
            <v>VAR_fin</v>
          </cell>
          <cell r="D198" t="str">
            <v>AUX_RNS-CHPNGA_IN</v>
          </cell>
          <cell r="I198">
            <v>9.4601921143416413E-3</v>
          </cell>
          <cell r="J198">
            <v>1.5837432465768318E-2</v>
          </cell>
          <cell r="K198">
            <v>1.5291891472202614E-2</v>
          </cell>
        </row>
        <row r="199">
          <cell r="B199" t="str">
            <v>RHNS-SHSTG-CHPNGA</v>
          </cell>
          <cell r="C199" t="str">
            <v>VAR_ncap</v>
          </cell>
          <cell r="D199" t="str">
            <v>-</v>
          </cell>
          <cell r="I199">
            <v>1.3227718580804901E-3</v>
          </cell>
          <cell r="J199">
            <v>1.34327040235175E-4</v>
          </cell>
          <cell r="K199">
            <v>2.6382557101386898E-4</v>
          </cell>
        </row>
        <row r="200">
          <cell r="B200" t="str">
            <v>RHNS-SHSTG-CHPNGA</v>
          </cell>
          <cell r="C200" t="str">
            <v>VAR_cap</v>
          </cell>
          <cell r="D200" t="str">
            <v>-</v>
          </cell>
          <cell r="I200">
            <v>1.7407554933569051E-3</v>
          </cell>
          <cell r="J200">
            <v>1.4604912973686093E-3</v>
          </cell>
          <cell r="K200">
            <v>9.1269349315114634E-4</v>
          </cell>
        </row>
        <row r="201">
          <cell r="B201" t="str">
            <v>ITOT-CHPGFC</v>
          </cell>
          <cell r="C201" t="str">
            <v>VAR_fout</v>
          </cell>
          <cell r="D201" t="str">
            <v>ITOT_NKEV_GAS_ELC_CHP</v>
          </cell>
          <cell r="I201">
            <v>1.2400838028425391E-3</v>
          </cell>
          <cell r="J201">
            <v>3.1016664342680307E-3</v>
          </cell>
          <cell r="K201">
            <v>1.7856088393576042E-3</v>
          </cell>
        </row>
        <row r="202">
          <cell r="B202" t="str">
            <v>ITOT-CHPGFC</v>
          </cell>
          <cell r="C202" t="str">
            <v>VAR_fout</v>
          </cell>
          <cell r="D202" t="str">
            <v>ITOT_LTH_CHP</v>
          </cell>
          <cell r="I202">
            <v>5.8875538345964679E-4</v>
          </cell>
          <cell r="J202">
            <v>1.3943271126526011E-3</v>
          </cell>
          <cell r="K202">
            <v>7.2050882991622745E-4</v>
          </cell>
        </row>
        <row r="203">
          <cell r="B203" t="str">
            <v>ITOT-CHPGFC</v>
          </cell>
          <cell r="C203" t="str">
            <v>VAR_fout</v>
          </cell>
          <cell r="D203" t="str">
            <v>CO2_I</v>
          </cell>
          <cell r="I203">
            <v>0.13134408728698499</v>
          </cell>
          <cell r="J203">
            <v>0.32097979246370101</v>
          </cell>
          <cell r="K203">
            <v>0.176681295683805</v>
          </cell>
        </row>
        <row r="204">
          <cell r="B204" t="str">
            <v>ITOT-CHPGFC</v>
          </cell>
          <cell r="C204" t="str">
            <v>VAR_fin</v>
          </cell>
          <cell r="D204" t="str">
            <v>INGA</v>
          </cell>
          <cell r="I204">
            <v>2.328795873882703E-3</v>
          </cell>
          <cell r="J204">
            <v>5.6911310720514328E-3</v>
          </cell>
          <cell r="K204">
            <v>3.1326470865922908E-3</v>
          </cell>
        </row>
        <row r="205">
          <cell r="B205" t="str">
            <v>ITOT-CHPGFC</v>
          </cell>
          <cell r="C205" t="str">
            <v>VAR_ncap</v>
          </cell>
          <cell r="D205" t="str">
            <v>-</v>
          </cell>
          <cell r="I205">
            <v>7.1804498016377695E-5</v>
          </cell>
          <cell r="J205">
            <v>4.7267296807049702E-5</v>
          </cell>
          <cell r="K205">
            <v>4.56216590021196E-5</v>
          </cell>
        </row>
        <row r="206">
          <cell r="B206" t="str">
            <v>ITOT-CHPGFC</v>
          </cell>
          <cell r="C206" t="str">
            <v>VAR_cap</v>
          </cell>
          <cell r="D206" t="str">
            <v>-</v>
          </cell>
          <cell r="I206">
            <v>1.5623446145970315E-4</v>
          </cell>
          <cell r="J206">
            <v>1.7666689283445193E-4</v>
          </cell>
          <cell r="K206">
            <v>1.1022964512417284E-4</v>
          </cell>
        </row>
        <row r="207">
          <cell r="B207" t="str">
            <v>ITOT-SWSTG-CHP</v>
          </cell>
          <cell r="C207" t="str">
            <v>VAR_fout</v>
          </cell>
          <cell r="D207" t="str">
            <v>ITOT_LTH_CHP</v>
          </cell>
          <cell r="I207">
            <v>1.2895438508443805E-2</v>
          </cell>
          <cell r="J207">
            <v>6.2815981667785431E-2</v>
          </cell>
          <cell r="K207">
            <v>0.35205009230209122</v>
          </cell>
        </row>
        <row r="208">
          <cell r="B208" t="str">
            <v>ITOT-SWSTG-CHP</v>
          </cell>
          <cell r="C208" t="str">
            <v>VAR_fout</v>
          </cell>
          <cell r="D208" t="str">
            <v>AUX_ITOT-CHP_OUT</v>
          </cell>
          <cell r="I208">
            <v>1.2881110243434437E-2</v>
          </cell>
          <cell r="J208">
            <v>6.2815981667785487E-2</v>
          </cell>
          <cell r="K208">
            <v>0.35205009230209133</v>
          </cell>
        </row>
        <row r="209">
          <cell r="B209" t="str">
            <v>ITOT-SWSTG-CHP</v>
          </cell>
          <cell r="C209" t="str">
            <v>VAR_fin</v>
          </cell>
          <cell r="D209" t="str">
            <v>ITOT_LTH_CHP</v>
          </cell>
          <cell r="I209">
            <v>1.432982987233849E-2</v>
          </cell>
          <cell r="J209">
            <v>6.7545618803488722E-2</v>
          </cell>
          <cell r="K209">
            <v>0.35560771719108902</v>
          </cell>
        </row>
        <row r="210">
          <cell r="B210" t="str">
            <v>ITOT-SWSTG-CHP</v>
          </cell>
          <cell r="C210" t="str">
            <v>VAR_fin</v>
          </cell>
          <cell r="D210" t="str">
            <v>AUX_ITOT-CHP_IN</v>
          </cell>
          <cell r="I210">
            <v>1.432982987233849E-2</v>
          </cell>
          <cell r="J210">
            <v>6.7545618803488722E-2</v>
          </cell>
          <cell r="K210">
            <v>0.35560771719108902</v>
          </cell>
        </row>
        <row r="211">
          <cell r="B211" t="str">
            <v>ITOT-SWSTG-CHP</v>
          </cell>
          <cell r="C211" t="str">
            <v>VAR_ncap</v>
          </cell>
          <cell r="D211" t="str">
            <v>-</v>
          </cell>
          <cell r="I211">
            <v>1.1982187333409099E-3</v>
          </cell>
          <cell r="J211">
            <v>1.29301807259201E-2</v>
          </cell>
          <cell r="K211">
            <v>6.7103689755141596E-2</v>
          </cell>
        </row>
        <row r="212">
          <cell r="B212" t="str">
            <v>ITOT-SWSTG-CHP</v>
          </cell>
          <cell r="C212" t="str">
            <v>VAR_cap</v>
          </cell>
          <cell r="D212" t="str">
            <v>-</v>
          </cell>
          <cell r="I212">
            <v>3.6871872285710906E-3</v>
          </cell>
          <cell r="J212">
            <v>1.4458005354477275E-2</v>
          </cell>
          <cell r="K212">
            <v>7.698628089627535E-2</v>
          </cell>
        </row>
        <row r="213">
          <cell r="B213" t="str">
            <v>D-ELFO</v>
          </cell>
          <cell r="C213" t="str">
            <v>VAR_fout</v>
          </cell>
          <cell r="D213" t="str">
            <v>CO2</v>
          </cell>
          <cell r="I213">
            <v>0.82037837779437695</v>
          </cell>
          <cell r="J213">
            <v>0.86473726202077805</v>
          </cell>
          <cell r="K213">
            <v>0.912171011621566</v>
          </cell>
        </row>
        <row r="214">
          <cell r="B214" t="str">
            <v>D-ELFO</v>
          </cell>
          <cell r="C214" t="str">
            <v>VAR_fout</v>
          </cell>
          <cell r="D214" t="str">
            <v>ELFO</v>
          </cell>
          <cell r="I214">
            <v>1.0945415235006974E-2</v>
          </cell>
          <cell r="J214">
            <v>1.1537247516746174E-2</v>
          </cell>
          <cell r="K214">
            <v>1.217010437839313E-2</v>
          </cell>
        </row>
        <row r="215">
          <cell r="B215" t="str">
            <v>D-ELFO</v>
          </cell>
          <cell r="C215" t="str">
            <v>VAR_fin</v>
          </cell>
          <cell r="D215" t="str">
            <v>LFO</v>
          </cell>
          <cell r="I215">
            <v>1.1131321272650962E-2</v>
          </cell>
          <cell r="J215">
            <v>1.1733205726197795E-2</v>
          </cell>
          <cell r="K215">
            <v>1.2376811555245119E-2</v>
          </cell>
        </row>
        <row r="216">
          <cell r="B216" t="str">
            <v>EHYD-DAM00</v>
          </cell>
          <cell r="C216" t="str">
            <v>VAR_fout</v>
          </cell>
          <cell r="D216" t="str">
            <v>ELC</v>
          </cell>
          <cell r="I216">
            <v>70.703642228316468</v>
          </cell>
          <cell r="J216">
            <v>71.395122578084553</v>
          </cell>
          <cell r="K216">
            <v>71.337993520391535</v>
          </cell>
        </row>
        <row r="217">
          <cell r="B217" t="str">
            <v>EHYD-DAM00</v>
          </cell>
          <cell r="C217" t="str">
            <v>VAR_fin</v>
          </cell>
          <cell r="D217" t="str">
            <v>HYDD</v>
          </cell>
          <cell r="I217">
            <v>70.703642228316468</v>
          </cell>
          <cell r="J217">
            <v>71.395122578084553</v>
          </cell>
          <cell r="K217">
            <v>71.337993520391535</v>
          </cell>
        </row>
        <row r="218">
          <cell r="B218" t="str">
            <v>EHYD-DAM00</v>
          </cell>
          <cell r="C218" t="str">
            <v>VAR_cap</v>
          </cell>
          <cell r="D218" t="str">
            <v>-</v>
          </cell>
          <cell r="I218">
            <v>7.3394300010600002</v>
          </cell>
          <cell r="J218">
            <v>7.3394300010600002</v>
          </cell>
          <cell r="K218">
            <v>7.3394300010600002</v>
          </cell>
        </row>
        <row r="219">
          <cell r="B219" t="str">
            <v>RHES-SHSTG-CHPWOD</v>
          </cell>
          <cell r="C219" t="str">
            <v>VAR_fout</v>
          </cell>
          <cell r="D219" t="str">
            <v>AUX_RES-CHPWOD_OUT</v>
          </cell>
          <cell r="I219">
            <v>2.2315317580287046E-3</v>
          </cell>
          <cell r="J219">
            <v>2.748908622854387E-3</v>
          </cell>
          <cell r="K219">
            <v>2.6411402216051055E-3</v>
          </cell>
        </row>
        <row r="220">
          <cell r="B220" t="str">
            <v>RHES-SHSTG-CHPWOD</v>
          </cell>
          <cell r="C220" t="str">
            <v>VAR_fout</v>
          </cell>
          <cell r="D220" t="str">
            <v>RHES_LTH_CHPWOD</v>
          </cell>
          <cell r="I220">
            <v>2.2335827982474785E-3</v>
          </cell>
          <cell r="J220">
            <v>2.7489086228543783E-3</v>
          </cell>
          <cell r="K220">
            <v>2.6411402216051025E-3</v>
          </cell>
        </row>
        <row r="221">
          <cell r="B221" t="str">
            <v>RHES-SHSTG-CHPWOD</v>
          </cell>
          <cell r="C221" t="str">
            <v>VAR_fin</v>
          </cell>
          <cell r="D221" t="str">
            <v>AUX_RES-CHPWOD_IN</v>
          </cell>
          <cell r="I221">
            <v>2.7058097381352877E-3</v>
          </cell>
          <cell r="J221">
            <v>3.234791819846477E-3</v>
          </cell>
          <cell r="K221">
            <v>2.9353819215512302E-3</v>
          </cell>
        </row>
        <row r="222">
          <cell r="B222" t="str">
            <v>RHES-SHSTG-CHPWOD</v>
          </cell>
          <cell r="C222" t="str">
            <v>VAR_fin</v>
          </cell>
          <cell r="D222" t="str">
            <v>RHES_LTH_CHPWOD</v>
          </cell>
          <cell r="I222">
            <v>2.7058097381352877E-3</v>
          </cell>
          <cell r="J222">
            <v>3.234791819846477E-3</v>
          </cell>
          <cell r="K222">
            <v>2.9353819215512302E-3</v>
          </cell>
        </row>
        <row r="223">
          <cell r="B223" t="str">
            <v>RHES-SHSTG-CHPWOD</v>
          </cell>
          <cell r="C223" t="str">
            <v>VAR_ncap</v>
          </cell>
          <cell r="D223" t="str">
            <v>-</v>
          </cell>
          <cell r="I223">
            <v>1.3698710060187E-3</v>
          </cell>
          <cell r="J223">
            <v>9.6846871105426007E-5</v>
          </cell>
          <cell r="K223">
            <v>1.95877029904733E-4</v>
          </cell>
        </row>
        <row r="224">
          <cell r="B224" t="str">
            <v>RHES-SHSTG-CHPWOD</v>
          </cell>
          <cell r="C224" t="str">
            <v>VAR_cap</v>
          </cell>
          <cell r="D224" t="str">
            <v>-</v>
          </cell>
          <cell r="I224">
            <v>1.6992794432885002E-3</v>
          </cell>
          <cell r="J224">
            <v>1.478322290415409E-3</v>
          </cell>
          <cell r="K224">
            <v>8.3745934985059796E-4</v>
          </cell>
        </row>
        <row r="225">
          <cell r="B225" t="str">
            <v>ESOL-PV_A</v>
          </cell>
          <cell r="C225" t="str">
            <v>VAR_fout</v>
          </cell>
          <cell r="D225" t="str">
            <v>ELC35</v>
          </cell>
          <cell r="I225">
            <v>0.4900405307757828</v>
          </cell>
          <cell r="J225">
            <v>0.49004211533408415</v>
          </cell>
          <cell r="K225">
            <v>10.799959880789693</v>
          </cell>
        </row>
        <row r="226">
          <cell r="B226" t="str">
            <v>ESOL-PV_A</v>
          </cell>
          <cell r="C226" t="str">
            <v>VAR_fin</v>
          </cell>
          <cell r="D226" t="str">
            <v>SOL</v>
          </cell>
          <cell r="I226">
            <v>0.4900405307757828</v>
          </cell>
          <cell r="J226">
            <v>0.49004211533408415</v>
          </cell>
          <cell r="K226">
            <v>10.799959880789693</v>
          </cell>
        </row>
        <row r="227">
          <cell r="B227" t="str">
            <v>ESOL-PV_A</v>
          </cell>
          <cell r="C227" t="str">
            <v>VAR_fin</v>
          </cell>
          <cell r="D227" t="str">
            <v>SOLPVC</v>
          </cell>
          <cell r="I227">
            <v>0.49004053077578202</v>
          </cell>
          <cell r="J227">
            <v>0.49004211533408398</v>
          </cell>
          <cell r="K227">
            <v>10.7999598807897</v>
          </cell>
        </row>
        <row r="228">
          <cell r="B228" t="str">
            <v>ESOL-PV_A</v>
          </cell>
          <cell r="C228" t="str">
            <v>VAR_ncap</v>
          </cell>
          <cell r="D228" t="str">
            <v>-</v>
          </cell>
          <cell r="I228">
            <v>6.5112274444129699E-7</v>
          </cell>
          <cell r="J228">
            <v>3.44803498368719E-7</v>
          </cell>
          <cell r="K228">
            <v>2.7883750857876999</v>
          </cell>
        </row>
        <row r="229">
          <cell r="B229" t="str">
            <v>ESOL-PV_A</v>
          </cell>
          <cell r="C229" t="str">
            <v>VAR_cap</v>
          </cell>
          <cell r="D229" t="str">
            <v>-</v>
          </cell>
          <cell r="I229">
            <v>7.5741960110984399E-2</v>
          </cell>
          <cell r="J229">
            <v>7.5742549884593294E-2</v>
          </cell>
          <cell r="K229">
            <v>1.6692644143953701</v>
          </cell>
        </row>
        <row r="230">
          <cell r="B230" t="str">
            <v>G-INTC-IND</v>
          </cell>
          <cell r="C230" t="str">
            <v>VAR_fout</v>
          </cell>
          <cell r="D230" t="str">
            <v>ELC35</v>
          </cell>
          <cell r="I230">
            <v>1.5969900861444455E-3</v>
          </cell>
          <cell r="J230">
            <v>9.4969402784551903E-4</v>
          </cell>
          <cell r="K230">
            <v>6.2188496851591304E-4</v>
          </cell>
        </row>
        <row r="231">
          <cell r="B231" t="str">
            <v>G-INTC-IND</v>
          </cell>
          <cell r="C231" t="str">
            <v>VAR_fout</v>
          </cell>
          <cell r="D231" t="str">
            <v>ITOT_ELC</v>
          </cell>
          <cell r="I231">
            <v>53.987280487865178</v>
          </cell>
          <cell r="J231">
            <v>46.218342858618506</v>
          </cell>
          <cell r="K231">
            <v>46.791916312328212</v>
          </cell>
        </row>
        <row r="232">
          <cell r="B232" t="str">
            <v>G-INTC-IND</v>
          </cell>
          <cell r="C232" t="str">
            <v>VAR_fout</v>
          </cell>
          <cell r="D232" t="str">
            <v>ELC13</v>
          </cell>
          <cell r="I232">
            <v>1.1700539617944122E-3</v>
          </cell>
          <cell r="J232">
            <v>6.9946425001994052E-4</v>
          </cell>
          <cell r="K232">
            <v>4.8293108384451036E-4</v>
          </cell>
        </row>
        <row r="233">
          <cell r="B233" t="str">
            <v>G-INTC-IND</v>
          </cell>
          <cell r="C233" t="str">
            <v>VAR_fin</v>
          </cell>
          <cell r="D233" t="str">
            <v>ELC3</v>
          </cell>
          <cell r="I233">
            <v>53.986233483417472</v>
          </cell>
          <cell r="J233">
            <v>20.992987289587482</v>
          </cell>
          <cell r="K233">
            <v>21.116452831818151</v>
          </cell>
        </row>
        <row r="234">
          <cell r="B234" t="str">
            <v>G-INTC-IND</v>
          </cell>
          <cell r="C234" t="str">
            <v>VAR_fin</v>
          </cell>
          <cell r="D234" t="str">
            <v>ELC5</v>
          </cell>
          <cell r="I234">
            <v>3.8165053045470521E-3</v>
          </cell>
          <cell r="J234">
            <v>25.227004727308863</v>
          </cell>
          <cell r="K234">
            <v>25.676556640490656</v>
          </cell>
        </row>
        <row r="235">
          <cell r="B235" t="str">
            <v>G-INTC-IND</v>
          </cell>
          <cell r="C235" t="str">
            <v>VAR_ncap</v>
          </cell>
          <cell r="D235" t="str">
            <v>-</v>
          </cell>
          <cell r="I235">
            <v>4.2371444993427402E-7</v>
          </cell>
          <cell r="J235">
            <v>5.6145271894053898E-7</v>
          </cell>
          <cell r="K235">
            <v>9.9361230551089508E-7</v>
          </cell>
        </row>
        <row r="236">
          <cell r="B236" t="str">
            <v>G-INTC-IND</v>
          </cell>
          <cell r="C236" t="str">
            <v>VAR_cap</v>
          </cell>
          <cell r="D236" t="str">
            <v>-</v>
          </cell>
          <cell r="I236">
            <v>4.4927385091537442</v>
          </cell>
          <cell r="J236">
            <v>4.4927391011634903</v>
          </cell>
          <cell r="K236">
            <v>4.4927401275202277</v>
          </cell>
        </row>
        <row r="237">
          <cell r="B237" t="str">
            <v>D-IH2R</v>
          </cell>
          <cell r="C237" t="str">
            <v>VAR_fout</v>
          </cell>
          <cell r="D237" t="str">
            <v>IH2</v>
          </cell>
          <cell r="I237">
            <v>2.2126213564333751E-3</v>
          </cell>
          <cell r="J237">
            <v>1.4563732387432148E-3</v>
          </cell>
          <cell r="K237">
            <v>1.7474085117890076E-2</v>
          </cell>
        </row>
        <row r="238">
          <cell r="B238" t="str">
            <v>D-IH2R</v>
          </cell>
          <cell r="C238" t="str">
            <v>VAR_fin</v>
          </cell>
          <cell r="D238" t="str">
            <v>H2</v>
          </cell>
          <cell r="I238">
            <v>2.2126213564333751E-3</v>
          </cell>
          <cell r="J238">
            <v>1.4563732387432148E-3</v>
          </cell>
          <cell r="K238">
            <v>1.7474085117890076E-2</v>
          </cell>
        </row>
        <row r="239">
          <cell r="B239" t="str">
            <v>D-IH2R</v>
          </cell>
          <cell r="C239" t="str">
            <v>VAR_ncap</v>
          </cell>
          <cell r="D239" t="str">
            <v>-</v>
          </cell>
          <cell r="I239">
            <v>1.85343490840368E-4</v>
          </cell>
          <cell r="J239">
            <v>1.84191587543617E-4</v>
          </cell>
          <cell r="K239">
            <v>2.1231979373989599E-3</v>
          </cell>
        </row>
        <row r="240">
          <cell r="B240" t="str">
            <v>D-IH2R</v>
          </cell>
          <cell r="C240" t="str">
            <v>VAR_cap</v>
          </cell>
          <cell r="D240" t="str">
            <v>-</v>
          </cell>
          <cell r="I240">
            <v>2.8840462248154301E-4</v>
          </cell>
          <cell r="J240">
            <v>2.17019983105183E-4</v>
          </cell>
          <cell r="K240">
            <v>2.18628746960422E-3</v>
          </cell>
        </row>
        <row r="241">
          <cell r="B241" t="str">
            <v>ESOL-PV_E</v>
          </cell>
          <cell r="C241" t="str">
            <v>VAR_fout</v>
          </cell>
          <cell r="D241" t="str">
            <v>CELC_E</v>
          </cell>
          <cell r="I241">
            <v>3.5301903947924834E-5</v>
          </cell>
          <cell r="J241">
            <v>1.0533618496708645E-3</v>
          </cell>
          <cell r="K241">
            <v>1.055934118515046E-3</v>
          </cell>
        </row>
        <row r="242">
          <cell r="B242" t="str">
            <v>ESOL-PV_E</v>
          </cell>
          <cell r="C242" t="str">
            <v>VAR_fin</v>
          </cell>
          <cell r="D242" t="str">
            <v>SOL</v>
          </cell>
          <cell r="I242">
            <v>3.5301903947924834E-5</v>
          </cell>
          <cell r="J242">
            <v>1.0533618496708645E-3</v>
          </cell>
          <cell r="K242">
            <v>1.055934118515046E-3</v>
          </cell>
        </row>
        <row r="243">
          <cell r="B243" t="str">
            <v>ESOL-PV_E</v>
          </cell>
          <cell r="C243" t="str">
            <v>VAR_fin</v>
          </cell>
          <cell r="D243" t="str">
            <v>SOLPVC</v>
          </cell>
          <cell r="I243">
            <v>3.5301903947924901E-5</v>
          </cell>
          <cell r="J243">
            <v>1.05336184967086E-3</v>
          </cell>
          <cell r="K243">
            <v>1.0559341185150499E-3</v>
          </cell>
        </row>
        <row r="244">
          <cell r="B244" t="str">
            <v>ESOL-PV_E</v>
          </cell>
          <cell r="C244" t="str">
            <v>VAR_ncap</v>
          </cell>
          <cell r="D244" t="str">
            <v>-</v>
          </cell>
          <cell r="I244">
            <v>9.5192110567427206E-6</v>
          </cell>
          <cell r="J244">
            <v>2.9344740395601898E-4</v>
          </cell>
          <cell r="K244">
            <v>9.857011603344081E-7</v>
          </cell>
        </row>
        <row r="245">
          <cell r="B245" t="str">
            <v>ESOL-PV_E</v>
          </cell>
          <cell r="C245" t="str">
            <v>VAR_cap</v>
          </cell>
          <cell r="D245" t="str">
            <v>-</v>
          </cell>
          <cell r="I245">
            <v>1.0206096257672501E-5</v>
          </cell>
          <cell r="J245">
            <v>3.03653500213692E-4</v>
          </cell>
          <cell r="K245">
            <v>3.0463920137402601E-4</v>
          </cell>
        </row>
        <row r="246">
          <cell r="B246" t="str">
            <v>EWSTINC</v>
          </cell>
          <cell r="C246" t="str">
            <v>VAR_fout</v>
          </cell>
          <cell r="D246" t="str">
            <v>ELC35</v>
          </cell>
          <cell r="I246">
            <v>7.4918617591238821</v>
          </cell>
          <cell r="J246">
            <v>7.6680274178790357</v>
          </cell>
          <cell r="K246">
            <v>8.0332780826657935</v>
          </cell>
        </row>
        <row r="247">
          <cell r="B247" t="str">
            <v>EWSTINC</v>
          </cell>
          <cell r="C247" t="str">
            <v>VAR_fout</v>
          </cell>
          <cell r="D247" t="str">
            <v>CO2_E</v>
          </cell>
          <cell r="I247">
            <v>1944.9748114654601</v>
          </cell>
          <cell r="J247">
            <v>1990.7094739486199</v>
          </cell>
          <cell r="K247">
            <v>2085.5328123552699</v>
          </cell>
        </row>
        <row r="248">
          <cell r="B248" t="str">
            <v>EWSTINC</v>
          </cell>
          <cell r="C248" t="str">
            <v>VAR_fin</v>
          </cell>
          <cell r="D248" t="str">
            <v>EWST</v>
          </cell>
          <cell r="I248">
            <v>20.958780295963987</v>
          </cell>
          <cell r="J248">
            <v>21.451610710653171</v>
          </cell>
          <cell r="K248">
            <v>22.47341392624211</v>
          </cell>
        </row>
        <row r="249">
          <cell r="B249" t="str">
            <v>EWSTINC</v>
          </cell>
          <cell r="C249" t="str">
            <v>VAR_ncap</v>
          </cell>
          <cell r="D249" t="str">
            <v>-</v>
          </cell>
          <cell r="I249">
            <v>0.10448042309530001</v>
          </cell>
          <cell r="J249">
            <v>5.4512087389017201E-2</v>
          </cell>
          <cell r="K249">
            <v>9.3702424594078002E-2</v>
          </cell>
        </row>
        <row r="250">
          <cell r="B250" t="str">
            <v>EWSTINC</v>
          </cell>
          <cell r="C250" t="str">
            <v>VAR_cap</v>
          </cell>
          <cell r="D250" t="str">
            <v>-</v>
          </cell>
          <cell r="I250">
            <v>0.27948889792910581</v>
          </cell>
          <cell r="J250">
            <v>0.30119714764510269</v>
          </cell>
          <cell r="K250">
            <v>0.31738080012497877</v>
          </cell>
        </row>
        <row r="251">
          <cell r="B251" t="str">
            <v>D-IBIO</v>
          </cell>
          <cell r="C251" t="str">
            <v>VAR_fout</v>
          </cell>
          <cell r="D251" t="str">
            <v>IBIO</v>
          </cell>
          <cell r="I251">
            <v>6.4057050216898999</v>
          </cell>
          <cell r="J251">
            <v>6.4080867792525931</v>
          </cell>
          <cell r="K251">
            <v>8.1961416190642638</v>
          </cell>
        </row>
        <row r="252">
          <cell r="B252" t="str">
            <v>D-IBIO</v>
          </cell>
          <cell r="C252" t="str">
            <v>VAR_fin</v>
          </cell>
          <cell r="D252" t="str">
            <v>BIO</v>
          </cell>
          <cell r="I252">
            <v>6.4057050216898999</v>
          </cell>
          <cell r="J252">
            <v>6.4080867792525931</v>
          </cell>
          <cell r="K252">
            <v>8.1961416190642638</v>
          </cell>
        </row>
        <row r="253">
          <cell r="B253" t="str">
            <v>D-EWOD</v>
          </cell>
          <cell r="C253" t="str">
            <v>VAR_fout</v>
          </cell>
          <cell r="D253" t="str">
            <v>EWOD</v>
          </cell>
          <cell r="I253">
            <v>4.5536532413623112</v>
          </cell>
          <cell r="J253">
            <v>4.0815893298317842</v>
          </cell>
          <cell r="K253">
            <v>6.8104718677948943</v>
          </cell>
        </row>
        <row r="254">
          <cell r="B254" t="str">
            <v>D-EWOD</v>
          </cell>
          <cell r="C254" t="str">
            <v>VAR_fin</v>
          </cell>
          <cell r="D254" t="str">
            <v>WOD</v>
          </cell>
          <cell r="I254">
            <v>4.5536532413623112</v>
          </cell>
          <cell r="J254">
            <v>4.0815893298317842</v>
          </cell>
          <cell r="K254">
            <v>6.8104718677948943</v>
          </cell>
        </row>
        <row r="255">
          <cell r="B255" t="str">
            <v>HPLWOD</v>
          </cell>
          <cell r="C255" t="str">
            <v>VAR_fout</v>
          </cell>
          <cell r="D255" t="str">
            <v>LTH</v>
          </cell>
          <cell r="I255">
            <v>0.57257076860489076</v>
          </cell>
          <cell r="J255">
            <v>0.44304911078810477</v>
          </cell>
          <cell r="K255">
            <v>0.26527808109982576</v>
          </cell>
        </row>
        <row r="256">
          <cell r="B256" t="str">
            <v>HPLWOD</v>
          </cell>
          <cell r="C256" t="str">
            <v>VAR_fin</v>
          </cell>
          <cell r="D256" t="str">
            <v>EWOD</v>
          </cell>
          <cell r="I256">
            <v>0.81795824086413071</v>
          </cell>
          <cell r="J256">
            <v>0.63292730112586437</v>
          </cell>
          <cell r="K256">
            <v>0.37896868728546534</v>
          </cell>
        </row>
        <row r="257">
          <cell r="B257" t="str">
            <v>HPLWOD</v>
          </cell>
          <cell r="C257" t="str">
            <v>VAR_ncap</v>
          </cell>
          <cell r="D257" t="str">
            <v>-</v>
          </cell>
          <cell r="I257">
            <v>3.0836693922582601E-6</v>
          </cell>
          <cell r="J257">
            <v>1.3450732221683599E-3</v>
          </cell>
          <cell r="K257">
            <v>3.2307788786015403E-2</v>
          </cell>
        </row>
        <row r="258">
          <cell r="B258" t="str">
            <v>HPLWOD</v>
          </cell>
          <cell r="C258" t="str">
            <v>VAR_cap</v>
          </cell>
          <cell r="D258" t="str">
            <v>-</v>
          </cell>
          <cell r="I258">
            <v>0.156762932139764</v>
          </cell>
          <cell r="J258">
            <v>5.62031100384369E-2</v>
          </cell>
          <cell r="K258">
            <v>3.3655495644771098E-2</v>
          </cell>
        </row>
        <row r="259">
          <cell r="B259" t="str">
            <v>ENGA-GTCC</v>
          </cell>
          <cell r="C259" t="str">
            <v>VAR_fout</v>
          </cell>
          <cell r="D259" t="str">
            <v>ELC13</v>
          </cell>
          <cell r="I259"/>
          <cell r="J259">
            <v>1.0810941971560712</v>
          </cell>
          <cell r="K259">
            <v>12.666540722796354</v>
          </cell>
        </row>
        <row r="260">
          <cell r="B260" t="str">
            <v>ENGA-GTCC</v>
          </cell>
          <cell r="C260" t="str">
            <v>VAR_fout</v>
          </cell>
          <cell r="D260" t="str">
            <v>CO2_E</v>
          </cell>
          <cell r="I260"/>
          <cell r="J260">
            <v>97.934033626397493</v>
          </cell>
          <cell r="K260">
            <v>1137.9522898960399</v>
          </cell>
        </row>
        <row r="261">
          <cell r="B261" t="str">
            <v>ENGA-GTCC</v>
          </cell>
          <cell r="C261" t="str">
            <v>VAR_fin</v>
          </cell>
          <cell r="D261" t="str">
            <v>ENGA</v>
          </cell>
          <cell r="I261"/>
          <cell r="J261">
            <v>1.7364190359290332</v>
          </cell>
          <cell r="K261">
            <v>20.176459040709908</v>
          </cell>
        </row>
        <row r="262">
          <cell r="B262" t="str">
            <v>ENGA-GTCC</v>
          </cell>
          <cell r="C262" t="str">
            <v>VAR_fin</v>
          </cell>
          <cell r="D262" t="str">
            <v>GTC</v>
          </cell>
          <cell r="I262"/>
          <cell r="J262">
            <v>4.7337603242104502E-2</v>
          </cell>
          <cell r="K262">
            <v>0.52689942237291043</v>
          </cell>
        </row>
        <row r="263">
          <cell r="B263" t="str">
            <v>ENGA-GTCC</v>
          </cell>
          <cell r="C263" t="str">
            <v>VAR_ncap</v>
          </cell>
          <cell r="D263" t="str">
            <v>-</v>
          </cell>
          <cell r="I263"/>
          <cell r="J263">
            <v>9.8315024547205102E-2</v>
          </cell>
          <cell r="K263">
            <v>0.57919656025352695</v>
          </cell>
        </row>
        <row r="264">
          <cell r="B264" t="str">
            <v>ENGA-GTCC</v>
          </cell>
          <cell r="C264" t="str">
            <v>VAR_cap</v>
          </cell>
          <cell r="D264" t="str">
            <v>-</v>
          </cell>
          <cell r="I264"/>
          <cell r="J264">
            <v>4.7337603242104502E-2</v>
          </cell>
          <cell r="K264">
            <v>0.52689942237291032</v>
          </cell>
        </row>
        <row r="265">
          <cell r="B265" t="str">
            <v>D-SNGA</v>
          </cell>
          <cell r="C265" t="str">
            <v>VAR_fout</v>
          </cell>
          <cell r="D265" t="str">
            <v>CO2</v>
          </cell>
          <cell r="I265">
            <v>1975.0113913134601</v>
          </cell>
          <cell r="J265">
            <v>1795.34584558084</v>
          </cell>
          <cell r="K265">
            <v>1378.18987894527</v>
          </cell>
        </row>
        <row r="266">
          <cell r="B266" t="str">
            <v>D-SNGA</v>
          </cell>
          <cell r="C266" t="str">
            <v>VAR_fout</v>
          </cell>
          <cell r="D266" t="str">
            <v>SNGA</v>
          </cell>
          <cell r="I266">
            <v>34.923832313619577</v>
          </cell>
          <cell r="J266">
            <v>31.731143663279529</v>
          </cell>
          <cell r="K266">
            <v>24.358253628062332</v>
          </cell>
        </row>
        <row r="267">
          <cell r="B267" t="str">
            <v>D-SNGA</v>
          </cell>
          <cell r="C267" t="str">
            <v>VAR_fin</v>
          </cell>
          <cell r="D267" t="str">
            <v>NGA</v>
          </cell>
          <cell r="I267">
            <v>35.017932470096738</v>
          </cell>
          <cell r="J267">
            <v>31.832373148596524</v>
          </cell>
          <cell r="K267">
            <v>24.435990761440909</v>
          </cell>
        </row>
        <row r="268">
          <cell r="B268" t="str">
            <v>D-SNGA</v>
          </cell>
          <cell r="C268" t="str">
            <v>VAR_fin</v>
          </cell>
          <cell r="D268" t="str">
            <v>BNGA</v>
          </cell>
          <cell r="I268">
            <v>1.7468202322165588E-2</v>
          </cell>
          <cell r="J268">
            <v>1.3944778134743845E-4</v>
          </cell>
          <cell r="K268">
            <v>8.0824685270349455E-5</v>
          </cell>
        </row>
        <row r="269">
          <cell r="B269" t="str">
            <v>D-SNGA</v>
          </cell>
          <cell r="C269" t="str">
            <v>VAR_ncap</v>
          </cell>
          <cell r="D269" t="str">
            <v>-</v>
          </cell>
          <cell r="I269">
            <v>3.5555263477503499E-7</v>
          </cell>
          <cell r="J269">
            <v>5.7107263787436297E-7</v>
          </cell>
          <cell r="K269">
            <v>0.13337770430770701</v>
          </cell>
        </row>
        <row r="270">
          <cell r="B270" t="str">
            <v>D-SNGA</v>
          </cell>
          <cell r="C270" t="str">
            <v>VAR_cap</v>
          </cell>
          <cell r="D270" t="str">
            <v>-</v>
          </cell>
          <cell r="I270">
            <v>2.2350531519849044</v>
          </cell>
          <cell r="J270">
            <v>2.235053723057542</v>
          </cell>
          <cell r="K270">
            <v>1.254269728228969</v>
          </cell>
        </row>
        <row r="271">
          <cell r="B271" t="str">
            <v>RHES-CHPWOD</v>
          </cell>
          <cell r="C271" t="str">
            <v>VAR_fout</v>
          </cell>
          <cell r="D271" t="str">
            <v>RHES_KEV_WOD_ELC_CHP</v>
          </cell>
          <cell r="I271">
            <v>5.062724840826302E-4</v>
          </cell>
          <cell r="J271">
            <v>4.0489508187059511E-4</v>
          </cell>
          <cell r="K271">
            <v>2.3734412207235915E-4</v>
          </cell>
        </row>
        <row r="272">
          <cell r="B272" t="str">
            <v>RHES-CHPWOD</v>
          </cell>
          <cell r="C272" t="str">
            <v>VAR_fout</v>
          </cell>
          <cell r="D272" t="str">
            <v>RHES_LTH_CHPWOD</v>
          </cell>
          <cell r="I272">
            <v>1.3384789546595664E-3</v>
          </cell>
          <cell r="J272">
            <v>1.0478747205633372E-3</v>
          </cell>
          <cell r="K272">
            <v>5.8987524086475361E-4</v>
          </cell>
        </row>
        <row r="273">
          <cell r="B273" t="str">
            <v>RHES-CHPWOD</v>
          </cell>
          <cell r="C273" t="str">
            <v>VAR_fin</v>
          </cell>
          <cell r="D273" t="str">
            <v>RWOD</v>
          </cell>
          <cell r="I273">
            <v>2.5320638249047298E-3</v>
          </cell>
          <cell r="J273">
            <v>1.9291539758623723E-3</v>
          </cell>
          <cell r="K273">
            <v>1.1467230052226887E-3</v>
          </cell>
        </row>
        <row r="274">
          <cell r="B274" t="str">
            <v>RHES-CHPWOD</v>
          </cell>
          <cell r="C274" t="str">
            <v>VAR_ncap</v>
          </cell>
          <cell r="D274" t="str">
            <v>-</v>
          </cell>
          <cell r="I274">
            <v>1.5870271232687801E-5</v>
          </cell>
          <cell r="J274">
            <v>3.0478725172250899E-7</v>
          </cell>
          <cell r="K274">
            <v>1.41954523152675E-5</v>
          </cell>
        </row>
        <row r="275">
          <cell r="B275" t="str">
            <v>RHES-CHPWOD</v>
          </cell>
          <cell r="C275" t="str">
            <v>VAR_cap</v>
          </cell>
          <cell r="D275" t="str">
            <v>-</v>
          </cell>
          <cell r="I275">
            <v>4.5058439119043578E-5</v>
          </cell>
          <cell r="J275">
            <v>3.6081661978758867E-5</v>
          </cell>
          <cell r="K275">
            <v>2.1107215062731024E-5</v>
          </cell>
        </row>
        <row r="276">
          <cell r="B276" t="str">
            <v>G-INTC-RES</v>
          </cell>
          <cell r="C276" t="str">
            <v>VAR_fout</v>
          </cell>
          <cell r="D276" t="str">
            <v>RHNS_ELC</v>
          </cell>
          <cell r="I276">
            <v>15.073459553059216</v>
          </cell>
          <cell r="J276">
            <v>14.797848150519904</v>
          </cell>
          <cell r="K276">
            <v>14.837125575149638</v>
          </cell>
        </row>
        <row r="277">
          <cell r="B277" t="str">
            <v>G-INTC-RES</v>
          </cell>
          <cell r="C277" t="str">
            <v>VAR_fout</v>
          </cell>
          <cell r="D277" t="str">
            <v>ELC35</v>
          </cell>
          <cell r="I277">
            <v>1.0334282666428043E-3</v>
          </cell>
          <cell r="J277">
            <v>7.1756570801423706E-4</v>
          </cell>
          <cell r="K277">
            <v>4.4139957715106076E-4</v>
          </cell>
        </row>
        <row r="278">
          <cell r="B278" t="str">
            <v>G-INTC-RES</v>
          </cell>
          <cell r="C278" t="str">
            <v>VAR_fout</v>
          </cell>
          <cell r="D278" t="str">
            <v>RHES_ELC</v>
          </cell>
          <cell r="I278">
            <v>17.294028861440637</v>
          </cell>
          <cell r="J278">
            <v>16.956120644994357</v>
          </cell>
          <cell r="K278">
            <v>16.469833373174552</v>
          </cell>
        </row>
        <row r="279">
          <cell r="B279" t="str">
            <v>G-INTC-RES</v>
          </cell>
          <cell r="C279" t="str">
            <v>VAR_fout</v>
          </cell>
          <cell r="D279" t="str">
            <v>RHNM_ELC</v>
          </cell>
          <cell r="I279">
            <v>13.923953360729461</v>
          </cell>
          <cell r="J279">
            <v>13.073501843883909</v>
          </cell>
          <cell r="K279">
            <v>12.846738326556396</v>
          </cell>
        </row>
        <row r="280">
          <cell r="B280" t="str">
            <v>G-INTC-RES</v>
          </cell>
          <cell r="C280" t="str">
            <v>VAR_fout</v>
          </cell>
          <cell r="D280" t="str">
            <v>RHEM_ELC</v>
          </cell>
          <cell r="I280">
            <v>15.889141434208335</v>
          </cell>
          <cell r="J280">
            <v>15.012928001816825</v>
          </cell>
          <cell r="K280">
            <v>15.025368308591556</v>
          </cell>
        </row>
        <row r="281">
          <cell r="B281" t="str">
            <v>G-INTC-RES</v>
          </cell>
          <cell r="C281" t="str">
            <v>VAR_fin</v>
          </cell>
          <cell r="D281" t="str">
            <v>ELC5</v>
          </cell>
          <cell r="I281">
            <v>62.181616637704295</v>
          </cell>
          <cell r="J281">
            <v>59.841110076323801</v>
          </cell>
          <cell r="K281">
            <v>59.179501301565764</v>
          </cell>
        </row>
        <row r="282">
          <cell r="B282" t="str">
            <v>G-INTC-RES</v>
          </cell>
          <cell r="C282" t="str">
            <v>VAR_ncap</v>
          </cell>
          <cell r="D282" t="str">
            <v>-</v>
          </cell>
          <cell r="I282">
            <v>5.5425877184268199E-8</v>
          </cell>
          <cell r="J282">
            <v>7.4214457255453195E-8</v>
          </cell>
          <cell r="K282">
            <v>1.2783716716316801E-7</v>
          </cell>
        </row>
        <row r="283">
          <cell r="B283" t="str">
            <v>G-INTC-RES</v>
          </cell>
          <cell r="C283" t="str">
            <v>VAR_cap</v>
          </cell>
          <cell r="D283" t="str">
            <v>-</v>
          </cell>
          <cell r="I283">
            <v>4.3300926635565693</v>
          </cell>
          <cell r="J283">
            <v>4.3300927413683494</v>
          </cell>
          <cell r="K283">
            <v>4.3300928744442624</v>
          </cell>
        </row>
        <row r="284">
          <cell r="B284" t="str">
            <v>SCOM-CHPNGA</v>
          </cell>
          <cell r="C284" t="str">
            <v>VAR_fout</v>
          </cell>
          <cell r="D284" t="str">
            <v>CO2_S</v>
          </cell>
          <cell r="I284">
            <v>868.95585715297204</v>
          </cell>
          <cell r="J284">
            <v>829.02453756663704</v>
          </cell>
          <cell r="K284">
            <v>0.154544855243995</v>
          </cell>
        </row>
        <row r="285">
          <cell r="B285" t="str">
            <v>SCOM-CHPNGA</v>
          </cell>
          <cell r="C285" t="str">
            <v>VAR_fout</v>
          </cell>
          <cell r="D285" t="str">
            <v>SCOM_NKEV_GAS_ELC_CHP</v>
          </cell>
          <cell r="I285">
            <v>5.544949361314309</v>
          </cell>
          <cell r="J285">
            <v>5.2871768804646475</v>
          </cell>
          <cell r="K285">
            <v>5.8382465125811952E-4</v>
          </cell>
        </row>
        <row r="286">
          <cell r="B286" t="str">
            <v>SCOM-CHPNGA</v>
          </cell>
          <cell r="C286" t="str">
            <v>VAR_fout</v>
          </cell>
          <cell r="D286" t="str">
            <v>SCOM_LTH_CHPNGA</v>
          </cell>
          <cell r="I286">
            <v>7.8532741280728784</v>
          </cell>
          <cell r="J286">
            <v>7.9307653206969775</v>
          </cell>
          <cell r="K286">
            <v>8.7573697688717912E-4</v>
          </cell>
        </row>
        <row r="287">
          <cell r="B287" t="str">
            <v>SCOM-CHPNGA</v>
          </cell>
          <cell r="C287" t="str">
            <v>VAR_fin</v>
          </cell>
          <cell r="D287" t="str">
            <v>SNGA</v>
          </cell>
          <cell r="I287">
            <v>15.40701874384702</v>
          </cell>
          <cell r="J287">
            <v>14.699016623521919</v>
          </cell>
          <cell r="K287">
            <v>2.7401570078722584E-3</v>
          </cell>
        </row>
        <row r="288">
          <cell r="B288" t="str">
            <v>SCOM-CHPNGA</v>
          </cell>
          <cell r="C288" t="str">
            <v>VAR_ncap</v>
          </cell>
          <cell r="D288" t="str">
            <v>-</v>
          </cell>
          <cell r="I288">
            <v>0.29568141675354898</v>
          </cell>
          <cell r="J288">
            <v>2.1576055265311301E-6</v>
          </cell>
          <cell r="K288">
            <v>1.03465720094751E-7</v>
          </cell>
        </row>
        <row r="289">
          <cell r="B289" t="str">
            <v>SCOM-CHPNGA</v>
          </cell>
          <cell r="C289" t="str">
            <v>VAR_cap</v>
          </cell>
          <cell r="D289" t="str">
            <v>-</v>
          </cell>
          <cell r="I289">
            <v>0.3254268906686355</v>
          </cell>
          <cell r="J289">
            <v>0.31029770144538527</v>
          </cell>
          <cell r="K289">
            <v>9.5249076128983701E-5</v>
          </cell>
        </row>
        <row r="290">
          <cell r="B290" t="str">
            <v>D-IPLT</v>
          </cell>
          <cell r="C290" t="str">
            <v>VAR_fout</v>
          </cell>
          <cell r="D290" t="str">
            <v>IPLT</v>
          </cell>
          <cell r="I290">
            <v>0.73286112057003294</v>
          </cell>
          <cell r="J290">
            <v>0.73081741447165638</v>
          </cell>
          <cell r="K290">
            <v>0.72676240889193999</v>
          </cell>
        </row>
        <row r="291">
          <cell r="B291" t="str">
            <v>D-IPLT</v>
          </cell>
          <cell r="C291" t="str">
            <v>VAR_fin</v>
          </cell>
          <cell r="D291" t="str">
            <v>PLT</v>
          </cell>
          <cell r="I291">
            <v>0.73286112057003294</v>
          </cell>
          <cell r="J291">
            <v>0.73081741447165638</v>
          </cell>
          <cell r="K291">
            <v>0.72676240889193999</v>
          </cell>
        </row>
        <row r="292">
          <cell r="B292" t="str">
            <v>LTH-STG</v>
          </cell>
          <cell r="C292" t="str">
            <v>VAR_fout</v>
          </cell>
          <cell r="D292" t="str">
            <v>AUX_LTH-STG_OUT</v>
          </cell>
          <cell r="I292">
            <v>1.2079722095380482E-3</v>
          </cell>
          <cell r="J292">
            <v>1.5975638967539146E-3</v>
          </cell>
          <cell r="K292">
            <v>9.021751134922118E-2</v>
          </cell>
        </row>
        <row r="293">
          <cell r="B293" t="str">
            <v>LTH-STG</v>
          </cell>
          <cell r="C293" t="str">
            <v>VAR_fout</v>
          </cell>
          <cell r="D293" t="str">
            <v>LTH</v>
          </cell>
          <cell r="I293">
            <v>1.2090824781129886E-3</v>
          </cell>
          <cell r="J293">
            <v>1.5975638967539103E-3</v>
          </cell>
          <cell r="K293">
            <v>9.0217511349221152E-2</v>
          </cell>
        </row>
        <row r="294">
          <cell r="B294" t="str">
            <v>LTH-STG</v>
          </cell>
          <cell r="C294" t="str">
            <v>VAR_fin</v>
          </cell>
          <cell r="D294" t="str">
            <v>AUX_LTH-STG_IN</v>
          </cell>
          <cell r="I294">
            <v>1.4663253376458313E-3</v>
          </cell>
          <cell r="J294">
            <v>1.8802577560785704E-3</v>
          </cell>
          <cell r="K294">
            <v>0.10024245823804884</v>
          </cell>
        </row>
        <row r="295">
          <cell r="B295" t="str">
            <v>LTH-STG</v>
          </cell>
          <cell r="C295" t="str">
            <v>VAR_fin</v>
          </cell>
          <cell r="D295" t="str">
            <v>LTH</v>
          </cell>
          <cell r="I295">
            <v>1.4663253376458313E-3</v>
          </cell>
          <cell r="J295">
            <v>1.8802577560785704E-3</v>
          </cell>
          <cell r="K295">
            <v>0.10024245823804884</v>
          </cell>
        </row>
        <row r="296">
          <cell r="B296" t="str">
            <v>LTH-STG</v>
          </cell>
          <cell r="C296" t="str">
            <v>VAR_ncap</v>
          </cell>
          <cell r="D296" t="str">
            <v>-</v>
          </cell>
          <cell r="I296">
            <v>7.3017252520184703E-5</v>
          </cell>
          <cell r="J296">
            <v>4.6397426699383302E-5</v>
          </cell>
          <cell r="K296">
            <v>4.5700780518511598E-2</v>
          </cell>
        </row>
        <row r="297">
          <cell r="B297" t="str">
            <v>LTH-STG</v>
          </cell>
          <cell r="C297" t="str">
            <v>VAR_cap</v>
          </cell>
          <cell r="D297" t="str">
            <v>-</v>
          </cell>
          <cell r="I297">
            <v>1.4368703999593564E-4</v>
          </cell>
          <cell r="J297">
            <v>1.4295977565369948E-4</v>
          </cell>
          <cell r="K297">
            <v>4.580456258712079E-2</v>
          </cell>
        </row>
        <row r="298">
          <cell r="B298" t="str">
            <v>ITOT-CHPOIL</v>
          </cell>
          <cell r="C298" t="str">
            <v>VAR_fout</v>
          </cell>
          <cell r="D298" t="str">
            <v>ITOT_LTH_CHP</v>
          </cell>
          <cell r="I298">
            <v>0.84102020523369847</v>
          </cell>
          <cell r="J298">
            <v>3.4872086989233025E-2</v>
          </cell>
          <cell r="K298">
            <v>0.33394420696755417</v>
          </cell>
        </row>
        <row r="299">
          <cell r="B299" t="str">
            <v>ITOT-CHPOIL</v>
          </cell>
          <cell r="C299" t="str">
            <v>VAR_fout</v>
          </cell>
          <cell r="D299" t="str">
            <v>ITOT_NKEV_OIL_ELC_CHP</v>
          </cell>
          <cell r="I299">
            <v>0.16962911156981333</v>
          </cell>
          <cell r="J299">
            <v>1.5731390328006051E-2</v>
          </cell>
          <cell r="K299">
            <v>0.15064789982902541</v>
          </cell>
        </row>
        <row r="300">
          <cell r="B300" t="str">
            <v>ITOT-CHPOIL</v>
          </cell>
          <cell r="C300" t="str">
            <v>VAR_fout</v>
          </cell>
          <cell r="D300" t="str">
            <v>CO2_I</v>
          </cell>
          <cell r="I300">
            <v>47.536192727231203</v>
          </cell>
          <cell r="J300">
            <v>4.4318880522539397</v>
          </cell>
          <cell r="K300">
            <v>42.882192370059997</v>
          </cell>
        </row>
        <row r="301">
          <cell r="B301" t="str">
            <v>ITOT-CHPOIL</v>
          </cell>
          <cell r="C301" t="str">
            <v>VAR_fin</v>
          </cell>
          <cell r="D301" t="str">
            <v>ILFO</v>
          </cell>
          <cell r="I301">
            <v>0.64499583076297462</v>
          </cell>
          <cell r="J301">
            <v>6.0134166244965273E-2</v>
          </cell>
          <cell r="K301">
            <v>0.58184792903745031</v>
          </cell>
        </row>
        <row r="302">
          <cell r="B302" t="str">
            <v>ITOT-CHPOIL</v>
          </cell>
          <cell r="C302" t="str">
            <v>VAR_ncap</v>
          </cell>
          <cell r="D302" t="str">
            <v>-</v>
          </cell>
          <cell r="I302">
            <v>1.03951159414277E-2</v>
          </cell>
          <cell r="J302">
            <v>2.04102976241975E-2</v>
          </cell>
          <cell r="K302">
            <v>5.0469782897118197E-2</v>
          </cell>
        </row>
        <row r="303">
          <cell r="B303" t="str">
            <v>ITOT-CHPOIL</v>
          </cell>
          <cell r="C303" t="str">
            <v>VAR_cap</v>
          </cell>
          <cell r="D303" t="str">
            <v>-</v>
          </cell>
          <cell r="I303">
            <v>2.9743702141130996E-2</v>
          </cell>
          <cell r="J303">
            <v>3.9172392633199361E-2</v>
          </cell>
          <cell r="K303">
            <v>6.9679033193413037E-2</v>
          </cell>
        </row>
        <row r="304">
          <cell r="B304" t="str">
            <v>ENUC_GOE</v>
          </cell>
          <cell r="C304" t="str">
            <v>VAR_fout</v>
          </cell>
          <cell r="D304" t="str">
            <v>ELC</v>
          </cell>
          <cell r="I304">
            <v>22.558641767130919</v>
          </cell>
          <cell r="J304"/>
          <cell r="K304"/>
        </row>
        <row r="305">
          <cell r="B305" t="str">
            <v>ENUC_GOE</v>
          </cell>
          <cell r="C305" t="str">
            <v>VAR_fin</v>
          </cell>
          <cell r="D305" t="str">
            <v>URN</v>
          </cell>
          <cell r="I305">
            <v>68.007972858211176</v>
          </cell>
          <cell r="J305"/>
          <cell r="K305"/>
        </row>
        <row r="306">
          <cell r="B306" t="str">
            <v>ENUC_GOE</v>
          </cell>
          <cell r="C306" t="str">
            <v>VAR_cap</v>
          </cell>
          <cell r="D306" t="str">
            <v>-</v>
          </cell>
          <cell r="I306">
            <v>0.7667740547206271</v>
          </cell>
          <cell r="J306"/>
          <cell r="K306"/>
        </row>
        <row r="307">
          <cell r="B307" t="str">
            <v>D-RNGA</v>
          </cell>
          <cell r="C307" t="str">
            <v>VAR_fout</v>
          </cell>
          <cell r="D307" t="str">
            <v>CO2</v>
          </cell>
          <cell r="I307">
            <v>2390.5649900968001</v>
          </cell>
          <cell r="J307">
            <v>2608.8395193321799</v>
          </cell>
          <cell r="K307">
            <v>2118.93573711519</v>
          </cell>
        </row>
        <row r="308">
          <cell r="B308" t="str">
            <v>D-RNGA</v>
          </cell>
          <cell r="C308" t="str">
            <v>VAR_fout</v>
          </cell>
          <cell r="D308" t="str">
            <v>RNGA</v>
          </cell>
          <cell r="I308">
            <v>42.268675747348773</v>
          </cell>
          <cell r="J308">
            <v>46.108859219642312</v>
          </cell>
          <cell r="K308">
            <v>37.450224183580488</v>
          </cell>
        </row>
        <row r="309">
          <cell r="B309" t="str">
            <v>D-RNGA</v>
          </cell>
          <cell r="C309" t="str">
            <v>VAR_fin</v>
          </cell>
          <cell r="D309" t="str">
            <v>NGA</v>
          </cell>
          <cell r="I309">
            <v>42.38590407973043</v>
          </cell>
          <cell r="J309">
            <v>46.256019846315354</v>
          </cell>
          <cell r="K309">
            <v>37.569782572964428</v>
          </cell>
        </row>
        <row r="310">
          <cell r="B310" t="str">
            <v>D-RNGA</v>
          </cell>
          <cell r="C310" t="str">
            <v>VAR_fin</v>
          </cell>
          <cell r="D310" t="str">
            <v>BNGA</v>
          </cell>
          <cell r="I310">
            <v>1.7804007122231021E-2</v>
          </cell>
          <cell r="J310">
            <v>1.396381732578832E-4</v>
          </cell>
          <cell r="K310">
            <v>8.0830370276488314E-5</v>
          </cell>
        </row>
        <row r="311">
          <cell r="B311" t="str">
            <v>D-RNGA</v>
          </cell>
          <cell r="C311" t="str">
            <v>VAR_ncap</v>
          </cell>
          <cell r="D311" t="str">
            <v>-</v>
          </cell>
          <cell r="I311">
            <v>1.67884706984988E-7</v>
          </cell>
          <cell r="J311">
            <v>2.8712518828055999E-7</v>
          </cell>
          <cell r="K311">
            <v>0.39114984773553901</v>
          </cell>
        </row>
        <row r="312">
          <cell r="B312" t="str">
            <v>D-RNGA</v>
          </cell>
          <cell r="C312" t="str">
            <v>VAR_cap</v>
          </cell>
          <cell r="D312" t="str">
            <v>-</v>
          </cell>
          <cell r="I312">
            <v>3.097240654571467</v>
          </cell>
          <cell r="J312">
            <v>3.0972409416966555</v>
          </cell>
          <cell r="K312">
            <v>1.944433030072495</v>
          </cell>
        </row>
        <row r="313">
          <cell r="B313" t="str">
            <v>RHES-CHPGFC</v>
          </cell>
          <cell r="C313" t="str">
            <v>VAR_fout</v>
          </cell>
          <cell r="D313" t="str">
            <v>CO2_R</v>
          </cell>
          <cell r="I313">
            <v>4.2866700776307498E-2</v>
          </cell>
          <cell r="J313">
            <v>4.22962103096923E-2</v>
          </cell>
          <cell r="K313">
            <v>4.0468706328437E-2</v>
          </cell>
        </row>
        <row r="314">
          <cell r="B314" t="str">
            <v>RHES-CHPGFC</v>
          </cell>
          <cell r="C314" t="str">
            <v>VAR_fout</v>
          </cell>
          <cell r="D314" t="str">
            <v>RHES_NKEV_GAS_ELC_CHP</v>
          </cell>
          <cell r="I314">
            <v>3.2682059102504018E-4</v>
          </cell>
          <cell r="J314">
            <v>3.2997043504015257E-4</v>
          </cell>
          <cell r="K314">
            <v>3.2288861432263537E-4</v>
          </cell>
        </row>
        <row r="315">
          <cell r="B315" t="str">
            <v>RHES-CHPGFC</v>
          </cell>
          <cell r="C315" t="str">
            <v>VAR_fout</v>
          </cell>
          <cell r="D315" t="str">
            <v>RHES_LTH_CHPNGA</v>
          </cell>
          <cell r="I315">
            <v>3.5623444421729389E-4</v>
          </cell>
          <cell r="J315">
            <v>3.4976866114256173E-4</v>
          </cell>
          <cell r="K315">
            <v>3.2288861432263537E-4</v>
          </cell>
        </row>
        <row r="316">
          <cell r="B316" t="str">
            <v>RHES-CHPGFC</v>
          </cell>
          <cell r="C316" t="str">
            <v>VAR_fin</v>
          </cell>
          <cell r="D316" t="str">
            <v>RNGA</v>
          </cell>
          <cell r="I316">
            <v>7.6004788610474472E-4</v>
          </cell>
          <cell r="J316">
            <v>7.4993280690943741E-4</v>
          </cell>
          <cell r="K316">
            <v>7.1753025405030095E-4</v>
          </cell>
        </row>
        <row r="317">
          <cell r="B317" t="str">
            <v>RHES-CHPGFC</v>
          </cell>
          <cell r="C317" t="str">
            <v>VAR_ncap</v>
          </cell>
          <cell r="D317" t="str">
            <v>-</v>
          </cell>
          <cell r="I317">
            <v>1.90380419947257E-5</v>
          </cell>
          <cell r="J317">
            <v>2.7763336682049002E-7</v>
          </cell>
          <cell r="K317">
            <v>1.06417064488252E-5</v>
          </cell>
        </row>
        <row r="318">
          <cell r="B318" t="str">
            <v>RHES-CHPGFC</v>
          </cell>
          <cell r="C318" t="str">
            <v>VAR_cap</v>
          </cell>
          <cell r="D318" t="str">
            <v>-</v>
          </cell>
          <cell r="I318">
            <v>2.9047983230953701E-5</v>
          </cell>
          <cell r="J318">
            <v>2.9310584615948102E-5</v>
          </cell>
          <cell r="K318">
            <v>2.8663122583721209E-5</v>
          </cell>
        </row>
        <row r="319">
          <cell r="B319" t="str">
            <v>G-INTC-TRA</v>
          </cell>
          <cell r="C319" t="str">
            <v>VAR_fout</v>
          </cell>
          <cell r="D319" t="str">
            <v>TRAN_ELC</v>
          </cell>
          <cell r="I319">
            <v>36.449698927021309</v>
          </cell>
          <cell r="J319">
            <v>39.25876664742411</v>
          </cell>
          <cell r="K319">
            <v>38.306251517757573</v>
          </cell>
        </row>
        <row r="320">
          <cell r="B320" t="str">
            <v>G-INTC-TRA</v>
          </cell>
          <cell r="C320" t="str">
            <v>VAR_fin</v>
          </cell>
          <cell r="D320" t="str">
            <v>ELC3</v>
          </cell>
          <cell r="I320">
            <v>36.444969156982282</v>
          </cell>
          <cell r="J320">
            <v>20.495385529169948</v>
          </cell>
          <cell r="K320">
            <v>17.577235664793825</v>
          </cell>
        </row>
        <row r="321">
          <cell r="B321" t="str">
            <v>G-INTC-TRA</v>
          </cell>
          <cell r="C321" t="str">
            <v>VAR_fin</v>
          </cell>
          <cell r="D321" t="str">
            <v>ELC5</v>
          </cell>
          <cell r="I321">
            <v>4.7297700389958624E-3</v>
          </cell>
          <cell r="J321">
            <v>18.763381118254149</v>
          </cell>
          <cell r="K321">
            <v>20.729015852963755</v>
          </cell>
        </row>
        <row r="322">
          <cell r="B322" t="str">
            <v>G-INTC-TRA</v>
          </cell>
          <cell r="C322" t="str">
            <v>VAR_ncap</v>
          </cell>
          <cell r="D322" t="str">
            <v>-</v>
          </cell>
          <cell r="I322">
            <v>0.17354712227123301</v>
          </cell>
          <cell r="J322">
            <v>2.26173908013063E-6</v>
          </cell>
          <cell r="K322">
            <v>2.1465966718876802E-6</v>
          </cell>
        </row>
        <row r="323">
          <cell r="B323" t="str">
            <v>G-INTC-TRA</v>
          </cell>
          <cell r="C323" t="str">
            <v>VAR_cap</v>
          </cell>
          <cell r="D323" t="str">
            <v>-</v>
          </cell>
          <cell r="I323">
            <v>1.169721739223943</v>
          </cell>
          <cell r="J323">
            <v>1.3014767011417732</v>
          </cell>
          <cell r="K323">
            <v>1.3014794622826011</v>
          </cell>
        </row>
        <row r="324">
          <cell r="B324" t="str">
            <v>SCOM-SWHSTG-CHPBIO</v>
          </cell>
          <cell r="C324" t="str">
            <v>VAR_fout</v>
          </cell>
          <cell r="D324" t="str">
            <v>AUX_SCOM-CHPBIO_OUT</v>
          </cell>
          <cell r="I324">
            <v>10.472766570006023</v>
          </cell>
          <cell r="J324">
            <v>13.364480474347848</v>
          </cell>
          <cell r="K324">
            <v>99.586710668074701</v>
          </cell>
        </row>
        <row r="325">
          <cell r="B325" t="str">
            <v>SCOM-SWHSTG-CHPBIO</v>
          </cell>
          <cell r="C325" t="str">
            <v>VAR_fout</v>
          </cell>
          <cell r="D325" t="str">
            <v>SCOM_LTH_CHPBIO</v>
          </cell>
          <cell r="I325">
            <v>10.484415921029372</v>
          </cell>
          <cell r="J325">
            <v>13.364480474347834</v>
          </cell>
          <cell r="K325">
            <v>99.586710668074687</v>
          </cell>
        </row>
        <row r="326">
          <cell r="B326" t="str">
            <v>SCOM-SWHSTG-CHPBIO</v>
          </cell>
          <cell r="C326" t="str">
            <v>VAR_fin</v>
          </cell>
          <cell r="D326" t="str">
            <v>SCOM_LTH_CHPBIO</v>
          </cell>
          <cell r="I326">
            <v>11.649348010481935</v>
          </cell>
          <cell r="J326">
            <v>14.370407057598879</v>
          </cell>
          <cell r="K326">
            <v>100.59263733070708</v>
          </cell>
        </row>
        <row r="327">
          <cell r="B327" t="str">
            <v>SCOM-SWHSTG-CHPBIO</v>
          </cell>
          <cell r="C327" t="str">
            <v>VAR_fin</v>
          </cell>
          <cell r="D327" t="str">
            <v>AUX_SCOM-CHPBIO_IN</v>
          </cell>
          <cell r="I327">
            <v>11.649348010481935</v>
          </cell>
          <cell r="J327">
            <v>14.370407057598879</v>
          </cell>
          <cell r="K327">
            <v>100.59263733070708</v>
          </cell>
        </row>
        <row r="328">
          <cell r="B328" t="str">
            <v>SCOM-SWHSTG-CHPBIO</v>
          </cell>
          <cell r="C328" t="str">
            <v>VAR_ncap</v>
          </cell>
          <cell r="D328" t="str">
            <v>-</v>
          </cell>
          <cell r="I328">
            <v>0.10191844163538299</v>
          </cell>
          <cell r="J328">
            <v>0.60052663902058301</v>
          </cell>
          <cell r="K328">
            <v>5.7092320519403303</v>
          </cell>
        </row>
        <row r="329">
          <cell r="B329" t="str">
            <v>SCOM-SWHSTG-CHPBIO</v>
          </cell>
          <cell r="C329" t="str">
            <v>VAR_cap</v>
          </cell>
          <cell r="D329" t="str">
            <v>-</v>
          </cell>
          <cell r="I329">
            <v>0.65542574198655201</v>
          </cell>
          <cell r="J329">
            <v>0.83390359296190975</v>
          </cell>
          <cell r="K329">
            <v>6.1881571986766284</v>
          </cell>
        </row>
        <row r="330">
          <cell r="B330" t="str">
            <v>SCOM-SWHSTG-CHPHFC</v>
          </cell>
          <cell r="C330" t="str">
            <v>VAR_fout</v>
          </cell>
          <cell r="D330" t="str">
            <v>AUX_SCOM-CHPHFC_OUT</v>
          </cell>
          <cell r="I330">
            <v>6.7461707050928463E-5</v>
          </cell>
          <cell r="J330">
            <v>3.4893986405431639E-5</v>
          </cell>
          <cell r="K330">
            <v>1.8572605677231023E-5</v>
          </cell>
        </row>
        <row r="331">
          <cell r="B331" t="str">
            <v>SCOM-SWHSTG-CHPHFC</v>
          </cell>
          <cell r="C331" t="str">
            <v>VAR_fout</v>
          </cell>
          <cell r="D331" t="str">
            <v>SCOM_LTH_CHPHFC</v>
          </cell>
          <cell r="I331">
            <v>6.753674788190827E-5</v>
          </cell>
          <cell r="J331">
            <v>3.4893986405431612E-5</v>
          </cell>
          <cell r="K331">
            <v>1.857260567723102E-5</v>
          </cell>
        </row>
        <row r="332">
          <cell r="B332" t="str">
            <v>SCOM-SWHSTG-CHPHFC</v>
          </cell>
          <cell r="C332" t="str">
            <v>VAR_fin</v>
          </cell>
          <cell r="D332" t="str">
            <v>SCOM_LTH_CHPHFC</v>
          </cell>
          <cell r="I332">
            <v>6.753674788190827E-5</v>
          </cell>
          <cell r="J332">
            <v>3.4893986405431612E-5</v>
          </cell>
          <cell r="K332">
            <v>1.857260567723102E-5</v>
          </cell>
        </row>
        <row r="333">
          <cell r="B333" t="str">
            <v>SCOM-SWHSTG-CHPHFC</v>
          </cell>
          <cell r="C333" t="str">
            <v>VAR_fin</v>
          </cell>
          <cell r="D333" t="str">
            <v>AUX_SCOM-CHPHFC_IN</v>
          </cell>
          <cell r="I333">
            <v>6.753674788190827E-5</v>
          </cell>
          <cell r="J333">
            <v>3.4893986405431612E-5</v>
          </cell>
          <cell r="K333">
            <v>1.857260567723102E-5</v>
          </cell>
        </row>
        <row r="334">
          <cell r="B334" t="str">
            <v>SCOM-SWHSTG-CHPHFC</v>
          </cell>
          <cell r="C334" t="str">
            <v>VAR_ncap</v>
          </cell>
          <cell r="D334" t="str">
            <v>-</v>
          </cell>
          <cell r="I334">
            <v>5.8678500735175705E-4</v>
          </cell>
          <cell r="J334">
            <v>9.31931815466862E-5</v>
          </cell>
          <cell r="K334">
            <v>8.1277917454932204E-5</v>
          </cell>
        </row>
        <row r="335">
          <cell r="B335" t="str">
            <v>SCOM-SWHSTG-CHPHFC</v>
          </cell>
          <cell r="C335" t="str">
            <v>VAR_cap</v>
          </cell>
          <cell r="D335" t="str">
            <v>-</v>
          </cell>
          <cell r="I335">
            <v>8.0413055318473078E-4</v>
          </cell>
          <cell r="J335">
            <v>6.8129293487393956E-4</v>
          </cell>
          <cell r="K335">
            <v>3.8851129191868174E-4</v>
          </cell>
        </row>
        <row r="336">
          <cell r="B336" t="str">
            <v>D-IHFO</v>
          </cell>
          <cell r="C336" t="str">
            <v>VAR_fout</v>
          </cell>
          <cell r="D336" t="str">
            <v>CO2</v>
          </cell>
          <cell r="I336">
            <v>8.3183198525477606E-2</v>
          </cell>
          <cell r="J336">
            <v>5.8143545169166602E-2</v>
          </cell>
          <cell r="K336"/>
        </row>
        <row r="337">
          <cell r="B337" t="str">
            <v>D-IHFO</v>
          </cell>
          <cell r="C337" t="str">
            <v>VAR_fout</v>
          </cell>
          <cell r="D337" t="str">
            <v>IHFO</v>
          </cell>
          <cell r="I337">
            <v>1.0622589892049896E-3</v>
          </cell>
          <cell r="J337">
            <v>7.424997429171515E-4</v>
          </cell>
          <cell r="K337"/>
        </row>
        <row r="338">
          <cell r="B338" t="str">
            <v>D-IHFO</v>
          </cell>
          <cell r="C338" t="str">
            <v>VAR_fin</v>
          </cell>
          <cell r="D338" t="str">
            <v>HFO</v>
          </cell>
          <cell r="I338">
            <v>1.0803012795516564E-3</v>
          </cell>
          <cell r="J338">
            <v>7.5511097622294214E-4</v>
          </cell>
          <cell r="K338"/>
        </row>
        <row r="339">
          <cell r="B339" t="str">
            <v>RHNM-CHPNGA</v>
          </cell>
          <cell r="C339" t="str">
            <v>VAR_fout</v>
          </cell>
          <cell r="D339" t="str">
            <v>CO2_R</v>
          </cell>
          <cell r="I339">
            <v>111.658234455925</v>
          </cell>
          <cell r="J339">
            <v>359.64656784503501</v>
          </cell>
          <cell r="K339">
            <v>280.39292575675898</v>
          </cell>
        </row>
        <row r="340">
          <cell r="B340" t="str">
            <v>RHNM-CHPNGA</v>
          </cell>
          <cell r="C340" t="str">
            <v>VAR_fout</v>
          </cell>
          <cell r="D340" t="str">
            <v>RHNM_NKEV_GAS_ELC_CHP</v>
          </cell>
          <cell r="I340">
            <v>0.59646922741129749</v>
          </cell>
          <cell r="J340">
            <v>1.934057322217932</v>
          </cell>
          <cell r="K340">
            <v>1.5291990376873394</v>
          </cell>
        </row>
        <row r="341">
          <cell r="B341" t="str">
            <v>RHNM-CHPNGA</v>
          </cell>
          <cell r="C341" t="str">
            <v>VAR_fout</v>
          </cell>
          <cell r="D341" t="str">
            <v>RHNM_LTH_CHPNGA</v>
          </cell>
          <cell r="I341">
            <v>1.217709854430935</v>
          </cell>
          <cell r="J341">
            <v>3.8998205021771351</v>
          </cell>
          <cell r="K341">
            <v>3.0090690741589561</v>
          </cell>
        </row>
        <row r="342">
          <cell r="B342" t="str">
            <v>RHNM-CHPNGA</v>
          </cell>
          <cell r="C342" t="str">
            <v>VAR_fin</v>
          </cell>
          <cell r="D342" t="str">
            <v>RNGA</v>
          </cell>
          <cell r="I342">
            <v>1.9797559300695835</v>
          </cell>
          <cell r="J342">
            <v>6.3767121958339503</v>
          </cell>
          <cell r="K342">
            <v>4.9715057758290513</v>
          </cell>
        </row>
        <row r="343">
          <cell r="B343" t="str">
            <v>RHNM-CHPNGA</v>
          </cell>
          <cell r="C343" t="str">
            <v>VAR_ncap</v>
          </cell>
          <cell r="D343" t="str">
            <v>-</v>
          </cell>
          <cell r="I343">
            <v>5.2148510904163501E-3</v>
          </cell>
          <cell r="J343">
            <v>9.9323948553232094E-2</v>
          </cell>
          <cell r="K343">
            <v>3.6703635054018499E-6</v>
          </cell>
        </row>
        <row r="344">
          <cell r="B344" t="str">
            <v>RHNM-CHPNGA</v>
          </cell>
          <cell r="C344" t="str">
            <v>VAR_cap</v>
          </cell>
          <cell r="D344" t="str">
            <v>-</v>
          </cell>
          <cell r="I344">
            <v>4.4260305068618958E-2</v>
          </cell>
          <cell r="J344">
            <v>0.14351386417687459</v>
          </cell>
          <cell r="K344">
            <v>0.11347183547527241</v>
          </cell>
        </row>
        <row r="345">
          <cell r="B345" t="str">
            <v>G-INTC-EXP00-DE</v>
          </cell>
          <cell r="C345" t="str">
            <v>VAR_fout</v>
          </cell>
          <cell r="D345" t="str">
            <v>ELC_E-DE</v>
          </cell>
          <cell r="I345">
            <v>5.838038775267825E-4</v>
          </cell>
          <cell r="J345">
            <v>9.1029675338660798E-4</v>
          </cell>
          <cell r="K345">
            <v>2.6692407442305044E-4</v>
          </cell>
        </row>
        <row r="346">
          <cell r="B346" t="str">
            <v>G-INTC-EXP00-DE</v>
          </cell>
          <cell r="C346" t="str">
            <v>VAR_fin</v>
          </cell>
          <cell r="D346" t="str">
            <v>ELC</v>
          </cell>
          <cell r="I346">
            <v>5.838038775267825E-4</v>
          </cell>
          <cell r="J346">
            <v>9.1029675338660798E-4</v>
          </cell>
          <cell r="K346">
            <v>2.6692407442305044E-4</v>
          </cell>
        </row>
        <row r="347">
          <cell r="B347" t="str">
            <v>G-INTC-EXP00-DE</v>
          </cell>
          <cell r="C347" t="str">
            <v>VAR_ncap</v>
          </cell>
          <cell r="D347" t="str">
            <v>-</v>
          </cell>
          <cell r="I347">
            <v>4.7127106963998204E-6</v>
          </cell>
          <cell r="J347">
            <v>9.3082331623721099E-6</v>
          </cell>
          <cell r="K347">
            <v>2.0399817886021298E-5</v>
          </cell>
        </row>
        <row r="348">
          <cell r="B348" t="str">
            <v>G-INTC-EXP00-DE</v>
          </cell>
          <cell r="C348" t="str">
            <v>VAR_cap</v>
          </cell>
          <cell r="D348" t="str">
            <v>-</v>
          </cell>
          <cell r="I348">
            <v>4.8901816232849171E-4</v>
          </cell>
          <cell r="J348">
            <v>4.8871626366331355E-4</v>
          </cell>
          <cell r="K348">
            <v>2.601371846240319E-4</v>
          </cell>
        </row>
        <row r="349">
          <cell r="B349" t="str">
            <v>CEN-EBAT</v>
          </cell>
          <cell r="C349" t="str">
            <v>VAR_fout</v>
          </cell>
          <cell r="D349" t="str">
            <v>ELC13</v>
          </cell>
          <cell r="I349">
            <v>2.5438672954529871E-2</v>
          </cell>
          <cell r="J349">
            <v>2.5478302426121494E-2</v>
          </cell>
          <cell r="K349">
            <v>0.24833865030499117</v>
          </cell>
        </row>
        <row r="350">
          <cell r="B350" t="str">
            <v>CEN-EBAT</v>
          </cell>
          <cell r="C350" t="str">
            <v>VAR_fout</v>
          </cell>
          <cell r="D350" t="str">
            <v>AUX_CEN-EBAT_OUT</v>
          </cell>
          <cell r="I350">
            <v>2.5438672954529788E-2</v>
          </cell>
          <cell r="J350">
            <v>2.5478302426121424E-2</v>
          </cell>
          <cell r="K350">
            <v>0.2483386503049903</v>
          </cell>
        </row>
        <row r="351">
          <cell r="B351" t="str">
            <v>CEN-EBAT</v>
          </cell>
          <cell r="C351" t="str">
            <v>VAR_fin</v>
          </cell>
          <cell r="D351" t="str">
            <v>AUX_CEN-EBAT_IN</v>
          </cell>
          <cell r="I351">
            <v>2.9339914493153527E-2</v>
          </cell>
          <cell r="J351">
            <v>2.9385592177930211E-2</v>
          </cell>
          <cell r="K351">
            <v>0.28642157121777184</v>
          </cell>
        </row>
        <row r="352">
          <cell r="B352" t="str">
            <v>CEN-EBAT</v>
          </cell>
          <cell r="C352" t="str">
            <v>VAR_fin</v>
          </cell>
          <cell r="D352" t="str">
            <v>ELC13</v>
          </cell>
          <cell r="I352">
            <v>2.9339914493153527E-2</v>
          </cell>
          <cell r="J352">
            <v>2.9385592177930211E-2</v>
          </cell>
          <cell r="K352">
            <v>0.28642157121777184</v>
          </cell>
        </row>
        <row r="353">
          <cell r="B353" t="str">
            <v>CEN-EBAT</v>
          </cell>
          <cell r="C353" t="str">
            <v>VAR_ncap</v>
          </cell>
          <cell r="D353" t="str">
            <v>-</v>
          </cell>
          <cell r="I353">
            <v>4.02635478266186E-3</v>
          </cell>
          <cell r="J353">
            <v>7.9324317443993705E-3</v>
          </cell>
          <cell r="K353">
            <v>7.1284444362004803E-2</v>
          </cell>
        </row>
        <row r="354">
          <cell r="B354" t="str">
            <v>CEN-EBAT</v>
          </cell>
          <cell r="C354" t="str">
            <v>VAR_cap</v>
          </cell>
          <cell r="D354" t="str">
            <v>-</v>
          </cell>
          <cell r="I354">
            <v>1.255028324712721E-2</v>
          </cell>
          <cell r="J354">
            <v>1.2941784366937365E-2</v>
          </cell>
          <cell r="K354">
            <v>7.5968731601896447E-2</v>
          </cell>
        </row>
        <row r="355">
          <cell r="B355" t="str">
            <v>ESOL-PV</v>
          </cell>
          <cell r="C355" t="str">
            <v>VAR_fout</v>
          </cell>
          <cell r="D355" t="str">
            <v>ELC35</v>
          </cell>
          <cell r="I355">
            <v>0.2538095487624441</v>
          </cell>
          <cell r="J355">
            <v>1.4212507406685535</v>
          </cell>
          <cell r="K355">
            <v>3.2703962793727874</v>
          </cell>
        </row>
        <row r="356">
          <cell r="B356" t="str">
            <v>ESOL-PV</v>
          </cell>
          <cell r="C356" t="str">
            <v>VAR_fin</v>
          </cell>
          <cell r="D356" t="str">
            <v>SOL</v>
          </cell>
          <cell r="I356">
            <v>0.2538095487624441</v>
          </cell>
          <cell r="J356">
            <v>1.4212507406685535</v>
          </cell>
          <cell r="K356">
            <v>3.2703962793727874</v>
          </cell>
        </row>
        <row r="357">
          <cell r="B357" t="str">
            <v>ESOL-PV</v>
          </cell>
          <cell r="C357" t="str">
            <v>VAR_fin</v>
          </cell>
          <cell r="D357" t="str">
            <v>SOLPVC</v>
          </cell>
          <cell r="I357">
            <v>0.25380954876244399</v>
          </cell>
          <cell r="J357">
            <v>1.42125074066855</v>
          </cell>
          <cell r="K357">
            <v>3.2703962793727901</v>
          </cell>
        </row>
        <row r="358">
          <cell r="B358" t="str">
            <v>ESOL-PV</v>
          </cell>
          <cell r="C358" t="str">
            <v>VAR_ncap</v>
          </cell>
          <cell r="D358" t="str">
            <v>-</v>
          </cell>
          <cell r="I358">
            <v>4.5431205969486401E-3</v>
          </cell>
          <cell r="J358">
            <v>0.33653960482227302</v>
          </cell>
          <cell r="K358">
            <v>0.59643867384671401</v>
          </cell>
        </row>
        <row r="359">
          <cell r="B359" t="str">
            <v>ESOL-PV</v>
          </cell>
          <cell r="C359" t="str">
            <v>VAR_cap</v>
          </cell>
          <cell r="D359" t="str">
            <v>-</v>
          </cell>
          <cell r="I359">
            <v>7.3166502404274497E-2</v>
          </cell>
          <cell r="J359">
            <v>0.40970610722654799</v>
          </cell>
          <cell r="K359">
            <v>0.94276081912353704</v>
          </cell>
        </row>
        <row r="360">
          <cell r="B360" t="str">
            <v>RHEM-SHSTG-CHPNGA</v>
          </cell>
          <cell r="C360" t="str">
            <v>VAR_fout</v>
          </cell>
          <cell r="D360" t="str">
            <v>RHEM_LTH_CHPNGA</v>
          </cell>
          <cell r="I360">
            <v>0.81702225369530268</v>
          </cell>
          <cell r="J360">
            <v>14.488053203109244</v>
          </cell>
          <cell r="K360">
            <v>20.056914365490041</v>
          </cell>
        </row>
        <row r="361">
          <cell r="B361" t="str">
            <v>RHEM-SHSTG-CHPNGA</v>
          </cell>
          <cell r="C361" t="str">
            <v>VAR_fout</v>
          </cell>
          <cell r="D361" t="str">
            <v>AUX_REM-CHPNGA_OUT</v>
          </cell>
          <cell r="I361">
            <v>0.81627200369191089</v>
          </cell>
          <cell r="J361">
            <v>14.488053203109301</v>
          </cell>
          <cell r="K361">
            <v>20.056914365490055</v>
          </cell>
        </row>
        <row r="362">
          <cell r="B362" t="str">
            <v>RHEM-SHSTG-CHPNGA</v>
          </cell>
          <cell r="C362" t="str">
            <v>VAR_fin</v>
          </cell>
          <cell r="D362" t="str">
            <v>AUX_REM-CHPNGA_IN</v>
          </cell>
          <cell r="I362">
            <v>0.9903284411285056</v>
          </cell>
          <cell r="J362">
            <v>17.044769255923626</v>
          </cell>
          <cell r="K362">
            <v>22.285461187778765</v>
          </cell>
        </row>
        <row r="363">
          <cell r="B363" t="str">
            <v>RHEM-SHSTG-CHPNGA</v>
          </cell>
          <cell r="C363" t="str">
            <v>VAR_fin</v>
          </cell>
          <cell r="D363" t="str">
            <v>RHEM_LTH_CHPNGA</v>
          </cell>
          <cell r="I363">
            <v>0.9903284411285056</v>
          </cell>
          <cell r="J363">
            <v>17.044769255923626</v>
          </cell>
          <cell r="K363">
            <v>22.285461187778765</v>
          </cell>
        </row>
        <row r="364">
          <cell r="B364" t="str">
            <v>RHEM-SHSTG-CHPNGA</v>
          </cell>
          <cell r="C364" t="str">
            <v>VAR_ncap</v>
          </cell>
          <cell r="D364" t="str">
            <v>-</v>
          </cell>
          <cell r="I364">
            <v>1.48020889537683E-2</v>
          </cell>
          <cell r="J364">
            <v>0.87945849033491896</v>
          </cell>
          <cell r="K364">
            <v>0.62750639062548097</v>
          </cell>
        </row>
        <row r="365">
          <cell r="B365" t="str">
            <v>RHEM-SHSTG-CHPNGA</v>
          </cell>
          <cell r="C365" t="str">
            <v>VAR_cap</v>
          </cell>
          <cell r="D365" t="str">
            <v>-</v>
          </cell>
          <cell r="I365">
            <v>5.1848417983743365E-2</v>
          </cell>
          <cell r="J365">
            <v>0.91884036108183653</v>
          </cell>
          <cell r="K365">
            <v>1.2720070443472637</v>
          </cell>
        </row>
        <row r="366">
          <cell r="B366" t="str">
            <v>RHNS-ESOLPV</v>
          </cell>
          <cell r="C366" t="str">
            <v>VAR_fout</v>
          </cell>
          <cell r="D366" t="str">
            <v>RHNS_SOL_ELC</v>
          </cell>
          <cell r="I366">
            <v>1.4351808037767466E-3</v>
          </cell>
          <cell r="J366">
            <v>1.5099755352666533E-3</v>
          </cell>
          <cell r="K366">
            <v>1.669487512460836E-3</v>
          </cell>
        </row>
        <row r="367">
          <cell r="B367" t="str">
            <v>RHNS-ESOLPV</v>
          </cell>
          <cell r="C367" t="str">
            <v>VAR_fin</v>
          </cell>
          <cell r="D367" t="str">
            <v>SOL</v>
          </cell>
          <cell r="I367">
            <v>1.4351808037767466E-3</v>
          </cell>
          <cell r="J367">
            <v>1.5099755352666533E-3</v>
          </cell>
          <cell r="K367">
            <v>1.669487512460836E-3</v>
          </cell>
        </row>
        <row r="368">
          <cell r="B368" t="str">
            <v>RHNS-ESOLPV</v>
          </cell>
          <cell r="C368" t="str">
            <v>VAR_fin</v>
          </cell>
          <cell r="D368" t="str">
            <v>SOLPVC</v>
          </cell>
          <cell r="I368">
            <v>1.4351808037767499E-3</v>
          </cell>
          <cell r="J368">
            <v>1.50997553526665E-3</v>
          </cell>
          <cell r="K368">
            <v>1.6694875124608399E-3</v>
          </cell>
        </row>
        <row r="369">
          <cell r="B369" t="str">
            <v>RHNS-ESOLPV</v>
          </cell>
          <cell r="C369" t="str">
            <v>VAR_ncap</v>
          </cell>
          <cell r="D369" t="str">
            <v>-</v>
          </cell>
          <cell r="I369">
            <v>2.1018434453483701E-5</v>
          </cell>
          <cell r="J369">
            <v>2.6540829827399101E-5</v>
          </cell>
          <cell r="K369">
            <v>4.3830643356843898E-4</v>
          </cell>
        </row>
        <row r="370">
          <cell r="B370" t="str">
            <v>RHNS-ESOLPV</v>
          </cell>
          <cell r="C370" t="str">
            <v>VAR_cap</v>
          </cell>
          <cell r="D370" t="str">
            <v>-</v>
          </cell>
          <cell r="I370">
            <v>4.1433096641479999E-4</v>
          </cell>
          <cell r="J370">
            <v>4.35946272051897E-4</v>
          </cell>
          <cell r="K370">
            <v>4.81707064066325E-4</v>
          </cell>
        </row>
        <row r="371">
          <cell r="B371" t="str">
            <v>RHSA-WHSTG-CHP</v>
          </cell>
          <cell r="C371" t="str">
            <v>VAR_fout</v>
          </cell>
          <cell r="D371" t="str">
            <v>AUX_RHSA-CHP_OUT</v>
          </cell>
          <cell r="I371">
            <v>0.35110979744247517</v>
          </cell>
          <cell r="J371">
            <v>1.0708882180064945</v>
          </cell>
          <cell r="K371">
            <v>0.78149938387475726</v>
          </cell>
        </row>
        <row r="372">
          <cell r="B372" t="str">
            <v>RHSA-WHSTG-CHP</v>
          </cell>
          <cell r="C372" t="str">
            <v>VAR_fout</v>
          </cell>
          <cell r="D372" t="str">
            <v>RHSA_LTH</v>
          </cell>
          <cell r="I372">
            <v>0.3514325086533594</v>
          </cell>
          <cell r="J372">
            <v>1.0708882180064891</v>
          </cell>
          <cell r="K372">
            <v>0.78149938387475615</v>
          </cell>
        </row>
        <row r="373">
          <cell r="B373" t="str">
            <v>RHSA-WHSTG-CHP</v>
          </cell>
          <cell r="C373" t="str">
            <v>VAR_fin</v>
          </cell>
          <cell r="D373" t="str">
            <v>RHSA_LTH</v>
          </cell>
          <cell r="I373">
            <v>0.4259772350170673</v>
          </cell>
          <cell r="J373">
            <v>1.2598692734477839</v>
          </cell>
          <cell r="K373">
            <v>0.86833343042510747</v>
          </cell>
        </row>
        <row r="374">
          <cell r="B374" t="str">
            <v>RHSA-WHSTG-CHP</v>
          </cell>
          <cell r="C374" t="str">
            <v>VAR_fin</v>
          </cell>
          <cell r="D374" t="str">
            <v>AUX_RHSA-CHP_IN</v>
          </cell>
          <cell r="I374">
            <v>0.4259772350170673</v>
          </cell>
          <cell r="J374">
            <v>1.2598692734477839</v>
          </cell>
          <cell r="K374">
            <v>0.86833343042510747</v>
          </cell>
        </row>
        <row r="375">
          <cell r="B375" t="str">
            <v>RHSA-WHSTG-CHP</v>
          </cell>
          <cell r="C375" t="str">
            <v>VAR_ncap</v>
          </cell>
          <cell r="D375" t="str">
            <v>-</v>
          </cell>
          <cell r="I375">
            <v>1.5923164233810801E-2</v>
          </cell>
          <cell r="J375">
            <v>4.8520739185056498E-2</v>
          </cell>
          <cell r="K375">
            <v>7.6305051851046799E-3</v>
          </cell>
        </row>
        <row r="376">
          <cell r="B376" t="str">
            <v>RHSA-WHSTG-CHP</v>
          </cell>
          <cell r="C376" t="str">
            <v>VAR_cap</v>
          </cell>
          <cell r="D376" t="str">
            <v>-</v>
          </cell>
          <cell r="I376">
            <v>2.2329368223066956E-2</v>
          </cell>
          <cell r="J376">
            <v>6.7925485514418987E-2</v>
          </cell>
          <cell r="K376">
            <v>4.9567171383243902E-2</v>
          </cell>
        </row>
        <row r="377">
          <cell r="B377" t="str">
            <v>G-INTC-SER</v>
          </cell>
          <cell r="C377" t="str">
            <v>VAR_fout</v>
          </cell>
          <cell r="D377" t="str">
            <v>ELC35</v>
          </cell>
          <cell r="I377">
            <v>1.0419828196860912E-3</v>
          </cell>
          <cell r="J377">
            <v>7.2605122016939662E-4</v>
          </cell>
          <cell r="K377">
            <v>4.4737378430198581E-4</v>
          </cell>
        </row>
        <row r="378">
          <cell r="B378" t="str">
            <v>G-INTC-SER</v>
          </cell>
          <cell r="C378" t="str">
            <v>VAR_fout</v>
          </cell>
          <cell r="D378" t="str">
            <v>SCOM_ELC</v>
          </cell>
          <cell r="I378">
            <v>44.539247629967662</v>
          </cell>
          <cell r="J378">
            <v>44.324972821614629</v>
          </cell>
          <cell r="K378">
            <v>40.580807708867944</v>
          </cell>
        </row>
        <row r="379">
          <cell r="B379" t="str">
            <v>G-INTC-SER</v>
          </cell>
          <cell r="C379" t="str">
            <v>VAR_fin</v>
          </cell>
          <cell r="D379" t="str">
            <v>ELC5</v>
          </cell>
          <cell r="I379">
            <v>44.54028961278734</v>
          </cell>
          <cell r="J379">
            <v>44.325697238761933</v>
          </cell>
          <cell r="K379">
            <v>40.581254241481155</v>
          </cell>
        </row>
        <row r="380">
          <cell r="B380" t="str">
            <v>G-INTC-SER</v>
          </cell>
          <cell r="C380" t="str">
            <v>VAR_ncap</v>
          </cell>
          <cell r="D380" t="str">
            <v>-</v>
          </cell>
          <cell r="I380">
            <v>8.5387224761629501E-8</v>
          </cell>
          <cell r="J380">
            <v>1.1125370723761201E-7</v>
          </cell>
          <cell r="K380">
            <v>1.9720779667829001E-7</v>
          </cell>
        </row>
        <row r="381">
          <cell r="B381" t="str">
            <v>G-INTC-SER</v>
          </cell>
          <cell r="C381" t="str">
            <v>VAR_cap</v>
          </cell>
          <cell r="D381" t="str">
            <v>-</v>
          </cell>
          <cell r="I381">
            <v>4.3683890783227932</v>
          </cell>
          <cell r="J381">
            <v>4.3683891967146851</v>
          </cell>
          <cell r="K381">
            <v>4.368389400327624</v>
          </cell>
        </row>
        <row r="382">
          <cell r="B382" t="str">
            <v>CHPWOD</v>
          </cell>
          <cell r="C382" t="str">
            <v>VAR_fout</v>
          </cell>
          <cell r="D382" t="str">
            <v>ELC35</v>
          </cell>
          <cell r="I382">
            <v>1.0857401141053462</v>
          </cell>
          <cell r="J382">
            <v>1.0560006477093926</v>
          </cell>
          <cell r="K382">
            <v>1.9680783665516774</v>
          </cell>
        </row>
        <row r="383">
          <cell r="B383" t="str">
            <v>CHPWOD</v>
          </cell>
          <cell r="C383" t="str">
            <v>VAR_fout</v>
          </cell>
          <cell r="D383" t="str">
            <v>LTH</v>
          </cell>
          <cell r="I383">
            <v>2.8394109731048562</v>
          </cell>
          <cell r="J383">
            <v>2.7616367745448858</v>
          </cell>
          <cell r="K383">
            <v>5.1468885024311692</v>
          </cell>
        </row>
        <row r="384">
          <cell r="B384" t="str">
            <v>CHPWOD</v>
          </cell>
          <cell r="C384" t="str">
            <v>VAR_fin</v>
          </cell>
          <cell r="D384" t="str">
            <v>EWOD</v>
          </cell>
          <cell r="I384">
            <v>3.7356950004981813</v>
          </cell>
          <cell r="J384">
            <v>3.4484988264113383</v>
          </cell>
          <cell r="K384">
            <v>6.4313868063057953</v>
          </cell>
        </row>
        <row r="385">
          <cell r="B385" t="str">
            <v>CHPWOD</v>
          </cell>
          <cell r="C385" t="str">
            <v>VAR_ncap</v>
          </cell>
          <cell r="D385" t="str">
            <v>-</v>
          </cell>
          <cell r="I385">
            <v>6.5327338420834504E-6</v>
          </cell>
          <cell r="J385">
            <v>5.0365074371520298E-3</v>
          </cell>
          <cell r="K385">
            <v>6.7366669658162903E-2</v>
          </cell>
        </row>
        <row r="386">
          <cell r="B386" t="str">
            <v>CHPWOD</v>
          </cell>
          <cell r="C386" t="str">
            <v>VAR_cap</v>
          </cell>
          <cell r="D386" t="str">
            <v>-</v>
          </cell>
          <cell r="I386">
            <v>4.0507044733139541E-2</v>
          </cell>
          <cell r="J386">
            <v>3.9396837443818708E-2</v>
          </cell>
          <cell r="K386">
            <v>8.1001039762578372E-2</v>
          </cell>
        </row>
        <row r="387">
          <cell r="B387" t="str">
            <v>G-INTC1</v>
          </cell>
          <cell r="C387" t="str">
            <v>VAR_fout</v>
          </cell>
          <cell r="D387" t="str">
            <v>ELC13</v>
          </cell>
          <cell r="I387">
            <v>133.78887478725909</v>
          </cell>
          <cell r="J387">
            <v>123.69681103735599</v>
          </cell>
          <cell r="K387">
            <v>93.893308039671723</v>
          </cell>
        </row>
        <row r="388">
          <cell r="B388" t="str">
            <v>G-INTC1</v>
          </cell>
          <cell r="C388" t="str">
            <v>VAR_fin</v>
          </cell>
          <cell r="D388" t="str">
            <v>ELC</v>
          </cell>
          <cell r="I388">
            <v>135.9748093386425</v>
          </cell>
          <cell r="J388">
            <v>125.26789798765532</v>
          </cell>
          <cell r="K388">
            <v>94.41005171740612</v>
          </cell>
        </row>
        <row r="389">
          <cell r="B389" t="str">
            <v>G-INTC1</v>
          </cell>
          <cell r="C389" t="str">
            <v>VAR_ncap</v>
          </cell>
          <cell r="D389" t="str">
            <v>-</v>
          </cell>
          <cell r="I389">
            <v>1.9108352766001299E-7</v>
          </cell>
          <cell r="J389">
            <v>2.9507350859067898E-7</v>
          </cell>
          <cell r="K389">
            <v>9.6030666778423401E-7</v>
          </cell>
        </row>
        <row r="390">
          <cell r="B390" t="str">
            <v>G-INTC1</v>
          </cell>
          <cell r="C390" t="str">
            <v>VAR_cap</v>
          </cell>
          <cell r="D390" t="str">
            <v>-</v>
          </cell>
          <cell r="I390">
            <v>15.305609481305902</v>
          </cell>
          <cell r="J390">
            <v>15.305609569275402</v>
          </cell>
          <cell r="K390">
            <v>15.305610149439913</v>
          </cell>
        </row>
        <row r="391">
          <cell r="B391" t="str">
            <v>EHYD-RUNS00</v>
          </cell>
          <cell r="C391" t="str">
            <v>VAR_fout</v>
          </cell>
          <cell r="D391" t="str">
            <v>ELC35</v>
          </cell>
          <cell r="I391">
            <v>12.223573348738595</v>
          </cell>
          <cell r="J391">
            <v>12.225579363768102</v>
          </cell>
          <cell r="K391">
            <v>12.240701601795433</v>
          </cell>
        </row>
        <row r="392">
          <cell r="B392" t="str">
            <v>EHYD-RUNS00</v>
          </cell>
          <cell r="C392" t="str">
            <v>VAR_fin</v>
          </cell>
          <cell r="D392" t="str">
            <v>HYDR</v>
          </cell>
          <cell r="I392">
            <v>12.223573348738595</v>
          </cell>
          <cell r="J392">
            <v>12.225579363768102</v>
          </cell>
          <cell r="K392">
            <v>12.240701601795433</v>
          </cell>
        </row>
        <row r="393">
          <cell r="B393" t="str">
            <v>EHYD-RUNS00</v>
          </cell>
          <cell r="C393" t="str">
            <v>VAR_cap</v>
          </cell>
          <cell r="D393" t="str">
            <v>-</v>
          </cell>
          <cell r="I393">
            <v>0.89707999999999899</v>
          </cell>
          <cell r="J393">
            <v>0.89707999999999899</v>
          </cell>
          <cell r="K393">
            <v>0.89707999999999899</v>
          </cell>
        </row>
        <row r="394">
          <cell r="B394" t="str">
            <v>RHNS-SHSTG-CHPWOD</v>
          </cell>
          <cell r="C394" t="str">
            <v>VAR_fout</v>
          </cell>
          <cell r="D394" t="str">
            <v>AUX_RNS-CHPWOD_OUT</v>
          </cell>
          <cell r="I394">
            <v>3.0978167638825017E-3</v>
          </cell>
          <cell r="J394">
            <v>3.842338308204758E-3</v>
          </cell>
          <cell r="K394">
            <v>3.8536566159372522E-3</v>
          </cell>
        </row>
        <row r="395">
          <cell r="B395" t="str">
            <v>RHNS-SHSTG-CHPWOD</v>
          </cell>
          <cell r="C395" t="str">
            <v>VAR_fout</v>
          </cell>
          <cell r="D395" t="str">
            <v>RHNS_LTH_CHPWOD</v>
          </cell>
          <cell r="I395">
            <v>3.1006640219375316E-3</v>
          </cell>
          <cell r="J395">
            <v>3.8423383082047458E-3</v>
          </cell>
          <cell r="K395">
            <v>3.8536566159372487E-3</v>
          </cell>
        </row>
        <row r="396">
          <cell r="B396" t="str">
            <v>RHNS-SHSTG-CHPWOD</v>
          </cell>
          <cell r="C396" t="str">
            <v>VAR_fin</v>
          </cell>
          <cell r="D396" t="str">
            <v>AUX_RNS-CHPWOD_IN</v>
          </cell>
          <cell r="I396">
            <v>3.7568172820037172E-3</v>
          </cell>
          <cell r="J396">
            <v>4.5211796849696029E-3</v>
          </cell>
          <cell r="K396">
            <v>4.2826223596972085E-3</v>
          </cell>
        </row>
        <row r="397">
          <cell r="B397" t="str">
            <v>RHNS-SHSTG-CHPWOD</v>
          </cell>
          <cell r="C397" t="str">
            <v>VAR_fin</v>
          </cell>
          <cell r="D397" t="str">
            <v>RHNS_LTH_CHPWOD</v>
          </cell>
          <cell r="I397">
            <v>3.7568172820037172E-3</v>
          </cell>
          <cell r="J397">
            <v>4.5211796849696029E-3</v>
          </cell>
          <cell r="K397">
            <v>4.2826223596972085E-3</v>
          </cell>
        </row>
        <row r="398">
          <cell r="B398" t="str">
            <v>RHNS-SHSTG-CHPWOD</v>
          </cell>
          <cell r="C398" t="str">
            <v>VAR_ncap</v>
          </cell>
          <cell r="D398" t="str">
            <v>-</v>
          </cell>
          <cell r="I398">
            <v>1.37002117082189E-3</v>
          </cell>
          <cell r="J398">
            <v>9.6872298452800197E-5</v>
          </cell>
          <cell r="K398">
            <v>1.9606263034602101E-4</v>
          </cell>
        </row>
        <row r="399">
          <cell r="B399" t="str">
            <v>RHNS-SHSTG-CHPWOD</v>
          </cell>
          <cell r="C399" t="str">
            <v>VAR_cap</v>
          </cell>
          <cell r="D399" t="str">
            <v>-</v>
          </cell>
          <cell r="I399">
            <v>1.699445473404793E-3</v>
          </cell>
          <cell r="J399">
            <v>1.47850087660396E-3</v>
          </cell>
          <cell r="K399">
            <v>8.3772699790601076E-4</v>
          </cell>
        </row>
        <row r="400">
          <cell r="B400" t="str">
            <v>HPLOIL</v>
          </cell>
          <cell r="C400" t="str">
            <v>VAR_fout</v>
          </cell>
          <cell r="D400" t="str">
            <v>LTH</v>
          </cell>
          <cell r="I400">
            <v>3.0102025494782364E-4</v>
          </cell>
          <cell r="J400">
            <v>3.1780138769486698E-4</v>
          </cell>
          <cell r="K400">
            <v>1.7865420483973349E-4</v>
          </cell>
        </row>
        <row r="401">
          <cell r="B401" t="str">
            <v>HPLOIL</v>
          </cell>
          <cell r="C401" t="str">
            <v>VAR_fout</v>
          </cell>
          <cell r="D401" t="str">
            <v>CO2_E</v>
          </cell>
          <cell r="I401">
            <v>2.59641438123231E-2</v>
          </cell>
          <cell r="J401">
            <v>2.74115804442981E-2</v>
          </cell>
          <cell r="K401">
            <v>1.5409605801905601E-2</v>
          </cell>
        </row>
        <row r="402">
          <cell r="B402" t="str">
            <v>HPLOIL</v>
          </cell>
          <cell r="C402" t="str">
            <v>VAR_fin</v>
          </cell>
          <cell r="D402" t="str">
            <v>ELFO</v>
          </cell>
          <cell r="I402">
            <v>3.5229503137480475E-4</v>
          </cell>
          <cell r="J402">
            <v>3.7193460575709767E-4</v>
          </cell>
          <cell r="K402">
            <v>2.090855604057743E-4</v>
          </cell>
        </row>
        <row r="403">
          <cell r="B403" t="str">
            <v>HPLOIL</v>
          </cell>
          <cell r="C403" t="str">
            <v>VAR_ncap</v>
          </cell>
          <cell r="D403" t="str">
            <v>-</v>
          </cell>
          <cell r="I403">
            <v>3.0771371758491102E-4</v>
          </cell>
          <cell r="J403">
            <v>1.7620087215098002E-5</v>
          </cell>
          <cell r="K403">
            <v>6.7494068864102798E-6</v>
          </cell>
        </row>
        <row r="404">
          <cell r="B404" t="str">
            <v>HPLOIL</v>
          </cell>
          <cell r="C404" t="str">
            <v>VAR_cap</v>
          </cell>
          <cell r="D404" t="str">
            <v>-</v>
          </cell>
          <cell r="I404">
            <v>3.2552564508490185E-4</v>
          </cell>
          <cell r="J404">
            <v>3.3364899896486366E-4</v>
          </cell>
          <cell r="K404">
            <v>2.6653288957641881E-4</v>
          </cell>
        </row>
        <row r="405">
          <cell r="B405" t="str">
            <v>V2G</v>
          </cell>
          <cell r="C405" t="str">
            <v>VAR_fout</v>
          </cell>
          <cell r="D405" t="str">
            <v>ELC35</v>
          </cell>
          <cell r="I405">
            <v>2.1204910577938663E-2</v>
          </cell>
          <cell r="J405">
            <v>5.4530474612452626E-2</v>
          </cell>
          <cell r="K405">
            <v>0.18670071814571756</v>
          </cell>
        </row>
        <row r="406">
          <cell r="B406" t="str">
            <v>V2G</v>
          </cell>
          <cell r="C406" t="str">
            <v>VAR_fin</v>
          </cell>
          <cell r="D406" t="str">
            <v>T-ELC-Bus_c_BatSTGout_S1</v>
          </cell>
          <cell r="I406">
            <v>5.6040081249264474E-4</v>
          </cell>
          <cell r="J406">
            <v>1.0947565692619506E-3</v>
          </cell>
          <cell r="K406">
            <v>1.5894488633450953E-4</v>
          </cell>
        </row>
        <row r="407">
          <cell r="B407" t="str">
            <v>V2G</v>
          </cell>
          <cell r="C407" t="str">
            <v>VAR_fin</v>
          </cell>
          <cell r="D407" t="str">
            <v>T-ELC-Bus_c_BatSTGout_S2</v>
          </cell>
          <cell r="I407">
            <v>3.6015687447587131E-4</v>
          </cell>
          <cell r="J407">
            <v>1.2078977369893464E-3</v>
          </cell>
          <cell r="K407">
            <v>1.1292273146499352E-3</v>
          </cell>
        </row>
        <row r="408">
          <cell r="B408" t="str">
            <v>V2G</v>
          </cell>
          <cell r="C408" t="str">
            <v>VAR_fin</v>
          </cell>
          <cell r="D408" t="str">
            <v>T-ELC-Bus_c_BatSTGout_S3</v>
          </cell>
          <cell r="I408">
            <v>1.9215814980361079E-4</v>
          </cell>
          <cell r="J408">
            <v>2.7031289096363369E-4</v>
          </cell>
          <cell r="K408">
            <v>6.8166122031630672E-4</v>
          </cell>
        </row>
        <row r="409">
          <cell r="B409" t="str">
            <v>V2G</v>
          </cell>
          <cell r="C409" t="str">
            <v>VAR_fin</v>
          </cell>
          <cell r="D409" t="str">
            <v>T-ELC-Bus_c_BatSTGout_S4</v>
          </cell>
          <cell r="I409">
            <v>1.9764152877670886E-4</v>
          </cell>
          <cell r="J409">
            <v>2.3820520928440341E-4</v>
          </cell>
          <cell r="K409">
            <v>1.3988974539388152E-4</v>
          </cell>
        </row>
        <row r="410">
          <cell r="B410" t="str">
            <v>V2G</v>
          </cell>
          <cell r="C410" t="str">
            <v>VAR_fin</v>
          </cell>
          <cell r="D410" t="str">
            <v>T-ELC-car-BatSTGOut_S1</v>
          </cell>
          <cell r="I410">
            <v>2.5555535583488415E-3</v>
          </cell>
          <cell r="J410">
            <v>1.8984766084112509E-2</v>
          </cell>
          <cell r="K410">
            <v>5.5319466498660472E-2</v>
          </cell>
        </row>
        <row r="411">
          <cell r="B411" t="str">
            <v>V2G</v>
          </cell>
          <cell r="C411" t="str">
            <v>VAR_fin</v>
          </cell>
          <cell r="D411" t="str">
            <v>T-ELC-car-BatSTGOut_S2</v>
          </cell>
          <cell r="I411">
            <v>5.9373569668050253E-4</v>
          </cell>
          <cell r="J411">
            <v>4.3203346075304499E-3</v>
          </cell>
          <cell r="K411">
            <v>2.8246148601143717E-2</v>
          </cell>
        </row>
        <row r="412">
          <cell r="B412" t="str">
            <v>V2G</v>
          </cell>
          <cell r="C412" t="str">
            <v>VAR_fin</v>
          </cell>
          <cell r="D412" t="str">
            <v>T-ELC-car-BatSTGOut_S3</v>
          </cell>
          <cell r="I412">
            <v>6.4555316512725257E-4</v>
          </cell>
          <cell r="J412">
            <v>4.4233716220830124E-3</v>
          </cell>
          <cell r="K412">
            <v>3.2044426738232268E-2</v>
          </cell>
        </row>
        <row r="413">
          <cell r="B413" t="str">
            <v>V2G</v>
          </cell>
          <cell r="C413" t="str">
            <v>VAR_fin</v>
          </cell>
          <cell r="D413" t="str">
            <v>T-ELC-car-BatSTGOut_S4</v>
          </cell>
          <cell r="I413">
            <v>5.9563859650988208E-4</v>
          </cell>
          <cell r="J413">
            <v>4.3057288688101306E-3</v>
          </cell>
          <cell r="K413">
            <v>2.6866144762441289E-2</v>
          </cell>
        </row>
        <row r="414">
          <cell r="B414" t="str">
            <v>V2G</v>
          </cell>
          <cell r="C414" t="str">
            <v>VAR_fin</v>
          </cell>
          <cell r="D414" t="str">
            <v>T-ELC-car-PlgSTGOut_S1</v>
          </cell>
          <cell r="I414">
            <v>8.2728406562778464E-4</v>
          </cell>
          <cell r="J414">
            <v>1.0237931289867571E-3</v>
          </cell>
          <cell r="K414">
            <v>9.5286816139577776E-4</v>
          </cell>
        </row>
        <row r="415">
          <cell r="B415" t="str">
            <v>V2G</v>
          </cell>
          <cell r="C415" t="str">
            <v>VAR_fin</v>
          </cell>
          <cell r="D415" t="str">
            <v>T-ELC-car-PlgSTGOut_S2</v>
          </cell>
          <cell r="I415">
            <v>3.7973152478923411E-4</v>
          </cell>
          <cell r="J415">
            <v>4.597356607727151E-4</v>
          </cell>
          <cell r="K415">
            <v>4.0974178580757188E-4</v>
          </cell>
        </row>
        <row r="416">
          <cell r="B416" t="str">
            <v>V2G</v>
          </cell>
          <cell r="C416" t="str">
            <v>VAR_fin</v>
          </cell>
          <cell r="D416" t="str">
            <v>T-ELC-car-PlgSTGOut_S3</v>
          </cell>
          <cell r="I416">
            <v>6.0029798962753537E-4</v>
          </cell>
          <cell r="J416">
            <v>3.7487615862887144E-3</v>
          </cell>
          <cell r="K416">
            <v>2.925663955456333E-2</v>
          </cell>
        </row>
        <row r="417">
          <cell r="B417" t="str">
            <v>V2G</v>
          </cell>
          <cell r="C417" t="str">
            <v>VAR_fin</v>
          </cell>
          <cell r="D417" t="str">
            <v>T-ELC-TWSTGout_S1</v>
          </cell>
          <cell r="I417">
            <v>2.0563493504549661E-3</v>
          </cell>
          <cell r="J417">
            <v>1.7010713441417598E-3</v>
          </cell>
          <cell r="K417">
            <v>1.2338417092988701E-3</v>
          </cell>
        </row>
        <row r="418">
          <cell r="B418" t="str">
            <v>V2G</v>
          </cell>
          <cell r="C418" t="str">
            <v>VAR_fin</v>
          </cell>
          <cell r="D418" t="str">
            <v>T-ELC-car-PlgSTGOut_S4</v>
          </cell>
          <cell r="I418">
            <v>7.0664777568915421E-4</v>
          </cell>
          <cell r="J418">
            <v>1.9489386243860059E-3</v>
          </cell>
          <cell r="K418">
            <v>2.7671897551245165E-3</v>
          </cell>
        </row>
        <row r="419">
          <cell r="B419" t="str">
            <v>V2G</v>
          </cell>
          <cell r="C419" t="str">
            <v>VAR_fin</v>
          </cell>
          <cell r="D419" t="str">
            <v>T-ELC-TWSTGout_S2</v>
          </cell>
          <cell r="I419">
            <v>2.5491242936824818E-3</v>
          </cell>
          <cell r="J419">
            <v>2.1009913702126509E-3</v>
          </cell>
          <cell r="K419">
            <v>1.4184299585466339E-3</v>
          </cell>
        </row>
        <row r="420">
          <cell r="B420" t="str">
            <v>V2G</v>
          </cell>
          <cell r="C420" t="str">
            <v>VAR_fin</v>
          </cell>
          <cell r="D420" t="str">
            <v>T-ELC-TWSTGout_S3</v>
          </cell>
          <cell r="I420">
            <v>3.4746492209130264E-3</v>
          </cell>
          <cell r="J420">
            <v>3.4736546000427638E-3</v>
          </cell>
          <cell r="K420">
            <v>2.1641980063316795E-3</v>
          </cell>
        </row>
        <row r="421">
          <cell r="B421" t="str">
            <v>V2G</v>
          </cell>
          <cell r="C421" t="str">
            <v>VAR_fin</v>
          </cell>
          <cell r="D421" t="str">
            <v>T-ELC-TWSTGout_S4</v>
          </cell>
          <cell r="I421">
            <v>3.4609758552150375E-3</v>
          </cell>
          <cell r="J421">
            <v>3.9165456151741673E-3</v>
          </cell>
          <cell r="K421">
            <v>3.1670803478916956E-3</v>
          </cell>
        </row>
        <row r="422">
          <cell r="B422" t="str">
            <v>V2G</v>
          </cell>
          <cell r="C422" t="str">
            <v>VAR_fin</v>
          </cell>
          <cell r="D422" t="str">
            <v>T-ELC-Bus_u_BatSTGout_S1</v>
          </cell>
          <cell r="I422">
            <v>1.837348998387536E-4</v>
          </cell>
          <cell r="J422">
            <v>1.3132909438259025E-4</v>
          </cell>
          <cell r="K422">
            <v>9.0718081240214379E-5</v>
          </cell>
        </row>
        <row r="423">
          <cell r="B423" t="str">
            <v>V2G</v>
          </cell>
          <cell r="C423" t="str">
            <v>VAR_fin</v>
          </cell>
          <cell r="D423" t="str">
            <v>T-ELC-Bus_u_BatSTGout_S2</v>
          </cell>
          <cell r="I423">
            <v>1.5924826377415266E-4</v>
          </cell>
          <cell r="J423">
            <v>1.215460413388434E-4</v>
          </cell>
          <cell r="K423">
            <v>8.2984039131692383E-5</v>
          </cell>
        </row>
        <row r="424">
          <cell r="B424" t="str">
            <v>V2G</v>
          </cell>
          <cell r="C424" t="str">
            <v>VAR_fin</v>
          </cell>
          <cell r="D424" t="str">
            <v>T-ELC-Bus_u_BatSTGout_S3</v>
          </cell>
          <cell r="I424">
            <v>6.9762124850698641E-5</v>
          </cell>
          <cell r="J424">
            <v>6.2064450951109849E-5</v>
          </cell>
          <cell r="K424">
            <v>4.804850985309993E-5</v>
          </cell>
        </row>
        <row r="425">
          <cell r="B425" t="str">
            <v>V2G</v>
          </cell>
          <cell r="C425" t="str">
            <v>VAR_fin</v>
          </cell>
          <cell r="D425" t="str">
            <v>T-ELC-Bus_u_BatSTGout_S4</v>
          </cell>
          <cell r="I425">
            <v>1.5081679568671063E-4</v>
          </cell>
          <cell r="J425">
            <v>1.6246978040095644E-4</v>
          </cell>
          <cell r="K425">
            <v>1.1264858626774728E-4</v>
          </cell>
        </row>
        <row r="426">
          <cell r="B426" t="str">
            <v>V2G</v>
          </cell>
          <cell r="C426" t="str">
            <v>VAR_fin</v>
          </cell>
          <cell r="D426" t="str">
            <v>T-ELC-LGV_BatSTGout</v>
          </cell>
          <cell r="I426">
            <v>4.1316687412247684E-4</v>
          </cell>
          <cell r="J426">
            <v>2.9573518007066301E-4</v>
          </cell>
          <cell r="K426">
            <v>1.7088001762502738E-4</v>
          </cell>
        </row>
        <row r="427">
          <cell r="B427" t="str">
            <v>V2G</v>
          </cell>
          <cell r="C427" t="str">
            <v>VAR_fin</v>
          </cell>
          <cell r="D427" t="str">
            <v>T-ELC-HGV_BatSTGout</v>
          </cell>
          <cell r="I427">
            <v>5.0379067358891766E-4</v>
          </cell>
          <cell r="J427">
            <v>5.6847675042713585E-4</v>
          </cell>
          <cell r="K427">
            <v>2.6433449073220874E-4</v>
          </cell>
        </row>
        <row r="428">
          <cell r="B428" t="str">
            <v>V2G</v>
          </cell>
          <cell r="C428" t="str">
            <v>VAR_ncap</v>
          </cell>
          <cell r="D428" t="str">
            <v>-</v>
          </cell>
          <cell r="I428">
            <v>4.9262672737900503E-3</v>
          </cell>
          <cell r="J428">
            <v>0.34826940651857302</v>
          </cell>
          <cell r="K428">
            <v>0.98593613754402598</v>
          </cell>
        </row>
        <row r="429">
          <cell r="B429" t="str">
            <v>V2G</v>
          </cell>
          <cell r="C429" t="str">
            <v>VAR_cap</v>
          </cell>
          <cell r="D429" t="str">
            <v>-</v>
          </cell>
          <cell r="I429">
            <v>7.5782619727857454E-3</v>
          </cell>
          <cell r="J429">
            <v>0.35500050407788214</v>
          </cell>
          <cell r="K429">
            <v>1.2407661964782919</v>
          </cell>
        </row>
        <row r="430">
          <cell r="B430" t="str">
            <v>D-EBIO</v>
          </cell>
          <cell r="C430" t="str">
            <v>VAR_fout</v>
          </cell>
          <cell r="D430" t="str">
            <v>EBIO</v>
          </cell>
          <cell r="I430">
            <v>1.1839534668490257</v>
          </cell>
          <cell r="J430">
            <v>1.1839540625823495</v>
          </cell>
          <cell r="K430">
            <v>1.1839565397586005</v>
          </cell>
        </row>
        <row r="431">
          <cell r="B431" t="str">
            <v>D-EBIO</v>
          </cell>
          <cell r="C431" t="str">
            <v>VAR_fin</v>
          </cell>
          <cell r="D431" t="str">
            <v>BIO</v>
          </cell>
          <cell r="I431">
            <v>1.1839534668490257</v>
          </cell>
          <cell r="J431">
            <v>1.1839540625823495</v>
          </cell>
          <cell r="K431">
            <v>1.1839565397586005</v>
          </cell>
        </row>
        <row r="432">
          <cell r="B432" t="str">
            <v>G-INTC3</v>
          </cell>
          <cell r="C432" t="str">
            <v>VAR_fout</v>
          </cell>
          <cell r="D432" t="str">
            <v>ELC35</v>
          </cell>
          <cell r="I432">
            <v>88.675512170721078</v>
          </cell>
          <cell r="J432">
            <v>128.74522892738688</v>
          </cell>
          <cell r="K432">
            <v>113.18326324005727</v>
          </cell>
        </row>
        <row r="433">
          <cell r="B433" t="str">
            <v>G-INTC3</v>
          </cell>
          <cell r="C433" t="str">
            <v>VAR_fout</v>
          </cell>
          <cell r="D433" t="str">
            <v>ELC3</v>
          </cell>
          <cell r="I433">
            <v>90.431202640399846</v>
          </cell>
          <cell r="J433">
            <v>41.488372818757419</v>
          </cell>
          <cell r="K433">
            <v>38.693688496611991</v>
          </cell>
        </row>
        <row r="434">
          <cell r="B434" t="str">
            <v>G-INTC3</v>
          </cell>
          <cell r="C434" t="str">
            <v>VAR_fout</v>
          </cell>
          <cell r="D434" t="str">
            <v>ELC</v>
          </cell>
          <cell r="I434">
            <v>2.5523364537659611E-3</v>
          </cell>
          <cell r="J434">
            <v>5.6761962476640036E-3</v>
          </cell>
          <cell r="K434">
            <v>5.9473662510705204E-2</v>
          </cell>
        </row>
        <row r="435">
          <cell r="B435" t="str">
            <v>G-INTC3</v>
          </cell>
          <cell r="C435" t="str">
            <v>VAR_fin</v>
          </cell>
          <cell r="D435" t="str">
            <v>ELC13</v>
          </cell>
          <cell r="I435">
            <v>184.90860870465667</v>
          </cell>
          <cell r="J435">
            <v>174.8044740883563</v>
          </cell>
          <cell r="K435">
            <v>154.34758588742579</v>
          </cell>
        </row>
        <row r="436">
          <cell r="B436" t="str">
            <v>G-INTC3</v>
          </cell>
          <cell r="C436" t="str">
            <v>VAR_ncap</v>
          </cell>
          <cell r="D436" t="str">
            <v>-</v>
          </cell>
          <cell r="I436">
            <v>2.5579964402865902E-7</v>
          </cell>
          <cell r="J436">
            <v>3.94524889004178E-7</v>
          </cell>
          <cell r="K436">
            <v>1.2828455255537401E-6</v>
          </cell>
        </row>
        <row r="437">
          <cell r="B437" t="str">
            <v>G-INTC3</v>
          </cell>
          <cell r="C437" t="str">
            <v>VAR_cap</v>
          </cell>
          <cell r="D437" t="str">
            <v>-</v>
          </cell>
          <cell r="I437">
            <v>13.914190565175481</v>
          </cell>
          <cell r="J437">
            <v>13.914190683863934</v>
          </cell>
          <cell r="K437">
            <v>13.914191459652182</v>
          </cell>
        </row>
        <row r="438">
          <cell r="B438" t="str">
            <v>HPLBIO</v>
          </cell>
          <cell r="C438" t="str">
            <v>VAR_fout</v>
          </cell>
          <cell r="D438" t="str">
            <v>LTH</v>
          </cell>
          <cell r="I438">
            <v>0.90177693667408276</v>
          </cell>
          <cell r="J438">
            <v>0.9017773904238171</v>
          </cell>
          <cell r="K438">
            <v>0.90177927720439865</v>
          </cell>
        </row>
        <row r="439">
          <cell r="B439" t="str">
            <v>HPLBIO</v>
          </cell>
          <cell r="C439" t="str">
            <v>VAR_fin</v>
          </cell>
          <cell r="D439" t="str">
            <v>EBIO</v>
          </cell>
          <cell r="I439">
            <v>1.1839534668490257</v>
          </cell>
          <cell r="J439">
            <v>1.1839540625823495</v>
          </cell>
          <cell r="K439">
            <v>1.1839565397586005</v>
          </cell>
        </row>
        <row r="440">
          <cell r="B440" t="str">
            <v>HPLBIO</v>
          </cell>
          <cell r="C440" t="str">
            <v>VAR_ncap</v>
          </cell>
          <cell r="D440" t="str">
            <v>-</v>
          </cell>
          <cell r="I440">
            <v>5.1449390966344197E-2</v>
          </cell>
          <cell r="J440">
            <v>2.0251534037374299E-5</v>
          </cell>
          <cell r="K440">
            <v>5.70111133931442E-2</v>
          </cell>
        </row>
        <row r="441">
          <cell r="B441" t="str">
            <v>HPLBIO</v>
          </cell>
          <cell r="C441" t="str">
            <v>VAR_cap</v>
          </cell>
          <cell r="D441" t="str">
            <v>-</v>
          </cell>
          <cell r="I441">
            <v>0.11438365332494344</v>
          </cell>
          <cell r="J441">
            <v>0.11438599323260995</v>
          </cell>
          <cell r="K441">
            <v>0.11438372515197692</v>
          </cell>
        </row>
        <row r="442">
          <cell r="B442" t="str">
            <v>CHPGFC</v>
          </cell>
          <cell r="C442" t="str">
            <v>VAR_fout</v>
          </cell>
          <cell r="D442" t="str">
            <v>ELC35</v>
          </cell>
          <cell r="I442"/>
          <cell r="J442">
            <v>0.32830827367515492</v>
          </cell>
          <cell r="K442">
            <v>1.7193894128006502</v>
          </cell>
        </row>
        <row r="443">
          <cell r="B443" t="str">
            <v>CHPGFC</v>
          </cell>
          <cell r="C443" t="str">
            <v>VAR_fout</v>
          </cell>
          <cell r="D443" t="str">
            <v>LTH</v>
          </cell>
          <cell r="I443"/>
          <cell r="J443">
            <v>0.41859304893582261</v>
          </cell>
          <cell r="K443">
            <v>2.278190971960862</v>
          </cell>
        </row>
        <row r="444">
          <cell r="B444" t="str">
            <v>CHPGFC</v>
          </cell>
          <cell r="C444" t="str">
            <v>VAR_fout</v>
          </cell>
          <cell r="D444" t="str">
            <v>CO2_E</v>
          </cell>
          <cell r="I444"/>
          <cell r="J444">
            <v>46.291466588196798</v>
          </cell>
          <cell r="K444">
            <v>242.43390720489199</v>
          </cell>
        </row>
        <row r="445">
          <cell r="B445" t="str">
            <v>CHPGFC</v>
          </cell>
          <cell r="C445" t="str">
            <v>VAR_fin</v>
          </cell>
          <cell r="D445" t="str">
            <v>ENGA</v>
          </cell>
          <cell r="I445"/>
          <cell r="J445">
            <v>0.82077068418788701</v>
          </cell>
          <cell r="K445">
            <v>4.2984735320016254</v>
          </cell>
        </row>
        <row r="446">
          <cell r="B446" t="str">
            <v>CHPGFC</v>
          </cell>
          <cell r="C446" t="str">
            <v>VAR_ncap</v>
          </cell>
          <cell r="D446" t="str">
            <v>-</v>
          </cell>
          <cell r="I446"/>
          <cell r="J446">
            <v>1.2248656702802001E-2</v>
          </cell>
          <cell r="K446">
            <v>5.3086970367963698E-2</v>
          </cell>
        </row>
        <row r="447">
          <cell r="B447" t="str">
            <v>CHPGFC</v>
          </cell>
          <cell r="C447" t="str">
            <v>VAR_cap</v>
          </cell>
          <cell r="D447" t="str">
            <v>-</v>
          </cell>
          <cell r="J447">
            <v>1.2248656702802001E-2</v>
          </cell>
          <cell r="K447">
            <v>6.5335573860376667E-2</v>
          </cell>
        </row>
        <row r="448">
          <cell r="B448" t="str">
            <v>G-INTC5</v>
          </cell>
          <cell r="C448" t="str">
            <v>VAR_fout</v>
          </cell>
          <cell r="D448" t="str">
            <v>ELC5</v>
          </cell>
          <cell r="I448">
            <v>106.70973173681952</v>
          </cell>
          <cell r="J448">
            <v>147.6565371275222</v>
          </cell>
          <cell r="K448">
            <v>145.86826997984406</v>
          </cell>
        </row>
        <row r="449">
          <cell r="B449" t="str">
            <v>G-INTC5</v>
          </cell>
          <cell r="C449" t="str">
            <v>VAR_fout</v>
          </cell>
          <cell r="D449" t="str">
            <v>ELC13</v>
          </cell>
          <cell r="I449">
            <v>2.4021569313406104E-3</v>
          </cell>
          <cell r="J449">
            <v>1.3058434855065509E-3</v>
          </cell>
          <cell r="K449">
            <v>2.2264821298496842E-2</v>
          </cell>
        </row>
        <row r="450">
          <cell r="B450" t="str">
            <v>G-INTC5</v>
          </cell>
          <cell r="C450" t="str">
            <v>VAR_fin</v>
          </cell>
          <cell r="D450" t="str">
            <v>ELC35</v>
          </cell>
          <cell r="I450">
            <v>110.71516317630663</v>
          </cell>
          <cell r="J450">
            <v>152.64853793643672</v>
          </cell>
          <cell r="K450">
            <v>149.7495597081452</v>
          </cell>
        </row>
        <row r="451">
          <cell r="B451" t="str">
            <v>G-INTC5</v>
          </cell>
          <cell r="C451" t="str">
            <v>VAR_ncap</v>
          </cell>
          <cell r="D451" t="str">
            <v>-</v>
          </cell>
          <cell r="I451">
            <v>1.14828319511034E-6</v>
          </cell>
          <cell r="J451">
            <v>1.75407465577543E-6</v>
          </cell>
          <cell r="K451">
            <v>5.58001816072017E-6</v>
          </cell>
        </row>
        <row r="452">
          <cell r="B452" t="str">
            <v>G-INTC5</v>
          </cell>
          <cell r="C452" t="str">
            <v>VAR_cap</v>
          </cell>
          <cell r="D452" t="str">
            <v>-</v>
          </cell>
          <cell r="I452">
            <v>12.649265589960526</v>
          </cell>
          <cell r="J452">
            <v>12.649266119528388</v>
          </cell>
          <cell r="K452">
            <v>12.649269554601686</v>
          </cell>
        </row>
        <row r="453">
          <cell r="B453" t="str">
            <v>D-SLFO</v>
          </cell>
          <cell r="C453" t="str">
            <v>VAR_fout</v>
          </cell>
          <cell r="D453" t="str">
            <v>CO2</v>
          </cell>
          <cell r="I453">
            <v>1130.77525983033</v>
          </cell>
          <cell r="J453">
            <v>909.92246796191898</v>
          </cell>
          <cell r="K453">
            <v>433.06208736555402</v>
          </cell>
        </row>
        <row r="454">
          <cell r="B454" t="str">
            <v>D-SLFO</v>
          </cell>
          <cell r="C454" t="str">
            <v>VAR_fout</v>
          </cell>
          <cell r="D454" t="str">
            <v>SLFO</v>
          </cell>
          <cell r="I454">
            <v>15.086981368198499</v>
          </cell>
          <cell r="J454">
            <v>12.140294950949196</v>
          </cell>
          <cell r="K454">
            <v>5.7780062930266558</v>
          </cell>
        </row>
        <row r="455">
          <cell r="B455" t="str">
            <v>D-SLFO</v>
          </cell>
          <cell r="C455" t="str">
            <v>VAR_fin</v>
          </cell>
          <cell r="D455" t="str">
            <v>LFO</v>
          </cell>
          <cell r="I455">
            <v>15.342947894577049</v>
          </cell>
          <cell r="J455">
            <v>12.34630214330962</v>
          </cell>
          <cell r="K455">
            <v>5.8760120402381757</v>
          </cell>
        </row>
        <row r="456">
          <cell r="B456" t="str">
            <v>D-SLFO</v>
          </cell>
          <cell r="C456" t="str">
            <v>VAR_fin</v>
          </cell>
          <cell r="D456" t="str">
            <v>BDS</v>
          </cell>
          <cell r="I456">
            <v>2.8335022185394573E-4</v>
          </cell>
          <cell r="J456">
            <v>1.9367637793888106E-4</v>
          </cell>
          <cell r="K456">
            <v>1.326383289646197E-4</v>
          </cell>
        </row>
        <row r="457">
          <cell r="B457" t="str">
            <v>D-RCOA</v>
          </cell>
          <cell r="C457" t="str">
            <v>VAR_fout</v>
          </cell>
          <cell r="D457" t="str">
            <v>CO2</v>
          </cell>
          <cell r="I457">
            <v>0.120771358129107</v>
          </cell>
        </row>
        <row r="458">
          <cell r="B458" t="str">
            <v>D-RCOA</v>
          </cell>
          <cell r="C458" t="str">
            <v>VAR_fout</v>
          </cell>
          <cell r="D458" t="str">
            <v>RCOA</v>
          </cell>
          <cell r="I458">
            <v>1.3028193972934993E-3</v>
          </cell>
        </row>
        <row r="459">
          <cell r="B459" t="str">
            <v>D-RCOA</v>
          </cell>
          <cell r="C459" t="str">
            <v>VAR_fin</v>
          </cell>
          <cell r="D459" t="str">
            <v>COA</v>
          </cell>
          <cell r="I459">
            <v>1.3028193972934993E-3</v>
          </cell>
        </row>
        <row r="460">
          <cell r="B460" t="str">
            <v>EHYD-RUN00</v>
          </cell>
          <cell r="C460" t="str">
            <v>VAR_fout</v>
          </cell>
          <cell r="D460" t="str">
            <v>ELC13</v>
          </cell>
          <cell r="I460">
            <v>51.052889052030501</v>
          </cell>
          <cell r="J460">
            <v>49.95494921582975</v>
          </cell>
          <cell r="K460">
            <v>47.771185257449055</v>
          </cell>
        </row>
        <row r="461">
          <cell r="B461" t="str">
            <v>EHYD-RUN00</v>
          </cell>
          <cell r="C461" t="str">
            <v>VAR_fin</v>
          </cell>
          <cell r="D461" t="str">
            <v>HYDR</v>
          </cell>
          <cell r="I461">
            <v>51.052889052030501</v>
          </cell>
          <cell r="J461">
            <v>49.95494921582975</v>
          </cell>
          <cell r="K461">
            <v>47.771185257449055</v>
          </cell>
        </row>
        <row r="462">
          <cell r="B462" t="str">
            <v>EHYD-RUN00</v>
          </cell>
          <cell r="C462" t="str">
            <v>VAR_cap</v>
          </cell>
          <cell r="D462" t="str">
            <v>-</v>
          </cell>
          <cell r="I462">
            <v>3.9647700000000001</v>
          </cell>
          <cell r="J462">
            <v>3.9647700000000001</v>
          </cell>
          <cell r="K462">
            <v>3.9647700000000001</v>
          </cell>
        </row>
        <row r="463">
          <cell r="B463" t="str">
            <v>HPLELCHP</v>
          </cell>
          <cell r="C463" t="str">
            <v>VAR_fout</v>
          </cell>
          <cell r="D463" t="str">
            <v>LTH</v>
          </cell>
          <cell r="I463">
            <v>5.7384448444612266</v>
          </cell>
          <cell r="J463">
            <v>6.0311639160747648</v>
          </cell>
          <cell r="K463">
            <v>6.6621585104862477</v>
          </cell>
        </row>
        <row r="464">
          <cell r="B464" t="str">
            <v>HPLELCHP</v>
          </cell>
          <cell r="C464" t="str">
            <v>VAR_fin</v>
          </cell>
          <cell r="D464" t="str">
            <v>ELC35</v>
          </cell>
          <cell r="I464">
            <v>1.9128149481537446</v>
          </cell>
          <cell r="J464">
            <v>2.0103879720249211</v>
          </cell>
          <cell r="K464">
            <v>2.220719503495415</v>
          </cell>
        </row>
        <row r="465">
          <cell r="B465" t="str">
            <v>HPLELCHP</v>
          </cell>
          <cell r="C465" t="str">
            <v>VAR_fin</v>
          </cell>
          <cell r="D465" t="str">
            <v>WWTPCC</v>
          </cell>
          <cell r="I465">
            <v>11.4768896889224</v>
          </cell>
          <cell r="J465">
            <v>12.062327832149499</v>
          </cell>
          <cell r="K465">
            <v>13.324317020972501</v>
          </cell>
        </row>
        <row r="466">
          <cell r="B466" t="str">
            <v>HPLELCHP</v>
          </cell>
          <cell r="C466" t="str">
            <v>VAR_ncap</v>
          </cell>
          <cell r="D466" t="str">
            <v>-</v>
          </cell>
          <cell r="I466">
            <v>1.7177460312965E-2</v>
          </cell>
          <cell r="J466">
            <v>0.16753175013935101</v>
          </cell>
          <cell r="K466">
            <v>0.22601844373473601</v>
          </cell>
        </row>
        <row r="467">
          <cell r="B467" t="str">
            <v>HPLELCHP</v>
          </cell>
          <cell r="C467" t="str">
            <v>VAR_cap</v>
          </cell>
          <cell r="D467" t="str">
            <v>-</v>
          </cell>
          <cell r="I467">
            <v>0.35339534482526769</v>
          </cell>
          <cell r="J467">
            <v>0.37141216329602067</v>
          </cell>
          <cell r="K467">
            <v>0.41147155666162133</v>
          </cell>
        </row>
        <row r="468">
          <cell r="B468" t="str">
            <v>D-ITOT_LTH</v>
          </cell>
          <cell r="C468" t="str">
            <v>VAR_fout</v>
          </cell>
          <cell r="D468" t="str">
            <v>ITOT_LTH_DH</v>
          </cell>
          <cell r="I468">
            <v>7.6300598528357195</v>
          </cell>
          <cell r="J468">
            <v>7.6363517871934734</v>
          </cell>
          <cell r="K468">
            <v>9.0012012639766841</v>
          </cell>
        </row>
        <row r="469">
          <cell r="B469" t="str">
            <v>D-ITOT_LTH</v>
          </cell>
          <cell r="C469" t="str">
            <v>VAR_fin</v>
          </cell>
          <cell r="D469" t="str">
            <v>LTH</v>
          </cell>
          <cell r="I469">
            <v>8.278512926505325</v>
          </cell>
          <cell r="J469">
            <v>8.2799087183292599</v>
          </cell>
          <cell r="K469">
            <v>9.7470035615318817</v>
          </cell>
        </row>
        <row r="470">
          <cell r="B470" t="str">
            <v>D-ITOT_LTH</v>
          </cell>
          <cell r="C470" t="str">
            <v>VAR_ncap</v>
          </cell>
          <cell r="D470" t="str">
            <v>-</v>
          </cell>
          <cell r="I470">
            <v>5.32582068374615E-8</v>
          </cell>
          <cell r="J470">
            <v>4.69455926439518E-8</v>
          </cell>
          <cell r="K470">
            <v>7.4477297431178103E-8</v>
          </cell>
        </row>
        <row r="471">
          <cell r="B471" t="str">
            <v>D-ITOT_LTH</v>
          </cell>
          <cell r="C471" t="str">
            <v>VAR_cap</v>
          </cell>
          <cell r="D471" t="str">
            <v>-</v>
          </cell>
          <cell r="I471">
            <v>0.79547263447861605</v>
          </cell>
          <cell r="J471">
            <v>0.79547268142420902</v>
          </cell>
          <cell r="K471">
            <v>0.79547275590150601</v>
          </cell>
        </row>
        <row r="472">
          <cell r="B472" t="str">
            <v>D-IH2</v>
          </cell>
          <cell r="C472" t="str">
            <v>VAR_fout</v>
          </cell>
          <cell r="D472" t="str">
            <v>IH2</v>
          </cell>
          <cell r="I472">
            <v>1.3180253301679451E-3</v>
          </cell>
          <cell r="J472">
            <v>9.566501283378966E-4</v>
          </cell>
          <cell r="K472">
            <v>6.6985366387587106E-3</v>
          </cell>
        </row>
        <row r="473">
          <cell r="B473" t="str">
            <v>D-IH2</v>
          </cell>
          <cell r="C473" t="str">
            <v>VAR_fin</v>
          </cell>
          <cell r="D473" t="str">
            <v>H2</v>
          </cell>
          <cell r="I473">
            <v>1.3280665585511803E-3</v>
          </cell>
          <cell r="J473">
            <v>9.6393826021338135E-4</v>
          </cell>
          <cell r="K473">
            <v>6.7495686900279298E-3</v>
          </cell>
        </row>
        <row r="474">
          <cell r="B474" t="str">
            <v>D-IH2</v>
          </cell>
          <cell r="C474" t="str">
            <v>VAR_ncap</v>
          </cell>
          <cell r="D474" t="str">
            <v>-</v>
          </cell>
          <cell r="I474">
            <v>9.9393257595830397E-5</v>
          </cell>
          <cell r="J474">
            <v>4.88453241627337E-6</v>
          </cell>
          <cell r="K474">
            <v>9.5832406950809999E-4</v>
          </cell>
        </row>
        <row r="475">
          <cell r="B475" t="str">
            <v>D-IH2</v>
          </cell>
          <cell r="C475" t="str">
            <v>VAR_cap</v>
          </cell>
          <cell r="D475" t="str">
            <v>-</v>
          </cell>
          <cell r="I475">
            <v>2.3682634694398099E-4</v>
          </cell>
          <cell r="J475">
            <v>2.4171087936025401E-4</v>
          </cell>
          <cell r="K475">
            <v>1.20003494886835E-3</v>
          </cell>
        </row>
        <row r="476">
          <cell r="B476" t="str">
            <v>RHEM-ESOLPV</v>
          </cell>
          <cell r="C476" t="str">
            <v>VAR_fout</v>
          </cell>
          <cell r="D476" t="str">
            <v>RHEM_SOL_ELC</v>
          </cell>
          <cell r="I476">
            <v>2.0404802504020716</v>
          </cell>
          <cell r="J476">
            <v>2.1445668095533468</v>
          </cell>
          <cell r="K476">
            <v>2.3689373430784051</v>
          </cell>
        </row>
        <row r="477">
          <cell r="B477" t="str">
            <v>RHEM-ESOLPV</v>
          </cell>
          <cell r="C477" t="str">
            <v>VAR_fin</v>
          </cell>
          <cell r="D477" t="str">
            <v>SOL</v>
          </cell>
          <cell r="I477">
            <v>2.0404802504020716</v>
          </cell>
          <cell r="J477">
            <v>2.1445668095533468</v>
          </cell>
          <cell r="K477">
            <v>2.3689373430784051</v>
          </cell>
        </row>
        <row r="478">
          <cell r="B478" t="str">
            <v>RHEM-ESOLPV</v>
          </cell>
          <cell r="C478" t="str">
            <v>VAR_fin</v>
          </cell>
          <cell r="D478" t="str">
            <v>SOLPVC</v>
          </cell>
          <cell r="I478">
            <v>2.0404802504020698</v>
          </cell>
          <cell r="J478">
            <v>2.1445668095533401</v>
          </cell>
          <cell r="K478">
            <v>2.36893734307841</v>
          </cell>
        </row>
        <row r="479">
          <cell r="B479" t="str">
            <v>RHEM-ESOLPV</v>
          </cell>
          <cell r="C479" t="str">
            <v>VAR_ncap</v>
          </cell>
          <cell r="D479" t="str">
            <v>-</v>
          </cell>
          <cell r="I479">
            <v>0.116996324847652</v>
          </cell>
          <cell r="J479">
            <v>0.25499358648236198</v>
          </cell>
          <cell r="K479">
            <v>0.33467261709464702</v>
          </cell>
        </row>
        <row r="480">
          <cell r="B480" t="str">
            <v>RHEM-ESOLPV</v>
          </cell>
          <cell r="C480" t="str">
            <v>VAR_cap</v>
          </cell>
          <cell r="D480" t="str">
            <v>-</v>
          </cell>
          <cell r="I480">
            <v>0.58821207057331004</v>
          </cell>
          <cell r="J480">
            <v>0.61821724053302507</v>
          </cell>
          <cell r="K480">
            <v>0.68289602851716702</v>
          </cell>
        </row>
        <row r="481">
          <cell r="B481" t="str">
            <v>HPLNUC</v>
          </cell>
          <cell r="C481" t="str">
            <v>VAR_fout</v>
          </cell>
          <cell r="D481" t="str">
            <v>LTH</v>
          </cell>
          <cell r="I481">
            <v>0.64998370880863343</v>
          </cell>
        </row>
        <row r="482">
          <cell r="B482" t="str">
            <v>HPLNUC</v>
          </cell>
          <cell r="C482" t="str">
            <v>VAR_fin</v>
          </cell>
          <cell r="D482" t="str">
            <v>URN</v>
          </cell>
          <cell r="I482">
            <v>0.64998370880863343</v>
          </cell>
        </row>
        <row r="483">
          <cell r="B483" t="str">
            <v>HPLNUC</v>
          </cell>
          <cell r="C483" t="str">
            <v>VAR_cap</v>
          </cell>
          <cell r="D483" t="str">
            <v>-</v>
          </cell>
          <cell r="I483">
            <v>8.85558611937695E-2</v>
          </cell>
          <cell r="J483">
            <v>1.56851844506808E-2</v>
          </cell>
        </row>
        <row r="484">
          <cell r="B484" t="str">
            <v>ITOT-CHPWODCCS</v>
          </cell>
          <cell r="C484" t="str">
            <v>VAR_fin</v>
          </cell>
          <cell r="D484" t="str">
            <v>IWOD</v>
          </cell>
          <cell r="J484">
            <v>1.6302423700798399E-4</v>
          </cell>
          <cell r="K484">
            <v>1.2345632539481556E-4</v>
          </cell>
        </row>
        <row r="485">
          <cell r="B485" t="str">
            <v>SUP_WODBIO</v>
          </cell>
          <cell r="C485" t="str">
            <v>VAR_fout</v>
          </cell>
          <cell r="D485" t="str">
            <v>ELC35</v>
          </cell>
          <cell r="I485">
            <v>8.5504385062510936E-6</v>
          </cell>
          <cell r="J485">
            <v>8.7357260473423142E-6</v>
          </cell>
          <cell r="K485">
            <v>9.1179786373100777E-6</v>
          </cell>
        </row>
        <row r="486">
          <cell r="B486" t="str">
            <v>SUP_WODBIO</v>
          </cell>
          <cell r="C486" t="str">
            <v>VAR_fout</v>
          </cell>
          <cell r="D486" t="str">
            <v>BIO</v>
          </cell>
          <cell r="I486">
            <v>2.1376096265627708E-4</v>
          </cell>
          <cell r="J486">
            <v>2.1839315118355764E-4</v>
          </cell>
          <cell r="K486">
            <v>2.2794946593275171E-4</v>
          </cell>
        </row>
        <row r="487">
          <cell r="B487" t="str">
            <v>SUP_WODBIO</v>
          </cell>
          <cell r="C487" t="str">
            <v>VAR_fout</v>
          </cell>
          <cell r="D487" t="str">
            <v>LTH</v>
          </cell>
          <cell r="I487">
            <v>2.5651315518753278E-5</v>
          </cell>
          <cell r="J487">
            <v>2.6207178142026956E-5</v>
          </cell>
          <cell r="K487">
            <v>2.7353935911930187E-5</v>
          </cell>
        </row>
        <row r="488">
          <cell r="B488" t="str">
            <v>SUP_WODBIO</v>
          </cell>
          <cell r="C488" t="str">
            <v>VAR_fin</v>
          </cell>
          <cell r="D488" t="str">
            <v>CWOD</v>
          </cell>
          <cell r="I488">
            <v>2.8857729958597407E-4</v>
          </cell>
          <cell r="J488">
            <v>2.9483075409780286E-4</v>
          </cell>
          <cell r="K488">
            <v>3.0773177900921466E-4</v>
          </cell>
        </row>
        <row r="489">
          <cell r="B489" t="str">
            <v>SUP_WODBIO</v>
          </cell>
          <cell r="C489" t="str">
            <v>VAR_ncap</v>
          </cell>
          <cell r="D489" t="str">
            <v>-</v>
          </cell>
          <cell r="I489">
            <v>7.9916558791724201E-6</v>
          </cell>
          <cell r="J489">
            <v>5.3957576110363696E-6</v>
          </cell>
          <cell r="K489">
            <v>5.5066929042474004E-6</v>
          </cell>
        </row>
        <row r="490">
          <cell r="B490" t="str">
            <v>SUP_WODBIO</v>
          </cell>
          <cell r="C490" t="str">
            <v>VAR_cap</v>
          </cell>
          <cell r="D490" t="str">
            <v>-</v>
          </cell>
          <cell r="I490">
            <v>2.9956702712554347E-5</v>
          </cell>
          <cell r="J490">
            <v>2.4987000739870628E-5</v>
          </cell>
          <cell r="K490">
            <v>1.7126773576232119E-5</v>
          </cell>
        </row>
        <row r="491">
          <cell r="B491" t="str">
            <v>D-RLFO</v>
          </cell>
          <cell r="C491" t="str">
            <v>VAR_fout</v>
          </cell>
          <cell r="D491" t="str">
            <v>CO2</v>
          </cell>
          <cell r="I491">
            <v>1831.4873678617</v>
          </cell>
          <cell r="J491">
            <v>1382.2556419749801</v>
          </cell>
          <cell r="K491">
            <v>522.97592503736996</v>
          </cell>
        </row>
        <row r="492">
          <cell r="B492" t="str">
            <v>D-RLFO</v>
          </cell>
          <cell r="C492" t="str">
            <v>VAR_fout</v>
          </cell>
          <cell r="D492" t="str">
            <v>RLFO</v>
          </cell>
          <cell r="I492">
            <v>24.435820200822029</v>
          </cell>
          <cell r="J492">
            <v>18.442122833590908</v>
          </cell>
          <cell r="K492">
            <v>6.977628698054664</v>
          </cell>
        </row>
        <row r="493">
          <cell r="B493" t="str">
            <v>D-RLFO</v>
          </cell>
          <cell r="C493" t="str">
            <v>VAR_fin</v>
          </cell>
          <cell r="D493" t="str">
            <v>LFO</v>
          </cell>
          <cell r="I493">
            <v>24.850574869222459</v>
          </cell>
          <cell r="J493">
            <v>18.755164748642869</v>
          </cell>
          <cell r="K493">
            <v>7.0960098376848073</v>
          </cell>
        </row>
        <row r="494">
          <cell r="B494" t="str">
            <v>D-RLFO</v>
          </cell>
          <cell r="C494" t="str">
            <v>VAR_fin</v>
          </cell>
          <cell r="D494" t="str">
            <v>BDS</v>
          </cell>
          <cell r="I494">
            <v>2.8360717131431892E-4</v>
          </cell>
          <cell r="J494">
            <v>1.944408216351341E-4</v>
          </cell>
          <cell r="K494">
            <v>1.3288245416225695E-4</v>
          </cell>
        </row>
        <row r="495">
          <cell r="B495" t="str">
            <v>G-INTC-EXP00-IT</v>
          </cell>
          <cell r="C495" t="str">
            <v>VAR_fout</v>
          </cell>
          <cell r="D495" t="str">
            <v>ELC_E-IT</v>
          </cell>
          <cell r="I495">
            <v>44.074515604781816</v>
          </cell>
          <cell r="J495">
            <v>19.718768383034352</v>
          </cell>
          <cell r="K495">
            <v>14.128679065052841</v>
          </cell>
        </row>
        <row r="496">
          <cell r="B496" t="str">
            <v>G-INTC-EXP00-IT</v>
          </cell>
          <cell r="C496" t="str">
            <v>VAR_fin</v>
          </cell>
          <cell r="D496" t="str">
            <v>ELC</v>
          </cell>
          <cell r="I496">
            <v>44.074515604781816</v>
          </cell>
          <cell r="J496">
            <v>19.718768383034352</v>
          </cell>
          <cell r="K496">
            <v>14.128679065052841</v>
          </cell>
        </row>
        <row r="497">
          <cell r="B497" t="str">
            <v>G-INTC-EXP00-IT</v>
          </cell>
          <cell r="C497" t="str">
            <v>VAR_ncap</v>
          </cell>
          <cell r="D497" t="str">
            <v>-</v>
          </cell>
          <cell r="I497">
            <v>8.8716971371819202E-7</v>
          </cell>
          <cell r="J497">
            <v>1.3529582201625099E-6</v>
          </cell>
          <cell r="K497">
            <v>2.089216439958E-6</v>
          </cell>
        </row>
        <row r="498">
          <cell r="B498" t="str">
            <v>G-INTC-EXP00-IT</v>
          </cell>
          <cell r="C498" t="str">
            <v>VAR_cap</v>
          </cell>
          <cell r="D498" t="str">
            <v>-</v>
          </cell>
          <cell r="I498">
            <v>3.7500019248339336</v>
          </cell>
          <cell r="J498">
            <v>2.4000001290556066</v>
          </cell>
          <cell r="K498">
            <v>2.4000001739028214</v>
          </cell>
        </row>
        <row r="499">
          <cell r="B499" t="str">
            <v>EWOD-CCS</v>
          </cell>
          <cell r="C499" t="str">
            <v>VAR_fin</v>
          </cell>
          <cell r="D499" t="str">
            <v>EWOD</v>
          </cell>
          <cell r="J499">
            <v>1.6320229457980181E-4</v>
          </cell>
          <cell r="K499">
            <v>1.234580407864005E-4</v>
          </cell>
        </row>
        <row r="500">
          <cell r="B500" t="str">
            <v>EOIL-ENG</v>
          </cell>
          <cell r="C500" t="str">
            <v>VAR_fout</v>
          </cell>
          <cell r="D500" t="str">
            <v>ELC35</v>
          </cell>
          <cell r="I500">
            <v>1.2444753889778869E-3</v>
          </cell>
          <cell r="J500">
            <v>1.7086383416788713E-3</v>
          </cell>
          <cell r="K500">
            <v>2.7812282238228302E-3</v>
          </cell>
        </row>
        <row r="501">
          <cell r="B501" t="str">
            <v>EOIL-ENG</v>
          </cell>
          <cell r="C501" t="str">
            <v>VAR_fout</v>
          </cell>
          <cell r="D501" t="str">
            <v>CO2_E</v>
          </cell>
          <cell r="I501">
            <v>0.30962938179835497</v>
          </cell>
          <cell r="J501">
            <v>0.39802344554544</v>
          </cell>
          <cell r="K501">
            <v>0.648569036027563</v>
          </cell>
        </row>
        <row r="502">
          <cell r="B502" t="str">
            <v>EOIL-ENG</v>
          </cell>
          <cell r="C502" t="str">
            <v>VAR_fin</v>
          </cell>
          <cell r="D502" t="str">
            <v>ELFO</v>
          </cell>
          <cell r="I502">
            <v>4.2012127788107929E-3</v>
          </cell>
          <cell r="J502">
            <v>5.4005894917970101E-3</v>
          </cell>
          <cell r="K502">
            <v>8.8001226055300138E-3</v>
          </cell>
        </row>
        <row r="503">
          <cell r="B503" t="str">
            <v>EOIL-ENG</v>
          </cell>
          <cell r="C503" t="str">
            <v>VAR_ncap</v>
          </cell>
          <cell r="D503" t="str">
            <v>-</v>
          </cell>
          <cell r="I503">
            <v>1.5710590998806999E-2</v>
          </cell>
          <cell r="J503">
            <v>1.9901466148308098E-6</v>
          </cell>
          <cell r="K503">
            <v>2.2577434448167901E-6</v>
          </cell>
        </row>
        <row r="504">
          <cell r="B504" t="str">
            <v>EOIL-ENG</v>
          </cell>
          <cell r="C504" t="str">
            <v>VAR_cap</v>
          </cell>
          <cell r="D504" t="str">
            <v>-</v>
          </cell>
          <cell r="I504">
            <v>2.5509641637014649E-2</v>
          </cell>
          <cell r="J504">
            <v>2.5509182025420955E-2</v>
          </cell>
          <cell r="K504">
            <v>9.2266943522344384E-3</v>
          </cell>
        </row>
        <row r="505">
          <cell r="B505" t="str">
            <v>D-SWOD</v>
          </cell>
          <cell r="C505" t="str">
            <v>VAR_fout</v>
          </cell>
          <cell r="D505" t="str">
            <v>SWOD</v>
          </cell>
          <cell r="I505">
            <v>10.259517146923523</v>
          </cell>
          <cell r="J505">
            <v>9.3776644465604733</v>
          </cell>
          <cell r="K505">
            <v>7.9584986043651424</v>
          </cell>
        </row>
        <row r="506">
          <cell r="B506" t="str">
            <v>D-SWOD</v>
          </cell>
          <cell r="C506" t="str">
            <v>VAR_fin</v>
          </cell>
          <cell r="D506" t="str">
            <v>WOD</v>
          </cell>
          <cell r="I506">
            <v>10.259517146923523</v>
          </cell>
          <cell r="J506">
            <v>9.3776644465604733</v>
          </cell>
          <cell r="K506">
            <v>7.9584986043651424</v>
          </cell>
        </row>
        <row r="507">
          <cell r="B507" t="str">
            <v>SCOM-CHPWOD</v>
          </cell>
          <cell r="C507" t="str">
            <v>VAR_fout</v>
          </cell>
          <cell r="D507" t="str">
            <v>SCOM_KEV_WOD_ELC_CHP</v>
          </cell>
          <cell r="I507">
            <v>1.24948429783998E-3</v>
          </cell>
          <cell r="J507">
            <v>9.7239106900041884E-4</v>
          </cell>
          <cell r="K507">
            <v>3.4273395351983168E-4</v>
          </cell>
        </row>
        <row r="508">
          <cell r="B508" t="str">
            <v>SCOM-CHPWOD</v>
          </cell>
          <cell r="C508" t="str">
            <v>VAR_fout</v>
          </cell>
          <cell r="D508" t="str">
            <v>SCOM_LTH_CHPWOD</v>
          </cell>
          <cell r="I508">
            <v>1.9538499979658733E-3</v>
          </cell>
          <cell r="J508">
            <v>1.4870600096960707E-3</v>
          </cell>
          <cell r="K508">
            <v>5.0333773346354551E-4</v>
          </cell>
        </row>
        <row r="509">
          <cell r="B509" t="str">
            <v>SCOM-CHPWOD</v>
          </cell>
          <cell r="C509" t="str">
            <v>VAR_fin</v>
          </cell>
          <cell r="D509" t="str">
            <v>SWOD</v>
          </cell>
          <cell r="I509">
            <v>4.1828710236201201E-3</v>
          </cell>
          <cell r="J509">
            <v>3.1415426984278817E-3</v>
          </cell>
          <cell r="K509">
            <v>1.1918429410647405E-3</v>
          </cell>
        </row>
        <row r="510">
          <cell r="B510" t="str">
            <v>SCOM-CHPWOD</v>
          </cell>
          <cell r="C510" t="str">
            <v>VAR_ncap</v>
          </cell>
          <cell r="D510" t="str">
            <v>-</v>
          </cell>
          <cell r="I510">
            <v>3.7168207273334503E-5</v>
          </cell>
          <cell r="J510">
            <v>1.23242941464941E-6</v>
          </cell>
          <cell r="K510">
            <v>2.4427432453035399E-5</v>
          </cell>
        </row>
        <row r="511">
          <cell r="B511" t="str">
            <v>SCOM-CHPWOD</v>
          </cell>
          <cell r="C511" t="str">
            <v>VAR_cap</v>
          </cell>
          <cell r="D511" t="str">
            <v>-</v>
          </cell>
          <cell r="I511">
            <v>1.1809398208249277E-4</v>
          </cell>
          <cell r="J511">
            <v>9.3563381147523752E-5</v>
          </cell>
          <cell r="K511">
            <v>4.0959545555640179E-5</v>
          </cell>
        </row>
        <row r="512">
          <cell r="B512" t="str">
            <v>ENUC_BMGL</v>
          </cell>
          <cell r="C512" t="str">
            <v>VAR_fout</v>
          </cell>
          <cell r="D512" t="str">
            <v>ELC</v>
          </cell>
          <cell r="I512">
            <v>32.82079800138272</v>
          </cell>
          <cell r="J512">
            <v>32.820801310852644</v>
          </cell>
        </row>
        <row r="513">
          <cell r="B513" t="str">
            <v>ENUC_BMGL</v>
          </cell>
          <cell r="C513" t="str">
            <v>VAR_fin</v>
          </cell>
          <cell r="D513" t="str">
            <v>URN</v>
          </cell>
          <cell r="I513">
            <v>98.945493381393007</v>
          </cell>
          <cell r="J513">
            <v>98.945503358515836</v>
          </cell>
        </row>
        <row r="514">
          <cell r="B514" t="str">
            <v>ENUC_BMGL</v>
          </cell>
          <cell r="C514" t="str">
            <v>VAR_cap</v>
          </cell>
          <cell r="D514" t="str">
            <v>-</v>
          </cell>
          <cell r="I514">
            <v>1.2199999765559002</v>
          </cell>
          <cell r="J514">
            <v>1.2200000530696318</v>
          </cell>
        </row>
        <row r="515">
          <cell r="B515" t="str">
            <v>ENGA-GTOC</v>
          </cell>
          <cell r="C515" t="str">
            <v>VAR_fout</v>
          </cell>
          <cell r="D515" t="str">
            <v>ELC13</v>
          </cell>
          <cell r="I515">
            <v>3.3485952938731296E-3</v>
          </cell>
          <cell r="J515">
            <v>3.614751804984378E-3</v>
          </cell>
          <cell r="K515">
            <v>4.2374413894576751E-3</v>
          </cell>
        </row>
        <row r="516">
          <cell r="B516" t="str">
            <v>ENGA-GTOC</v>
          </cell>
          <cell r="C516" t="str">
            <v>VAR_fout</v>
          </cell>
          <cell r="D516" t="str">
            <v>CO2_E</v>
          </cell>
          <cell r="I516">
            <v>0.47912293806633</v>
          </cell>
          <cell r="J516">
            <v>0.53372702131437599</v>
          </cell>
          <cell r="K516">
            <v>0.56467429317862705</v>
          </cell>
        </row>
        <row r="517">
          <cell r="B517" t="str">
            <v>ENGA-GTOC</v>
          </cell>
          <cell r="C517" t="str">
            <v>VAR_fin</v>
          </cell>
          <cell r="D517" t="str">
            <v>ENGA</v>
          </cell>
          <cell r="I517">
            <v>8.4950875543675468E-3</v>
          </cell>
          <cell r="J517">
            <v>9.4632450587655188E-3</v>
          </cell>
          <cell r="K517">
            <v>1.001195555281255E-2</v>
          </cell>
        </row>
        <row r="518">
          <cell r="B518" t="str">
            <v>ENGA-GTOC</v>
          </cell>
          <cell r="C518" t="str">
            <v>VAR_fin</v>
          </cell>
          <cell r="D518" t="str">
            <v>GTC</v>
          </cell>
          <cell r="I518">
            <v>3.4358625282649103E-4</v>
          </cell>
          <cell r="J518">
            <v>1.4255459870600028E-3</v>
          </cell>
          <cell r="K518">
            <v>1.4137302004053915E-3</v>
          </cell>
        </row>
        <row r="519">
          <cell r="B519" t="str">
            <v>ENGA-GTOC</v>
          </cell>
          <cell r="C519" t="str">
            <v>VAR_ncap</v>
          </cell>
          <cell r="D519" t="str">
            <v>-</v>
          </cell>
          <cell r="I519">
            <v>1.4267472940956299E-3</v>
          </cell>
          <cell r="J519">
            <v>8.1102193836823498E-7</v>
          </cell>
          <cell r="K519">
            <v>3.8844585532723399E-7</v>
          </cell>
        </row>
        <row r="520">
          <cell r="B520" t="str">
            <v>ENGA-GTOC</v>
          </cell>
          <cell r="C520" t="str">
            <v>VAR_cap</v>
          </cell>
          <cell r="D520" t="str">
            <v>-</v>
          </cell>
          <cell r="I520">
            <v>3.4358625282649103E-4</v>
          </cell>
          <cell r="J520">
            <v>1.4255459870600022E-3</v>
          </cell>
          <cell r="K520">
            <v>1.4137302004053843E-3</v>
          </cell>
        </row>
        <row r="521">
          <cell r="B521" t="str">
            <v>D-RWOD</v>
          </cell>
          <cell r="C521" t="str">
            <v>VAR_fout</v>
          </cell>
          <cell r="D521" t="str">
            <v>RWOD</v>
          </cell>
          <cell r="I521">
            <v>15.391794466685207</v>
          </cell>
          <cell r="J521">
            <v>14.077140400285424</v>
          </cell>
          <cell r="K521">
            <v>11.332302647987882</v>
          </cell>
        </row>
        <row r="522">
          <cell r="B522" t="str">
            <v>D-RWOD</v>
          </cell>
          <cell r="C522" t="str">
            <v>VAR_fin</v>
          </cell>
          <cell r="D522" t="str">
            <v>WOD</v>
          </cell>
          <cell r="I522">
            <v>15.391794466685207</v>
          </cell>
          <cell r="J522">
            <v>14.077140400285424</v>
          </cell>
          <cell r="K522">
            <v>11.332302647987882</v>
          </cell>
        </row>
        <row r="523">
          <cell r="B523" t="str">
            <v>SCOM-CHPGFC</v>
          </cell>
          <cell r="C523" t="str">
            <v>VAR_fout</v>
          </cell>
          <cell r="D523" t="str">
            <v>CO2_S</v>
          </cell>
          <cell r="I523">
            <v>0.165700449138595</v>
          </cell>
          <cell r="J523">
            <v>0.61762755542813996</v>
          </cell>
          <cell r="K523">
            <v>676.60022425925501</v>
          </cell>
        </row>
        <row r="524">
          <cell r="B524" t="str">
            <v>SCOM-CHPGFC</v>
          </cell>
          <cell r="C524" t="str">
            <v>VAR_fout</v>
          </cell>
          <cell r="D524" t="str">
            <v>SCOM_NKEV_GAS_ELC_CHP</v>
          </cell>
          <cell r="I524">
            <v>1.7774604916462764E-3</v>
          </cell>
          <cell r="J524">
            <v>6.680014340623497E-3</v>
          </cell>
          <cell r="K524">
            <v>7.4378038837010338</v>
          </cell>
        </row>
        <row r="525">
          <cell r="B525" t="str">
            <v>SCOM-CHPGFC</v>
          </cell>
          <cell r="C525" t="str">
            <v>VAR_fout</v>
          </cell>
          <cell r="D525" t="str">
            <v>SCOM_LTH_CHPNGA</v>
          </cell>
          <cell r="I525">
            <v>5.2849915476757916E-4</v>
          </cell>
          <cell r="J525">
            <v>1.9707437369940258E-3</v>
          </cell>
          <cell r="K525">
            <v>2.1593619156735611</v>
          </cell>
        </row>
        <row r="526">
          <cell r="B526" t="str">
            <v>SCOM-CHPGFC</v>
          </cell>
          <cell r="C526" t="str">
            <v>VAR_fin</v>
          </cell>
          <cell r="D526" t="str">
            <v>SNGA</v>
          </cell>
          <cell r="I526">
            <v>2.9379512258616144E-3</v>
          </cell>
          <cell r="J526">
            <v>1.0950843181350001E-2</v>
          </cell>
          <cell r="K526">
            <v>11.996457876937148</v>
          </cell>
        </row>
        <row r="527">
          <cell r="B527" t="str">
            <v>SCOM-CHPGFC</v>
          </cell>
          <cell r="C527" t="str">
            <v>VAR_ncap</v>
          </cell>
          <cell r="D527" t="str">
            <v>-</v>
          </cell>
          <cell r="I527">
            <v>6.9070241204306705E-5</v>
          </cell>
          <cell r="J527">
            <v>2.9880313230379698E-4</v>
          </cell>
          <cell r="K527">
            <v>0.43626898229385802</v>
          </cell>
        </row>
        <row r="528">
          <cell r="B528" t="str">
            <v>SCOM-CHPGFC</v>
          </cell>
          <cell r="C528" t="str">
            <v>VAR_cap</v>
          </cell>
          <cell r="D528" t="str">
            <v>-</v>
          </cell>
          <cell r="I528">
            <v>1.0460678420613749E-4</v>
          </cell>
          <cell r="J528">
            <v>3.921032850086916E-4</v>
          </cell>
          <cell r="K528">
            <v>0.43651500053114323</v>
          </cell>
        </row>
        <row r="529">
          <cell r="B529" t="str">
            <v>CHPOIL</v>
          </cell>
          <cell r="C529" t="str">
            <v>VAR_fout</v>
          </cell>
          <cell r="D529" t="str">
            <v>ELC35</v>
          </cell>
          <cell r="I529">
            <v>6.5866117584543376E-4</v>
          </cell>
          <cell r="J529">
            <v>6.2099276774271392E-4</v>
          </cell>
          <cell r="K529">
            <v>3.3876898091718708E-4</v>
          </cell>
        </row>
        <row r="530">
          <cell r="B530" t="str">
            <v>CHPOIL</v>
          </cell>
          <cell r="C530" t="str">
            <v>VAR_fout</v>
          </cell>
          <cell r="D530" t="str">
            <v>LTH</v>
          </cell>
          <cell r="I530">
            <v>3.3874003329193701E-3</v>
          </cell>
          <cell r="J530">
            <v>3.1936770912482397E-3</v>
          </cell>
          <cell r="K530">
            <v>1.7422404732883895E-3</v>
          </cell>
        </row>
        <row r="531">
          <cell r="B531" t="str">
            <v>CHPOIL</v>
          </cell>
          <cell r="C531" t="str">
            <v>VAR_fout</v>
          </cell>
          <cell r="D531" t="str">
            <v>CO2_E</v>
          </cell>
          <cell r="I531">
            <v>0.47283873311624303</v>
          </cell>
          <cell r="J531">
            <v>0.42604969505210799</v>
          </cell>
          <cell r="K531">
            <v>0.233946674482822</v>
          </cell>
        </row>
        <row r="532">
          <cell r="B532" t="str">
            <v>CHPOIL</v>
          </cell>
          <cell r="C532" t="str">
            <v>VAR_fin</v>
          </cell>
          <cell r="D532" t="str">
            <v>ELFO</v>
          </cell>
          <cell r="I532">
            <v>6.4157222946573007E-3</v>
          </cell>
          <cell r="J532">
            <v>5.7808642476541204E-3</v>
          </cell>
          <cell r="K532">
            <v>3.1743103729012542E-3</v>
          </cell>
        </row>
        <row r="533">
          <cell r="B533" t="str">
            <v>CHPOIL</v>
          </cell>
          <cell r="C533" t="str">
            <v>VAR_ncap</v>
          </cell>
          <cell r="D533" t="str">
            <v>-</v>
          </cell>
          <cell r="I533">
            <v>6.90602356136877E-6</v>
          </cell>
          <cell r="J533">
            <v>3.09541596811336E-5</v>
          </cell>
          <cell r="K533">
            <v>7.3723049328715604E-5</v>
          </cell>
        </row>
        <row r="534">
          <cell r="B534" t="str">
            <v>CHPOIL</v>
          </cell>
          <cell r="C534" t="str">
            <v>VAR_cap</v>
          </cell>
          <cell r="D534" t="str">
            <v>-</v>
          </cell>
          <cell r="I534">
            <v>4.5032294643895885E-4</v>
          </cell>
          <cell r="J534">
            <v>1.714457542902314E-4</v>
          </cell>
          <cell r="K534">
            <v>1.0981340663322399E-4</v>
          </cell>
        </row>
        <row r="535">
          <cell r="B535" t="str">
            <v>ITOT-ESOLPV</v>
          </cell>
          <cell r="C535" t="str">
            <v>VAR_fout</v>
          </cell>
          <cell r="D535" t="str">
            <v>ITOT_SOL_ELC</v>
          </cell>
          <cell r="I535">
            <v>20.08180433791442</v>
          </cell>
          <cell r="J535">
            <v>27.377685036436606</v>
          </cell>
          <cell r="K535">
            <v>30.242000072569606</v>
          </cell>
        </row>
        <row r="536">
          <cell r="B536" t="str">
            <v>ITOT-ESOLPV</v>
          </cell>
          <cell r="C536" t="str">
            <v>VAR_fin</v>
          </cell>
          <cell r="D536" t="str">
            <v>SOL</v>
          </cell>
          <cell r="I536">
            <v>20.08180433791442</v>
          </cell>
          <cell r="J536">
            <v>27.377685036436606</v>
          </cell>
          <cell r="K536">
            <v>30.242000072569606</v>
          </cell>
        </row>
        <row r="537">
          <cell r="B537" t="str">
            <v>ITOT-ESOLPV</v>
          </cell>
          <cell r="C537" t="str">
            <v>VAR_fin</v>
          </cell>
          <cell r="D537" t="str">
            <v>SOLPVC</v>
          </cell>
          <cell r="I537">
            <v>20.081804337914399</v>
          </cell>
          <cell r="J537">
            <v>27.377685036436599</v>
          </cell>
          <cell r="K537">
            <v>30.242000072569599</v>
          </cell>
        </row>
        <row r="538">
          <cell r="B538" t="str">
            <v>ITOT-ESOLPV</v>
          </cell>
          <cell r="C538" t="str">
            <v>VAR_ncap</v>
          </cell>
          <cell r="D538" t="str">
            <v>-</v>
          </cell>
          <cell r="I538">
            <v>0.79335651657739503</v>
          </cell>
          <cell r="J538">
            <v>2.8156198659506302</v>
          </cell>
          <cell r="K538">
            <v>4.74590372807039</v>
          </cell>
        </row>
        <row r="539">
          <cell r="B539" t="str">
            <v>ITOT-ESOLPV</v>
          </cell>
          <cell r="C539" t="str">
            <v>VAR_cap</v>
          </cell>
          <cell r="D539" t="str">
            <v>-</v>
          </cell>
          <cell r="I539">
            <v>5.78899934767459</v>
          </cell>
          <cell r="J539">
            <v>7.8921889700274868</v>
          </cell>
          <cell r="K539">
            <v>8.7178870981897294</v>
          </cell>
        </row>
        <row r="540">
          <cell r="B540" t="str">
            <v>RHNS-CHPNGA</v>
          </cell>
          <cell r="C540" t="str">
            <v>VAR_fout</v>
          </cell>
          <cell r="D540" t="str">
            <v>CO2_R</v>
          </cell>
          <cell r="I540">
            <v>0.50836087599205604</v>
          </cell>
          <cell r="J540">
            <v>0.44668334400922699</v>
          </cell>
          <cell r="K540">
            <v>0.25113317407087699</v>
          </cell>
        </row>
        <row r="541">
          <cell r="B541" t="str">
            <v>RHNS-CHPNGA</v>
          </cell>
          <cell r="C541" t="str">
            <v>VAR_fout</v>
          </cell>
          <cell r="D541" t="str">
            <v>RHNS_LTH_CHPNGA</v>
          </cell>
          <cell r="I541">
            <v>4.0756552011025895E-3</v>
          </cell>
          <cell r="J541">
            <v>3.7997666956715373E-3</v>
          </cell>
          <cell r="K541">
            <v>2.1551984335368302E-3</v>
          </cell>
        </row>
        <row r="542">
          <cell r="B542" t="str">
            <v>RHNS-CHPNGA</v>
          </cell>
          <cell r="C542" t="str">
            <v>VAR_fout</v>
          </cell>
          <cell r="D542" t="str">
            <v>RHNS_NKEV_GAS_ELC_CHP</v>
          </cell>
          <cell r="I542">
            <v>1.7988787889822253E-3</v>
          </cell>
          <cell r="J542">
            <v>1.6920836066662312E-3</v>
          </cell>
          <cell r="K542">
            <v>9.9207546940584192E-4</v>
          </cell>
        </row>
        <row r="543">
          <cell r="B543" t="str">
            <v>RHNS-CHPNGA</v>
          </cell>
          <cell r="C543" t="str">
            <v>VAR_fin</v>
          </cell>
          <cell r="D543" t="str">
            <v>RNGA</v>
          </cell>
          <cell r="I543">
            <v>9.0134907090790046E-3</v>
          </cell>
          <cell r="J543">
            <v>7.9199174469721124E-3</v>
          </cell>
          <cell r="K543">
            <v>4.4527158523205157E-3</v>
          </cell>
        </row>
        <row r="544">
          <cell r="B544" t="str">
            <v>RHNS-CHPNGA</v>
          </cell>
          <cell r="C544" t="str">
            <v>VAR_ncap</v>
          </cell>
          <cell r="D544" t="str">
            <v>-</v>
          </cell>
          <cell r="I544">
            <v>6.6056992957384995E-5</v>
          </cell>
          <cell r="J544">
            <v>1.40752384954908E-5</v>
          </cell>
          <cell r="K544">
            <v>2.1364782228282599E-5</v>
          </cell>
        </row>
        <row r="545">
          <cell r="B545" t="str">
            <v>RHNS-CHPNGA</v>
          </cell>
          <cell r="C545" t="str">
            <v>VAR_cap</v>
          </cell>
          <cell r="D545" t="str">
            <v>-</v>
          </cell>
          <cell r="I545">
            <v>1.599618998931244E-4</v>
          </cell>
          <cell r="J545">
            <v>1.5044146978235878E-4</v>
          </cell>
          <cell r="K545">
            <v>8.8189971115237113E-5</v>
          </cell>
        </row>
        <row r="546">
          <cell r="B546" t="str">
            <v>ENUC_BEZ</v>
          </cell>
          <cell r="C546" t="str">
            <v>VAR_fout</v>
          </cell>
          <cell r="D546" t="str">
            <v>ELC</v>
          </cell>
        </row>
        <row r="547">
          <cell r="B547" t="str">
            <v>ENUC_BEZ</v>
          </cell>
          <cell r="C547" t="str">
            <v>VAR_fin</v>
          </cell>
          <cell r="D547" t="str">
            <v>URN</v>
          </cell>
        </row>
        <row r="548">
          <cell r="B548" t="str">
            <v>ENUC_BEZ</v>
          </cell>
          <cell r="C548" t="str">
            <v>VAR_cap</v>
          </cell>
          <cell r="D548" t="str">
            <v>-</v>
          </cell>
        </row>
        <row r="549">
          <cell r="B549" t="str">
            <v>RHNM-CHPWOD</v>
          </cell>
          <cell r="C549" t="str">
            <v>VAR_fout</v>
          </cell>
          <cell r="D549" t="str">
            <v>RHNM_LTH_CHPWOD</v>
          </cell>
          <cell r="I549">
            <v>3.0598748418415047E-3</v>
          </cell>
          <cell r="J549">
            <v>1.9436132257592139E-3</v>
          </cell>
          <cell r="K549">
            <v>1.2859147362185709E-3</v>
          </cell>
        </row>
        <row r="550">
          <cell r="B550" t="str">
            <v>RHNM-CHPWOD</v>
          </cell>
          <cell r="C550" t="str">
            <v>VAR_fout</v>
          </cell>
          <cell r="D550" t="str">
            <v>RHNM_KEV_WOD_ELC_CHP</v>
          </cell>
          <cell r="I550">
            <v>1.1502862831367119E-3</v>
          </cell>
          <cell r="J550">
            <v>7.3065460153540803E-4</v>
          </cell>
          <cell r="K550">
            <v>4.8340868787475862E-4</v>
          </cell>
        </row>
        <row r="551">
          <cell r="B551" t="str">
            <v>RHNM-CHPWOD</v>
          </cell>
          <cell r="C551" t="str">
            <v>VAR_fin</v>
          </cell>
          <cell r="D551" t="str">
            <v>RWOD</v>
          </cell>
          <cell r="I551">
            <v>4.7770201933059761E-3</v>
          </cell>
          <cell r="J551">
            <v>3.0283606716046069E-3</v>
          </cell>
          <cell r="K551">
            <v>1.9517756594112073E-3</v>
          </cell>
        </row>
        <row r="552">
          <cell r="B552" t="str">
            <v>RHNM-CHPWOD</v>
          </cell>
          <cell r="C552" t="str">
            <v>VAR_ncap</v>
          </cell>
          <cell r="D552" t="str">
            <v>-</v>
          </cell>
          <cell r="I552">
            <v>2.50088039793676E-5</v>
          </cell>
          <cell r="J552">
            <v>7.1347843388161004E-7</v>
          </cell>
          <cell r="K552">
            <v>2.8982220569352399E-5</v>
          </cell>
        </row>
        <row r="553">
          <cell r="B553" t="str">
            <v>RHNM-CHPWOD</v>
          </cell>
          <cell r="C553" t="str">
            <v>VAR_cap</v>
          </cell>
          <cell r="D553" t="str">
            <v>-</v>
          </cell>
          <cell r="I553">
            <v>8.7038994129102066E-5</v>
          </cell>
          <cell r="J553">
            <v>6.8007294131322625E-5</v>
          </cell>
          <cell r="K553">
            <v>4.0017697298103522E-5</v>
          </cell>
        </row>
        <row r="554">
          <cell r="B554" t="str">
            <v>RHNM-SHSTG-CHPNGA</v>
          </cell>
          <cell r="C554" t="str">
            <v>VAR_fout</v>
          </cell>
          <cell r="D554" t="str">
            <v>AUX_RNM-CHPNGA_OUT</v>
          </cell>
          <cell r="I554">
            <v>0.81601316310302341</v>
          </cell>
          <cell r="J554">
            <v>14.514769244316374</v>
          </cell>
          <cell r="K554">
            <v>20.013542868850397</v>
          </cell>
        </row>
        <row r="555">
          <cell r="B555" t="str">
            <v>RHNM-SHSTG-CHPNGA</v>
          </cell>
          <cell r="C555" t="str">
            <v>VAR_fout</v>
          </cell>
          <cell r="D555" t="str">
            <v>RHNM_LTH_CHPNGA</v>
          </cell>
          <cell r="I555">
            <v>0.81676317520146258</v>
          </cell>
          <cell r="J555">
            <v>14.514769244316318</v>
          </cell>
          <cell r="K555">
            <v>20.013542868850379</v>
          </cell>
        </row>
        <row r="556">
          <cell r="B556" t="str">
            <v>RHNM-SHSTG-CHPNGA</v>
          </cell>
          <cell r="C556" t="str">
            <v>VAR_fin</v>
          </cell>
          <cell r="D556" t="str">
            <v>AUX_RNM-CHPNGA_IN</v>
          </cell>
          <cell r="I556">
            <v>0.99001440659052109</v>
          </cell>
          <cell r="J556">
            <v>17.076199892638297</v>
          </cell>
          <cell r="K556">
            <v>22.237270635958133</v>
          </cell>
        </row>
        <row r="557">
          <cell r="B557" t="str">
            <v>RHNM-SHSTG-CHPNGA</v>
          </cell>
          <cell r="C557" t="str">
            <v>VAR_fin</v>
          </cell>
          <cell r="D557" t="str">
            <v>RHNM_LTH_CHPNGA</v>
          </cell>
          <cell r="I557">
            <v>0.99001440659052109</v>
          </cell>
          <cell r="J557">
            <v>17.076199892638297</v>
          </cell>
          <cell r="K557">
            <v>22.237270635958133</v>
          </cell>
        </row>
        <row r="558">
          <cell r="B558" t="str">
            <v>RHNM-SHSTG-CHPNGA</v>
          </cell>
          <cell r="C558" t="str">
            <v>VAR_ncap</v>
          </cell>
          <cell r="D558" t="str">
            <v>-</v>
          </cell>
          <cell r="I558">
            <v>1.41077649230309E-2</v>
          </cell>
          <cell r="J558">
            <v>0.88134411424080605</v>
          </cell>
          <cell r="K558">
            <v>0.62368102363651801</v>
          </cell>
        </row>
        <row r="559">
          <cell r="B559" t="str">
            <v>RHNM-SHSTG-CHPNGA</v>
          </cell>
          <cell r="C559" t="str">
            <v>VAR_cap</v>
          </cell>
          <cell r="D559" t="str">
            <v>-</v>
          </cell>
          <cell r="I559">
            <v>5.1831996062184096E-2</v>
          </cell>
          <cell r="J559">
            <v>0.92053475237078253</v>
          </cell>
          <cell r="K559">
            <v>1.2692564435669533</v>
          </cell>
        </row>
        <row r="560">
          <cell r="B560" t="str">
            <v>CT_CWODBDS</v>
          </cell>
          <cell r="C560" t="str">
            <v>VAR_fout</v>
          </cell>
          <cell r="D560" t="str">
            <v>BDS</v>
          </cell>
          <cell r="I560">
            <v>1.1567837075007621E-4</v>
          </cell>
          <cell r="J560">
            <v>9.4195212201809945E-5</v>
          </cell>
          <cell r="K560">
            <v>6.632540716744814E-5</v>
          </cell>
        </row>
        <row r="561">
          <cell r="B561" t="str">
            <v>CT_CWODBDS</v>
          </cell>
          <cell r="C561" t="str">
            <v>VAR_fout</v>
          </cell>
          <cell r="D561" t="str">
            <v>LTH</v>
          </cell>
          <cell r="I561">
            <v>4.5114564592529658E-5</v>
          </cell>
          <cell r="J561">
            <v>3.6736132758705845E-5</v>
          </cell>
          <cell r="K561">
            <v>2.5866908795304747E-5</v>
          </cell>
        </row>
        <row r="562">
          <cell r="B562" t="str">
            <v>CT_CWODBDS</v>
          </cell>
          <cell r="C562" t="str">
            <v>VAR_fin</v>
          </cell>
          <cell r="D562" t="str">
            <v>CWOD</v>
          </cell>
          <cell r="I562">
            <v>3.2962551745234188E-4</v>
          </cell>
          <cell r="J562">
            <v>2.6840925716905715E-4</v>
          </cell>
          <cell r="K562">
            <v>1.8899424772364349E-4</v>
          </cell>
        </row>
        <row r="563">
          <cell r="B563" t="str">
            <v>CT_CWODBDS</v>
          </cell>
          <cell r="C563" t="str">
            <v>VAR_fin</v>
          </cell>
          <cell r="D563" t="str">
            <v>CELC</v>
          </cell>
          <cell r="I563">
            <v>8.0396467671302991E-6</v>
          </cell>
          <cell r="J563">
            <v>6.5465672480257878E-6</v>
          </cell>
          <cell r="K563">
            <v>4.6096157981376469E-6</v>
          </cell>
        </row>
        <row r="564">
          <cell r="B564" t="str">
            <v>CT_CWODBDS</v>
          </cell>
          <cell r="C564" t="str">
            <v>VAR_ncap</v>
          </cell>
          <cell r="D564" t="str">
            <v>-</v>
          </cell>
          <cell r="I564">
            <v>8.2875100372306104E-7</v>
          </cell>
          <cell r="J564">
            <v>9.9444875514783403E-7</v>
          </cell>
          <cell r="K564">
            <v>1.27051528259277E-5</v>
          </cell>
        </row>
        <row r="565">
          <cell r="B565" t="str">
            <v>CT_CWODBDS</v>
          </cell>
          <cell r="C565" t="str">
            <v>VAR_cap</v>
          </cell>
          <cell r="D565" t="str">
            <v>-</v>
          </cell>
          <cell r="I565">
            <v>3.2301276854211636E-5</v>
          </cell>
          <cell r="J565">
            <v>3.0798042838811355E-5</v>
          </cell>
          <cell r="K565">
            <v>1.4211722946873966E-5</v>
          </cell>
        </row>
        <row r="566">
          <cell r="B566" t="str">
            <v>RHNS-EBAT</v>
          </cell>
          <cell r="C566" t="str">
            <v>VAR_fout</v>
          </cell>
          <cell r="D566" t="str">
            <v>RHNS_ELC</v>
          </cell>
          <cell r="I566">
            <v>8.4518974475825973E-2</v>
          </cell>
          <cell r="J566">
            <v>6.8150011681151479E-2</v>
          </cell>
          <cell r="K566">
            <v>0.23314639303037601</v>
          </cell>
        </row>
        <row r="567">
          <cell r="B567" t="str">
            <v>RHNS-EBAT</v>
          </cell>
          <cell r="C567" t="str">
            <v>VAR_fout</v>
          </cell>
          <cell r="D567" t="str">
            <v>AUX_RHNS-EBAT_OUT</v>
          </cell>
          <cell r="I567">
            <v>8.451897447582607E-2</v>
          </cell>
          <cell r="J567">
            <v>6.8150011681151618E-2</v>
          </cell>
          <cell r="K567">
            <v>0.23314639303037621</v>
          </cell>
        </row>
        <row r="568">
          <cell r="B568" t="str">
            <v>RHNS-EBAT</v>
          </cell>
          <cell r="C568" t="str">
            <v>VAR_fin</v>
          </cell>
          <cell r="D568" t="str">
            <v>RHNS_ELC</v>
          </cell>
          <cell r="I568">
            <v>9.3466762028124428E-2</v>
          </cell>
          <cell r="J568">
            <v>7.5364904363548632E-2</v>
          </cell>
          <cell r="K568">
            <v>0.25782868054085922</v>
          </cell>
        </row>
        <row r="569">
          <cell r="B569" t="str">
            <v>RHNS-EBAT</v>
          </cell>
          <cell r="C569" t="str">
            <v>VAR_fin</v>
          </cell>
          <cell r="D569" t="str">
            <v>AUX_RHNS-EBAT_IN</v>
          </cell>
          <cell r="I569">
            <v>9.3466762028124428E-2</v>
          </cell>
          <cell r="J569">
            <v>7.5364904363548632E-2</v>
          </cell>
          <cell r="K569">
            <v>0.25782868054085922</v>
          </cell>
        </row>
        <row r="570">
          <cell r="B570" t="str">
            <v>RHNS-EBAT</v>
          </cell>
          <cell r="C570" t="str">
            <v>VAR_ncap</v>
          </cell>
          <cell r="D570" t="str">
            <v>-</v>
          </cell>
          <cell r="I570">
            <v>3.9527709874147297E-2</v>
          </cell>
          <cell r="J570">
            <v>3.7135513590283102E-2</v>
          </cell>
          <cell r="K570">
            <v>6.9979113709768295E-2</v>
          </cell>
        </row>
        <row r="571">
          <cell r="B571" t="str">
            <v>RHNS-EBAT</v>
          </cell>
          <cell r="C571" t="str">
            <v>VAR_cap</v>
          </cell>
          <cell r="D571" t="str">
            <v>-</v>
          </cell>
          <cell r="I571">
            <v>7.5294747207142299E-2</v>
          </cell>
          <cell r="J571">
            <v>7.7224308070650338E-2</v>
          </cell>
          <cell r="K571">
            <v>9.5539229542415519E-2</v>
          </cell>
        </row>
        <row r="572">
          <cell r="B572" t="str">
            <v>G-INTC-EXP00-AT</v>
          </cell>
          <cell r="C572" t="str">
            <v>VAR_fout</v>
          </cell>
          <cell r="D572" t="str">
            <v>ELC_E-AT</v>
          </cell>
          <cell r="I572">
            <v>1.6092446955082008E-4</v>
          </cell>
          <cell r="J572">
            <v>1.5525978531373032E-4</v>
          </cell>
          <cell r="K572">
            <v>1.1670095461517139E-4</v>
          </cell>
        </row>
        <row r="573">
          <cell r="B573" t="str">
            <v>G-INTC-EXP00-AT</v>
          </cell>
          <cell r="C573" t="str">
            <v>VAR_fin</v>
          </cell>
          <cell r="D573" t="str">
            <v>ELC</v>
          </cell>
          <cell r="I573">
            <v>1.6092446955082008E-4</v>
          </cell>
          <cell r="J573">
            <v>1.5525978531373032E-4</v>
          </cell>
          <cell r="K573">
            <v>1.1670095461517139E-4</v>
          </cell>
        </row>
        <row r="574">
          <cell r="B574" t="str">
            <v>G-INTC-EXP00-AT</v>
          </cell>
          <cell r="C574" t="str">
            <v>VAR_ncap</v>
          </cell>
          <cell r="D574" t="str">
            <v>-</v>
          </cell>
          <cell r="I574">
            <v>4.9575259560206897E-7</v>
          </cell>
          <cell r="J574">
            <v>8.0627636115192195E-7</v>
          </cell>
          <cell r="K574">
            <v>1.4119679062571601E-6</v>
          </cell>
        </row>
        <row r="575">
          <cell r="B575" t="str">
            <v>G-INTC-EXP00-AT</v>
          </cell>
          <cell r="C575" t="str">
            <v>VAR_cap</v>
          </cell>
          <cell r="D575" t="str">
            <v>-</v>
          </cell>
          <cell r="I575">
            <v>3.5807136498444692E-4</v>
          </cell>
          <cell r="J575">
            <v>3.5675815326241533E-4</v>
          </cell>
          <cell r="K575">
            <v>3.5765495831907579E-4</v>
          </cell>
        </row>
        <row r="576">
          <cell r="B576" t="str">
            <v>G-INTC-IMP00-DE</v>
          </cell>
          <cell r="C576" t="str">
            <v>VAR_fout</v>
          </cell>
          <cell r="D576" t="str">
            <v>ELC</v>
          </cell>
          <cell r="I576">
            <v>39.760489987373987</v>
          </cell>
          <cell r="J576">
            <v>32.531683811701356</v>
          </cell>
          <cell r="K576">
            <v>26.550224321020728</v>
          </cell>
        </row>
        <row r="577">
          <cell r="B577" t="str">
            <v>G-INTC-IMP00-DE</v>
          </cell>
          <cell r="C577" t="str">
            <v>VAR_fin</v>
          </cell>
          <cell r="D577" t="str">
            <v>ELC_I-DE</v>
          </cell>
          <cell r="I577">
            <v>39.760489987373987</v>
          </cell>
          <cell r="J577">
            <v>32.531683811701356</v>
          </cell>
          <cell r="K577">
            <v>26.550224321020728</v>
          </cell>
        </row>
        <row r="578">
          <cell r="B578" t="str">
            <v>G-INTC-IMP00-DE</v>
          </cell>
          <cell r="C578" t="str">
            <v>VAR_ncap</v>
          </cell>
          <cell r="D578" t="str">
            <v>-</v>
          </cell>
          <cell r="I578">
            <v>8.7259724098520198E-7</v>
          </cell>
          <cell r="J578">
            <v>1.31690743013598E-6</v>
          </cell>
          <cell r="K578">
            <v>2.0408885395129499E-6</v>
          </cell>
        </row>
        <row r="579">
          <cell r="B579" t="str">
            <v>G-INTC-IMP00-DE</v>
          </cell>
          <cell r="C579" t="str">
            <v>VAR_cap</v>
          </cell>
          <cell r="D579" t="str">
            <v>-</v>
          </cell>
          <cell r="I579">
            <v>2.3999960734079444</v>
          </cell>
          <cell r="J579">
            <v>2.3999943874662222</v>
          </cell>
          <cell r="K579">
            <v>2.3999940351385787</v>
          </cell>
        </row>
        <row r="580">
          <cell r="B580" t="str">
            <v>RHEM-SHSTG-CHPWOD</v>
          </cell>
          <cell r="C580" t="str">
            <v>VAR_fout</v>
          </cell>
          <cell r="D580" t="str">
            <v>AUX_REM-CHPWOD_OUT</v>
          </cell>
          <cell r="I580">
            <v>3.8078964790176665E-3</v>
          </cell>
          <cell r="J580">
            <v>4.6990109427933078E-3</v>
          </cell>
          <cell r="K580">
            <v>5.2190437589099302E-3</v>
          </cell>
        </row>
        <row r="581">
          <cell r="B581" t="str">
            <v>RHEM-SHSTG-CHPWOD</v>
          </cell>
          <cell r="C581" t="str">
            <v>VAR_fout</v>
          </cell>
          <cell r="D581" t="str">
            <v>RHEM_LTH_CHPWOD</v>
          </cell>
          <cell r="I581">
            <v>3.8113963838696985E-3</v>
          </cell>
          <cell r="J581">
            <v>4.6990109427932948E-3</v>
          </cell>
          <cell r="K581">
            <v>5.2190437589099258E-3</v>
          </cell>
        </row>
        <row r="582">
          <cell r="B582" t="str">
            <v>RHEM-SHSTG-CHPWOD</v>
          </cell>
          <cell r="C582" t="str">
            <v>VAR_fin</v>
          </cell>
          <cell r="D582" t="str">
            <v>AUX_REM-CHPWOD_IN</v>
          </cell>
          <cell r="I582">
            <v>4.6183110540374368E-3</v>
          </cell>
          <cell r="J582">
            <v>5.5290298433076637E-3</v>
          </cell>
          <cell r="K582">
            <v>5.799719185221072E-3</v>
          </cell>
        </row>
        <row r="583">
          <cell r="B583" t="str">
            <v>RHEM-SHSTG-CHPWOD</v>
          </cell>
          <cell r="C583" t="str">
            <v>VAR_fin</v>
          </cell>
          <cell r="D583" t="str">
            <v>RHEM_LTH_CHPWOD</v>
          </cell>
          <cell r="I583">
            <v>4.6183110540374368E-3</v>
          </cell>
          <cell r="J583">
            <v>5.5290298433076637E-3</v>
          </cell>
          <cell r="K583">
            <v>5.799719185221072E-3</v>
          </cell>
        </row>
        <row r="584">
          <cell r="B584" t="str">
            <v>RHEM-SHSTG-CHPWOD</v>
          </cell>
          <cell r="C584" t="str">
            <v>VAR_ncap</v>
          </cell>
          <cell r="D584" t="str">
            <v>-</v>
          </cell>
          <cell r="I584">
            <v>2.1895399013889798E-3</v>
          </cell>
          <cell r="J584">
            <v>1.5027596969064401E-4</v>
          </cell>
          <cell r="K584">
            <v>3.1509918308679198E-4</v>
          </cell>
        </row>
        <row r="585">
          <cell r="B585" t="str">
            <v>RHEM-SHSTG-CHPWOD</v>
          </cell>
          <cell r="C585" t="str">
            <v>VAR_cap</v>
          </cell>
          <cell r="D585" t="str">
            <v>-</v>
          </cell>
          <cell r="I585">
            <v>2.7166820616145101E-3</v>
          </cell>
          <cell r="J585">
            <v>2.358855074319681E-3</v>
          </cell>
          <cell r="K585">
            <v>1.3372111982607429E-3</v>
          </cell>
        </row>
        <row r="586">
          <cell r="B586" t="str">
            <v>RHNM-CHPGFC</v>
          </cell>
          <cell r="C586" t="str">
            <v>VAR_fout</v>
          </cell>
          <cell r="D586" t="str">
            <v>CO2_R</v>
          </cell>
          <cell r="I586">
            <v>0.25920466354035898</v>
          </cell>
          <cell r="J586">
            <v>0.35817410690967699</v>
          </cell>
          <cell r="K586">
            <v>82.649825939322099</v>
          </cell>
        </row>
        <row r="587">
          <cell r="B587" t="str">
            <v>RHNM-CHPGFC</v>
          </cell>
          <cell r="C587" t="str">
            <v>VAR_fout</v>
          </cell>
          <cell r="D587" t="str">
            <v>RHNM_NKEV_GAS_ELC_CHP</v>
          </cell>
          <cell r="I587">
            <v>1.9762057681268494E-3</v>
          </cell>
          <cell r="J587">
            <v>2.7942660822740783E-3</v>
          </cell>
          <cell r="K587">
            <v>0.65944010057969815</v>
          </cell>
        </row>
        <row r="588">
          <cell r="B588" t="str">
            <v>RHNM-CHPGFC</v>
          </cell>
          <cell r="C588" t="str">
            <v>VAR_fout</v>
          </cell>
          <cell r="D588" t="str">
            <v>RHNM_LTH_CHPNGA</v>
          </cell>
          <cell r="I588">
            <v>2.154064287258266E-3</v>
          </cell>
          <cell r="J588">
            <v>2.9619220472105246E-3</v>
          </cell>
          <cell r="K588">
            <v>0.65944010057969815</v>
          </cell>
        </row>
        <row r="589">
          <cell r="B589" t="str">
            <v>RHNM-CHPGFC</v>
          </cell>
          <cell r="C589" t="str">
            <v>VAR_fin</v>
          </cell>
          <cell r="D589" t="str">
            <v>RNGA</v>
          </cell>
          <cell r="I589">
            <v>4.5958273677368672E-3</v>
          </cell>
          <cell r="J589">
            <v>6.3506047324410897E-3</v>
          </cell>
          <cell r="K589">
            <v>1.4654224457326621</v>
          </cell>
        </row>
        <row r="590">
          <cell r="B590" t="str">
            <v>RHNM-CHPGFC</v>
          </cell>
          <cell r="C590" t="str">
            <v>VAR_ncap</v>
          </cell>
          <cell r="D590" t="str">
            <v>-</v>
          </cell>
          <cell r="I590">
            <v>1.2853532854952801E-4</v>
          </cell>
          <cell r="J590">
            <v>7.2705404086482702E-5</v>
          </cell>
          <cell r="K590">
            <v>5.8431185273619499E-2</v>
          </cell>
        </row>
        <row r="591">
          <cell r="B591" t="str">
            <v>RHNM-CHPGFC</v>
          </cell>
          <cell r="C591" t="str">
            <v>VAR_cap</v>
          </cell>
          <cell r="D591" t="str">
            <v>-</v>
          </cell>
          <cell r="I591">
            <v>1.7577733879003737E-4</v>
          </cell>
          <cell r="J591">
            <v>2.4842808563654985E-4</v>
          </cell>
          <cell r="K591">
            <v>5.8618463623748167E-2</v>
          </cell>
        </row>
        <row r="592">
          <cell r="B592" t="str">
            <v>G-INTC-EXP00-FR</v>
          </cell>
          <cell r="C592" t="str">
            <v>VAR_fout</v>
          </cell>
          <cell r="D592" t="str">
            <v>ELC_E-FR</v>
          </cell>
          <cell r="I592">
            <v>5.9153230660607774E-4</v>
          </cell>
          <cell r="J592">
            <v>1.129698315548139E-3</v>
          </cell>
          <cell r="K592">
            <v>6.3421579721996207E-4</v>
          </cell>
        </row>
        <row r="593">
          <cell r="B593" t="str">
            <v>G-INTC-EXP00-FR</v>
          </cell>
          <cell r="C593" t="str">
            <v>VAR_fin</v>
          </cell>
          <cell r="D593" t="str">
            <v>ELC</v>
          </cell>
          <cell r="I593">
            <v>5.9153230660607774E-4</v>
          </cell>
          <cell r="J593">
            <v>1.129698315548139E-3</v>
          </cell>
          <cell r="K593">
            <v>6.3421579721996207E-4</v>
          </cell>
        </row>
        <row r="594">
          <cell r="B594" t="str">
            <v>G-INTC-EXP00-FR</v>
          </cell>
          <cell r="C594" t="str">
            <v>VAR_ncap</v>
          </cell>
          <cell r="D594" t="str">
            <v>-</v>
          </cell>
          <cell r="I594">
            <v>1.69236534658104E-6</v>
          </cell>
          <cell r="J594">
            <v>2.7908029454287901E-6</v>
          </cell>
          <cell r="K594">
            <v>4.8041522564990897E-6</v>
          </cell>
        </row>
        <row r="595">
          <cell r="B595" t="str">
            <v>G-INTC-EXP00-FR</v>
          </cell>
          <cell r="C595" t="str">
            <v>VAR_cap</v>
          </cell>
          <cell r="D595" t="str">
            <v>-</v>
          </cell>
          <cell r="I595">
            <v>6.3252043543338132E-4</v>
          </cell>
          <cell r="J595">
            <v>6.3230355358800949E-4</v>
          </cell>
          <cell r="K595">
            <v>6.3570192351347643E-4</v>
          </cell>
        </row>
        <row r="596">
          <cell r="B596" t="str">
            <v>RHNM-EBAT</v>
          </cell>
          <cell r="C596" t="str">
            <v>VAR_fout</v>
          </cell>
          <cell r="D596" t="str">
            <v>RHNM_ELC</v>
          </cell>
          <cell r="I596">
            <v>3.8082450295619415E-2</v>
          </cell>
          <cell r="J596">
            <v>3.0506067892989801E-2</v>
          </cell>
          <cell r="K596">
            <v>7.2694422184008733E-2</v>
          </cell>
        </row>
        <row r="597">
          <cell r="B597" t="str">
            <v>RHNM-EBAT</v>
          </cell>
          <cell r="C597" t="str">
            <v>VAR_fout</v>
          </cell>
          <cell r="D597" t="str">
            <v>AUX_RHNM-EBAT_OUT</v>
          </cell>
          <cell r="I597">
            <v>3.8082450295619477E-2</v>
          </cell>
          <cell r="J597">
            <v>3.0506067892989829E-2</v>
          </cell>
          <cell r="K597">
            <v>7.2694422184008789E-2</v>
          </cell>
        </row>
        <row r="598">
          <cell r="B598" t="str">
            <v>RHNM-EBAT</v>
          </cell>
          <cell r="C598" t="str">
            <v>VAR_fin</v>
          </cell>
          <cell r="D598" t="str">
            <v>RHNM_ELC</v>
          </cell>
          <cell r="I598">
            <v>4.2114243126568446E-2</v>
          </cell>
          <cell r="J598">
            <v>3.3735791633243889E-2</v>
          </cell>
          <cell r="K598">
            <v>8.0390494572661633E-2</v>
          </cell>
        </row>
        <row r="599">
          <cell r="B599" t="str">
            <v>RHNM-EBAT</v>
          </cell>
          <cell r="C599" t="str">
            <v>VAR_fin</v>
          </cell>
          <cell r="D599" t="str">
            <v>AUX_RHNM-EBAT_IN</v>
          </cell>
          <cell r="I599">
            <v>4.2114243126568446E-2</v>
          </cell>
          <cell r="J599">
            <v>3.3735791633243889E-2</v>
          </cell>
          <cell r="K599">
            <v>8.0390494572661633E-2</v>
          </cell>
        </row>
        <row r="600">
          <cell r="B600" t="str">
            <v>RHNM-EBAT</v>
          </cell>
          <cell r="C600" t="str">
            <v>VAR_ncap</v>
          </cell>
          <cell r="D600" t="str">
            <v>-</v>
          </cell>
          <cell r="I600">
            <v>1.0366223794835001E-2</v>
          </cell>
          <cell r="J600">
            <v>1.4223676337897E-2</v>
          </cell>
          <cell r="K600">
            <v>2.08460729267884E-2</v>
          </cell>
        </row>
        <row r="601">
          <cell r="B601" t="str">
            <v>RHNM-EBAT</v>
          </cell>
          <cell r="C601" t="str">
            <v>VAR_cap</v>
          </cell>
          <cell r="D601" t="str">
            <v>-</v>
          </cell>
          <cell r="I601">
            <v>2.4859646453236881E-2</v>
          </cell>
          <cell r="J601">
            <v>2.5455977293088832E-2</v>
          </cell>
          <cell r="K601">
            <v>2.9798271781778334E-2</v>
          </cell>
        </row>
        <row r="602">
          <cell r="B602" t="str">
            <v>ITOT-CHPWST</v>
          </cell>
          <cell r="C602" t="str">
            <v>VAR_fout</v>
          </cell>
          <cell r="D602" t="str">
            <v>ITOT_LTH_CHP</v>
          </cell>
          <cell r="I602">
            <v>8.6659306252128091E-3</v>
          </cell>
          <cell r="J602">
            <v>4.2953329285249928E-3</v>
          </cell>
          <cell r="K602">
            <v>9.8800501741109353E-4</v>
          </cell>
        </row>
        <row r="603">
          <cell r="B603" t="str">
            <v>ITOT-CHPWST</v>
          </cell>
          <cell r="C603" t="str">
            <v>VAR_fout</v>
          </cell>
          <cell r="D603" t="str">
            <v>ITOT_KEV_WST_ELC_CHP</v>
          </cell>
          <cell r="I603">
            <v>1.4684447069493606E-3</v>
          </cell>
          <cell r="J603">
            <v>8.4803552065460615E-4</v>
          </cell>
          <cell r="K603">
            <v>2.9125383020319585E-4</v>
          </cell>
        </row>
        <row r="604">
          <cell r="B604" t="str">
            <v>ITOT-CHPWST</v>
          </cell>
          <cell r="C604" t="str">
            <v>VAR_fout</v>
          </cell>
          <cell r="D604" t="str">
            <v>CO2_I</v>
          </cell>
          <cell r="I604">
            <v>2.1989001205748502</v>
          </cell>
          <cell r="J604">
            <v>1.2698778508951201</v>
          </cell>
          <cell r="K604">
            <v>0.43613360402393397</v>
          </cell>
        </row>
        <row r="605">
          <cell r="B605" t="str">
            <v>ITOT-CHPWST</v>
          </cell>
          <cell r="C605" t="str">
            <v>VAR_fin</v>
          </cell>
          <cell r="D605" t="str">
            <v>IWST</v>
          </cell>
          <cell r="I605">
            <v>2.3695044402746231E-2</v>
          </cell>
          <cell r="J605">
            <v>1.3684028565680191E-2</v>
          </cell>
          <cell r="K605">
            <v>4.6997155606027319E-3</v>
          </cell>
        </row>
        <row r="606">
          <cell r="B606" t="str">
            <v>ITOT-CHPWST</v>
          </cell>
          <cell r="C606" t="str">
            <v>VAR_ncap</v>
          </cell>
          <cell r="D606" t="str">
            <v>-</v>
          </cell>
          <cell r="I606">
            <v>3.08955912094925E-7</v>
          </cell>
          <cell r="J606">
            <v>8.8424306323614506E-8</v>
          </cell>
          <cell r="K606">
            <v>9.9483372010952604E-8</v>
          </cell>
        </row>
        <row r="607">
          <cell r="B607" t="str">
            <v>ITOT-CHPWST</v>
          </cell>
          <cell r="C607" t="str">
            <v>VAR_cap</v>
          </cell>
          <cell r="D607" t="str">
            <v>-</v>
          </cell>
          <cell r="I607">
            <v>2.0657593653340776E-4</v>
          </cell>
          <cell r="J607">
            <v>2.0628300649160047E-4</v>
          </cell>
          <cell r="K607">
            <v>9.3873167628767164E-5</v>
          </cell>
        </row>
        <row r="608">
          <cell r="B608" t="str">
            <v>CAES-EBAT</v>
          </cell>
          <cell r="C608" t="str">
            <v>VAR_fout</v>
          </cell>
          <cell r="D608" t="str">
            <v>ELC13</v>
          </cell>
          <cell r="I608">
            <v>3.531116073457232E-3</v>
          </cell>
          <cell r="J608">
            <v>1.2799544813923043E-3</v>
          </cell>
          <cell r="K608">
            <v>9.4493728677808947E-2</v>
          </cell>
        </row>
        <row r="609">
          <cell r="B609" t="str">
            <v>CAES-EBAT</v>
          </cell>
          <cell r="C609" t="str">
            <v>VAR_fout</v>
          </cell>
          <cell r="D609" t="str">
            <v>AUX_CAES_OUT</v>
          </cell>
          <cell r="I609">
            <v>3.5311160734572303E-3</v>
          </cell>
          <cell r="J609">
            <v>1.279954481392303E-3</v>
          </cell>
          <cell r="K609">
            <v>9.4493728677808878E-2</v>
          </cell>
        </row>
        <row r="610">
          <cell r="B610" t="str">
            <v>CAES-EBAT</v>
          </cell>
          <cell r="C610" t="str">
            <v>VAR_fin</v>
          </cell>
          <cell r="D610" t="str">
            <v>ELC13</v>
          </cell>
          <cell r="I610">
            <v>5.0450969218796158E-3</v>
          </cell>
          <cell r="J610">
            <v>1.8289433913396794E-3</v>
          </cell>
          <cell r="K610">
            <v>0.13499156876917132</v>
          </cell>
        </row>
        <row r="611">
          <cell r="B611" t="str">
            <v>CAES-EBAT</v>
          </cell>
          <cell r="C611" t="str">
            <v>VAR_fin</v>
          </cell>
          <cell r="D611" t="str">
            <v>AUX_CAES_IN</v>
          </cell>
          <cell r="I611">
            <v>5.0450969218796158E-3</v>
          </cell>
          <cell r="J611">
            <v>1.8289433913396794E-3</v>
          </cell>
          <cell r="K611">
            <v>0.13499156876917132</v>
          </cell>
        </row>
        <row r="612">
          <cell r="B612" t="str">
            <v>CAES-EBAT</v>
          </cell>
          <cell r="C612" t="str">
            <v>VAR_ncap</v>
          </cell>
          <cell r="D612" t="str">
            <v>-</v>
          </cell>
          <cell r="I612">
            <v>3.2471156071516098E-7</v>
          </cell>
          <cell r="J612">
            <v>4.67000146568496E-7</v>
          </cell>
          <cell r="K612">
            <v>6.6075610467561899E-7</v>
          </cell>
        </row>
        <row r="613">
          <cell r="B613" t="str">
            <v>CAES-EBAT</v>
          </cell>
          <cell r="C613" t="str">
            <v>VAR_cap</v>
          </cell>
          <cell r="D613" t="str">
            <v>-</v>
          </cell>
          <cell r="I613">
            <v>9.99936551134223E-2</v>
          </cell>
          <cell r="J613">
            <v>9.999373214795787E-2</v>
          </cell>
          <cell r="K613">
            <v>9.9994168171060924E-2</v>
          </cell>
        </row>
        <row r="614">
          <cell r="B614" t="str">
            <v>HPLSOL</v>
          </cell>
          <cell r="C614" t="str">
            <v>VAR_fout</v>
          </cell>
          <cell r="D614" t="str">
            <v>LTH</v>
          </cell>
          <cell r="I614">
            <v>3.641452610735162E-5</v>
          </cell>
          <cell r="J614">
            <v>3.7103000549189045E-5</v>
          </cell>
          <cell r="K614">
            <v>3.7447569727071973E-5</v>
          </cell>
        </row>
        <row r="615">
          <cell r="B615" t="str">
            <v>HPLSOL</v>
          </cell>
          <cell r="C615" t="str">
            <v>VAR_fin</v>
          </cell>
          <cell r="D615" t="str">
            <v>SOL</v>
          </cell>
          <cell r="I615">
            <v>3.641452610735162E-5</v>
          </cell>
          <cell r="J615">
            <v>3.7103000549189045E-5</v>
          </cell>
          <cell r="K615">
            <v>3.7447569727071973E-5</v>
          </cell>
        </row>
        <row r="616">
          <cell r="B616" t="str">
            <v>HPLSOL</v>
          </cell>
          <cell r="C616" t="str">
            <v>VAR_fin</v>
          </cell>
          <cell r="D616" t="str">
            <v>SOLPVC</v>
          </cell>
          <cell r="I616">
            <v>3.64145261073516E-5</v>
          </cell>
          <cell r="J616">
            <v>3.7103000549188997E-5</v>
          </cell>
          <cell r="K616">
            <v>3.7447569727072E-5</v>
          </cell>
        </row>
        <row r="617">
          <cell r="B617" t="str">
            <v>HPLSOL</v>
          </cell>
          <cell r="C617" t="str">
            <v>VAR_ncap</v>
          </cell>
          <cell r="D617" t="str">
            <v>-</v>
          </cell>
          <cell r="I617">
            <v>1.6416013728210599E-6</v>
          </cell>
          <cell r="J617">
            <v>2.0091211131437299E-7</v>
          </cell>
          <cell r="K617">
            <v>3.7193375524304202E-6</v>
          </cell>
        </row>
        <row r="618">
          <cell r="B618" t="str">
            <v>HPLSOL</v>
          </cell>
          <cell r="C618" t="str">
            <v>VAR_cap</v>
          </cell>
          <cell r="D618" t="str">
            <v>-</v>
          </cell>
          <cell r="I618">
            <v>9.3439672436117599E-6</v>
          </cell>
          <cell r="J618">
            <v>9.5448793549261392E-6</v>
          </cell>
          <cell r="K618">
            <v>7.23126907149191E-6</v>
          </cell>
        </row>
        <row r="619">
          <cell r="B619" t="str">
            <v>RHEM-CHPNGA</v>
          </cell>
          <cell r="C619" t="str">
            <v>VAR_fout</v>
          </cell>
          <cell r="D619" t="str">
            <v>CO2_R</v>
          </cell>
          <cell r="I619">
            <v>111.789105656988</v>
          </cell>
          <cell r="J619">
            <v>358.312982334254</v>
          </cell>
          <cell r="K619">
            <v>281.70461381689398</v>
          </cell>
        </row>
        <row r="620">
          <cell r="B620" t="str">
            <v>RHEM-CHPNGA</v>
          </cell>
          <cell r="C620" t="str">
            <v>VAR_fout</v>
          </cell>
          <cell r="D620" t="str">
            <v>RHEM_LTH_CHPNGA</v>
          </cell>
          <cell r="I620">
            <v>1.2191376213986234</v>
          </cell>
          <cell r="J620">
            <v>3.8853599324901764</v>
          </cell>
          <cell r="K620">
            <v>3.0231456252043953</v>
          </cell>
        </row>
        <row r="621">
          <cell r="B621" t="str">
            <v>RHEM-CHPNGA</v>
          </cell>
          <cell r="C621" t="str">
            <v>VAR_fout</v>
          </cell>
          <cell r="D621" t="str">
            <v>RHEM_NKEV_GAS_ELC_CHP</v>
          </cell>
          <cell r="I621">
            <v>0.59716858864011735</v>
          </cell>
          <cell r="J621">
            <v>1.9268858201780563</v>
          </cell>
          <cell r="K621">
            <v>1.5363526947760047</v>
          </cell>
        </row>
        <row r="622">
          <cell r="B622" t="str">
            <v>RHEM-CHPNGA</v>
          </cell>
          <cell r="C622" t="str">
            <v>VAR_fin</v>
          </cell>
          <cell r="D622" t="str">
            <v>RNGA</v>
          </cell>
          <cell r="I622">
            <v>1.982076341435959</v>
          </cell>
          <cell r="J622">
            <v>6.3530670626640875</v>
          </cell>
          <cell r="K622">
            <v>4.9947626563279011</v>
          </cell>
        </row>
        <row r="623">
          <cell r="B623" t="str">
            <v>RHEM-CHPNGA</v>
          </cell>
          <cell r="C623" t="str">
            <v>VAR_ncap</v>
          </cell>
          <cell r="D623" t="str">
            <v>-</v>
          </cell>
          <cell r="I623">
            <v>5.2063237428858896E-3</v>
          </cell>
          <cell r="J623">
            <v>0.100364332539505</v>
          </cell>
          <cell r="K623">
            <v>3.5823252128786302E-6</v>
          </cell>
        </row>
        <row r="624">
          <cell r="B624" t="str">
            <v>RHEM-CHPNGA</v>
          </cell>
          <cell r="C624" t="str">
            <v>VAR_cap</v>
          </cell>
          <cell r="D624" t="str">
            <v>-</v>
          </cell>
          <cell r="I624">
            <v>4.4312173939163056E-2</v>
          </cell>
          <cell r="J624">
            <v>0.14298170136511976</v>
          </cell>
          <cell r="K624">
            <v>0.11400266062692355</v>
          </cell>
        </row>
        <row r="625">
          <cell r="B625" t="str">
            <v>D-DH2</v>
          </cell>
          <cell r="C625" t="str">
            <v>VAR_fout</v>
          </cell>
          <cell r="D625" t="str">
            <v>H2</v>
          </cell>
          <cell r="I625">
            <v>2.6231949624228343E-5</v>
          </cell>
          <cell r="J625">
            <v>8.0819187915997159E-4</v>
          </cell>
          <cell r="K625">
            <v>8.5720731741051488E-4</v>
          </cell>
        </row>
        <row r="626">
          <cell r="B626" t="str">
            <v>D-DH2</v>
          </cell>
          <cell r="C626" t="str">
            <v>VAR_fin</v>
          </cell>
          <cell r="D626" t="str">
            <v>H2_E</v>
          </cell>
          <cell r="I626">
            <v>2.6496918812351871E-5</v>
          </cell>
          <cell r="J626">
            <v>8.1635543349492079E-4</v>
          </cell>
          <cell r="K626">
            <v>8.6586597718233771E-4</v>
          </cell>
        </row>
        <row r="627">
          <cell r="B627" t="str">
            <v>D-DH2</v>
          </cell>
          <cell r="C627" t="str">
            <v>VAR_ncap</v>
          </cell>
          <cell r="D627" t="str">
            <v>-</v>
          </cell>
          <cell r="I627">
            <v>3.3440003263567901E-5</v>
          </cell>
          <cell r="J627">
            <v>1.4540774769116699E-4</v>
          </cell>
          <cell r="K627">
            <v>4.3829151773493701E-6</v>
          </cell>
        </row>
        <row r="628">
          <cell r="B628" t="str">
            <v>D-DH2</v>
          </cell>
          <cell r="C628" t="str">
            <v>VAR_cap</v>
          </cell>
          <cell r="D628" t="str">
            <v>-</v>
          </cell>
          <cell r="I628">
            <v>6.1441387326461794E-5</v>
          </cell>
          <cell r="J628">
            <v>2.0684913501762899E-4</v>
          </cell>
          <cell r="K628">
            <v>2.11232050194978E-4</v>
          </cell>
        </row>
        <row r="629">
          <cell r="B629" t="str">
            <v>D-SBIO</v>
          </cell>
          <cell r="C629" t="str">
            <v>VAR_fout</v>
          </cell>
          <cell r="D629" t="str">
            <v>SBIO</v>
          </cell>
          <cell r="I629">
            <v>2.9905996273823137</v>
          </cell>
          <cell r="J629">
            <v>2.9497597107819153</v>
          </cell>
          <cell r="K629">
            <v>2.8714323122977481</v>
          </cell>
        </row>
        <row r="630">
          <cell r="B630" t="str">
            <v>D-SBIO</v>
          </cell>
          <cell r="C630" t="str">
            <v>VAR_fin</v>
          </cell>
          <cell r="D630" t="str">
            <v>BIO</v>
          </cell>
          <cell r="I630">
            <v>2.9905996273823137</v>
          </cell>
          <cell r="J630">
            <v>2.9497597107819153</v>
          </cell>
          <cell r="K630">
            <v>2.8714323122977481</v>
          </cell>
        </row>
        <row r="631">
          <cell r="B631" t="str">
            <v>SCOM-CHPBIO</v>
          </cell>
          <cell r="C631" t="str">
            <v>VAR_fout</v>
          </cell>
          <cell r="D631" t="str">
            <v>SCOM_LTH_CHPBIO</v>
          </cell>
          <cell r="I631">
            <v>1.1649320894525661</v>
          </cell>
          <cell r="J631">
            <v>1.0059265832510453</v>
          </cell>
          <cell r="K631">
            <v>1.0059266626322929</v>
          </cell>
        </row>
        <row r="632">
          <cell r="B632" t="str">
            <v>SCOM-CHPBIO</v>
          </cell>
          <cell r="C632" t="str">
            <v>VAR_fout</v>
          </cell>
          <cell r="D632" t="str">
            <v>SCOM_KEV_BIO_ELC_CHP</v>
          </cell>
          <cell r="I632">
            <v>1.1059596743147138</v>
          </cell>
          <cell r="J632">
            <v>1.1059597635634657</v>
          </cell>
          <cell r="K632">
            <v>1.1059598508386868</v>
          </cell>
        </row>
        <row r="633">
          <cell r="B633" t="str">
            <v>SCOM-CHPBIO</v>
          </cell>
          <cell r="C633" t="str">
            <v>VAR_fin</v>
          </cell>
          <cell r="D633" t="str">
            <v>SBIO</v>
          </cell>
          <cell r="I633">
            <v>2.9905996273823137</v>
          </cell>
          <cell r="J633">
            <v>2.9497597107819153</v>
          </cell>
          <cell r="K633">
            <v>2.8714323122977481</v>
          </cell>
        </row>
        <row r="634">
          <cell r="B634" t="str">
            <v>SCOM-CHPBIO</v>
          </cell>
          <cell r="C634" t="str">
            <v>VAR_ncap</v>
          </cell>
          <cell r="D634" t="str">
            <v>-</v>
          </cell>
          <cell r="I634">
            <v>4.4082381529360497E-2</v>
          </cell>
          <cell r="J634">
            <v>3.1153235198179099E-2</v>
          </cell>
          <cell r="K634">
            <v>4.34905110321092E-2</v>
          </cell>
        </row>
        <row r="635">
          <cell r="B635" t="str">
            <v>SCOM-CHPBIO</v>
          </cell>
          <cell r="C635" t="str">
            <v>VAR_cap</v>
          </cell>
          <cell r="D635" t="str">
            <v>-</v>
          </cell>
          <cell r="I635">
            <v>8.4746291398379858E-2</v>
          </cell>
          <cell r="J635">
            <v>8.4746064472087532E-2</v>
          </cell>
          <cell r="K635">
            <v>8.4745959715165534E-2</v>
          </cell>
        </row>
        <row r="636">
          <cell r="B636" t="str">
            <v>RHES-EBAT</v>
          </cell>
          <cell r="C636" t="str">
            <v>VAR_fout</v>
          </cell>
          <cell r="D636" t="str">
            <v>RHES_ELC</v>
          </cell>
          <cell r="I636">
            <v>8.4592602288721397E-2</v>
          </cell>
          <cell r="J636">
            <v>6.8233807940896993E-2</v>
          </cell>
          <cell r="K636">
            <v>0.23344061708290834</v>
          </cell>
        </row>
        <row r="637">
          <cell r="B637" t="str">
            <v>RHES-EBAT</v>
          </cell>
          <cell r="C637" t="str">
            <v>VAR_fout</v>
          </cell>
          <cell r="D637" t="str">
            <v>AUX_RHES-EBAT_OUT</v>
          </cell>
          <cell r="I637">
            <v>8.459260228872155E-2</v>
          </cell>
          <cell r="J637">
            <v>6.8233807940897034E-2</v>
          </cell>
          <cell r="K637">
            <v>0.2334406170829087</v>
          </cell>
        </row>
        <row r="638">
          <cell r="B638" t="str">
            <v>RHES-EBAT</v>
          </cell>
          <cell r="C638" t="str">
            <v>VAR_fin</v>
          </cell>
          <cell r="D638" t="str">
            <v>RHES_ELC</v>
          </cell>
          <cell r="I638">
            <v>9.3548184369798545E-2</v>
          </cell>
          <cell r="J638">
            <v>7.545757169345596E-2</v>
          </cell>
          <cell r="K638">
            <v>0.25815405256504337</v>
          </cell>
        </row>
        <row r="639">
          <cell r="B639" t="str">
            <v>RHES-EBAT</v>
          </cell>
          <cell r="C639" t="str">
            <v>VAR_fin</v>
          </cell>
          <cell r="D639" t="str">
            <v>AUX_RHES-EBAT_IN</v>
          </cell>
          <cell r="I639">
            <v>9.3548184369798545E-2</v>
          </cell>
          <cell r="J639">
            <v>7.545757169345596E-2</v>
          </cell>
          <cell r="K639">
            <v>0.25815405256504337</v>
          </cell>
        </row>
        <row r="640">
          <cell r="B640" t="str">
            <v>RHES-EBAT</v>
          </cell>
          <cell r="C640" t="str">
            <v>VAR_ncap</v>
          </cell>
          <cell r="D640" t="str">
            <v>-</v>
          </cell>
          <cell r="I640">
            <v>3.9568547503825997E-2</v>
          </cell>
          <cell r="J640">
            <v>3.7160149801962403E-2</v>
          </cell>
          <cell r="K640">
            <v>7.0080087386812401E-2</v>
          </cell>
        </row>
        <row r="641">
          <cell r="B641" t="str">
            <v>RHES-EBAT</v>
          </cell>
          <cell r="C641" t="str">
            <v>VAR_cap</v>
          </cell>
          <cell r="D641" t="str">
            <v>-</v>
          </cell>
          <cell r="I641">
            <v>7.535657962955887E-2</v>
          </cell>
          <cell r="J641">
            <v>7.7291408246070045E-2</v>
          </cell>
          <cell r="K641">
            <v>9.5659724950256445E-2</v>
          </cell>
        </row>
        <row r="642">
          <cell r="B642" t="str">
            <v>D-INGA</v>
          </cell>
          <cell r="C642" t="str">
            <v>VAR_fout</v>
          </cell>
          <cell r="D642" t="str">
            <v>CO2</v>
          </cell>
          <cell r="I642">
            <v>1608.9666301341399</v>
          </cell>
          <cell r="J642">
            <v>1439.0916660007599</v>
          </cell>
          <cell r="K642">
            <v>663.48436560028995</v>
          </cell>
        </row>
        <row r="643">
          <cell r="B643" t="str">
            <v>D-INGA</v>
          </cell>
          <cell r="C643" t="str">
            <v>VAR_fout</v>
          </cell>
          <cell r="D643" t="str">
            <v>IH2</v>
          </cell>
          <cell r="I643">
            <v>7.1948835866762545E-3</v>
          </cell>
          <cell r="J643">
            <v>9.1077197665686109E-3</v>
          </cell>
          <cell r="K643">
            <v>8.8665826148253413E-2</v>
          </cell>
        </row>
        <row r="644">
          <cell r="B644" t="str">
            <v>D-INGA</v>
          </cell>
          <cell r="C644" t="str">
            <v>VAR_fout</v>
          </cell>
          <cell r="D644" t="str">
            <v>INGA</v>
          </cell>
          <cell r="I644">
            <v>31.504957890967265</v>
          </cell>
          <cell r="J644">
            <v>28.502574510294782</v>
          </cell>
          <cell r="K644">
            <v>14.794211126107061</v>
          </cell>
        </row>
        <row r="645">
          <cell r="B645" t="str">
            <v>D-INGA</v>
          </cell>
          <cell r="C645" t="str">
            <v>VAR_fin</v>
          </cell>
          <cell r="D645" t="str">
            <v>NGA</v>
          </cell>
          <cell r="I645">
            <v>28.52777713003789</v>
          </cell>
          <cell r="J645">
            <v>25.515809680864546</v>
          </cell>
          <cell r="K645">
            <v>11.763907191494505</v>
          </cell>
        </row>
        <row r="646">
          <cell r="B646" t="str">
            <v>D-INGA</v>
          </cell>
          <cell r="C646" t="str">
            <v>VAR_fin</v>
          </cell>
          <cell r="D646" t="str">
            <v>BNGA</v>
          </cell>
          <cell r="I646">
            <v>3.0778510344482357</v>
          </cell>
          <cell r="J646">
            <v>3.0778519196892207</v>
          </cell>
          <cell r="K646">
            <v>3.0778545240923814</v>
          </cell>
        </row>
        <row r="647">
          <cell r="B647" t="str">
            <v>D-INGA</v>
          </cell>
          <cell r="C647" t="str">
            <v>VAR_fin</v>
          </cell>
          <cell r="D647" t="str">
            <v>H2</v>
          </cell>
          <cell r="I647">
            <v>7.1944550866658808E-3</v>
          </cell>
          <cell r="J647">
            <v>9.1049839029395604E-3</v>
          </cell>
          <cell r="K647">
            <v>8.8663090284627669E-2</v>
          </cell>
        </row>
        <row r="648">
          <cell r="B648" t="str">
            <v>D-INGA</v>
          </cell>
          <cell r="C648" t="str">
            <v>VAR_ncap</v>
          </cell>
          <cell r="D648" t="str">
            <v>-</v>
          </cell>
          <cell r="I648">
            <v>6.3513937675760604E-7</v>
          </cell>
          <cell r="J648">
            <v>8.5804156936670597E-7</v>
          </cell>
          <cell r="K648">
            <v>1.5463487661727699E-6</v>
          </cell>
        </row>
        <row r="649">
          <cell r="B649" t="str">
            <v>D-INGA</v>
          </cell>
          <cell r="C649" t="str">
            <v>VAR_cap</v>
          </cell>
          <cell r="D649" t="str">
            <v>-</v>
          </cell>
          <cell r="I649">
            <v>1.9844853232077575</v>
          </cell>
          <cell r="J649">
            <v>1.9844861812493269</v>
          </cell>
          <cell r="K649">
            <v>1.0954637947779129</v>
          </cell>
        </row>
        <row r="650">
          <cell r="B650" t="str">
            <v>EWIND</v>
          </cell>
          <cell r="C650" t="str">
            <v>VAR_fout</v>
          </cell>
          <cell r="D650" t="str">
            <v>ELC35</v>
          </cell>
          <cell r="I650">
            <v>0.93820609161671309</v>
          </cell>
          <cell r="J650">
            <v>0.9382219448306599</v>
          </cell>
          <cell r="K650">
            <v>0.93859680267837819</v>
          </cell>
        </row>
        <row r="651">
          <cell r="B651" t="str">
            <v>EWIND</v>
          </cell>
          <cell r="C651" t="str">
            <v>VAR_fin</v>
          </cell>
          <cell r="D651" t="str">
            <v>WND</v>
          </cell>
          <cell r="I651">
            <v>0.93820609161671309</v>
          </cell>
          <cell r="J651">
            <v>0.9382219448306599</v>
          </cell>
          <cell r="K651">
            <v>0.93859680267837819</v>
          </cell>
        </row>
        <row r="652">
          <cell r="B652" t="str">
            <v>EWIND</v>
          </cell>
          <cell r="C652" t="str">
            <v>VAR_ncap</v>
          </cell>
          <cell r="D652" t="str">
            <v>-</v>
          </cell>
          <cell r="I652">
            <v>2.2849496529740099E-2</v>
          </cell>
          <cell r="J652">
            <v>2.3717853605606398E-6</v>
          </cell>
          <cell r="K652">
            <v>0.136001237826432</v>
          </cell>
        </row>
        <row r="653">
          <cell r="B653" t="str">
            <v>EWIND</v>
          </cell>
          <cell r="C653" t="str">
            <v>VAR_cap</v>
          </cell>
          <cell r="D653" t="str">
            <v>-</v>
          </cell>
          <cell r="I653">
            <v>0.1559857808552238</v>
          </cell>
          <cell r="J653">
            <v>0.15598888324575169</v>
          </cell>
          <cell r="K653">
            <v>0.15605128494753101</v>
          </cell>
        </row>
        <row r="654">
          <cell r="B654" t="str">
            <v>EGEO</v>
          </cell>
          <cell r="C654" t="str">
            <v>VAR_fout</v>
          </cell>
          <cell r="D654" t="str">
            <v>ELC35</v>
          </cell>
          <cell r="J654">
            <v>2.4993093027214312E-3</v>
          </cell>
          <cell r="K654">
            <v>1.5970244263781477E-2</v>
          </cell>
        </row>
        <row r="655">
          <cell r="B655" t="str">
            <v>EGEO</v>
          </cell>
          <cell r="C655" t="str">
            <v>VAR_fin</v>
          </cell>
          <cell r="D655" t="str">
            <v>GEO</v>
          </cell>
          <cell r="J655">
            <v>1.6662062018142878E-2</v>
          </cell>
          <cell r="K655">
            <v>0.10646829509187661</v>
          </cell>
        </row>
        <row r="656">
          <cell r="B656" t="str">
            <v>EGEO</v>
          </cell>
          <cell r="C656" t="str">
            <v>VAR_ncap</v>
          </cell>
          <cell r="D656" t="str">
            <v>-</v>
          </cell>
          <cell r="J656">
            <v>6.3373794832899096E-4</v>
          </cell>
          <cell r="K656">
            <v>6.1358131510627503E-7</v>
          </cell>
        </row>
        <row r="657">
          <cell r="B657" t="str">
            <v>EGEO</v>
          </cell>
          <cell r="C657" t="str">
            <v>VAR_cap</v>
          </cell>
          <cell r="D657" t="str">
            <v>-</v>
          </cell>
          <cell r="J657">
            <v>9.9211656645204204E-5</v>
          </cell>
          <cell r="K657">
            <v>6.3390888749163192E-4</v>
          </cell>
        </row>
        <row r="658">
          <cell r="B658" t="str">
            <v>D-SPLT</v>
          </cell>
          <cell r="C658" t="str">
            <v>VAR_fout</v>
          </cell>
          <cell r="D658" t="str">
            <v>SPLT</v>
          </cell>
          <cell r="I658">
            <v>1.4352269518453395</v>
          </cell>
          <cell r="J658">
            <v>1.6106717418440355</v>
          </cell>
          <cell r="K658">
            <v>2.0383148014094492</v>
          </cell>
        </row>
        <row r="659">
          <cell r="B659" t="str">
            <v>D-SPLT</v>
          </cell>
          <cell r="C659" t="str">
            <v>VAR_fin</v>
          </cell>
          <cell r="D659" t="str">
            <v>PLT</v>
          </cell>
          <cell r="I659">
            <v>1.4352269518453395</v>
          </cell>
          <cell r="J659">
            <v>1.6106717418440355</v>
          </cell>
          <cell r="K659">
            <v>2.0383148014094492</v>
          </cell>
        </row>
        <row r="660">
          <cell r="B660" t="str">
            <v>RHES-ESOLPV</v>
          </cell>
          <cell r="C660" t="str">
            <v>VAR_fout</v>
          </cell>
          <cell r="D660" t="str">
            <v>RHES_SOL_ELC</v>
          </cell>
          <cell r="I660">
            <v>4.6110658659205246</v>
          </cell>
          <cell r="J660">
            <v>4.8944506698557397</v>
          </cell>
          <cell r="K660">
            <v>5.5145383745587964</v>
          </cell>
        </row>
        <row r="661">
          <cell r="B661" t="str">
            <v>RHES-ESOLPV</v>
          </cell>
          <cell r="C661" t="str">
            <v>VAR_fin</v>
          </cell>
          <cell r="D661" t="str">
            <v>SOL</v>
          </cell>
          <cell r="I661">
            <v>4.6110658659205246</v>
          </cell>
          <cell r="J661">
            <v>4.8944506698557397</v>
          </cell>
          <cell r="K661">
            <v>5.5145383745587964</v>
          </cell>
        </row>
        <row r="662">
          <cell r="B662" t="str">
            <v>RHES-ESOLPV</v>
          </cell>
          <cell r="C662" t="str">
            <v>VAR_fin</v>
          </cell>
          <cell r="D662" t="str">
            <v>SOLPVC</v>
          </cell>
          <cell r="I662">
            <v>4.6110658659205299</v>
          </cell>
          <cell r="J662">
            <v>4.8944506698557397</v>
          </cell>
          <cell r="K662">
            <v>5.5145383745587999</v>
          </cell>
        </row>
        <row r="663">
          <cell r="B663" t="str">
            <v>RHES-ESOLPV</v>
          </cell>
          <cell r="C663" t="str">
            <v>VAR_ncap</v>
          </cell>
          <cell r="D663" t="str">
            <v>-</v>
          </cell>
          <cell r="I663">
            <v>0.29984455321222803</v>
          </cell>
          <cell r="J663">
            <v>0.66479881236826099</v>
          </cell>
          <cell r="K663">
            <v>0.68594795464163105</v>
          </cell>
        </row>
        <row r="664">
          <cell r="B664" t="str">
            <v>RHES-ESOLPV</v>
          </cell>
          <cell r="C664" t="str">
            <v>VAR_cap</v>
          </cell>
          <cell r="D664" t="str">
            <v>-</v>
          </cell>
          <cell r="I664">
            <v>1.3292364824958889</v>
          </cell>
          <cell r="J664">
            <v>1.410928080208709</v>
          </cell>
          <cell r="K664">
            <v>1.58968102988019</v>
          </cell>
        </row>
        <row r="665">
          <cell r="B665" t="str">
            <v>EHYD-DAM10</v>
          </cell>
          <cell r="C665" t="str">
            <v>VAR_fout</v>
          </cell>
          <cell r="D665" t="str">
            <v>ELC</v>
          </cell>
          <cell r="I665">
            <v>0.70987352149468297</v>
          </cell>
          <cell r="J665">
            <v>0.73149591439443429</v>
          </cell>
          <cell r="K665">
            <v>0.72994934147693491</v>
          </cell>
        </row>
        <row r="666">
          <cell r="B666" t="str">
            <v>EHYD-DAM10</v>
          </cell>
          <cell r="C666" t="str">
            <v>VAR_fin</v>
          </cell>
          <cell r="D666" t="str">
            <v>HYDD</v>
          </cell>
          <cell r="I666">
            <v>0.70987352149468297</v>
          </cell>
          <cell r="J666">
            <v>0.73149591439443429</v>
          </cell>
          <cell r="K666">
            <v>0.72994934147693491</v>
          </cell>
        </row>
        <row r="667">
          <cell r="B667" t="str">
            <v>EHYD-DAM10</v>
          </cell>
          <cell r="C667" t="str">
            <v>VAR_ncap</v>
          </cell>
          <cell r="D667" t="str">
            <v>-</v>
          </cell>
          <cell r="I667">
            <v>3.95740338916147E-7</v>
          </cell>
          <cell r="J667">
            <v>4.9450348614487295E-7</v>
          </cell>
          <cell r="K667">
            <v>6.2523452124488203E-8</v>
          </cell>
        </row>
        <row r="668">
          <cell r="B668" t="str">
            <v>EHYD-DAM10</v>
          </cell>
          <cell r="C668" t="str">
            <v>VAR_cap</v>
          </cell>
          <cell r="D668" t="str">
            <v>-</v>
          </cell>
          <cell r="I668">
            <v>7.5099058588279102E-2</v>
          </cell>
          <cell r="J668">
            <v>7.5099553091765303E-2</v>
          </cell>
          <cell r="K668">
            <v>7.5099615615217399E-2</v>
          </cell>
        </row>
        <row r="669">
          <cell r="B669" t="str">
            <v>DH-EBAT</v>
          </cell>
          <cell r="C669" t="str">
            <v>VAR_fout</v>
          </cell>
          <cell r="D669" t="str">
            <v>ELC35</v>
          </cell>
          <cell r="I669">
            <v>4.4075359057631242E-2</v>
          </cell>
          <cell r="J669">
            <v>2.6039844039494098E-2</v>
          </cell>
          <cell r="K669">
            <v>0.36501340106579194</v>
          </cell>
        </row>
        <row r="670">
          <cell r="B670" t="str">
            <v>DH-EBAT</v>
          </cell>
          <cell r="C670" t="str">
            <v>VAR_fout</v>
          </cell>
          <cell r="D670" t="str">
            <v>AUX_DH-EBAT_OUT</v>
          </cell>
          <cell r="I670">
            <v>4.4075359057631235E-2</v>
          </cell>
          <cell r="J670">
            <v>2.6039844039494088E-2</v>
          </cell>
          <cell r="K670">
            <v>0.36501340106579178</v>
          </cell>
        </row>
        <row r="671">
          <cell r="B671" t="str">
            <v>DH-EBAT</v>
          </cell>
          <cell r="C671" t="str">
            <v>VAR_fin</v>
          </cell>
          <cell r="D671" t="str">
            <v>ELC35</v>
          </cell>
          <cell r="I671">
            <v>4.9286582585854534E-2</v>
          </cell>
          <cell r="J671">
            <v>2.911870720453558E-2</v>
          </cell>
          <cell r="K671">
            <v>0.40816932661505179</v>
          </cell>
        </row>
        <row r="672">
          <cell r="B672" t="str">
            <v>DH-EBAT</v>
          </cell>
          <cell r="C672" t="str">
            <v>VAR_fin</v>
          </cell>
          <cell r="D672" t="str">
            <v>AUX_DH-EBAT_IN</v>
          </cell>
          <cell r="I672">
            <v>4.9286582585854534E-2</v>
          </cell>
          <cell r="J672">
            <v>2.911870720453558E-2</v>
          </cell>
          <cell r="K672">
            <v>0.40816932661505179</v>
          </cell>
        </row>
        <row r="673">
          <cell r="B673" t="str">
            <v>DH-EBAT</v>
          </cell>
          <cell r="C673" t="str">
            <v>VAR_ncap</v>
          </cell>
          <cell r="D673" t="str">
            <v>-</v>
          </cell>
          <cell r="I673">
            <v>3.3761796050669002E-3</v>
          </cell>
          <cell r="J673">
            <v>1.70774168083586E-2</v>
          </cell>
          <cell r="K673">
            <v>9.1766851287806095E-2</v>
          </cell>
        </row>
        <row r="674">
          <cell r="B674" t="str">
            <v>DH-EBAT</v>
          </cell>
          <cell r="C674" t="str">
            <v>VAR_cap</v>
          </cell>
          <cell r="D674" t="str">
            <v>-</v>
          </cell>
          <cell r="I674">
            <v>9.8590022106829229E-3</v>
          </cell>
          <cell r="J674">
            <v>2.1281458099267334E-2</v>
          </cell>
          <cell r="K674">
            <v>0.10092339683630155</v>
          </cell>
        </row>
        <row r="675">
          <cell r="B675" t="str">
            <v>RHEM-EBAT</v>
          </cell>
          <cell r="C675" t="str">
            <v>VAR_fout</v>
          </cell>
          <cell r="D675" t="str">
            <v>RHEM_ELC</v>
          </cell>
          <cell r="I675">
            <v>3.8077400470928509E-2</v>
          </cell>
          <cell r="J675">
            <v>3.0503962117315805E-2</v>
          </cell>
          <cell r="K675">
            <v>7.2717267850371997E-2</v>
          </cell>
        </row>
        <row r="676">
          <cell r="B676" t="str">
            <v>RHEM-EBAT</v>
          </cell>
          <cell r="C676" t="str">
            <v>VAR_fout</v>
          </cell>
          <cell r="D676" t="str">
            <v>AUX_RHEM-EBAT_OUT</v>
          </cell>
          <cell r="I676">
            <v>3.8077400470928544E-2</v>
          </cell>
          <cell r="J676">
            <v>3.0503962117315833E-2</v>
          </cell>
          <cell r="K676">
            <v>7.2717267850372011E-2</v>
          </cell>
        </row>
        <row r="677">
          <cell r="B677" t="str">
            <v>RHEM-EBAT</v>
          </cell>
          <cell r="C677" t="str">
            <v>VAR_fin</v>
          </cell>
          <cell r="D677" t="str">
            <v>RHEM_ELC</v>
          </cell>
          <cell r="I677">
            <v>4.2108658608730989E-2</v>
          </cell>
          <cell r="J677">
            <v>3.3733462925038003E-2</v>
          </cell>
          <cell r="K677">
            <v>8.0415758796730033E-2</v>
          </cell>
        </row>
        <row r="678">
          <cell r="B678" t="str">
            <v>RHEM-EBAT</v>
          </cell>
          <cell r="C678" t="str">
            <v>VAR_fin</v>
          </cell>
          <cell r="D678" t="str">
            <v>AUX_RHEM-EBAT_IN</v>
          </cell>
          <cell r="I678">
            <v>4.2108658608730989E-2</v>
          </cell>
          <cell r="J678">
            <v>3.3733462925038003E-2</v>
          </cell>
          <cell r="K678">
            <v>8.0415758796730033E-2</v>
          </cell>
        </row>
        <row r="679">
          <cell r="B679" t="str">
            <v>RHEM-EBAT</v>
          </cell>
          <cell r="C679" t="str">
            <v>VAR_ncap</v>
          </cell>
          <cell r="D679" t="str">
            <v>-</v>
          </cell>
          <cell r="I679">
            <v>1.0345333375865099E-2</v>
          </cell>
          <cell r="J679">
            <v>1.4240271678417901E-2</v>
          </cell>
          <cell r="K679">
            <v>2.0850775362464199E-2</v>
          </cell>
        </row>
        <row r="680">
          <cell r="B680" t="str">
            <v>RHEM-EBAT</v>
          </cell>
          <cell r="C680" t="str">
            <v>VAR_cap</v>
          </cell>
          <cell r="D680" t="str">
            <v>-</v>
          </cell>
          <cell r="I680">
            <v>2.4857953160081672E-2</v>
          </cell>
          <cell r="J680">
            <v>2.5455059493860038E-2</v>
          </cell>
          <cell r="K680">
            <v>2.9807630837638301E-2</v>
          </cell>
        </row>
        <row r="681">
          <cell r="B681" t="str">
            <v>HPLGEO</v>
          </cell>
          <cell r="C681" t="str">
            <v>VAR_fout</v>
          </cell>
          <cell r="D681" t="str">
            <v>LTH</v>
          </cell>
          <cell r="J681">
            <v>8.7486087920448762E-5</v>
          </cell>
          <cell r="K681">
            <v>9.1302239376538205E-5</v>
          </cell>
        </row>
        <row r="682">
          <cell r="B682" t="str">
            <v>HPLGEO</v>
          </cell>
          <cell r="C682" t="str">
            <v>VAR_fin</v>
          </cell>
          <cell r="D682" t="str">
            <v>GEO</v>
          </cell>
          <cell r="J682">
            <v>1.0292480931817509E-4</v>
          </cell>
          <cell r="K682">
            <v>1.0741439926651549E-4</v>
          </cell>
        </row>
        <row r="683">
          <cell r="B683" t="str">
            <v>HPLGEO</v>
          </cell>
          <cell r="C683" t="str">
            <v>VAR_ncap</v>
          </cell>
          <cell r="D683" t="str">
            <v>-</v>
          </cell>
          <cell r="J683">
            <v>7.14229619908864E-6</v>
          </cell>
          <cell r="K683">
            <v>1.05765366637525E-7</v>
          </cell>
        </row>
        <row r="684">
          <cell r="B684" t="str">
            <v>HPLGEO</v>
          </cell>
          <cell r="C684" t="str">
            <v>VAR_cap</v>
          </cell>
          <cell r="D684" t="str">
            <v>-</v>
          </cell>
          <cell r="J684">
            <v>7.14229619908864E-6</v>
          </cell>
          <cell r="K684">
            <v>7.24806156572616E-6</v>
          </cell>
        </row>
        <row r="685">
          <cell r="B685" t="str">
            <v>EHYD-PUM15</v>
          </cell>
          <cell r="C685" t="str">
            <v>VAR_fout</v>
          </cell>
          <cell r="D685" t="str">
            <v>ELC</v>
          </cell>
          <cell r="I685">
            <v>1.9326442983976179E-3</v>
          </cell>
          <cell r="J685">
            <v>1.710719208363066E-3</v>
          </cell>
          <cell r="K685">
            <v>1.4268019503596832E-3</v>
          </cell>
        </row>
        <row r="686">
          <cell r="B686" t="str">
            <v>EHYD-PUM15</v>
          </cell>
          <cell r="C686" t="str">
            <v>VAR_fout</v>
          </cell>
          <cell r="D686" t="str">
            <v>AUX_PUMP_OUT</v>
          </cell>
          <cell r="I686">
            <v>1.9326442983976179E-3</v>
          </cell>
          <cell r="J686">
            <v>1.710719208363066E-3</v>
          </cell>
          <cell r="K686">
            <v>1.4268019503596832E-3</v>
          </cell>
        </row>
        <row r="687">
          <cell r="B687" t="str">
            <v>EHYD-PUM15</v>
          </cell>
          <cell r="C687" t="str">
            <v>VAR_fin</v>
          </cell>
          <cell r="D687" t="str">
            <v>AUX_PUMP_IN</v>
          </cell>
          <cell r="I687">
            <v>2.4157767513544154E-3</v>
          </cell>
          <cell r="J687">
            <v>2.138305792530729E-3</v>
          </cell>
          <cell r="K687">
            <v>1.7834075120577791E-3</v>
          </cell>
        </row>
        <row r="688">
          <cell r="B688" t="str">
            <v>EHYD-PUM15</v>
          </cell>
          <cell r="C688" t="str">
            <v>VAR_fin</v>
          </cell>
          <cell r="D688" t="str">
            <v>ELC</v>
          </cell>
          <cell r="I688">
            <v>2.4157767513544154E-3</v>
          </cell>
          <cell r="J688">
            <v>2.138305792530729E-3</v>
          </cell>
          <cell r="K688">
            <v>1.7834075120577791E-3</v>
          </cell>
        </row>
        <row r="689">
          <cell r="B689" t="str">
            <v>EHYD-PUM15</v>
          </cell>
          <cell r="C689" t="str">
            <v>VAR_ncap</v>
          </cell>
          <cell r="D689" t="str">
            <v>-</v>
          </cell>
          <cell r="I689">
            <v>5.5866223082628402E-8</v>
          </cell>
          <cell r="J689">
            <v>9.6491277934553195E-8</v>
          </cell>
          <cell r="K689">
            <v>3.6160729930118E-7</v>
          </cell>
        </row>
        <row r="690">
          <cell r="B690" t="str">
            <v>EHYD-PUM15</v>
          </cell>
          <cell r="C690" t="str">
            <v>VAR_cap</v>
          </cell>
          <cell r="D690" t="str">
            <v>-</v>
          </cell>
          <cell r="I690">
            <v>1.67642428722572E-4</v>
          </cell>
          <cell r="J690">
            <v>1.6771181995708901E-4</v>
          </cell>
          <cell r="K690">
            <v>1.6790458394808099E-4</v>
          </cell>
        </row>
        <row r="691">
          <cell r="B691" t="str">
            <v>D-EWST</v>
          </cell>
          <cell r="C691" t="str">
            <v>VAR_fout</v>
          </cell>
          <cell r="D691" t="str">
            <v>CO2</v>
          </cell>
          <cell r="I691">
            <v>2240.4530311283002</v>
          </cell>
          <cell r="J691">
            <v>2266.09861011673</v>
          </cell>
          <cell r="K691">
            <v>2317.3896475493698</v>
          </cell>
        </row>
        <row r="692">
          <cell r="B692" t="str">
            <v>D-EWST</v>
          </cell>
          <cell r="C692" t="str">
            <v>VAR_fout</v>
          </cell>
          <cell r="D692" t="str">
            <v>EWST</v>
          </cell>
          <cell r="I692">
            <v>48.285630593838469</v>
          </cell>
          <cell r="J692">
            <v>48.838334862355545</v>
          </cell>
          <cell r="K692">
            <v>49.943744237801759</v>
          </cell>
        </row>
        <row r="693">
          <cell r="B693" t="str">
            <v>D-EWST</v>
          </cell>
          <cell r="C693" t="str">
            <v>VAR_fin</v>
          </cell>
          <cell r="D693" t="str">
            <v>WSTNREN</v>
          </cell>
          <cell r="I693">
            <v>24.142812835434327</v>
          </cell>
          <cell r="J693">
            <v>24.419166057292323</v>
          </cell>
          <cell r="K693">
            <v>24.971871202040596</v>
          </cell>
        </row>
        <row r="694">
          <cell r="B694" t="str">
            <v>D-EWST</v>
          </cell>
          <cell r="C694" t="str">
            <v>VAR_fin</v>
          </cell>
          <cell r="D694" t="str">
            <v>WSTREN</v>
          </cell>
          <cell r="I694">
            <v>24.142812835434327</v>
          </cell>
          <cell r="J694">
            <v>24.419166057292323</v>
          </cell>
          <cell r="K694">
            <v>24.971871202040596</v>
          </cell>
        </row>
        <row r="695">
          <cell r="B695"/>
          <cell r="C695"/>
          <cell r="D695"/>
        </row>
        <row r="696">
          <cell r="B696"/>
          <cell r="C696"/>
          <cell r="D696"/>
        </row>
        <row r="697">
          <cell r="B697"/>
          <cell r="C697"/>
          <cell r="D697"/>
        </row>
        <row r="698">
          <cell r="B698"/>
          <cell r="C698"/>
          <cell r="D698"/>
        </row>
        <row r="699">
          <cell r="B699"/>
          <cell r="C699"/>
          <cell r="D699"/>
        </row>
        <row r="700">
          <cell r="B700"/>
          <cell r="C700"/>
          <cell r="D700"/>
        </row>
        <row r="701">
          <cell r="B701"/>
          <cell r="C701"/>
          <cell r="D701"/>
        </row>
        <row r="702">
          <cell r="B702"/>
          <cell r="C702"/>
          <cell r="D702"/>
        </row>
        <row r="703">
          <cell r="B703"/>
          <cell r="C703"/>
          <cell r="D703"/>
        </row>
        <row r="704">
          <cell r="B704"/>
          <cell r="C704"/>
          <cell r="D704"/>
        </row>
        <row r="705">
          <cell r="B705"/>
          <cell r="C705"/>
          <cell r="D705"/>
        </row>
        <row r="706">
          <cell r="B706"/>
          <cell r="C706"/>
          <cell r="D706"/>
        </row>
        <row r="707">
          <cell r="B707"/>
          <cell r="C707"/>
          <cell r="D707"/>
        </row>
        <row r="708">
          <cell r="B708"/>
          <cell r="C708"/>
          <cell r="D708"/>
        </row>
        <row r="709">
          <cell r="B709"/>
          <cell r="C709"/>
          <cell r="D709"/>
        </row>
        <row r="710">
          <cell r="B710"/>
          <cell r="C710"/>
          <cell r="D710"/>
        </row>
        <row r="711">
          <cell r="B711"/>
          <cell r="C711"/>
          <cell r="D711"/>
        </row>
        <row r="712">
          <cell r="B712"/>
          <cell r="C712"/>
          <cell r="D712"/>
        </row>
        <row r="713">
          <cell r="B713"/>
          <cell r="C713"/>
          <cell r="D713"/>
        </row>
        <row r="714">
          <cell r="B714"/>
          <cell r="C714"/>
          <cell r="D714"/>
        </row>
        <row r="715">
          <cell r="B715"/>
          <cell r="C715"/>
          <cell r="D715"/>
        </row>
        <row r="716">
          <cell r="B716"/>
          <cell r="C716"/>
          <cell r="D716"/>
        </row>
        <row r="717">
          <cell r="B717"/>
          <cell r="C717"/>
          <cell r="D717"/>
        </row>
        <row r="718">
          <cell r="B718"/>
          <cell r="C718"/>
          <cell r="D718"/>
        </row>
        <row r="719">
          <cell r="B719"/>
          <cell r="C719"/>
          <cell r="D719"/>
        </row>
        <row r="720">
          <cell r="B720"/>
          <cell r="C720"/>
          <cell r="D720"/>
        </row>
        <row r="721">
          <cell r="B721"/>
          <cell r="C721"/>
          <cell r="D721"/>
        </row>
        <row r="722">
          <cell r="B722"/>
          <cell r="C722"/>
          <cell r="D722"/>
        </row>
        <row r="723">
          <cell r="B723"/>
          <cell r="C723"/>
          <cell r="D723"/>
        </row>
        <row r="724">
          <cell r="B724"/>
          <cell r="C724"/>
          <cell r="D724"/>
        </row>
        <row r="725">
          <cell r="B725"/>
          <cell r="C725"/>
          <cell r="D725"/>
        </row>
        <row r="726">
          <cell r="B726"/>
          <cell r="C726"/>
          <cell r="D726"/>
        </row>
        <row r="727">
          <cell r="B727"/>
          <cell r="C727"/>
          <cell r="D727"/>
        </row>
        <row r="728">
          <cell r="B728"/>
          <cell r="C728"/>
          <cell r="D728"/>
        </row>
        <row r="729">
          <cell r="B729"/>
          <cell r="C729"/>
          <cell r="D729"/>
        </row>
        <row r="730">
          <cell r="B730"/>
          <cell r="C730"/>
          <cell r="D730"/>
        </row>
        <row r="731">
          <cell r="B731"/>
          <cell r="C731"/>
          <cell r="D731"/>
        </row>
        <row r="732">
          <cell r="B732"/>
          <cell r="C732"/>
          <cell r="D732"/>
        </row>
        <row r="733">
          <cell r="B733"/>
          <cell r="C733"/>
          <cell r="D733"/>
        </row>
        <row r="734">
          <cell r="B734"/>
          <cell r="C734"/>
          <cell r="D734"/>
        </row>
        <row r="735">
          <cell r="B735"/>
          <cell r="C735"/>
          <cell r="D735"/>
        </row>
        <row r="736">
          <cell r="B736"/>
          <cell r="C736"/>
          <cell r="D736"/>
        </row>
        <row r="737">
          <cell r="B737"/>
          <cell r="C737"/>
          <cell r="D737"/>
        </row>
        <row r="738">
          <cell r="B738"/>
          <cell r="C738"/>
          <cell r="D738"/>
        </row>
        <row r="739">
          <cell r="B739"/>
          <cell r="C739"/>
          <cell r="D739"/>
        </row>
        <row r="740">
          <cell r="B740"/>
          <cell r="C740"/>
          <cell r="D740"/>
        </row>
        <row r="741">
          <cell r="B741"/>
          <cell r="C741"/>
          <cell r="D741"/>
        </row>
        <row r="742">
          <cell r="B742"/>
          <cell r="C742"/>
          <cell r="D742"/>
        </row>
        <row r="743">
          <cell r="B743"/>
          <cell r="C743"/>
          <cell r="D743"/>
        </row>
        <row r="744">
          <cell r="B744"/>
          <cell r="C744"/>
          <cell r="D744"/>
        </row>
        <row r="745">
          <cell r="B745"/>
          <cell r="C745"/>
          <cell r="D745"/>
        </row>
        <row r="746">
          <cell r="B746"/>
          <cell r="C746"/>
          <cell r="D746"/>
        </row>
        <row r="747">
          <cell r="B747"/>
          <cell r="C747"/>
          <cell r="D747"/>
        </row>
        <row r="748">
          <cell r="B748"/>
          <cell r="C748"/>
          <cell r="D748"/>
        </row>
        <row r="749">
          <cell r="B749"/>
          <cell r="C749"/>
          <cell r="D749"/>
        </row>
        <row r="750">
          <cell r="B750"/>
          <cell r="C750"/>
          <cell r="D750"/>
        </row>
        <row r="751">
          <cell r="B751"/>
          <cell r="C751"/>
          <cell r="D751"/>
        </row>
        <row r="752">
          <cell r="B752"/>
          <cell r="C752"/>
          <cell r="D752"/>
        </row>
        <row r="753">
          <cell r="B753"/>
          <cell r="C753"/>
          <cell r="D753"/>
        </row>
        <row r="754">
          <cell r="B754"/>
          <cell r="C754"/>
          <cell r="D754"/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D3"/>
          <cell r="E3"/>
        </row>
        <row r="4">
          <cell r="A4"/>
          <cell r="B4"/>
          <cell r="C4"/>
        </row>
        <row r="5">
          <cell r="A5"/>
          <cell r="B5"/>
          <cell r="C5"/>
        </row>
        <row r="6">
          <cell r="A6"/>
          <cell r="B6"/>
          <cell r="C6"/>
        </row>
        <row r="7">
          <cell r="A7"/>
          <cell r="B7"/>
          <cell r="C7"/>
        </row>
        <row r="8">
          <cell r="A8"/>
          <cell r="B8"/>
          <cell r="C8"/>
        </row>
        <row r="9">
          <cell r="A9"/>
          <cell r="B9"/>
          <cell r="C9"/>
        </row>
        <row r="10">
          <cell r="A10"/>
          <cell r="B10"/>
          <cell r="C10"/>
        </row>
        <row r="11">
          <cell r="A11"/>
          <cell r="B11"/>
          <cell r="C11"/>
        </row>
        <row r="12">
          <cell r="A12"/>
          <cell r="B12"/>
          <cell r="C12"/>
        </row>
        <row r="13">
          <cell r="A13"/>
          <cell r="B13"/>
          <cell r="C13"/>
        </row>
        <row r="14">
          <cell r="A14"/>
          <cell r="B14"/>
          <cell r="C14"/>
        </row>
        <row r="15">
          <cell r="A15"/>
          <cell r="B15"/>
          <cell r="C15"/>
        </row>
        <row r="16">
          <cell r="A16"/>
          <cell r="B16"/>
          <cell r="C16"/>
        </row>
        <row r="17">
          <cell r="A17"/>
          <cell r="B17"/>
          <cell r="C17"/>
        </row>
        <row r="18">
          <cell r="A18"/>
          <cell r="B18"/>
          <cell r="C18"/>
        </row>
        <row r="19">
          <cell r="A19"/>
          <cell r="B19"/>
          <cell r="C19"/>
        </row>
        <row r="20">
          <cell r="A20"/>
          <cell r="B20"/>
          <cell r="C20"/>
        </row>
        <row r="21">
          <cell r="A21"/>
          <cell r="B21"/>
          <cell r="C21"/>
        </row>
        <row r="22">
          <cell r="A22"/>
          <cell r="B22"/>
          <cell r="C22"/>
        </row>
        <row r="23">
          <cell r="A23"/>
          <cell r="B23"/>
          <cell r="C23"/>
        </row>
        <row r="24">
          <cell r="A24"/>
          <cell r="B24"/>
          <cell r="C24"/>
        </row>
        <row r="25">
          <cell r="A25"/>
          <cell r="B25"/>
          <cell r="C25"/>
        </row>
        <row r="26">
          <cell r="A26"/>
          <cell r="B26"/>
          <cell r="C26"/>
        </row>
      </sheetData>
      <sheetData sheetId="8">
        <row r="2">
          <cell r="A2"/>
        </row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IMPBDS1</v>
          </cell>
          <cell r="C4" t="str">
            <v>BDS1</v>
          </cell>
          <cell r="H4">
            <v>5.0269376218682202</v>
          </cell>
          <cell r="I4">
            <v>5.0269377506904496</v>
          </cell>
          <cell r="J4">
            <v>5.0269379822126297</v>
          </cell>
        </row>
        <row r="5">
          <cell r="A5" t="str">
            <v>EXPELC_DE</v>
          </cell>
          <cell r="C5" t="str">
            <v>ELC_E-DE</v>
          </cell>
          <cell r="H5">
            <v>5.838038775267825E-4</v>
          </cell>
          <cell r="I5">
            <v>9.1029675338660798E-4</v>
          </cell>
          <cell r="J5">
            <v>2.6692407442305044E-4</v>
          </cell>
        </row>
        <row r="6">
          <cell r="A6" t="str">
            <v>IMPDSL</v>
          </cell>
          <cell r="C6" t="str">
            <v>DSL</v>
          </cell>
          <cell r="H6">
            <v>47.814421090423515</v>
          </cell>
          <cell r="I6">
            <v>45.182592263173177</v>
          </cell>
          <cell r="J6">
            <v>43.053152531609555</v>
          </cell>
        </row>
        <row r="7">
          <cell r="A7" t="str">
            <v>IMPH2</v>
          </cell>
          <cell r="C7" t="str">
            <v>H2</v>
          </cell>
          <cell r="I7">
            <v>3.8475246849480662E-4</v>
          </cell>
          <cell r="J7">
            <v>3.8753382085759464E-4</v>
          </cell>
        </row>
        <row r="8">
          <cell r="A8" t="str">
            <v>IMPELC_AT</v>
          </cell>
          <cell r="C8" t="str">
            <v>ELC_I-AT</v>
          </cell>
          <cell r="H8">
            <v>8.7168089748295187E-3</v>
          </cell>
          <cell r="I8">
            <v>5.7906563738243178E-3</v>
          </cell>
          <cell r="J8">
            <v>3.4512566144094653E-3</v>
          </cell>
        </row>
        <row r="9">
          <cell r="A9" t="str">
            <v>IMPELC_AT</v>
          </cell>
          <cell r="C9" t="str">
            <v>ELCS</v>
          </cell>
          <cell r="H9">
            <v>8.7168089748295187E-3</v>
          </cell>
          <cell r="I9">
            <v>5.7906563738243178E-3</v>
          </cell>
          <cell r="J9">
            <v>3.4512566144094653E-3</v>
          </cell>
        </row>
        <row r="10">
          <cell r="A10" t="str">
            <v>IMPELC_FR</v>
          </cell>
          <cell r="C10" t="str">
            <v>ELC_I-FR</v>
          </cell>
          <cell r="H10">
            <v>16.53269816641042</v>
          </cell>
          <cell r="I10">
            <v>10.200771984061106</v>
          </cell>
          <cell r="J10">
            <v>10.381060609426209</v>
          </cell>
        </row>
        <row r="11">
          <cell r="A11" t="str">
            <v>IMPELC_FR</v>
          </cell>
          <cell r="C11" t="str">
            <v>ELCS</v>
          </cell>
          <cell r="H11">
            <v>16.53269816641042</v>
          </cell>
          <cell r="I11">
            <v>10.200771984061106</v>
          </cell>
          <cell r="J11">
            <v>10.381060609426209</v>
          </cell>
        </row>
        <row r="12">
          <cell r="A12" t="str">
            <v>RNWHYDR1</v>
          </cell>
          <cell r="C12" t="str">
            <v>HYDR</v>
          </cell>
          <cell r="H12">
            <v>63.385979563224339</v>
          </cell>
          <cell r="I12">
            <v>62.302042598831882</v>
          </cell>
          <cell r="J12">
            <v>60.132340541967778</v>
          </cell>
        </row>
        <row r="13">
          <cell r="A13" t="str">
            <v>EXPELC_IT</v>
          </cell>
          <cell r="C13" t="str">
            <v>ELC_E-IT</v>
          </cell>
          <cell r="H13">
            <v>44.074515604781816</v>
          </cell>
          <cell r="I13">
            <v>19.718768383034352</v>
          </cell>
          <cell r="J13">
            <v>14.128679065052841</v>
          </cell>
        </row>
        <row r="14">
          <cell r="A14" t="str">
            <v>IMPLNG</v>
          </cell>
          <cell r="C14" t="str">
            <v>LBIO</v>
          </cell>
          <cell r="H14">
            <v>2.1343849990109867</v>
          </cell>
          <cell r="I14">
            <v>2.1349705596677917</v>
          </cell>
          <cell r="J14">
            <v>2.1352721928224532</v>
          </cell>
        </row>
        <row r="15">
          <cell r="A15" t="str">
            <v>IMPLNG</v>
          </cell>
          <cell r="C15" t="str">
            <v>LNGA</v>
          </cell>
          <cell r="H15">
            <v>1.3027636882107154E-3</v>
          </cell>
          <cell r="I15">
            <v>7.2840456793775107E-4</v>
          </cell>
          <cell r="J15">
            <v>4.2712756238823349E-4</v>
          </cell>
        </row>
        <row r="16">
          <cell r="A16" t="str">
            <v>IMPURN1</v>
          </cell>
          <cell r="C16" t="str">
            <v>URN</v>
          </cell>
          <cell r="H16">
            <v>167.60344994841279</v>
          </cell>
          <cell r="I16">
            <v>98.945503358515836</v>
          </cell>
        </row>
        <row r="17">
          <cell r="A17" t="str">
            <v>EXPELC_AT</v>
          </cell>
          <cell r="C17" t="str">
            <v>ELC_E-AT</v>
          </cell>
          <cell r="H17">
            <v>1.6092446955082008E-4</v>
          </cell>
          <cell r="I17">
            <v>1.5525978531373032E-4</v>
          </cell>
          <cell r="J17">
            <v>1.1670095461517139E-4</v>
          </cell>
        </row>
        <row r="18">
          <cell r="A18" t="str">
            <v>EXPELC_FR</v>
          </cell>
          <cell r="C18" t="str">
            <v>ELC_E-FR</v>
          </cell>
          <cell r="H18">
            <v>5.9153230660607774E-4</v>
          </cell>
          <cell r="I18">
            <v>1.129698315548139E-3</v>
          </cell>
          <cell r="J18">
            <v>6.3421579721996207E-4</v>
          </cell>
        </row>
        <row r="19">
          <cell r="A19" t="str">
            <v>RNWWND1</v>
          </cell>
          <cell r="C19" t="str">
            <v>WND</v>
          </cell>
          <cell r="H19">
            <v>0.87512379524845385</v>
          </cell>
          <cell r="I19">
            <v>0.87512679487850265</v>
          </cell>
          <cell r="J19">
            <v>0.87512479614547811</v>
          </cell>
        </row>
        <row r="20">
          <cell r="A20" t="str">
            <v>RNWWND2</v>
          </cell>
          <cell r="C20" t="str">
            <v>WND</v>
          </cell>
          <cell r="H20">
            <v>5.830447176369595E-2</v>
          </cell>
          <cell r="I20">
            <v>5.9063213512586844E-2</v>
          </cell>
          <cell r="J20">
            <v>6.0777660292400032E-2</v>
          </cell>
        </row>
        <row r="21">
          <cell r="A21" t="str">
            <v>RNWMNR1</v>
          </cell>
          <cell r="C21" t="str">
            <v>MNR</v>
          </cell>
          <cell r="H21">
            <v>12.54042684227449</v>
          </cell>
          <cell r="I21">
            <v>12.540422657742077</v>
          </cell>
          <cell r="J21">
            <v>12.540424627004301</v>
          </cell>
        </row>
        <row r="22">
          <cell r="A22" t="str">
            <v>RNWWND3</v>
          </cell>
          <cell r="C22" t="str">
            <v>WND</v>
          </cell>
          <cell r="H22">
            <v>3.1105877166565828E-3</v>
          </cell>
          <cell r="I22">
            <v>2.7308026248831449E-3</v>
          </cell>
          <cell r="J22">
            <v>1.8132925064746036E-3</v>
          </cell>
        </row>
        <row r="23">
          <cell r="A23" t="str">
            <v>RNWMNR2</v>
          </cell>
          <cell r="C23" t="str">
            <v>MNR</v>
          </cell>
          <cell r="I23">
            <v>0.10034377416115214</v>
          </cell>
          <cell r="J23">
            <v>5.095720257902892</v>
          </cell>
        </row>
        <row r="24">
          <cell r="A24" t="str">
            <v>RNWWND4</v>
          </cell>
          <cell r="C24" t="str">
            <v>WND</v>
          </cell>
          <cell r="H24">
            <v>1.0812147156231114E-3</v>
          </cell>
          <cell r="I24">
            <v>8.4578731397934803E-4</v>
          </cell>
          <cell r="J24">
            <v>5.7596619893987187E-4</v>
          </cell>
        </row>
        <row r="25">
          <cell r="A25" t="str">
            <v>RNWMNR3</v>
          </cell>
          <cell r="C25" t="str">
            <v>MNR</v>
          </cell>
          <cell r="I25">
            <v>9.0314245257122291E-4</v>
          </cell>
          <cell r="J25">
            <v>5.4569108737880726E-4</v>
          </cell>
        </row>
        <row r="26">
          <cell r="A26" t="str">
            <v>IMPLFO1</v>
          </cell>
          <cell r="C26" t="str">
            <v>LFO</v>
          </cell>
          <cell r="H26">
            <v>44.765996005392061</v>
          </cell>
          <cell r="I26">
            <v>33.357016648655971</v>
          </cell>
          <cell r="J26">
            <v>12.984924448041776</v>
          </cell>
        </row>
        <row r="27">
          <cell r="A27" t="str">
            <v>RNWWND5</v>
          </cell>
          <cell r="C27" t="str">
            <v>WND</v>
          </cell>
          <cell r="H27">
            <v>5.9040058029261391E-4</v>
          </cell>
          <cell r="I27">
            <v>4.6008833424290315E-4</v>
          </cell>
          <cell r="J27">
            <v>3.080917959963343E-4</v>
          </cell>
        </row>
        <row r="28">
          <cell r="A28" t="str">
            <v>IMPBNGA</v>
          </cell>
          <cell r="C28" t="str">
            <v>BIO</v>
          </cell>
          <cell r="H28">
            <v>1.3703842100001047</v>
          </cell>
          <cell r="I28">
            <v>1.4175428032616169</v>
          </cell>
          <cell r="J28">
            <v>1.7032425254555532</v>
          </cell>
        </row>
        <row r="29">
          <cell r="A29" t="str">
            <v>RNWGEO1</v>
          </cell>
          <cell r="C29" t="str">
            <v>GEO</v>
          </cell>
          <cell r="I29">
            <v>8.5229809704923682E-3</v>
          </cell>
          <cell r="J29">
            <v>9.5486539760847033E-2</v>
          </cell>
        </row>
        <row r="30">
          <cell r="A30" t="str">
            <v>RNWGEO2</v>
          </cell>
          <cell r="C30" t="str">
            <v>GEO</v>
          </cell>
          <cell r="I30">
            <v>3.8968963941574774E-3</v>
          </cell>
          <cell r="J30">
            <v>5.9878593160256526E-3</v>
          </cell>
        </row>
        <row r="31">
          <cell r="A31" t="str">
            <v>IMPKERintl</v>
          </cell>
          <cell r="C31" t="str">
            <v>KERintl</v>
          </cell>
          <cell r="H31">
            <v>78.755354105207104</v>
          </cell>
          <cell r="I31">
            <v>77.929506050460802</v>
          </cell>
          <cell r="J31">
            <v>74.853693267478803</v>
          </cell>
        </row>
        <row r="32">
          <cell r="A32" t="str">
            <v>RNWGEO3</v>
          </cell>
          <cell r="C32" t="str">
            <v>GEO</v>
          </cell>
          <cell r="I32">
            <v>1.8044398936117145E-3</v>
          </cell>
          <cell r="J32">
            <v>2.2162170303631568E-3</v>
          </cell>
        </row>
        <row r="33">
          <cell r="A33" t="str">
            <v>RNWGEO4</v>
          </cell>
          <cell r="C33" t="str">
            <v>GEO</v>
          </cell>
          <cell r="I33">
            <v>1.3967166819906531E-3</v>
          </cell>
          <cell r="J33">
            <v>1.6032343105860313E-3</v>
          </cell>
        </row>
        <row r="34">
          <cell r="A34" t="str">
            <v>RNWGEO5</v>
          </cell>
          <cell r="C34" t="str">
            <v>GEO</v>
          </cell>
          <cell r="I34">
            <v>1.1480272587465837E-3</v>
          </cell>
          <cell r="J34">
            <v>1.2846431874003646E-3</v>
          </cell>
        </row>
        <row r="35">
          <cell r="A35" t="str">
            <v>IMPGSL</v>
          </cell>
          <cell r="C35" t="str">
            <v>GSL</v>
          </cell>
          <cell r="H35">
            <v>26.493193139048255</v>
          </cell>
          <cell r="I35">
            <v>25.689377942042903</v>
          </cell>
          <cell r="J35">
            <v>20.761590721883039</v>
          </cell>
        </row>
        <row r="36">
          <cell r="A36" t="str">
            <v>RNWWOD1</v>
          </cell>
          <cell r="C36" t="str">
            <v>WOD</v>
          </cell>
          <cell r="H36">
            <v>15.849138910221734</v>
          </cell>
          <cell r="I36">
            <v>16.266396091308938</v>
          </cell>
          <cell r="J36">
            <v>16.956993929394535</v>
          </cell>
        </row>
        <row r="37">
          <cell r="A37" t="str">
            <v>RNWWOD2</v>
          </cell>
          <cell r="C37" t="str">
            <v>WOD</v>
          </cell>
          <cell r="H37">
            <v>7.6690262090070105</v>
          </cell>
          <cell r="I37">
            <v>7.6690264958770546</v>
          </cell>
          <cell r="J37">
            <v>7.6690268748015518</v>
          </cell>
        </row>
        <row r="38">
          <cell r="A38" t="str">
            <v>RNWWOD3</v>
          </cell>
          <cell r="C38" t="str">
            <v>WOD</v>
          </cell>
          <cell r="H38">
            <v>4.8053853760272203</v>
          </cell>
          <cell r="I38">
            <v>4.8053857399336355</v>
          </cell>
          <cell r="J38">
            <v>4.8053858039942208</v>
          </cell>
        </row>
        <row r="39">
          <cell r="A39" t="str">
            <v>RNWWOD4</v>
          </cell>
          <cell r="C39" t="str">
            <v>WOD</v>
          </cell>
          <cell r="H39">
            <v>19.86925319231942</v>
          </cell>
          <cell r="I39">
            <v>19.869254582593328</v>
          </cell>
          <cell r="J39">
            <v>19.869255886322509</v>
          </cell>
        </row>
        <row r="40">
          <cell r="A40" t="str">
            <v>RNWWOD5</v>
          </cell>
          <cell r="C40" t="str">
            <v>WOD</v>
          </cell>
          <cell r="H40">
            <v>3.0131487863881334</v>
          </cell>
          <cell r="I40">
            <v>3.5266451629895355</v>
          </cell>
          <cell r="J40">
            <v>2.8360507814506355</v>
          </cell>
        </row>
        <row r="41">
          <cell r="A41" t="str">
            <v>RNNWWST1</v>
          </cell>
          <cell r="C41" t="str">
            <v>WSTNREN</v>
          </cell>
          <cell r="H41">
            <v>34.937585695956862</v>
          </cell>
          <cell r="I41">
            <v>35.159449798680114</v>
          </cell>
          <cell r="J41">
            <v>35.603176042519124</v>
          </cell>
        </row>
        <row r="42">
          <cell r="A42" t="str">
            <v>RNWSOL1</v>
          </cell>
          <cell r="C42" t="str">
            <v>SOL</v>
          </cell>
          <cell r="H42">
            <v>42.651103352334808</v>
          </cell>
          <cell r="I42">
            <v>52.374004325489423</v>
          </cell>
          <cell r="J42">
            <v>70.01370716975218</v>
          </cell>
        </row>
        <row r="43">
          <cell r="A43" t="str">
            <v>IMPHFO1</v>
          </cell>
          <cell r="C43" t="str">
            <v>HFO</v>
          </cell>
          <cell r="H43">
            <v>1.0803012795516564E-3</v>
          </cell>
          <cell r="I43">
            <v>7.5511097622294214E-4</v>
          </cell>
        </row>
        <row r="44">
          <cell r="A44" t="str">
            <v>RNWHYDD1</v>
          </cell>
          <cell r="C44" t="str">
            <v>HYDD</v>
          </cell>
          <cell r="H44">
            <v>71.523278125303989</v>
          </cell>
          <cell r="I44">
            <v>72.607215568765497</v>
          </cell>
          <cell r="J44">
            <v>74.776919064631215</v>
          </cell>
        </row>
        <row r="45">
          <cell r="A45" t="str">
            <v>IMPKER</v>
          </cell>
          <cell r="C45" t="str">
            <v>KER</v>
          </cell>
          <cell r="H45">
            <v>1.6315113399353696</v>
          </cell>
          <cell r="I45">
            <v>1.0768994748985496</v>
          </cell>
          <cell r="J45">
            <v>0.58030081633485397</v>
          </cell>
        </row>
        <row r="46">
          <cell r="A46" t="str">
            <v>IMPBDS</v>
          </cell>
          <cell r="C46" t="str">
            <v>BDS</v>
          </cell>
          <cell r="H46">
            <v>4.30596218199776</v>
          </cell>
          <cell r="I46">
            <v>4.3058086928015209</v>
          </cell>
          <cell r="J46">
            <v>4.3054971497838475</v>
          </cell>
        </row>
        <row r="47">
          <cell r="A47" t="str">
            <v>IMPCOA1</v>
          </cell>
          <cell r="C47" t="str">
            <v>COA</v>
          </cell>
          <cell r="H47">
            <v>2.3452261786348957E-3</v>
          </cell>
          <cell r="I47">
            <v>6.9834283561204908E-4</v>
          </cell>
          <cell r="J47">
            <v>3.697954643951093E-4</v>
          </cell>
        </row>
        <row r="48">
          <cell r="A48" t="str">
            <v>IMPETH</v>
          </cell>
          <cell r="C48" t="str">
            <v>ETH</v>
          </cell>
          <cell r="H48">
            <v>1.5351869352503935</v>
          </cell>
          <cell r="I48">
            <v>1.4881817584291834</v>
          </cell>
          <cell r="J48">
            <v>1.2027939036571993</v>
          </cell>
        </row>
        <row r="49">
          <cell r="A49" t="str">
            <v>IMPELC_DE</v>
          </cell>
          <cell r="C49" t="str">
            <v>ELC_I-DE</v>
          </cell>
          <cell r="H49">
            <v>39.760489987373987</v>
          </cell>
          <cell r="I49">
            <v>32.531683811701356</v>
          </cell>
          <cell r="J49">
            <v>26.550224321020728</v>
          </cell>
        </row>
        <row r="50">
          <cell r="A50" t="str">
            <v>IMPELC_DE</v>
          </cell>
          <cell r="C50" t="str">
            <v>ELCS</v>
          </cell>
          <cell r="H50">
            <v>39.760489987373987</v>
          </cell>
          <cell r="I50">
            <v>32.531683811701356</v>
          </cell>
          <cell r="J50">
            <v>26.550224321020728</v>
          </cell>
        </row>
        <row r="51">
          <cell r="A51" t="str">
            <v>RNWWST1</v>
          </cell>
          <cell r="C51" t="str">
            <v>WSTREN</v>
          </cell>
          <cell r="H51">
            <v>34.814485897238484</v>
          </cell>
          <cell r="I51">
            <v>34.814496162666167</v>
          </cell>
          <cell r="J51">
            <v>34.814510558277746</v>
          </cell>
        </row>
        <row r="52">
          <cell r="A52" t="str">
            <v>IMPNGA1</v>
          </cell>
          <cell r="C52" t="str">
            <v>NGA</v>
          </cell>
          <cell r="H52">
            <v>108.08579834731759</v>
          </cell>
          <cell r="I52">
            <v>109.42256816883426</v>
          </cell>
          <cell r="J52">
            <v>99.149177671289451</v>
          </cell>
        </row>
        <row r="53">
          <cell r="A53" t="str">
            <v>IMPELC_IT</v>
          </cell>
          <cell r="C53" t="str">
            <v>ELC_I-IT</v>
          </cell>
          <cell r="H53">
            <v>1.8783655610214589E-4</v>
          </cell>
          <cell r="I53">
            <v>1.6852423454338659E-4</v>
          </cell>
          <cell r="J53">
            <v>1.5012183801789699E-4</v>
          </cell>
        </row>
        <row r="54">
          <cell r="A54" t="str">
            <v>IMPELC_IT</v>
          </cell>
          <cell r="C54" t="str">
            <v>ELCS</v>
          </cell>
          <cell r="H54">
            <v>1.8783655610214589E-4</v>
          </cell>
          <cell r="I54">
            <v>1.6852423454338659E-4</v>
          </cell>
          <cell r="J54">
            <v>1.5012183801789699E-4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H4">
            <v>1.3465309995409311</v>
          </cell>
          <cell r="I4">
            <v>1.5568601884128392</v>
          </cell>
          <cell r="J4">
            <v>1.9289680657442472</v>
          </cell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H5">
            <v>1.3465309995409311</v>
          </cell>
          <cell r="I5">
            <v>1.5568601884128392</v>
          </cell>
          <cell r="J5">
            <v>1.9289680657442472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H6">
            <v>1.2003014884084438E-4</v>
          </cell>
          <cell r="I6">
            <v>5.915979803615797E-5</v>
          </cell>
          <cell r="J6">
            <v>1.0673568836972876E-4</v>
          </cell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H7">
            <v>1.2015017898968517E-4</v>
          </cell>
          <cell r="I7">
            <v>5.9218957834194109E-5</v>
          </cell>
          <cell r="J7">
            <v>1.0684242405809841E-4</v>
          </cell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H8">
            <v>1.2163012120575223E-4</v>
          </cell>
          <cell r="I8">
            <v>6.0303833693544818E-5</v>
          </cell>
          <cell r="J8">
            <v>1.0862337999106358E-4</v>
          </cell>
          <cell r="L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H9">
            <v>3.4956903746928E-7</v>
          </cell>
          <cell r="I9">
            <v>8.4549318808608707E-6</v>
          </cell>
          <cell r="J9">
            <v>1.58882033217122E-5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H10">
            <v>7.0291958114788403E-5</v>
          </cell>
          <cell r="I10">
            <v>2.07324600560703E-5</v>
          </cell>
          <cell r="J10">
            <v>2.21720966628634E-5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H11">
            <v>12.7187228748239</v>
          </cell>
          <cell r="I11">
            <v>12.6068775049346</v>
          </cell>
          <cell r="J11"/>
          <cell r="L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H12">
            <v>0.16389295028445622</v>
          </cell>
          <cell r="I12">
            <v>0.16245475437367976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H13">
            <v>0.1725742588171498</v>
          </cell>
          <cell r="I13">
            <v>0.17105668256356288</v>
          </cell>
          <cell r="J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H14"/>
          <cell r="I14"/>
          <cell r="J14"/>
          <cell r="L14"/>
          <cell r="M14"/>
          <cell r="N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H15">
            <v>7.1206657769319198E-2</v>
          </cell>
          <cell r="I15">
            <v>1.261197718945783E-2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H16">
            <v>21.949912693724201</v>
          </cell>
          <cell r="I16">
            <v>27.283684679960299</v>
          </cell>
          <cell r="J16">
            <v>35.936503710244899</v>
          </cell>
          <cell r="L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H17">
            <v>0.7695038968718716</v>
          </cell>
          <cell r="I17">
            <v>0.96330580493229734</v>
          </cell>
          <cell r="J17">
            <v>1.2838644533293513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H18">
            <v>0.38918284917950741</v>
          </cell>
          <cell r="I18">
            <v>0.4837532744673822</v>
          </cell>
          <cell r="J18">
            <v>0.63717205160008794</v>
          </cell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H19">
            <v>0.7695038968718716</v>
          </cell>
          <cell r="I19">
            <v>0.96330580493229734</v>
          </cell>
          <cell r="J19">
            <v>1.2838644533293513</v>
          </cell>
          <cell r="L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H20">
            <v>1.6830581937435501E-2</v>
          </cell>
          <cell r="I20">
            <v>3.2923208632098799E-2</v>
          </cell>
          <cell r="J20">
            <v>6.2840198097755803E-2</v>
          </cell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H21">
            <v>5.6078518219599249E-2</v>
          </cell>
          <cell r="I21">
            <v>7.0401261662907264E-2</v>
          </cell>
          <cell r="J21">
            <v>9.3852837920351678E-2</v>
          </cell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H22">
            <v>0.54506545842396192</v>
          </cell>
          <cell r="I22">
            <v>0.54506798829344394</v>
          </cell>
          <cell r="J22">
            <v>0.54507180666895427</v>
          </cell>
          <cell r="L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H23">
            <v>0.54506545842396192</v>
          </cell>
          <cell r="I23">
            <v>0.54506798829344394</v>
          </cell>
          <cell r="J23">
            <v>0.54507180666895427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H24">
            <v>0.73286112057003294</v>
          </cell>
          <cell r="I24">
            <v>0.73081741447165638</v>
          </cell>
          <cell r="J24">
            <v>0.72676240889193999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H25">
            <v>2.8387546753445899E-2</v>
          </cell>
          <cell r="I25">
            <v>1.25487510126334E-2</v>
          </cell>
          <cell r="J25">
            <v>1.93918869647948E-2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H26">
            <v>4.0329160966535695E-2</v>
          </cell>
          <cell r="I26">
            <v>4.0940660337259197E-2</v>
          </cell>
          <cell r="J26">
            <v>4.050196733886504E-2</v>
          </cell>
        </row>
        <row r="27">
          <cell r="A27" t="str">
            <v>D-RHNS_KEV_WOD_ELC_CHP</v>
          </cell>
          <cell r="B27" t="str">
            <v>VAR_fout</v>
          </cell>
          <cell r="C27" t="str">
            <v>RHNS_ELC</v>
          </cell>
          <cell r="H27">
            <v>3.992924071362346E-4</v>
          </cell>
          <cell r="I27">
            <v>3.1566247251399503E-4</v>
          </cell>
          <cell r="J27">
            <v>1.999184270574426E-4</v>
          </cell>
        </row>
        <row r="28">
          <cell r="A28" t="str">
            <v>D-RHNS_KEV_WOD_ELC_CHP</v>
          </cell>
          <cell r="B28" t="str">
            <v>VAR_fout</v>
          </cell>
          <cell r="C28" t="str">
            <v>ELC5</v>
          </cell>
          <cell r="H28">
            <v>2.9395989029212084E-4</v>
          </cell>
          <cell r="I28">
            <v>2.3126827186889388E-4</v>
          </cell>
          <cell r="J28">
            <v>1.4265680568337162E-4</v>
          </cell>
        </row>
        <row r="29">
          <cell r="A29" t="str">
            <v>D-RHNS_KEV_WOD_ELC_CHP</v>
          </cell>
          <cell r="B29" t="str">
            <v>VAR_fin</v>
          </cell>
          <cell r="C29" t="str">
            <v>RHNS_KEV_WOD_ELC_CHP</v>
          </cell>
          <cell r="H29">
            <v>6.9005592352121097E-4</v>
          </cell>
          <cell r="I29">
            <v>5.4399878338512431E-4</v>
          </cell>
          <cell r="J29">
            <v>3.3964870004390209E-4</v>
          </cell>
        </row>
        <row r="30">
          <cell r="A30" t="str">
            <v>RHSA-WHWODBR</v>
          </cell>
          <cell r="B30" t="str">
            <v>VAR_fout</v>
          </cell>
          <cell r="C30" t="str">
            <v>RHSA-WHWOD</v>
          </cell>
          <cell r="H30">
            <v>1.3677348029095104</v>
          </cell>
          <cell r="I30">
            <v>1.3807075933103576</v>
          </cell>
          <cell r="J30">
            <v>1.3662565798002113</v>
          </cell>
        </row>
        <row r="31">
          <cell r="A31" t="str">
            <v>RHSA-WHWODBR</v>
          </cell>
          <cell r="B31" t="str">
            <v>VAR_fin</v>
          </cell>
          <cell r="C31" t="str">
            <v>RWOD</v>
          </cell>
          <cell r="H31">
            <v>2.9799243785328065</v>
          </cell>
          <cell r="I31">
            <v>2.9568255523794083</v>
          </cell>
          <cell r="J31">
            <v>2.8234990664775745</v>
          </cell>
        </row>
        <row r="32">
          <cell r="A32" t="str">
            <v>RHSA-WHWODBR</v>
          </cell>
          <cell r="B32" t="str">
            <v>VAR_ncap</v>
          </cell>
          <cell r="C32" t="str">
            <v>-</v>
          </cell>
          <cell r="H32">
            <v>3.7562004273725601E-2</v>
          </cell>
          <cell r="I32">
            <v>4.5007674989370201E-2</v>
          </cell>
          <cell r="J32">
            <v>4.4837110193209698E-2</v>
          </cell>
        </row>
        <row r="33">
          <cell r="A33" t="str">
            <v>RHSA-WHWODBR</v>
          </cell>
          <cell r="B33" t="str">
            <v>VAR_cap</v>
          </cell>
          <cell r="C33" t="str">
            <v>-</v>
          </cell>
          <cell r="H33">
            <v>9.350082483680322E-2</v>
          </cell>
          <cell r="I33">
            <v>9.4381876209819984E-2</v>
          </cell>
          <cell r="J33">
            <v>9.3389047314585277E-2</v>
          </cell>
        </row>
        <row r="34">
          <cell r="A34" t="str">
            <v>RHES-SHWODBR</v>
          </cell>
          <cell r="B34" t="str">
            <v>VAR_fout</v>
          </cell>
          <cell r="C34" t="str">
            <v>RHES-SHWOD</v>
          </cell>
          <cell r="H34">
            <v>3.9855870782841469</v>
          </cell>
          <cell r="I34">
            <v>3.37141204163435</v>
          </cell>
          <cell r="J34">
            <v>2.2161075090557065</v>
          </cell>
        </row>
        <row r="35">
          <cell r="A35" t="str">
            <v>RHES-SHWODBR</v>
          </cell>
          <cell r="B35" t="str">
            <v>VAR_fin</v>
          </cell>
          <cell r="C35" t="str">
            <v>RWOD</v>
          </cell>
          <cell r="H35">
            <v>5.4283256335960539</v>
          </cell>
          <cell r="I35">
            <v>4.5645941368711824</v>
          </cell>
          <cell r="J35">
            <v>2.9628330334364366</v>
          </cell>
        </row>
        <row r="36">
          <cell r="A36" t="str">
            <v>RHES-SHWODBR</v>
          </cell>
          <cell r="B36" t="str">
            <v>VAR_ncap</v>
          </cell>
          <cell r="C36" t="str">
            <v>-</v>
          </cell>
          <cell r="H36">
            <v>0.19905767617689701</v>
          </cell>
          <cell r="I36">
            <v>7.2663140371168999E-2</v>
          </cell>
          <cell r="J36">
            <v>4.2109909414625502E-2</v>
          </cell>
        </row>
        <row r="37">
          <cell r="A37" t="str">
            <v>RHES-SHWODBR</v>
          </cell>
          <cell r="B37" t="str">
            <v>VAR_cap</v>
          </cell>
          <cell r="C37" t="str">
            <v>-</v>
          </cell>
          <cell r="H37">
            <v>0.32201244108884042</v>
          </cell>
          <cell r="I37">
            <v>0.27247306027167473</v>
          </cell>
          <cell r="J37">
            <v>0.17904422858953073</v>
          </cell>
          <cell r="L37"/>
          <cell r="M37"/>
          <cell r="N37"/>
        </row>
        <row r="38">
          <cell r="A38" t="str">
            <v>SCOM-SHWODBR</v>
          </cell>
          <cell r="B38" t="str">
            <v>VAR_fout</v>
          </cell>
          <cell r="C38" t="str">
            <v>SCOM-SHWOD</v>
          </cell>
          <cell r="H38">
            <v>6.9545775395643314</v>
          </cell>
          <cell r="I38">
            <v>6.3572619553261109</v>
          </cell>
          <cell r="J38">
            <v>5.4117541431659379</v>
          </cell>
          <cell r="L38"/>
          <cell r="M38"/>
          <cell r="N38"/>
        </row>
        <row r="39">
          <cell r="A39" t="str">
            <v>SCOM-SHWODBR</v>
          </cell>
          <cell r="B39" t="str">
            <v>VAR_fin</v>
          </cell>
          <cell r="C39" t="str">
            <v>SWOD</v>
          </cell>
          <cell r="H39">
            <v>10.255334275899907</v>
          </cell>
          <cell r="I39">
            <v>9.374522903862049</v>
          </cell>
          <cell r="J39">
            <v>7.9573090916298508</v>
          </cell>
        </row>
        <row r="40">
          <cell r="A40" t="str">
            <v>SCOM-SHWODBR</v>
          </cell>
          <cell r="B40" t="str">
            <v>VAR_ncap</v>
          </cell>
          <cell r="C40" t="str">
            <v>-</v>
          </cell>
          <cell r="H40">
            <v>0.386343794052316</v>
          </cell>
          <cell r="I40">
            <v>0.107287551454297</v>
          </cell>
          <cell r="J40">
            <v>0.18089516498709399</v>
          </cell>
        </row>
        <row r="41">
          <cell r="A41" t="str">
            <v>SCOM-SHWODBR</v>
          </cell>
          <cell r="B41" t="str">
            <v>VAR_cap</v>
          </cell>
          <cell r="C41" t="str">
            <v>-</v>
          </cell>
          <cell r="H41">
            <v>0.53780304873890639</v>
          </cell>
          <cell r="I41">
            <v>0.49363151554958795</v>
          </cell>
          <cell r="J41">
            <v>0.42217825330798298</v>
          </cell>
        </row>
        <row r="42">
          <cell r="A42" t="str">
            <v>ITOT-SWHLTHCHP</v>
          </cell>
          <cell r="B42" t="str">
            <v>VAR_fout</v>
          </cell>
          <cell r="C42" t="str">
            <v>ITOT-SWH</v>
          </cell>
          <cell r="H42">
            <v>6.8072615333528157</v>
          </cell>
          <cell r="I42">
            <v>7.1962420304883716</v>
          </cell>
          <cell r="J42">
            <v>8.2132821892442252</v>
          </cell>
        </row>
        <row r="43">
          <cell r="A43" t="str">
            <v>ITOT-SWHLTHCHP</v>
          </cell>
          <cell r="B43" t="str">
            <v>VAR_fin</v>
          </cell>
          <cell r="C43" t="str">
            <v>ITOTLTHCHPC</v>
          </cell>
          <cell r="H43">
            <v>6.8072615333528157</v>
          </cell>
          <cell r="I43">
            <v>7.1962420304883716</v>
          </cell>
          <cell r="J43">
            <v>8.2132821892442252</v>
          </cell>
        </row>
        <row r="44">
          <cell r="A44" t="str">
            <v>ITOT-SWHLTHCHP</v>
          </cell>
          <cell r="B44" t="str">
            <v>VAR_fin</v>
          </cell>
          <cell r="C44" t="str">
            <v>ITOT_LTH_CHP_ON</v>
          </cell>
          <cell r="H44">
            <v>7.2469559034733404</v>
          </cell>
          <cell r="I44">
            <v>7.6208992665345301</v>
          </cell>
          <cell r="J44">
            <v>8.6455601992044517</v>
          </cell>
          <cell r="L44"/>
        </row>
        <row r="45">
          <cell r="A45" t="str">
            <v>ITOT-SWHLTHCHP</v>
          </cell>
          <cell r="B45" t="str">
            <v>VAR_ncap</v>
          </cell>
          <cell r="C45" t="str">
            <v>-</v>
          </cell>
          <cell r="H45">
            <v>0.23061982091123201</v>
          </cell>
          <cell r="I45">
            <v>0.16874420504686799</v>
          </cell>
          <cell r="J45">
            <v>0.28097707102119701</v>
          </cell>
        </row>
        <row r="46">
          <cell r="A46" t="str">
            <v>ITOT-SWHLTHCHP</v>
          </cell>
          <cell r="B46" t="str">
            <v>VAR_cap</v>
          </cell>
          <cell r="C46" t="str">
            <v>-</v>
          </cell>
          <cell r="H46">
            <v>0.40169187219964103</v>
          </cell>
          <cell r="I46">
            <v>0.42781047959250579</v>
          </cell>
          <cell r="J46">
            <v>0.47312604450964219</v>
          </cell>
        </row>
        <row r="47">
          <cell r="A47" t="str">
            <v>RHSA-WHSTG-NGAHP</v>
          </cell>
          <cell r="B47" t="str">
            <v>VAR_fout</v>
          </cell>
          <cell r="C47" t="str">
            <v>RHSA-WHANGAH</v>
          </cell>
          <cell r="H47">
            <v>0.18107477517818443</v>
          </cell>
          <cell r="I47">
            <v>0.23603631206585413</v>
          </cell>
          <cell r="J47">
            <v>0.54519370083324181</v>
          </cell>
        </row>
        <row r="48">
          <cell r="A48" t="str">
            <v>RHSA-WHSTG-NGAHP</v>
          </cell>
          <cell r="B48" t="str">
            <v>VAR_fout</v>
          </cell>
          <cell r="C48" t="str">
            <v>AUX_RHSA-WHSTG-NGAHP_OUT</v>
          </cell>
          <cell r="H48">
            <v>0.18125584995336255</v>
          </cell>
          <cell r="I48">
            <v>0.23627234837792005</v>
          </cell>
          <cell r="J48">
            <v>0.5457388945340752</v>
          </cell>
        </row>
        <row r="49">
          <cell r="A49" t="str">
            <v>RHSA-WHSTG-NGAHP</v>
          </cell>
          <cell r="B49" t="str">
            <v>VAR_fin</v>
          </cell>
          <cell r="C49" t="str">
            <v>RHSA-WHANGAH</v>
          </cell>
          <cell r="H49">
            <v>0.18107800223843964</v>
          </cell>
          <cell r="I49">
            <v>0.2360378030528176</v>
          </cell>
          <cell r="J49">
            <v>0.54519644536586387</v>
          </cell>
        </row>
        <row r="50">
          <cell r="A50" t="str">
            <v>RHSA-WHSTG-NGAHP</v>
          </cell>
          <cell r="B50" t="str">
            <v>VAR_ncap</v>
          </cell>
          <cell r="C50" t="str">
            <v>-</v>
          </cell>
          <cell r="H50">
            <v>1.5853640482337401E-2</v>
          </cell>
          <cell r="I50">
            <v>3.2229972978070003E-2</v>
          </cell>
          <cell r="J50">
            <v>6.43449175961847E-2</v>
          </cell>
        </row>
        <row r="51">
          <cell r="A51" t="str">
            <v>RHSA-WHSTG-NGAHP</v>
          </cell>
          <cell r="B51" t="str">
            <v>VAR_cap</v>
          </cell>
          <cell r="C51" t="str">
            <v>-</v>
          </cell>
          <cell r="H51">
            <v>4.9969691102449552E-2</v>
          </cell>
          <cell r="I51">
            <v>6.4271128144695822E-2</v>
          </cell>
          <cell r="J51">
            <v>9.4402687849142103E-2</v>
          </cell>
        </row>
        <row r="52">
          <cell r="A52" t="str">
            <v>D-RES_LTH</v>
          </cell>
          <cell r="B52" t="str">
            <v>VAR_fout</v>
          </cell>
          <cell r="C52" t="str">
            <v>RHNS_LTH_DH</v>
          </cell>
          <cell r="H52">
            <v>9.3928314338935521E-3</v>
          </cell>
          <cell r="I52">
            <v>1.1331288405578165E-2</v>
          </cell>
          <cell r="J52">
            <v>1.4099937916506303E-2</v>
          </cell>
        </row>
        <row r="53">
          <cell r="A53" t="str">
            <v>D-RES_LTH</v>
          </cell>
          <cell r="B53" t="str">
            <v>VAR_fout</v>
          </cell>
          <cell r="C53" t="str">
            <v>RHEM_LTH_DH</v>
          </cell>
          <cell r="H53">
            <v>5.5385461181734943</v>
          </cell>
          <cell r="I53">
            <v>5.5595977500364056</v>
          </cell>
          <cell r="J53">
            <v>5.6103637538575919</v>
          </cell>
        </row>
        <row r="54">
          <cell r="A54" t="str">
            <v>D-RES_LTH</v>
          </cell>
          <cell r="B54" t="str">
            <v>VAR_fout</v>
          </cell>
          <cell r="C54" t="str">
            <v>RHES_LTH_DH</v>
          </cell>
          <cell r="H54">
            <v>1.8359230887253921</v>
          </cell>
          <cell r="I54">
            <v>1.8538254792710986</v>
          </cell>
          <cell r="J54">
            <v>1.8833084323074547</v>
          </cell>
        </row>
        <row r="55">
          <cell r="A55" t="str">
            <v>D-RES_LTH</v>
          </cell>
          <cell r="B55" t="str">
            <v>VAR_fout</v>
          </cell>
          <cell r="C55" t="str">
            <v>RHSA_LTH</v>
          </cell>
          <cell r="H55">
            <v>0.28692861022692334</v>
          </cell>
          <cell r="I55">
            <v>1.2596559168796267E-4</v>
          </cell>
          <cell r="J55">
            <v>1.0848739061888574E-4</v>
          </cell>
        </row>
        <row r="56">
          <cell r="A56" t="str">
            <v>D-RES_LTH</v>
          </cell>
          <cell r="B56" t="str">
            <v>VAR_fout</v>
          </cell>
          <cell r="C56" t="str">
            <v>RHNM_LTH_DH</v>
          </cell>
          <cell r="H56">
            <v>0.16535435965642903</v>
          </cell>
          <cell r="I56">
            <v>0.19649085500872171</v>
          </cell>
          <cell r="J56">
            <v>0.25072408750483605</v>
          </cell>
        </row>
        <row r="57">
          <cell r="A57" t="str">
            <v>D-RES_LTH</v>
          </cell>
          <cell r="B57" t="str">
            <v>VAR_fin</v>
          </cell>
          <cell r="C57" t="str">
            <v>LTH</v>
          </cell>
          <cell r="H57">
            <v>8.5789369378746478</v>
          </cell>
          <cell r="I57">
            <v>8.3132437569948898</v>
          </cell>
          <cell r="J57">
            <v>8.4013914440842541</v>
          </cell>
        </row>
        <row r="58">
          <cell r="A58" t="str">
            <v>D-RES_LTH</v>
          </cell>
          <cell r="B58" t="str">
            <v>VAR_ncap</v>
          </cell>
          <cell r="C58" t="str">
            <v>-</v>
          </cell>
          <cell r="H58">
            <v>7.1257060911548502E-8</v>
          </cell>
          <cell r="I58">
            <v>6.5124809252870494E-8</v>
          </cell>
          <cell r="J58">
            <v>8.27560197344481E-8</v>
          </cell>
        </row>
        <row r="59">
          <cell r="A59" t="str">
            <v>D-RES_LTH</v>
          </cell>
          <cell r="B59" t="str">
            <v>VAR_cap</v>
          </cell>
          <cell r="C59" t="str">
            <v>-</v>
          </cell>
          <cell r="H59">
            <v>0.62767454418353796</v>
          </cell>
          <cell r="I59">
            <v>0.62767460930834695</v>
          </cell>
          <cell r="J59">
            <v>0.62767469206436699</v>
          </cell>
        </row>
        <row r="60">
          <cell r="A60" t="str">
            <v>D-RHEM_NKEV_GAS_ELC_CHP</v>
          </cell>
          <cell r="B60" t="str">
            <v>VAR_fout</v>
          </cell>
          <cell r="C60" t="str">
            <v>ELC5</v>
          </cell>
          <cell r="H60">
            <v>1.2693732596355722E-3</v>
          </cell>
          <cell r="I60">
            <v>9.9378667852547905E-4</v>
          </cell>
          <cell r="J60">
            <v>5.9238607570881018E-4</v>
          </cell>
        </row>
        <row r="61">
          <cell r="A61" t="str">
            <v>D-RHEM_NKEV_GAS_ELC_CHP</v>
          </cell>
          <cell r="B61" t="str">
            <v>VAR_fout</v>
          </cell>
          <cell r="C61" t="str">
            <v>RHEM_ELC</v>
          </cell>
          <cell r="H61">
            <v>0.59787944267795523</v>
          </cell>
          <cell r="I61">
            <v>1.9286902346465167</v>
          </cell>
          <cell r="J61">
            <v>2.1980061395891703</v>
          </cell>
        </row>
        <row r="62">
          <cell r="A62" t="str">
            <v>D-RHEM_NKEV_GAS_ELC_CHP</v>
          </cell>
          <cell r="B62" t="str">
            <v>VAR_fin</v>
          </cell>
          <cell r="C62" t="str">
            <v>RHEM_NKEV_GAS_ELC_CHP</v>
          </cell>
          <cell r="H62">
            <v>0.59914881593759017</v>
          </cell>
          <cell r="I62">
            <v>1.9296840213250424</v>
          </cell>
          <cell r="J62">
            <v>2.1985985256648757</v>
          </cell>
        </row>
        <row r="63">
          <cell r="A63" t="str">
            <v>SCOM-SHDEM</v>
          </cell>
          <cell r="B63" t="str">
            <v>VAR_fout</v>
          </cell>
          <cell r="C63" t="str">
            <v>SCOM-SHD</v>
          </cell>
          <cell r="H63">
            <v>61.971338622669755</v>
          </cell>
          <cell r="I63">
            <v>61.368546683361288</v>
          </cell>
          <cell r="J63">
            <v>60.686854404054465</v>
          </cell>
        </row>
        <row r="64">
          <cell r="A64" t="str">
            <v>SCOM-SHDEM</v>
          </cell>
          <cell r="B64" t="str">
            <v>VAR_fin</v>
          </cell>
          <cell r="C64" t="str">
            <v>SCOM-SHCON</v>
          </cell>
          <cell r="H64">
            <v>5.8133876171092123</v>
          </cell>
          <cell r="I64">
            <v>7.5035594767884968</v>
          </cell>
          <cell r="J64">
            <v>10.660228194297318</v>
          </cell>
        </row>
        <row r="65">
          <cell r="A65" t="str">
            <v>SCOM-SHDEM</v>
          </cell>
          <cell r="B65" t="str">
            <v>VAR_fin</v>
          </cell>
          <cell r="C65" t="str">
            <v>SCOM-SHWOD</v>
          </cell>
          <cell r="H65">
            <v>6.9545775395643314</v>
          </cell>
          <cell r="I65">
            <v>6.3572619553261109</v>
          </cell>
          <cell r="J65">
            <v>5.4117541431659379</v>
          </cell>
        </row>
        <row r="66">
          <cell r="A66" t="str">
            <v>SCOM-SHDEM</v>
          </cell>
          <cell r="B66" t="str">
            <v>VAR_fin</v>
          </cell>
          <cell r="C66" t="str">
            <v>SCOM-SHLTHD</v>
          </cell>
          <cell r="H66">
            <v>6.1558639738586045</v>
          </cell>
          <cell r="I66">
            <v>6.4604721743261022</v>
          </cell>
          <cell r="J66">
            <v>6.9088033925748551</v>
          </cell>
        </row>
        <row r="67">
          <cell r="A67" t="str">
            <v>SCOM-SHDEM</v>
          </cell>
          <cell r="B67" t="str">
            <v>VAR_fin</v>
          </cell>
          <cell r="C67" t="str">
            <v>SCOM-SHELCB</v>
          </cell>
          <cell r="H67">
            <v>0.2977923801973823</v>
          </cell>
          <cell r="I67">
            <v>0.27133566124403213</v>
          </cell>
          <cell r="J67">
            <v>0.20510421233179216</v>
          </cell>
        </row>
        <row r="68">
          <cell r="A68" t="str">
            <v>SCOM-SHDEM</v>
          </cell>
          <cell r="B68" t="str">
            <v>VAR_fin</v>
          </cell>
          <cell r="C68" t="str">
            <v>SCOM-SHBIO</v>
          </cell>
          <cell r="H68"/>
          <cell r="I68"/>
          <cell r="J68"/>
        </row>
        <row r="69">
          <cell r="A69" t="str">
            <v>SCOM-SHDEM</v>
          </cell>
          <cell r="B69" t="str">
            <v>VAR_fin</v>
          </cell>
          <cell r="C69" t="str">
            <v>SCOM-SHELCH</v>
          </cell>
          <cell r="H69">
            <v>9.2623121118792735</v>
          </cell>
          <cell r="I69">
            <v>11.024672368107959</v>
          </cell>
          <cell r="J69">
            <v>14.990894883727451</v>
          </cell>
        </row>
        <row r="70">
          <cell r="A70" t="str">
            <v>SCOM-SHDEM</v>
          </cell>
          <cell r="B70" t="str">
            <v>VAR_fin</v>
          </cell>
          <cell r="C70" t="str">
            <v>SCOM-SHPLT</v>
          </cell>
          <cell r="H70">
            <v>0.96352869344663417</v>
          </cell>
          <cell r="I70">
            <v>1.0813122182488355</v>
          </cell>
          <cell r="J70">
            <v>1.3684071323422442</v>
          </cell>
        </row>
        <row r="71">
          <cell r="A71" t="str">
            <v>SCOM-SHDEM</v>
          </cell>
          <cell r="B71" t="str">
            <v>VAR_fin</v>
          </cell>
          <cell r="C71" t="str">
            <v>SCOM-SHLTHC-NGA</v>
          </cell>
          <cell r="H71"/>
          <cell r="I71"/>
          <cell r="J71"/>
        </row>
        <row r="72">
          <cell r="A72" t="str">
            <v>SCOM-SHDEM</v>
          </cell>
          <cell r="B72" t="str">
            <v>VAR_fin</v>
          </cell>
          <cell r="C72" t="str">
            <v>SCOM-SHSOL</v>
          </cell>
          <cell r="H72">
            <v>0.67911864990722803</v>
          </cell>
          <cell r="I72">
            <v>0.73654599383806663</v>
          </cell>
          <cell r="J72">
            <v>0.85947811292685927</v>
          </cell>
        </row>
        <row r="73">
          <cell r="A73" t="str">
            <v>SCOM-SHDEM</v>
          </cell>
          <cell r="B73" t="str">
            <v>VAR_fin</v>
          </cell>
          <cell r="C73" t="str">
            <v>SCOM-SHNGA</v>
          </cell>
          <cell r="H73">
            <v>14.896030144103275</v>
          </cell>
          <cell r="I73">
            <v>12.310991922394866</v>
          </cell>
          <cell r="J73">
            <v>7.3182989577441138</v>
          </cell>
        </row>
        <row r="74">
          <cell r="A74" t="str">
            <v>SCOM-SHDEM</v>
          </cell>
          <cell r="B74" t="str">
            <v>VAR_fin</v>
          </cell>
          <cell r="C74" t="str">
            <v>SCOM-SHNGAH</v>
          </cell>
          <cell r="H74">
            <v>4.6187575846662803</v>
          </cell>
          <cell r="I74">
            <v>5.7006307106716818</v>
          </cell>
          <cell r="J74">
            <v>8.2417582576781729</v>
          </cell>
        </row>
        <row r="75">
          <cell r="A75" t="str">
            <v>SCOM-SHDEM</v>
          </cell>
          <cell r="B75" t="str">
            <v>VAR_fin</v>
          </cell>
          <cell r="C75" t="str">
            <v>SCOM-SHLTHC-BIO</v>
          </cell>
          <cell r="H75"/>
          <cell r="I75"/>
          <cell r="J75"/>
        </row>
        <row r="76">
          <cell r="A76" t="str">
            <v>SCOM-SHDEM</v>
          </cell>
          <cell r="B76" t="str">
            <v>VAR_fin</v>
          </cell>
          <cell r="C76" t="str">
            <v>SCOM-SHLFO</v>
          </cell>
          <cell r="H76">
            <v>12.329969927937579</v>
          </cell>
          <cell r="I76">
            <v>9.9217642024151402</v>
          </cell>
          <cell r="J76">
            <v>4.7221271172657175</v>
          </cell>
        </row>
        <row r="77">
          <cell r="A77" t="str">
            <v>ITOT-SWHSTG-NGAHP</v>
          </cell>
          <cell r="B77" t="str">
            <v>VAR_fout</v>
          </cell>
          <cell r="C77" t="str">
            <v>ITOT-SWHANGAH</v>
          </cell>
          <cell r="H77">
            <v>1.2271391896955114E-3</v>
          </cell>
          <cell r="I77">
            <v>1.1421929524113154E-3</v>
          </cell>
          <cell r="J77">
            <v>1.0621363792258619E-3</v>
          </cell>
        </row>
        <row r="78">
          <cell r="A78" t="str">
            <v>ITOT-SWHSTG-NGAHP</v>
          </cell>
          <cell r="B78" t="str">
            <v>VAR_fin</v>
          </cell>
          <cell r="C78" t="str">
            <v>ITOT-SWHANGAH</v>
          </cell>
          <cell r="H78">
            <v>1.4830321622516993E-3</v>
          </cell>
          <cell r="I78">
            <v>1.3387355947696723E-3</v>
          </cell>
          <cell r="J78">
            <v>1.1770476332206943E-3</v>
          </cell>
        </row>
        <row r="79">
          <cell r="A79" t="str">
            <v>ITOT-SWHSTG-NGAHP</v>
          </cell>
          <cell r="B79" t="str">
            <v>VAR_ncap</v>
          </cell>
          <cell r="C79" t="str">
            <v>-</v>
          </cell>
          <cell r="H79">
            <v>4.29694990443446E-5</v>
          </cell>
          <cell r="I79">
            <v>2.6449418531110502E-3</v>
          </cell>
          <cell r="J79">
            <v>5.1519761052153405E-4</v>
          </cell>
        </row>
        <row r="80">
          <cell r="A80" t="str">
            <v>ITOT-SWHSTG-NGAHP</v>
          </cell>
          <cell r="B80" t="str">
            <v>VAR_cap</v>
          </cell>
          <cell r="C80" t="str">
            <v>-</v>
          </cell>
          <cell r="H80">
            <v>4.0412204525522495E-4</v>
          </cell>
          <cell r="I80">
            <v>2.7728170474908011E-3</v>
          </cell>
          <cell r="J80">
            <v>2.4186116244354836E-3</v>
          </cell>
        </row>
        <row r="81">
          <cell r="A81" t="str">
            <v>ITOT-STG-ELCSPEC</v>
          </cell>
          <cell r="B81" t="str">
            <v>VAR_fout</v>
          </cell>
          <cell r="C81" t="str">
            <v>ITOT-ELS</v>
          </cell>
          <cell r="H81">
            <v>2.9341401224842627E-2</v>
          </cell>
          <cell r="I81">
            <v>2.9468700308141638E-2</v>
          </cell>
          <cell r="J81">
            <v>3.0032889223054676E-2</v>
          </cell>
        </row>
        <row r="82">
          <cell r="A82" t="str">
            <v>ITOT-STG-ELCSPEC</v>
          </cell>
          <cell r="B82" t="str">
            <v>VAR_fin</v>
          </cell>
          <cell r="C82" t="str">
            <v>ITOT-ELS</v>
          </cell>
          <cell r="H82">
            <v>2.9342233001538168E-2</v>
          </cell>
          <cell r="I82">
            <v>2.9469189590015585E-2</v>
          </cell>
          <cell r="J82">
            <v>3.0033439831352905E-2</v>
          </cell>
        </row>
        <row r="83">
          <cell r="A83" t="str">
            <v>ITOT-STG-ELCSPEC</v>
          </cell>
          <cell r="B83" t="str">
            <v>VAR_ncap</v>
          </cell>
          <cell r="C83" t="str">
            <v>-</v>
          </cell>
          <cell r="H83">
            <v>1.27527458354707E-4</v>
          </cell>
          <cell r="I83">
            <v>3.98682744289975E-4</v>
          </cell>
          <cell r="J83">
            <v>5.8627559036464804E-4</v>
          </cell>
        </row>
        <row r="84">
          <cell r="A84" t="str">
            <v>ITOT-STG-ELCSPEC</v>
          </cell>
          <cell r="B84" t="str">
            <v>VAR_cap</v>
          </cell>
          <cell r="C84" t="str">
            <v>-</v>
          </cell>
          <cell r="H84">
            <v>1.0823855824783615E-3</v>
          </cell>
          <cell r="I84">
            <v>1.0836983074883543E-3</v>
          </cell>
          <cell r="J84">
            <v>1.087015244425812E-3</v>
          </cell>
        </row>
        <row r="85">
          <cell r="A85" t="str">
            <v>D-RHES_LTH_CHPNGA</v>
          </cell>
          <cell r="B85" t="str">
            <v>VAR_fout</v>
          </cell>
          <cell r="C85" t="str">
            <v>RHSA_LTH</v>
          </cell>
          <cell r="H85">
            <v>6.2409629063090626E-3</v>
          </cell>
          <cell r="I85">
            <v>1.0336096718537519E-3</v>
          </cell>
          <cell r="J85">
            <v>9.3990059510302591E-4</v>
          </cell>
        </row>
        <row r="86">
          <cell r="A86" t="str">
            <v>D-RHES_LTH_CHPNGA</v>
          </cell>
          <cell r="B86" t="str">
            <v>VAR_fout</v>
          </cell>
          <cell r="C86" t="str">
            <v>LTH</v>
          </cell>
          <cell r="H86">
            <v>6.8412704267368019E-6</v>
          </cell>
          <cell r="I86">
            <v>1.4229440271427696E-6</v>
          </cell>
          <cell r="J86">
            <v>3.3266707620251828E-7</v>
          </cell>
        </row>
        <row r="87">
          <cell r="A87" t="str">
            <v>D-RHES_LTH_CHPNGA</v>
          </cell>
          <cell r="B87" t="str">
            <v>VAR_fout</v>
          </cell>
          <cell r="C87" t="str">
            <v>RHES_LTH_CHPNGA_ON</v>
          </cell>
          <cell r="H87">
            <v>1.3650692683373337E-3</v>
          </cell>
          <cell r="I87">
            <v>1.0678534423198599E-3</v>
          </cell>
          <cell r="J87"/>
          <cell r="L87"/>
        </row>
        <row r="88">
          <cell r="A88" t="str">
            <v>D-RHES_LTH_CHPNGA</v>
          </cell>
          <cell r="B88" t="str">
            <v>VAR_fin</v>
          </cell>
          <cell r="C88" t="str">
            <v>RHES_LTH_CHPNGA</v>
          </cell>
          <cell r="H88">
            <v>7.6134134452720712E-3</v>
          </cell>
          <cell r="I88">
            <v>2.1041883934001253E-3</v>
          </cell>
          <cell r="J88">
            <v>9.4176821222028263E-4</v>
          </cell>
        </row>
        <row r="89">
          <cell r="A89" t="str">
            <v>D-ICOA</v>
          </cell>
          <cell r="B89" t="str">
            <v>VAR_fout</v>
          </cell>
          <cell r="C89" t="str">
            <v>ICOA</v>
          </cell>
          <cell r="H89">
            <v>1.042406781341394E-3</v>
          </cell>
          <cell r="I89">
            <v>6.9834283561204908E-4</v>
          </cell>
          <cell r="J89">
            <v>3.697954643951093E-4</v>
          </cell>
        </row>
        <row r="90">
          <cell r="A90" t="str">
            <v>D-ICOA</v>
          </cell>
          <cell r="B90" t="str">
            <v>VAR_fout</v>
          </cell>
          <cell r="C90" t="str">
            <v>CO2</v>
          </cell>
          <cell r="H90">
            <v>9.6631108630347198E-2</v>
          </cell>
          <cell r="I90">
            <v>6.4736380861236897E-2</v>
          </cell>
          <cell r="J90">
            <v>3.42800395494266E-2</v>
          </cell>
        </row>
        <row r="91">
          <cell r="A91" t="str">
            <v>D-ICOA</v>
          </cell>
          <cell r="B91" t="str">
            <v>VAR_fin</v>
          </cell>
          <cell r="C91" t="str">
            <v>COA</v>
          </cell>
          <cell r="H91">
            <v>1.042406781341394E-3</v>
          </cell>
          <cell r="I91">
            <v>6.9834283561204908E-4</v>
          </cell>
          <cell r="J91">
            <v>3.697954643951093E-4</v>
          </cell>
        </row>
        <row r="92">
          <cell r="A92" t="str">
            <v>RHEM-SHCONBR1</v>
          </cell>
          <cell r="B92" t="str">
            <v>VAR_fout</v>
          </cell>
          <cell r="C92" t="str">
            <v>RHEM-SHCON</v>
          </cell>
          <cell r="H92">
            <v>2.798005880902577</v>
          </cell>
          <cell r="I92">
            <v>3.0480930993123261</v>
          </cell>
          <cell r="J92">
            <v>4.2470246854451643</v>
          </cell>
        </row>
        <row r="93">
          <cell r="A93" t="str">
            <v>RHEM-SHCONBR1</v>
          </cell>
          <cell r="B93" t="str">
            <v>VAR_fin</v>
          </cell>
          <cell r="C93" t="str">
            <v>CON</v>
          </cell>
          <cell r="H93">
            <v>2.798005880902577</v>
          </cell>
          <cell r="I93">
            <v>3.0480930993123261</v>
          </cell>
          <cell r="J93">
            <v>4.2470246854451643</v>
          </cell>
        </row>
        <row r="94">
          <cell r="A94" t="str">
            <v>RHEM-SHCONBR1</v>
          </cell>
          <cell r="B94" t="str">
            <v>VAR_ncap</v>
          </cell>
          <cell r="C94" t="str">
            <v>-</v>
          </cell>
          <cell r="H94">
            <v>8.1504283079407297E-2</v>
          </cell>
          <cell r="I94">
            <v>1.76567058634996E-2</v>
          </cell>
          <cell r="J94">
            <v>0.110016868361308</v>
          </cell>
        </row>
        <row r="95">
          <cell r="A95" t="str">
            <v>RHEM-SHCONBR1</v>
          </cell>
          <cell r="B95" t="str">
            <v>VAR_cap</v>
          </cell>
          <cell r="C95" t="str">
            <v>-</v>
          </cell>
          <cell r="H95">
            <v>0.19758545359380494</v>
          </cell>
          <cell r="I95">
            <v>0.21524217787334968</v>
          </cell>
          <cell r="J95">
            <v>0.29990072857853689</v>
          </cell>
        </row>
        <row r="96">
          <cell r="A96" t="str">
            <v>RHEM-SHELCBR</v>
          </cell>
          <cell r="B96" t="str">
            <v>VAR_fout</v>
          </cell>
          <cell r="C96" t="str">
            <v>RHEM-SHAELCB</v>
          </cell>
          <cell r="H96">
            <v>5.7729518820312771E-3</v>
          </cell>
          <cell r="I96">
            <v>4.1920369174648303E-3</v>
          </cell>
          <cell r="J96">
            <v>3.4534098853019612E-3</v>
          </cell>
        </row>
        <row r="97">
          <cell r="A97" t="str">
            <v>RHEM-SHELCBR</v>
          </cell>
          <cell r="B97" t="str">
            <v>VAR_fin</v>
          </cell>
          <cell r="C97" t="str">
            <v>RHEM_ELC</v>
          </cell>
          <cell r="H97">
            <v>6.1304618188972593E-3</v>
          </cell>
          <cell r="I97">
            <v>4.4516432478705226E-3</v>
          </cell>
          <cell r="J97">
            <v>3.6645765105500602E-3</v>
          </cell>
        </row>
        <row r="98">
          <cell r="A98" t="str">
            <v>RHEM-SHELCBR</v>
          </cell>
          <cell r="B98" t="str">
            <v>VAR_ncap</v>
          </cell>
          <cell r="C98" t="str">
            <v>-</v>
          </cell>
          <cell r="H98">
            <v>1.7510001983506E-4</v>
          </cell>
          <cell r="I98">
            <v>2.3676848817324699E-4</v>
          </cell>
          <cell r="J98">
            <v>1.13620554740707E-6</v>
          </cell>
        </row>
        <row r="99">
          <cell r="A99" t="str">
            <v>RHEM-SHELCBR</v>
          </cell>
          <cell r="B99" t="str">
            <v>VAR_cap</v>
          </cell>
          <cell r="C99" t="str">
            <v>-</v>
          </cell>
          <cell r="H99">
            <v>6.2461735753756298E-4</v>
          </cell>
          <cell r="I99">
            <v>4.1157808262124758E-4</v>
          </cell>
          <cell r="J99">
            <v>2.4379170855835588E-4</v>
          </cell>
        </row>
        <row r="100">
          <cell r="A100" t="str">
            <v>RHNM-SHLTHCHPNGA</v>
          </cell>
          <cell r="B100" t="str">
            <v>VAR_fout</v>
          </cell>
          <cell r="C100" t="str">
            <v>RHNM-SHLTHC-NGA</v>
          </cell>
          <cell r="H100"/>
          <cell r="I100"/>
          <cell r="J100"/>
        </row>
        <row r="101">
          <cell r="A101" t="str">
            <v>RHNM-SHLTHCHPNGA</v>
          </cell>
          <cell r="B101" t="str">
            <v>VAR_fin</v>
          </cell>
          <cell r="C101" t="str">
            <v>RHNMLTHCHPC</v>
          </cell>
          <cell r="H101"/>
          <cell r="I101"/>
          <cell r="J101"/>
        </row>
        <row r="102">
          <cell r="A102" t="str">
            <v>RHNM-SHLTHCHPNGA</v>
          </cell>
          <cell r="B102" t="str">
            <v>VAR_fin</v>
          </cell>
          <cell r="C102" t="str">
            <v>RHNM_LTH_CHPNGA_ON</v>
          </cell>
          <cell r="H102"/>
          <cell r="I102"/>
          <cell r="J102"/>
        </row>
        <row r="103">
          <cell r="A103" t="str">
            <v>RHNM-SHLTHCHPNGA</v>
          </cell>
          <cell r="B103" t="str">
            <v>VAR_ncap</v>
          </cell>
          <cell r="C103" t="str">
            <v>-</v>
          </cell>
          <cell r="H103">
            <v>2.6281238656624101E-2</v>
          </cell>
          <cell r="I103">
            <v>2.03175175080684E-2</v>
          </cell>
          <cell r="J103">
            <v>1.3502587069169601E-2</v>
          </cell>
        </row>
        <row r="104">
          <cell r="A104" t="str">
            <v>RHNM-SHLTHCHPNGA</v>
          </cell>
          <cell r="B104" t="str">
            <v>VAR_cap</v>
          </cell>
          <cell r="C104" t="str">
            <v>-</v>
          </cell>
          <cell r="H104">
            <v>4.3635503207640543E-2</v>
          </cell>
          <cell r="I104">
            <v>4.5726815003134608E-2</v>
          </cell>
          <cell r="J104">
            <v>2.6059764458696798E-2</v>
          </cell>
        </row>
        <row r="105">
          <cell r="A105" t="str">
            <v>RHEM-SHCONBR2</v>
          </cell>
          <cell r="B105" t="str">
            <v>VAR_fout</v>
          </cell>
          <cell r="C105" t="str">
            <v>RHEM-SHCON</v>
          </cell>
          <cell r="H105">
            <v>2.2156338209425459</v>
          </cell>
          <cell r="I105">
            <v>4.0246004493746055</v>
          </cell>
          <cell r="J105">
            <v>6.6148281301171092</v>
          </cell>
        </row>
        <row r="106">
          <cell r="A106" t="str">
            <v>RHEM-SHCONBR2</v>
          </cell>
          <cell r="B106" t="str">
            <v>VAR_fin</v>
          </cell>
          <cell r="C106" t="str">
            <v>CON</v>
          </cell>
          <cell r="H106">
            <v>2.2156338209425459</v>
          </cell>
          <cell r="I106">
            <v>4.0246004493746055</v>
          </cell>
          <cell r="J106">
            <v>6.6148281301171092</v>
          </cell>
        </row>
        <row r="107">
          <cell r="A107" t="str">
            <v>RHEM-SHCONBR2</v>
          </cell>
          <cell r="B107" t="str">
            <v>VAR_ncap</v>
          </cell>
          <cell r="C107" t="str">
            <v>-</v>
          </cell>
          <cell r="H107">
            <v>7.0317960098724694E-2</v>
          </cell>
          <cell r="I107">
            <v>0.12773470731351499</v>
          </cell>
          <cell r="J107">
            <v>0.222398667306107</v>
          </cell>
        </row>
        <row r="108">
          <cell r="A108" t="str">
            <v>RHEM-SHCONBR2</v>
          </cell>
          <cell r="B108" t="str">
            <v>VAR_cap</v>
          </cell>
          <cell r="C108" t="str">
            <v>-</v>
          </cell>
          <cell r="H108">
            <v>0.15646212937417858</v>
          </cell>
          <cell r="I108">
            <v>0.28419685537335265</v>
          </cell>
          <cell r="J108">
            <v>0.46709947324819473</v>
          </cell>
        </row>
        <row r="109">
          <cell r="A109" t="str">
            <v>D-RHSA_LTH</v>
          </cell>
          <cell r="B109" t="str">
            <v>VAR_fout</v>
          </cell>
          <cell r="C109" t="str">
            <v>RHSA_LTH</v>
          </cell>
          <cell r="H109">
            <v>1.02524576499354</v>
          </cell>
          <cell r="I109">
            <v>0.63776324519155136</v>
          </cell>
          <cell r="J109">
            <v>6.8540977478306359E-3</v>
          </cell>
        </row>
        <row r="110">
          <cell r="A110" t="str">
            <v>D-RHSA_LTH</v>
          </cell>
          <cell r="B110" t="str">
            <v>VAR_fin</v>
          </cell>
          <cell r="C110" t="str">
            <v>RHEM_LTH_CHPWOD_ON</v>
          </cell>
          <cell r="H110">
            <v>8.7251799529631038E-4</v>
          </cell>
          <cell r="I110">
            <v>1.0730980801128031E-3</v>
          </cell>
          <cell r="J110">
            <v>8.8470181234106158E-5</v>
          </cell>
        </row>
        <row r="111">
          <cell r="A111" t="str">
            <v>D-RHSA_LTH</v>
          </cell>
          <cell r="B111" t="str">
            <v>VAR_fin</v>
          </cell>
          <cell r="C111" t="str">
            <v>RHNM_LTH_CHPWOD_ON</v>
          </cell>
          <cell r="H111">
            <v>1.1558062267404733E-3</v>
          </cell>
          <cell r="I111">
            <v>4.095750262606309E-4</v>
          </cell>
          <cell r="J111"/>
        </row>
        <row r="112">
          <cell r="A112" t="str">
            <v>D-RHSA_LTH</v>
          </cell>
          <cell r="B112" t="str">
            <v>VAR_fin</v>
          </cell>
          <cell r="C112" t="str">
            <v>RHES_LTH_CHPWOD_ON</v>
          </cell>
          <cell r="H112">
            <v>2.4042068215782866E-4</v>
          </cell>
          <cell r="I112">
            <v>3.2937738234241218E-4</v>
          </cell>
          <cell r="J112"/>
        </row>
        <row r="113">
          <cell r="A113" t="str">
            <v>D-RHSA_LTH</v>
          </cell>
          <cell r="B113" t="str">
            <v>VAR_fin</v>
          </cell>
          <cell r="C113" t="str">
            <v>RHNS_LTH_CHPWOD_ON</v>
          </cell>
          <cell r="H113">
            <v>9.386615410958112E-4</v>
          </cell>
          <cell r="I113">
            <v>2.0939351915371659E-4</v>
          </cell>
          <cell r="J113"/>
        </row>
        <row r="114">
          <cell r="A114" t="str">
            <v>D-RHSA_LTH</v>
          </cell>
          <cell r="B114" t="str">
            <v>VAR_fin</v>
          </cell>
          <cell r="C114" t="str">
            <v>RHEM_LTH_CHPNGA_ON</v>
          </cell>
          <cell r="H114">
            <v>0.55913207237769591</v>
          </cell>
          <cell r="I114"/>
          <cell r="J114">
            <v>6.7656275665965299E-3</v>
          </cell>
        </row>
        <row r="115">
          <cell r="A115" t="str">
            <v>D-RHSA_LTH</v>
          </cell>
          <cell r="B115" t="str">
            <v>VAR_fin</v>
          </cell>
          <cell r="C115" t="str">
            <v>RHNM_LTH_CHPNGA_ON</v>
          </cell>
          <cell r="H115">
            <v>0.46122730306574439</v>
          </cell>
          <cell r="I115">
            <v>0.63314649103282761</v>
          </cell>
          <cell r="J115"/>
        </row>
        <row r="116">
          <cell r="A116" t="str">
            <v>D-RHSA_LTH</v>
          </cell>
          <cell r="B116" t="str">
            <v>VAR_fin</v>
          </cell>
          <cell r="C116" t="str">
            <v>RHES_LTH_CHPNGA_ON</v>
          </cell>
          <cell r="H116">
            <v>1.3650692683373337E-3</v>
          </cell>
          <cell r="I116">
            <v>1.0678534423198599E-3</v>
          </cell>
          <cell r="J116"/>
        </row>
        <row r="117">
          <cell r="A117" t="str">
            <v>D-RHSA_LTH</v>
          </cell>
          <cell r="B117" t="str">
            <v>VAR_fin</v>
          </cell>
          <cell r="C117" t="str">
            <v>RHNS_LTH_CHPNGA_ON</v>
          </cell>
          <cell r="H117">
            <v>3.1391383647224116E-4</v>
          </cell>
          <cell r="I117">
            <v>1.5274567085341452E-3</v>
          </cell>
          <cell r="J117"/>
        </row>
        <row r="118">
          <cell r="A118" t="str">
            <v>RHEM-SHLTHCHPWOD</v>
          </cell>
          <cell r="B118" t="str">
            <v>VAR_ncap</v>
          </cell>
          <cell r="C118" t="str">
            <v>-</v>
          </cell>
          <cell r="H118">
            <v>1.3900070361074401E-4</v>
          </cell>
          <cell r="I118">
            <v>7.6409483935048806E-5</v>
          </cell>
          <cell r="J118">
            <v>4.6725007709068502E-5</v>
          </cell>
        </row>
        <row r="119">
          <cell r="A119" t="str">
            <v>RHEM-SHLTHCHPWOD</v>
          </cell>
          <cell r="B119" t="str">
            <v>VAR_cap</v>
          </cell>
          <cell r="C119" t="str">
            <v>-</v>
          </cell>
          <cell r="H119">
            <v>1.8851345389328059E-4</v>
          </cell>
          <cell r="I119">
            <v>1.45511113489644E-4</v>
          </cell>
          <cell r="J119">
            <v>7.7090765349502492E-5</v>
          </cell>
        </row>
        <row r="120">
          <cell r="A120" t="str">
            <v>D-RHEM_LTH_CHPWOD</v>
          </cell>
          <cell r="B120" t="str">
            <v>VAR_fout</v>
          </cell>
          <cell r="C120" t="str">
            <v>RHEM_LTH_CHPWOD_ON</v>
          </cell>
          <cell r="H120">
            <v>8.7251799529631038E-4</v>
          </cell>
          <cell r="I120">
            <v>1.0730980801128031E-3</v>
          </cell>
          <cell r="J120">
            <v>8.8470181234106158E-5</v>
          </cell>
        </row>
        <row r="121">
          <cell r="A121" t="str">
            <v>D-RHEM_LTH_CHPWOD</v>
          </cell>
          <cell r="B121" t="str">
            <v>VAR_fout</v>
          </cell>
          <cell r="C121" t="str">
            <v>RHSA_LTH</v>
          </cell>
          <cell r="H121">
            <v>1.356762834823257E-3</v>
          </cell>
          <cell r="I121">
            <v>4.6293635177870071E-5</v>
          </cell>
          <cell r="J121">
            <v>6.1542040656108426E-4</v>
          </cell>
        </row>
        <row r="122">
          <cell r="A122" t="str">
            <v>D-RHEM_LTH_CHPWOD</v>
          </cell>
          <cell r="B122" t="str">
            <v>VAR_fout</v>
          </cell>
          <cell r="C122" t="str">
            <v>LTH</v>
          </cell>
          <cell r="H122">
            <v>6.9595331164242454E-7</v>
          </cell>
          <cell r="I122">
            <v>3.0378081848135101E-8</v>
          </cell>
          <cell r="J122">
            <v>2.4349182273180641E-7</v>
          </cell>
        </row>
        <row r="123">
          <cell r="A123" t="str">
            <v>D-RHEM_LTH_CHPWOD</v>
          </cell>
          <cell r="B123" t="str">
            <v>VAR_fin</v>
          </cell>
          <cell r="C123" t="str">
            <v>RHEM_LTH_CHPWOD</v>
          </cell>
          <cell r="H123">
            <v>2.2314332995383656E-3</v>
          </cell>
          <cell r="I123">
            <v>1.1208573892387539E-3</v>
          </cell>
          <cell r="J123">
            <v>7.05306526814292E-4</v>
          </cell>
        </row>
        <row r="124">
          <cell r="A124" t="str">
            <v>RHES-SHLTHDH</v>
          </cell>
          <cell r="B124" t="str">
            <v>VAR_fout</v>
          </cell>
          <cell r="C124" t="str">
            <v>RHES-SHLTHD</v>
          </cell>
          <cell r="H124">
            <v>1.6558351506049176</v>
          </cell>
          <cell r="I124">
            <v>1.6776611711889557</v>
          </cell>
          <cell r="J124">
            <v>1.7168509477436185</v>
          </cell>
        </row>
        <row r="125">
          <cell r="A125" t="str">
            <v>RHES-SHLTHDH</v>
          </cell>
          <cell r="B125" t="str">
            <v>VAR_fin</v>
          </cell>
          <cell r="C125" t="str">
            <v>RHESLTHDHC</v>
          </cell>
          <cell r="H125">
            <v>1.6558351506049176</v>
          </cell>
          <cell r="I125">
            <v>1.6776611711889557</v>
          </cell>
          <cell r="J125">
            <v>1.7168509477436185</v>
          </cell>
        </row>
        <row r="126">
          <cell r="A126" t="str">
            <v>RHES-SHLTHDH</v>
          </cell>
          <cell r="B126" t="str">
            <v>VAR_fin</v>
          </cell>
          <cell r="C126" t="str">
            <v>RHES_LTH_DH</v>
          </cell>
          <cell r="H126">
            <v>1.8359230887253921</v>
          </cell>
          <cell r="I126">
            <v>1.8538254792710986</v>
          </cell>
          <cell r="J126">
            <v>1.8833084323074547</v>
          </cell>
        </row>
        <row r="127">
          <cell r="A127" t="str">
            <v>RHES-SHLTHDH</v>
          </cell>
          <cell r="B127" t="str">
            <v>VAR_ncap</v>
          </cell>
          <cell r="C127" t="str">
            <v>-</v>
          </cell>
          <cell r="H127">
            <v>2.7145200383512601E-2</v>
          </cell>
          <cell r="I127">
            <v>2.4698879292539999E-2</v>
          </cell>
          <cell r="J127">
            <v>5.2951658691439203E-2</v>
          </cell>
        </row>
        <row r="128">
          <cell r="A128" t="str">
            <v>RHES-SHLTHDH</v>
          </cell>
          <cell r="B128" t="str">
            <v>VAR_cap</v>
          </cell>
          <cell r="C128" t="str">
            <v>-</v>
          </cell>
          <cell r="H128">
            <v>0.15518816549154502</v>
          </cell>
          <cell r="I128">
            <v>0.14181309343192899</v>
          </cell>
          <cell r="J128">
            <v>0.16202527586621301</v>
          </cell>
        </row>
        <row r="129">
          <cell r="A129" t="str">
            <v>RHEM-SHCONBR3</v>
          </cell>
          <cell r="B129" t="str">
            <v>VAR_fout</v>
          </cell>
          <cell r="C129" t="str">
            <v>RHEM-SHCON</v>
          </cell>
          <cell r="H129">
            <v>0.97650996169098192</v>
          </cell>
          <cell r="I129">
            <v>0.9765505109901923</v>
          </cell>
          <cell r="J129">
            <v>1.5627627142972975</v>
          </cell>
          <cell r="L129"/>
          <cell r="M129"/>
          <cell r="N129"/>
        </row>
        <row r="130">
          <cell r="A130" t="str">
            <v>RHEM-SHCONBR3</v>
          </cell>
          <cell r="B130" t="str">
            <v>VAR_fin</v>
          </cell>
          <cell r="C130" t="str">
            <v>CON</v>
          </cell>
          <cell r="H130">
            <v>0.97650996169098192</v>
          </cell>
          <cell r="I130">
            <v>0.9765505109901923</v>
          </cell>
          <cell r="J130">
            <v>1.5627627142972975</v>
          </cell>
        </row>
        <row r="131">
          <cell r="A131" t="str">
            <v>RHEM-SHCONBR3</v>
          </cell>
          <cell r="B131" t="str">
            <v>VAR_ncap</v>
          </cell>
          <cell r="C131" t="str">
            <v>-</v>
          </cell>
          <cell r="H131">
            <v>6.9369986770000602E-8</v>
          </cell>
          <cell r="I131">
            <v>9.3684330023375806E-8</v>
          </cell>
          <cell r="J131">
            <v>7.3127186105825998E-2</v>
          </cell>
        </row>
        <row r="132">
          <cell r="A132" t="str">
            <v>RHEM-SHCONBR3</v>
          </cell>
          <cell r="B132" t="str">
            <v>VAR_cap</v>
          </cell>
          <cell r="C132" t="str">
            <v>-</v>
          </cell>
          <cell r="H132">
            <v>6.8962976836063367E-2</v>
          </cell>
          <cell r="I132">
            <v>6.8963088638106629E-2</v>
          </cell>
          <cell r="J132">
            <v>0.11035380832673125</v>
          </cell>
        </row>
        <row r="133">
          <cell r="A133" t="str">
            <v>D-RHSA_ELC</v>
          </cell>
          <cell r="B133" t="str">
            <v>VAR_fout</v>
          </cell>
          <cell r="C133" t="str">
            <v>RHSA_ELC</v>
          </cell>
          <cell r="H133">
            <v>58.635263597795721</v>
          </cell>
          <cell r="I133">
            <v>58.951688216263491</v>
          </cell>
          <cell r="J133">
            <v>59.026126081651356</v>
          </cell>
        </row>
        <row r="134">
          <cell r="A134" t="str">
            <v>D-RHSA_ELC</v>
          </cell>
          <cell r="B134" t="str">
            <v>VAR_fin</v>
          </cell>
          <cell r="C134" t="str">
            <v>RHNS_ELC</v>
          </cell>
          <cell r="H134">
            <v>14.332600144297112</v>
          </cell>
          <cell r="I134">
            <v>13.946474386263564</v>
          </cell>
          <cell r="J134">
            <v>13.829185384960416</v>
          </cell>
        </row>
        <row r="135">
          <cell r="A135" t="str">
            <v>D-RHSA_ELC</v>
          </cell>
          <cell r="B135" t="str">
            <v>VAR_fin</v>
          </cell>
          <cell r="C135" t="str">
            <v>RHES_ELC</v>
          </cell>
          <cell r="H135">
            <v>14.33843565644211</v>
          </cell>
          <cell r="I135">
            <v>14.328367632036235</v>
          </cell>
          <cell r="J135">
            <v>14.609440193080198</v>
          </cell>
        </row>
        <row r="136">
          <cell r="A136" t="str">
            <v>D-RHSA_ELC</v>
          </cell>
          <cell r="B136" t="str">
            <v>VAR_fin</v>
          </cell>
          <cell r="C136" t="str">
            <v>RHNM_ELC</v>
          </cell>
          <cell r="H136">
            <v>15.858250039839934</v>
          </cell>
          <cell r="I136">
            <v>16.341239098706239</v>
          </cell>
          <cell r="J136">
            <v>16.424536745806559</v>
          </cell>
        </row>
        <row r="137">
          <cell r="A137" t="str">
            <v>D-RHSA_ELC</v>
          </cell>
          <cell r="B137" t="str">
            <v>VAR_fin</v>
          </cell>
          <cell r="C137" t="str">
            <v>RHEM_ELC</v>
          </cell>
          <cell r="H137">
            <v>14.105986173730177</v>
          </cell>
          <cell r="I137">
            <v>14.335616344137271</v>
          </cell>
          <cell r="J137">
            <v>14.162969884527136</v>
          </cell>
        </row>
        <row r="138">
          <cell r="A138" t="str">
            <v>SCOM-SHLTHDH</v>
          </cell>
          <cell r="B138" t="str">
            <v>VAR_fout</v>
          </cell>
          <cell r="C138" t="str">
            <v>SCOM-SHLTHD</v>
          </cell>
          <cell r="H138">
            <v>6.1558639738586045</v>
          </cell>
          <cell r="I138">
            <v>6.4604721743261022</v>
          </cell>
          <cell r="J138">
            <v>6.9088033925748551</v>
          </cell>
        </row>
        <row r="139">
          <cell r="A139" t="str">
            <v>SCOM-SHLTHDH</v>
          </cell>
          <cell r="B139" t="str">
            <v>VAR_fin</v>
          </cell>
          <cell r="C139" t="str">
            <v>SCOMLTHDHC</v>
          </cell>
          <cell r="H139">
            <v>6.1558639738586045</v>
          </cell>
          <cell r="I139">
            <v>6.4604721743261022</v>
          </cell>
          <cell r="J139">
            <v>6.9088033925748551</v>
          </cell>
        </row>
        <row r="140">
          <cell r="A140" t="str">
            <v>SCOM-SHLTHDH</v>
          </cell>
          <cell r="B140" t="str">
            <v>VAR_fin</v>
          </cell>
          <cell r="C140" t="str">
            <v>SCOM_LTH_DH</v>
          </cell>
          <cell r="H140">
            <v>7.4463291853115559</v>
          </cell>
          <cell r="I140">
            <v>7.8147929692513269</v>
          </cell>
          <cell r="J140">
            <v>8.3571086944377289</v>
          </cell>
        </row>
        <row r="141">
          <cell r="A141" t="str">
            <v>SCOM-SHLTHDH</v>
          </cell>
          <cell r="B141" t="str">
            <v>VAR_ncap</v>
          </cell>
          <cell r="C141" t="str">
            <v>-</v>
          </cell>
          <cell r="H141">
            <v>0.54527166996516796</v>
          </cell>
          <cell r="I141">
            <v>0.21858812843626901</v>
          </cell>
          <cell r="J141">
            <v>0.48552421644666</v>
          </cell>
        </row>
        <row r="142">
          <cell r="A142" t="str">
            <v>SCOM-SHLTHDH</v>
          </cell>
          <cell r="B142" t="str">
            <v>VAR_cap</v>
          </cell>
          <cell r="C142" t="str">
            <v>-</v>
          </cell>
          <cell r="H142">
            <v>0.84969866538551808</v>
          </cell>
          <cell r="I142">
            <v>0.84969829430154731</v>
          </cell>
          <cell r="J142">
            <v>0.84969947230640719</v>
          </cell>
        </row>
        <row r="143">
          <cell r="A143" t="str">
            <v>ITOT-SWHSTG-ELC</v>
          </cell>
          <cell r="B143" t="str">
            <v>VAR_fout</v>
          </cell>
          <cell r="C143" t="str">
            <v>ITOT-SWHAELC</v>
          </cell>
          <cell r="H143">
            <v>4.078763606740957E-3</v>
          </cell>
          <cell r="I143">
            <v>5.0056842545958914E-2</v>
          </cell>
          <cell r="J143">
            <v>0.30501130976926544</v>
          </cell>
        </row>
        <row r="144">
          <cell r="A144" t="str">
            <v>ITOT-SWHSTG-ELC</v>
          </cell>
          <cell r="B144" t="str">
            <v>VAR_fin</v>
          </cell>
          <cell r="C144" t="str">
            <v>ITOT-SWHAELC</v>
          </cell>
          <cell r="H144">
            <v>4.9968552031558512E-3</v>
          </cell>
          <cell r="I144">
            <v>5.8933105261862059E-2</v>
          </cell>
          <cell r="J144">
            <v>0.33893715659163565</v>
          </cell>
        </row>
        <row r="145">
          <cell r="A145" t="str">
            <v>ITOT-SWHSTG-ELC</v>
          </cell>
          <cell r="B145" t="str">
            <v>VAR_ncap</v>
          </cell>
          <cell r="C145" t="str">
            <v>-</v>
          </cell>
          <cell r="H145">
            <v>8.3548145593423606E-2</v>
          </cell>
          <cell r="I145">
            <v>0.10491934365504101</v>
          </cell>
          <cell r="J145">
            <v>9.0598109336051599E-2</v>
          </cell>
        </row>
        <row r="146">
          <cell r="A146" t="str">
            <v>ITOT-SWHSTG-ELC</v>
          </cell>
          <cell r="B146" t="str">
            <v>VAR_cap</v>
          </cell>
          <cell r="C146" t="str">
            <v>-</v>
          </cell>
          <cell r="H146">
            <v>0.1975774979665858</v>
          </cell>
          <cell r="I146">
            <v>0.19930288971221144</v>
          </cell>
          <cell r="J146">
            <v>0.20207916308774809</v>
          </cell>
        </row>
        <row r="147">
          <cell r="A147" t="str">
            <v>D-SCOM_SOLELC</v>
          </cell>
          <cell r="B147" t="str">
            <v>VAR_fout</v>
          </cell>
          <cell r="C147" t="str">
            <v>ELC5</v>
          </cell>
          <cell r="H147">
            <v>8.0393577167116759E-4</v>
          </cell>
          <cell r="I147">
            <v>1.0609904797732279E-2</v>
          </cell>
          <cell r="J147">
            <v>3.7890634591223156E-4</v>
          </cell>
        </row>
        <row r="148">
          <cell r="A148" t="str">
            <v>D-SCOM_SOLELC</v>
          </cell>
          <cell r="B148" t="str">
            <v>VAR_fout</v>
          </cell>
          <cell r="C148" t="str">
            <v>SCOM_ELC</v>
          </cell>
          <cell r="H148">
            <v>11.284412907027143</v>
          </cell>
          <cell r="I148">
            <v>11.850397755018321</v>
          </cell>
          <cell r="J148">
            <v>13.070893328168667</v>
          </cell>
        </row>
        <row r="149">
          <cell r="A149" t="str">
            <v>D-SCOM_SOLELC</v>
          </cell>
          <cell r="B149" t="str">
            <v>VAR_fin</v>
          </cell>
          <cell r="C149" t="str">
            <v>SCOM_SOL_ELC</v>
          </cell>
          <cell r="H149">
            <v>11.285216842798812</v>
          </cell>
          <cell r="I149">
            <v>11.861007659816055</v>
          </cell>
          <cell r="J149">
            <v>13.071272234514566</v>
          </cell>
        </row>
        <row r="150">
          <cell r="A150" t="str">
            <v>D-ILFO</v>
          </cell>
          <cell r="B150" t="str">
            <v>VAR_fout</v>
          </cell>
          <cell r="C150" t="str">
            <v>CO2</v>
          </cell>
          <cell r="H150">
            <v>336.11815433155903</v>
          </cell>
          <cell r="I150">
            <v>165.32919551461401</v>
          </cell>
          <cell r="J150">
            <v>1.51892527982068E-2</v>
          </cell>
        </row>
        <row r="151">
          <cell r="A151" t="str">
            <v>D-ILFO</v>
          </cell>
          <cell r="B151" t="str">
            <v>VAR_fout</v>
          </cell>
          <cell r="C151" t="str">
            <v>ILFO</v>
          </cell>
          <cell r="H151">
            <v>5.7523399237269981</v>
          </cell>
          <cell r="I151">
            <v>3.4737140933230042</v>
          </cell>
          <cell r="J151">
            <v>1.2681147701843245</v>
          </cell>
        </row>
        <row r="152">
          <cell r="A152" t="str">
            <v>D-ILFO</v>
          </cell>
          <cell r="B152" t="str">
            <v>VAR_fin</v>
          </cell>
          <cell r="C152" t="str">
            <v>LFO</v>
          </cell>
          <cell r="H152">
            <v>4.5606262460184368</v>
          </cell>
          <cell r="I152">
            <v>2.243272666412679</v>
          </cell>
          <cell r="J152">
            <v>2.0609569604079756E-4</v>
          </cell>
        </row>
        <row r="153">
          <cell r="A153" t="str">
            <v>D-ILFO</v>
          </cell>
          <cell r="B153" t="str">
            <v>VAR_fin</v>
          </cell>
          <cell r="C153" t="str">
            <v>BDS</v>
          </cell>
          <cell r="H153">
            <v>1.289416438954319</v>
          </cell>
          <cell r="I153">
            <v>1.289442111504971</v>
          </cell>
          <cell r="J153">
            <v>1.289447570996652</v>
          </cell>
        </row>
        <row r="154">
          <cell r="A154" t="str">
            <v>RHEM-SHSTG-NGAHP</v>
          </cell>
          <cell r="B154" t="str">
            <v>VAR_fout</v>
          </cell>
          <cell r="C154" t="str">
            <v>AUX_RHEM-SHSTG-NGAHP_OUT</v>
          </cell>
          <cell r="H154">
            <v>0.51731329537601145</v>
          </cell>
          <cell r="I154">
            <v>0.57895403768201636</v>
          </cell>
          <cell r="J154">
            <v>0.97755246468012835</v>
          </cell>
        </row>
        <row r="155">
          <cell r="A155" t="str">
            <v>RHEM-SHSTG-NGAHP</v>
          </cell>
          <cell r="B155" t="str">
            <v>VAR_fout</v>
          </cell>
          <cell r="C155" t="str">
            <v>RHEM-SHANGAH</v>
          </cell>
          <cell r="H155">
            <v>0.51679649887713408</v>
          </cell>
          <cell r="I155">
            <v>0.57837566201999657</v>
          </cell>
          <cell r="J155">
            <v>0.97657588879133805</v>
          </cell>
        </row>
        <row r="156">
          <cell r="A156" t="str">
            <v>RHEM-SHSTG-NGAHP</v>
          </cell>
          <cell r="B156" t="str">
            <v>VAR_fin</v>
          </cell>
          <cell r="C156" t="str">
            <v>RHEM-SHANGAH</v>
          </cell>
          <cell r="H156">
            <v>0.51680432199081694</v>
          </cell>
          <cell r="I156">
            <v>0.57838289132309795</v>
          </cell>
          <cell r="J156">
            <v>0.97658306846867304</v>
          </cell>
        </row>
        <row r="157">
          <cell r="A157" t="str">
            <v>RHEM-SHSTG-NGAHP</v>
          </cell>
          <cell r="B157" t="str">
            <v>VAR_ncap</v>
          </cell>
          <cell r="C157" t="str">
            <v>-</v>
          </cell>
          <cell r="H157">
            <v>1.7124139739018201E-2</v>
          </cell>
          <cell r="I157">
            <v>5.6923745722484299E-2</v>
          </cell>
          <cell r="J157">
            <v>9.5706656955306599E-2</v>
          </cell>
        </row>
        <row r="158">
          <cell r="A158" t="str">
            <v>RHEM-SHSTG-NGAHP</v>
          </cell>
          <cell r="B158" t="str">
            <v>VAR_cap</v>
          </cell>
          <cell r="C158" t="str">
            <v>-</v>
          </cell>
          <cell r="H158">
            <v>8.7010372683976489E-2</v>
          </cell>
          <cell r="I158">
            <v>0.10504842447499878</v>
          </cell>
          <cell r="J158">
            <v>0.144216674763498</v>
          </cell>
        </row>
        <row r="159">
          <cell r="A159" t="str">
            <v>RHEM-SHCONBR4</v>
          </cell>
          <cell r="B159" t="str">
            <v>VAR_fout</v>
          </cell>
          <cell r="C159" t="str">
            <v>RHEM-SHCON</v>
          </cell>
          <cell r="H159">
            <v>0.70510258223009936</v>
          </cell>
          <cell r="I159">
            <v>0.70514195039129002</v>
          </cell>
          <cell r="J159">
            <v>0.39477918251368549</v>
          </cell>
        </row>
        <row r="160">
          <cell r="A160" t="str">
            <v>RHEM-SHCONBR4</v>
          </cell>
          <cell r="B160" t="str">
            <v>VAR_fin</v>
          </cell>
          <cell r="C160" t="str">
            <v>CON</v>
          </cell>
          <cell r="H160">
            <v>0.70510258223009936</v>
          </cell>
          <cell r="I160">
            <v>0.70514195039129002</v>
          </cell>
          <cell r="J160">
            <v>0.39477918251368549</v>
          </cell>
        </row>
        <row r="161">
          <cell r="A161" t="str">
            <v>RHEM-SHCONBR4</v>
          </cell>
          <cell r="B161" t="str">
            <v>VAR_ncap</v>
          </cell>
          <cell r="C161" t="str">
            <v>-</v>
          </cell>
          <cell r="H161">
            <v>2.8199246088363399E-8</v>
          </cell>
          <cell r="I161">
            <v>4.0775459064810101E-8</v>
          </cell>
          <cell r="J161">
            <v>9.7377711310185302E-8</v>
          </cell>
        </row>
        <row r="162">
          <cell r="A162" t="str">
            <v>RHEM-SHCONBR4</v>
          </cell>
          <cell r="B162" t="str">
            <v>VAR_cap</v>
          </cell>
          <cell r="C162" t="str">
            <v>-</v>
          </cell>
          <cell r="H162">
            <v>4.9797854952287314E-2</v>
          </cell>
          <cell r="I162">
            <v>4.9797913513741403E-2</v>
          </cell>
          <cell r="J162">
            <v>2.7878288636677611E-2</v>
          </cell>
        </row>
        <row r="163">
          <cell r="A163" t="str">
            <v>RHNM-SHCONBR</v>
          </cell>
          <cell r="B163" t="str">
            <v>VAR_fout</v>
          </cell>
          <cell r="C163" t="str">
            <v>RHNM-SHCON</v>
          </cell>
          <cell r="H163">
            <v>1.2611000944316498E-3</v>
          </cell>
          <cell r="I163">
            <v>9.6619121605891253E-3</v>
          </cell>
          <cell r="J163">
            <v>0.13722622487268921</v>
          </cell>
        </row>
        <row r="164">
          <cell r="A164" t="str">
            <v>RHNM-SHCONBR</v>
          </cell>
          <cell r="B164" t="str">
            <v>VAR_fin</v>
          </cell>
          <cell r="C164" t="str">
            <v>CON</v>
          </cell>
          <cell r="H164">
            <v>1.2611000944316498E-3</v>
          </cell>
          <cell r="I164">
            <v>9.6619121605891253E-3</v>
          </cell>
          <cell r="J164">
            <v>0.13722622487268921</v>
          </cell>
        </row>
        <row r="165">
          <cell r="A165" t="str">
            <v>RHNM-SHCONBR</v>
          </cell>
          <cell r="B165" t="str">
            <v>VAR_ncap</v>
          </cell>
          <cell r="C165" t="str">
            <v>-</v>
          </cell>
          <cell r="H165">
            <v>9.0256910475252698E-6</v>
          </cell>
          <cell r="I165">
            <v>6.5109177896380201E-4</v>
          </cell>
          <cell r="J165">
            <v>9.8862957541900401E-3</v>
          </cell>
        </row>
        <row r="166">
          <cell r="A166" t="str">
            <v>RHNM-SHCONBR</v>
          </cell>
          <cell r="B166" t="str">
            <v>VAR_cap</v>
          </cell>
          <cell r="C166" t="str">
            <v>-</v>
          </cell>
          <cell r="H166">
            <v>9.8541887187648749E-5</v>
          </cell>
          <cell r="I166">
            <v>7.4962459043095072E-4</v>
          </cell>
          <cell r="J166">
            <v>1.0635980878259701E-2</v>
          </cell>
        </row>
        <row r="167">
          <cell r="A167" t="str">
            <v>RHEM-SHCONBR5</v>
          </cell>
          <cell r="B167" t="str">
            <v>VAR_fout</v>
          </cell>
          <cell r="C167" t="str">
            <v>RHEM-SHCON</v>
          </cell>
          <cell r="H167">
            <v>0.59591661566204868</v>
          </cell>
          <cell r="I167">
            <v>0.59595555753383422</v>
          </cell>
          <cell r="J167">
            <v>0.34452180944778449</v>
          </cell>
        </row>
        <row r="168">
          <cell r="A168" t="str">
            <v>RHEM-SHCONBR5</v>
          </cell>
          <cell r="B168" t="str">
            <v>VAR_fin</v>
          </cell>
          <cell r="C168" t="str">
            <v>CON</v>
          </cell>
          <cell r="H168">
            <v>0.59591661566204868</v>
          </cell>
          <cell r="I168">
            <v>0.59595555753383422</v>
          </cell>
          <cell r="J168">
            <v>0.34452180944778449</v>
          </cell>
        </row>
        <row r="169">
          <cell r="A169" t="str">
            <v>RHEM-SHCONBR5</v>
          </cell>
          <cell r="B169" t="str">
            <v>VAR_ncap</v>
          </cell>
          <cell r="C169" t="str">
            <v>-</v>
          </cell>
          <cell r="H169">
            <v>2.42687818238974E-8</v>
          </cell>
          <cell r="I169">
            <v>3.3782614743889601E-8</v>
          </cell>
          <cell r="J169">
            <v>7.4103227349028901E-8</v>
          </cell>
        </row>
        <row r="170">
          <cell r="A170" t="str">
            <v>RHEM-SHCONBR5</v>
          </cell>
          <cell r="B170" t="str">
            <v>VAR_cap</v>
          </cell>
          <cell r="C170" t="str">
            <v>-</v>
          </cell>
          <cell r="H170">
            <v>4.2087786078524821E-2</v>
          </cell>
          <cell r="I170">
            <v>4.2087837577465002E-2</v>
          </cell>
          <cell r="J170">
            <v>2.4329424961891555E-2</v>
          </cell>
        </row>
        <row r="171">
          <cell r="A171" t="str">
            <v>ITOT-SWHNGABR</v>
          </cell>
          <cell r="B171" t="str">
            <v>VAR_fout</v>
          </cell>
          <cell r="C171" t="str">
            <v>ITOT-SWH</v>
          </cell>
          <cell r="H171">
            <v>23.213565836593723</v>
          </cell>
          <cell r="I171">
            <v>22.591542725702098</v>
          </cell>
          <cell r="J171">
            <v>11.886978925313818</v>
          </cell>
        </row>
        <row r="172">
          <cell r="A172" t="str">
            <v>ITOT-SWHNGABR</v>
          </cell>
          <cell r="B172" t="str">
            <v>VAR_fout</v>
          </cell>
          <cell r="C172" t="str">
            <v>CO2_I</v>
          </cell>
          <cell r="H172">
            <v>1615.77747388169</v>
          </cell>
          <cell r="I172">
            <v>1569.07048328102</v>
          </cell>
          <cell r="J172">
            <v>822.03048391787399</v>
          </cell>
        </row>
        <row r="173">
          <cell r="A173" t="str">
            <v>ITOT-SWHNGABR</v>
          </cell>
          <cell r="B173" t="str">
            <v>VAR_fin</v>
          </cell>
          <cell r="C173" t="str">
            <v>INGA</v>
          </cell>
          <cell r="H173">
            <v>28.648536770952052</v>
          </cell>
          <cell r="I173">
            <v>27.820398639734464</v>
          </cell>
          <cell r="J173">
            <v>14.575008580104159</v>
          </cell>
        </row>
        <row r="174">
          <cell r="A174" t="str">
            <v>ITOT-SWHNGABR</v>
          </cell>
          <cell r="B174" t="str">
            <v>VAR_ncap</v>
          </cell>
          <cell r="C174" t="str">
            <v>-</v>
          </cell>
          <cell r="H174">
            <v>0.94697409130824595</v>
          </cell>
          <cell r="I174">
            <v>0.41937533273133099</v>
          </cell>
          <cell r="J174">
            <v>7.5209550027840993E-2</v>
          </cell>
        </row>
        <row r="175">
          <cell r="A175" t="str">
            <v>ITOT-SWHNGABR</v>
          </cell>
          <cell r="B175" t="str">
            <v>VAR_cap</v>
          </cell>
          <cell r="C175" t="str">
            <v>-</v>
          </cell>
          <cell r="H175">
            <v>1.3506427780750614</v>
          </cell>
          <cell r="I175">
            <v>1.3663476952776379</v>
          </cell>
          <cell r="J175">
            <v>0.7801138909776153</v>
          </cell>
        </row>
        <row r="176">
          <cell r="A176" t="str">
            <v>RHNM-SHSOLBR</v>
          </cell>
          <cell r="B176" t="str">
            <v>VAR_fout</v>
          </cell>
          <cell r="C176" t="str">
            <v>RHNM-SHASOL</v>
          </cell>
          <cell r="H176">
            <v>3.2939788890222818E-5</v>
          </cell>
          <cell r="I176">
            <v>4.062030664162713E-5</v>
          </cell>
          <cell r="J176">
            <v>1.3556778701113601E-4</v>
          </cell>
        </row>
        <row r="177">
          <cell r="A177" t="str">
            <v>RHNM-SHSOLBR</v>
          </cell>
          <cell r="B177" t="str">
            <v>VAR_fin</v>
          </cell>
          <cell r="C177" t="str">
            <v>SOL</v>
          </cell>
          <cell r="H177">
            <v>3.2939788890222818E-5</v>
          </cell>
          <cell r="I177">
            <v>4.062030664162713E-5</v>
          </cell>
          <cell r="J177">
            <v>1.3556778701113601E-4</v>
          </cell>
        </row>
        <row r="178">
          <cell r="A178" t="str">
            <v>RHNM-SHSOLBR</v>
          </cell>
          <cell r="B178" t="str">
            <v>VAR_ncap</v>
          </cell>
          <cell r="C178" t="str">
            <v>-</v>
          </cell>
          <cell r="H178">
            <v>1.20342110884841E-4</v>
          </cell>
          <cell r="I178">
            <v>1.0658076727680501E-5</v>
          </cell>
          <cell r="J178">
            <v>3.9981890577122101E-5</v>
          </cell>
        </row>
        <row r="179">
          <cell r="A179" t="str">
            <v>RHNM-SHSOLBR</v>
          </cell>
          <cell r="B179" t="str">
            <v>VAR_cap</v>
          </cell>
          <cell r="C179" t="str">
            <v>-</v>
          </cell>
          <cell r="H179">
            <v>4.6718066791143014E-4</v>
          </cell>
          <cell r="I179">
            <v>1.3265575171820778E-4</v>
          </cell>
          <cell r="J179">
            <v>9.8427648417782329E-5</v>
          </cell>
        </row>
        <row r="180">
          <cell r="A180" t="str">
            <v>RHEM-SHPLTBR</v>
          </cell>
          <cell r="B180" t="str">
            <v>VAR_fout</v>
          </cell>
          <cell r="C180" t="str">
            <v>RHEM-SHPLT</v>
          </cell>
          <cell r="H180">
            <v>0.5408901242854206</v>
          </cell>
          <cell r="I180">
            <v>0.60564002604257683</v>
          </cell>
          <cell r="J180">
            <v>0.71101336013222372</v>
          </cell>
          <cell r="L180"/>
        </row>
        <row r="181">
          <cell r="A181" t="str">
            <v>RHEM-SHPLTBR</v>
          </cell>
          <cell r="B181" t="str">
            <v>VAR_fin</v>
          </cell>
          <cell r="C181" t="str">
            <v>RHEMPLTBRC</v>
          </cell>
          <cell r="H181">
            <v>0.5408901242854206</v>
          </cell>
          <cell r="I181">
            <v>0.60564002604257683</v>
          </cell>
          <cell r="J181">
            <v>0.71101336013222372</v>
          </cell>
        </row>
        <row r="182">
          <cell r="A182" t="str">
            <v>RHEM-SHPLTBR</v>
          </cell>
          <cell r="B182" t="str">
            <v>VAR_fin</v>
          </cell>
          <cell r="C182" t="str">
            <v>RPLT</v>
          </cell>
          <cell r="H182">
            <v>0.72916936629490181</v>
          </cell>
          <cell r="I182">
            <v>0.81615459022730996</v>
          </cell>
          <cell r="J182">
            <v>0.94963490199692546</v>
          </cell>
        </row>
        <row r="183">
          <cell r="A183" t="str">
            <v>RHEM-SHPLTBR</v>
          </cell>
          <cell r="B183" t="str">
            <v>VAR_ncap</v>
          </cell>
          <cell r="C183" t="str">
            <v>-</v>
          </cell>
          <cell r="H183">
            <v>2.30164122596496E-2</v>
          </cell>
          <cell r="I183">
            <v>2.00327320302978E-2</v>
          </cell>
          <cell r="J183">
            <v>2.5957662173632198E-2</v>
          </cell>
        </row>
        <row r="184">
          <cell r="A184" t="str">
            <v>RHEM-SHPLTBR</v>
          </cell>
          <cell r="B184" t="str">
            <v>VAR_cap</v>
          </cell>
          <cell r="C184" t="str">
            <v>-</v>
          </cell>
          <cell r="H184">
            <v>3.8226298183792695E-2</v>
          </cell>
          <cell r="I184">
            <v>4.3049375717063965E-2</v>
          </cell>
          <cell r="J184">
            <v>5.0231777532813687E-2</v>
          </cell>
        </row>
        <row r="185">
          <cell r="A185" t="str">
            <v>RHEM-SHCONBR6</v>
          </cell>
          <cell r="B185" t="str">
            <v>VAR_fout</v>
          </cell>
          <cell r="C185" t="str">
            <v>RHEM-SHCON</v>
          </cell>
          <cell r="H185">
            <v>1.2168575836871381E-3</v>
          </cell>
          <cell r="I185">
            <v>1.2383927412861725E-3</v>
          </cell>
          <cell r="J185">
            <v>7.3450614666607621E-4</v>
          </cell>
        </row>
        <row r="186">
          <cell r="A186" t="str">
            <v>RHEM-SHCONBR6</v>
          </cell>
          <cell r="B186" t="str">
            <v>VAR_fin</v>
          </cell>
          <cell r="C186" t="str">
            <v>CON</v>
          </cell>
          <cell r="H186">
            <v>1.2168575836871381E-3</v>
          </cell>
          <cell r="I186">
            <v>1.2383927412861725E-3</v>
          </cell>
          <cell r="J186">
            <v>7.3450614666607621E-4</v>
          </cell>
        </row>
        <row r="187">
          <cell r="A187" t="str">
            <v>RHEM-SHCONBR6</v>
          </cell>
          <cell r="B187" t="str">
            <v>VAR_ncap</v>
          </cell>
          <cell r="C187" t="str">
            <v>-</v>
          </cell>
          <cell r="H187">
            <v>1.9562385723956301E-8</v>
          </cell>
          <cell r="I187">
            <v>2.6289643100897299E-8</v>
          </cell>
          <cell r="J187">
            <v>4.7399343583177697E-8</v>
          </cell>
        </row>
        <row r="188">
          <cell r="A188" t="str">
            <v>RHEM-SHCONBR6</v>
          </cell>
          <cell r="B188" t="str">
            <v>VAR_cap</v>
          </cell>
          <cell r="C188" t="str">
            <v>-</v>
          </cell>
          <cell r="H188">
            <v>9.1435730876615951E-5</v>
          </cell>
          <cell r="I188">
            <v>9.146870966351907E-5</v>
          </cell>
          <cell r="J188">
            <v>5.2978537996476267E-5</v>
          </cell>
        </row>
        <row r="189">
          <cell r="A189" t="str">
            <v>RHEM-SHCONBR7</v>
          </cell>
          <cell r="B189" t="str">
            <v>VAR_fout</v>
          </cell>
          <cell r="C189" t="str">
            <v>RHEM-SHCON</v>
          </cell>
          <cell r="H189">
            <v>2.2992950115205955E-4</v>
          </cell>
          <cell r="I189">
            <v>2.3661020982947994E-4</v>
          </cell>
          <cell r="J189">
            <v>1.4814615929382885E-4</v>
          </cell>
        </row>
        <row r="190">
          <cell r="A190" t="str">
            <v>RHEM-SHCONBR7</v>
          </cell>
          <cell r="B190" t="str">
            <v>VAR_fin</v>
          </cell>
          <cell r="C190" t="str">
            <v>CON</v>
          </cell>
          <cell r="H190">
            <v>2.2992950115205955E-4</v>
          </cell>
          <cell r="I190">
            <v>2.3661020982947994E-4</v>
          </cell>
          <cell r="J190">
            <v>1.4814615929382885E-4</v>
          </cell>
        </row>
        <row r="191">
          <cell r="A191" t="str">
            <v>RHEM-SHCONBR7</v>
          </cell>
          <cell r="B191" t="str">
            <v>VAR_ncap</v>
          </cell>
          <cell r="C191" t="str">
            <v>-</v>
          </cell>
          <cell r="H191">
            <v>1.8114237333070202E-8</v>
          </cell>
          <cell r="I191">
            <v>2.2778662622282098E-8</v>
          </cell>
          <cell r="J191">
            <v>3.3790306980892203E-8</v>
          </cell>
        </row>
        <row r="192">
          <cell r="A192" t="str">
            <v>RHEM-SHCONBR7</v>
          </cell>
          <cell r="B192" t="str">
            <v>VAR_cap</v>
          </cell>
          <cell r="C192" t="str">
            <v>-</v>
          </cell>
          <cell r="H192">
            <v>1.8574892281440749E-5</v>
          </cell>
          <cell r="I192">
            <v>1.8594709759238804E-5</v>
          </cell>
          <cell r="J192">
            <v>1.0834650171179587E-5</v>
          </cell>
        </row>
        <row r="193">
          <cell r="A193" t="str">
            <v>RHEM-SHCONBR8</v>
          </cell>
          <cell r="B193" t="str">
            <v>VAR_fout</v>
          </cell>
          <cell r="C193" t="str">
            <v>RHEM-SHCON</v>
          </cell>
          <cell r="H193">
            <v>4.3353078294135155E-5</v>
          </cell>
          <cell r="I193">
            <v>4.1673761859986921E-5</v>
          </cell>
          <cell r="J193">
            <v>2.9234838984756057E-5</v>
          </cell>
        </row>
        <row r="194">
          <cell r="A194" t="str">
            <v>RHEM-SHCONBR8</v>
          </cell>
          <cell r="B194" t="str">
            <v>VAR_fin</v>
          </cell>
          <cell r="C194" t="str">
            <v>CON</v>
          </cell>
          <cell r="H194">
            <v>4.3353078294135155E-5</v>
          </cell>
          <cell r="I194">
            <v>4.1673761859986921E-5</v>
          </cell>
          <cell r="J194">
            <v>2.9234838984756057E-5</v>
          </cell>
        </row>
        <row r="195">
          <cell r="A195" t="str">
            <v>RHEM-SHCONBR8</v>
          </cell>
          <cell r="B195" t="str">
            <v>VAR_ncap</v>
          </cell>
          <cell r="C195" t="str">
            <v>-</v>
          </cell>
          <cell r="H195">
            <v>1.26882830827015E-8</v>
          </cell>
          <cell r="I195">
            <v>1.13844053725477E-8</v>
          </cell>
          <cell r="J195">
            <v>1.6901756338993699E-8</v>
          </cell>
        </row>
        <row r="196">
          <cell r="A196" t="str">
            <v>RHEM-SHCONBR8</v>
          </cell>
          <cell r="B196" t="str">
            <v>VAR_cap</v>
          </cell>
          <cell r="C196" t="str">
            <v>-</v>
          </cell>
          <cell r="H196">
            <v>2.5732799537238909E-6</v>
          </cell>
          <cell r="I196">
            <v>2.6053702546179101E-6</v>
          </cell>
          <cell r="J196">
            <v>1.54408263258455E-6</v>
          </cell>
        </row>
        <row r="197">
          <cell r="A197" t="str">
            <v>RHES-SHELCHP</v>
          </cell>
          <cell r="B197" t="str">
            <v>VAR_fout</v>
          </cell>
          <cell r="C197" t="str">
            <v>RHES-SHAELCH</v>
          </cell>
          <cell r="H197">
            <v>24.168291448181208</v>
          </cell>
          <cell r="I197">
            <v>25.082939575307755</v>
          </cell>
          <cell r="J197">
            <v>26.709389686294283</v>
          </cell>
        </row>
        <row r="198">
          <cell r="A198" t="str">
            <v>RHES-SHELCHP</v>
          </cell>
          <cell r="B198" t="str">
            <v>VAR_fin</v>
          </cell>
          <cell r="C198" t="str">
            <v>RHES_ELC</v>
          </cell>
          <cell r="H198">
            <v>7.5276966492542172</v>
          </cell>
          <cell r="I198">
            <v>7.5115835613739756</v>
          </cell>
          <cell r="J198">
            <v>7.3483469508306163</v>
          </cell>
          <cell r="L198"/>
          <cell r="M198"/>
          <cell r="N198"/>
        </row>
        <row r="199">
          <cell r="A199" t="str">
            <v>RHES-SHELCHP</v>
          </cell>
          <cell r="B199" t="str">
            <v>VAR_fin</v>
          </cell>
          <cell r="C199" t="str">
            <v>RHESELCHPC</v>
          </cell>
          <cell r="H199">
            <v>24.168291448181208</v>
          </cell>
          <cell r="I199">
            <v>25.082939575307755</v>
          </cell>
          <cell r="J199">
            <v>26.709389686294283</v>
          </cell>
        </row>
        <row r="200">
          <cell r="A200" t="str">
            <v>RHES-SHELCHP</v>
          </cell>
          <cell r="B200" t="str">
            <v>VAR_ncap</v>
          </cell>
          <cell r="C200" t="str">
            <v>-</v>
          </cell>
          <cell r="H200">
            <v>0.70629899278164998</v>
          </cell>
          <cell r="I200">
            <v>1.0106627899590901</v>
          </cell>
          <cell r="J200">
            <v>1.12556053550802</v>
          </cell>
        </row>
        <row r="201">
          <cell r="A201" t="str">
            <v>RHES-SHELCHP</v>
          </cell>
          <cell r="B201" t="str">
            <v>VAR_cap</v>
          </cell>
          <cell r="C201" t="str">
            <v>-</v>
          </cell>
          <cell r="H201">
            <v>1.9525172197748961</v>
          </cell>
          <cell r="I201">
            <v>2.0263999395940129</v>
          </cell>
          <cell r="J201">
            <v>2.1577930325953152</v>
          </cell>
          <cell r="M201"/>
          <cell r="N201"/>
        </row>
        <row r="202">
          <cell r="A202" t="str">
            <v>RHSA-WHELCHP</v>
          </cell>
          <cell r="B202" t="str">
            <v>VAR_fout</v>
          </cell>
          <cell r="C202" t="str">
            <v>RHSA-WHAELCH</v>
          </cell>
          <cell r="H202">
            <v>8.5797302146389516</v>
          </cell>
          <cell r="I202">
            <v>10.110287751791775</v>
          </cell>
          <cell r="J202">
            <v>13.417082375281256</v>
          </cell>
        </row>
        <row r="203">
          <cell r="A203" t="str">
            <v>RHSA-WHELCHP</v>
          </cell>
          <cell r="B203" t="str">
            <v>VAR_fin</v>
          </cell>
          <cell r="C203" t="str">
            <v>RHSA_ELC</v>
          </cell>
          <cell r="H203">
            <v>4.0166997125926578</v>
          </cell>
          <cell r="I203">
            <v>4.5420098422841741</v>
          </cell>
          <cell r="J203">
            <v>5.5305295614831698</v>
          </cell>
        </row>
        <row r="204">
          <cell r="A204" t="str">
            <v>RHSA-WHELCHP</v>
          </cell>
          <cell r="B204" t="str">
            <v>VAR_ncap</v>
          </cell>
          <cell r="C204" t="str">
            <v>-</v>
          </cell>
          <cell r="H204">
            <v>0.29553734224310402</v>
          </cell>
          <cell r="I204">
            <v>0.28031412963723901</v>
          </cell>
          <cell r="J204">
            <v>0.58861073938870301</v>
          </cell>
        </row>
        <row r="205">
          <cell r="A205" t="str">
            <v>RHSA-WHELCHP</v>
          </cell>
          <cell r="B205" t="str">
            <v>VAR_cap</v>
          </cell>
          <cell r="C205" t="str">
            <v>-</v>
          </cell>
          <cell r="H205">
            <v>0.58643069513627377</v>
          </cell>
          <cell r="I205">
            <v>0.69104004263644414</v>
          </cell>
          <cell r="J205">
            <v>0.9170547086054871</v>
          </cell>
        </row>
        <row r="206">
          <cell r="A206" t="str">
            <v>D-ITOT_LTH_CHP</v>
          </cell>
          <cell r="B206" t="str">
            <v>VAR_fout</v>
          </cell>
          <cell r="C206" t="str">
            <v>ITOT_LTH_CHP_ON</v>
          </cell>
          <cell r="H206">
            <v>7.2469559034733404</v>
          </cell>
          <cell r="I206">
            <v>7.6208992665345301</v>
          </cell>
          <cell r="J206">
            <v>8.6455601992044517</v>
          </cell>
        </row>
        <row r="207">
          <cell r="A207" t="str">
            <v>D-ITOT_LTH_CHP</v>
          </cell>
          <cell r="B207" t="str">
            <v>VAR_fout</v>
          </cell>
          <cell r="C207" t="str">
            <v>LTH</v>
          </cell>
          <cell r="H207">
            <v>5.7742248315345466E-3</v>
          </cell>
          <cell r="I207">
            <v>1.1548935815730974E-2</v>
          </cell>
          <cell r="J207">
            <v>2.1221886235299737E-2</v>
          </cell>
        </row>
        <row r="208">
          <cell r="A208" t="str">
            <v>D-ITOT_LTH_CHP</v>
          </cell>
          <cell r="B208" t="str">
            <v>VAR_fin</v>
          </cell>
          <cell r="C208" t="str">
            <v>ITOT_LTH_CHP</v>
          </cell>
          <cell r="H208">
            <v>7.2527301283048695</v>
          </cell>
          <cell r="I208">
            <v>7.6324482023502576</v>
          </cell>
          <cell r="J208">
            <v>8.6667820854397455</v>
          </cell>
        </row>
        <row r="209">
          <cell r="A209" t="str">
            <v>RHEM-SHCONBR9</v>
          </cell>
          <cell r="B209" t="str">
            <v>VAR_fout</v>
          </cell>
          <cell r="C209" t="str">
            <v>RHEM-SHCON</v>
          </cell>
          <cell r="H209">
            <v>1.808680973791412E-5</v>
          </cell>
          <cell r="I209">
            <v>1.5173981511258308E-5</v>
          </cell>
          <cell r="J209">
            <v>1.2226747086066477E-5</v>
          </cell>
        </row>
        <row r="210">
          <cell r="A210" t="str">
            <v>RHEM-SHCONBR9</v>
          </cell>
          <cell r="B210" t="str">
            <v>VAR_fin</v>
          </cell>
          <cell r="C210" t="str">
            <v>CON</v>
          </cell>
          <cell r="H210">
            <v>1.808680973791412E-5</v>
          </cell>
          <cell r="I210">
            <v>1.5173981511258308E-5</v>
          </cell>
          <cell r="J210">
            <v>1.2226747086066477E-5</v>
          </cell>
        </row>
        <row r="211">
          <cell r="A211" t="str">
            <v>SCOM-SHELCHP</v>
          </cell>
          <cell r="B211" t="str">
            <v>VAR_fout</v>
          </cell>
          <cell r="C211" t="str">
            <v>SCOM-SHAELCH</v>
          </cell>
          <cell r="H211">
            <v>9.2623147884623425</v>
          </cell>
          <cell r="I211">
            <v>11.02467510087534</v>
          </cell>
          <cell r="J211">
            <v>14.990897151650016</v>
          </cell>
        </row>
        <row r="212">
          <cell r="A212" t="str">
            <v>SCOM-SHELCHP</v>
          </cell>
          <cell r="B212" t="str">
            <v>VAR_fin</v>
          </cell>
          <cell r="C212" t="str">
            <v>SCOMELCHPC</v>
          </cell>
          <cell r="H212">
            <v>9.2623147884623425</v>
          </cell>
          <cell r="I212">
            <v>11.02467510087534</v>
          </cell>
          <cell r="J212">
            <v>14.990897151650016</v>
          </cell>
        </row>
        <row r="213">
          <cell r="A213" t="str">
            <v>SCOM-SHELCHP</v>
          </cell>
          <cell r="B213" t="str">
            <v>VAR_fin</v>
          </cell>
          <cell r="C213" t="str">
            <v>SCOM_ELC</v>
          </cell>
          <cell r="H213">
            <v>2.9713969464330017</v>
          </cell>
          <cell r="I213">
            <v>3.4281778255545317</v>
          </cell>
          <cell r="J213">
            <v>4.3530784714614343</v>
          </cell>
        </row>
        <row r="214">
          <cell r="A214" t="str">
            <v>SCOM-SHELCHP</v>
          </cell>
          <cell r="B214" t="str">
            <v>VAR_ncap</v>
          </cell>
          <cell r="C214" t="str">
            <v>-</v>
          </cell>
          <cell r="H214">
            <v>0.45426632620703</v>
          </cell>
          <cell r="I214">
            <v>0.295461693212208</v>
          </cell>
          <cell r="J214">
            <v>0.75220782960537003</v>
          </cell>
        </row>
        <row r="215">
          <cell r="A215" t="str">
            <v>SCOM-SHELCHP</v>
          </cell>
          <cell r="B215" t="str">
            <v>VAR_cap</v>
          </cell>
          <cell r="C215" t="str">
            <v>-</v>
          </cell>
          <cell r="H215">
            <v>0.71600348371332012</v>
          </cell>
          <cell r="I215">
            <v>0.85221909257495398</v>
          </cell>
          <cell r="J215">
            <v>1.1587863652752357</v>
          </cell>
        </row>
        <row r="216">
          <cell r="A216" t="str">
            <v>D-ITOT_NKEV_OIL_ELC_CHP</v>
          </cell>
          <cell r="B216" t="str">
            <v>VAR_fout</v>
          </cell>
          <cell r="C216" t="str">
            <v>ITOT_ELC</v>
          </cell>
          <cell r="H216">
            <v>0.1674976489546518</v>
          </cell>
          <cell r="I216">
            <v>1.4773186373000381E-2</v>
          </cell>
          <cell r="J216">
            <v>0.14481996954959825</v>
          </cell>
        </row>
        <row r="217">
          <cell r="A217" t="str">
            <v>D-ITOT_NKEV_OIL_ELC_CHP</v>
          </cell>
          <cell r="B217" t="str">
            <v>VAR_fout</v>
          </cell>
          <cell r="C217" t="str">
            <v>ELC5</v>
          </cell>
          <cell r="H217">
            <v>2.1364730017008442E-3</v>
          </cell>
          <cell r="I217">
            <v>9.6400544931309691E-4</v>
          </cell>
          <cell r="J217">
            <v>5.8325894255716474E-3</v>
          </cell>
        </row>
        <row r="218">
          <cell r="A218" t="str">
            <v>D-ITOT_NKEV_OIL_ELC_CHP</v>
          </cell>
          <cell r="B218" t="str">
            <v>VAR_fin</v>
          </cell>
          <cell r="C218" t="str">
            <v>ITOT_NKEV_OIL_ELC_CHP</v>
          </cell>
          <cell r="H218">
            <v>0.16962911156981333</v>
          </cell>
          <cell r="I218">
            <v>1.5731390328006051E-2</v>
          </cell>
          <cell r="J218">
            <v>0.15064789982902541</v>
          </cell>
        </row>
        <row r="219">
          <cell r="A219" t="str">
            <v>RHNS-SHELCBR</v>
          </cell>
          <cell r="B219" t="str">
            <v>VAR_fout</v>
          </cell>
          <cell r="C219" t="str">
            <v>RHNS-SHAELCB</v>
          </cell>
          <cell r="H219">
            <v>2.2914083645679848E-2</v>
          </cell>
          <cell r="I219">
            <v>2.7889796912565268E-2</v>
          </cell>
          <cell r="J219">
            <v>3.2736388360248676E-2</v>
          </cell>
        </row>
        <row r="220">
          <cell r="A220" t="str">
            <v>RHNS-SHELCBR</v>
          </cell>
          <cell r="B220" t="str">
            <v>VAR_fin</v>
          </cell>
          <cell r="C220" t="str">
            <v>RHNS_ELC</v>
          </cell>
          <cell r="H220">
            <v>2.4120088048084076E-2</v>
          </cell>
          <cell r="I220">
            <v>2.9357680960595035E-2</v>
          </cell>
          <cell r="J220">
            <v>3.4459356168682835E-2</v>
          </cell>
        </row>
        <row r="221">
          <cell r="A221" t="str">
            <v>RHNS-SHELCBR</v>
          </cell>
          <cell r="B221" t="str">
            <v>VAR_ncap</v>
          </cell>
          <cell r="C221" t="str">
            <v>-</v>
          </cell>
          <cell r="H221">
            <v>5.7775798714153302E-3</v>
          </cell>
          <cell r="I221"/>
          <cell r="J221"/>
        </row>
        <row r="222">
          <cell r="A222" t="str">
            <v>RHNS-SHELCBR</v>
          </cell>
          <cell r="B222" t="str">
            <v>VAR_cap</v>
          </cell>
          <cell r="C222" t="str">
            <v>-</v>
          </cell>
          <cell r="H222">
            <v>8.3827844323719949E-3</v>
          </cell>
          <cell r="I222">
            <v>5.7774520070229454E-3</v>
          </cell>
          <cell r="J222">
            <v>2.4436810637167013E-3</v>
          </cell>
        </row>
        <row r="223">
          <cell r="A223" t="str">
            <v>ITOT-SWHSTG-SOL</v>
          </cell>
          <cell r="B223" t="str">
            <v>VAR_fout</v>
          </cell>
          <cell r="C223" t="str">
            <v>ITOT-SWHASOL</v>
          </cell>
          <cell r="H223">
            <v>2.2926484104837525E-4</v>
          </cell>
          <cell r="I223">
            <v>3.8375808296814781E-4</v>
          </cell>
          <cell r="J223">
            <v>3.2421188690127478E-4</v>
          </cell>
        </row>
        <row r="224">
          <cell r="A224" t="str">
            <v>ITOT-SWHSTG-SOL</v>
          </cell>
          <cell r="B224" t="str">
            <v>VAR_fin</v>
          </cell>
          <cell r="C224" t="str">
            <v>ITOT-SWHASOL</v>
          </cell>
          <cell r="H224">
            <v>2.546985945250481E-4</v>
          </cell>
          <cell r="I224">
            <v>4.2981361135256555E-4</v>
          </cell>
          <cell r="J224">
            <v>3.3561309805296111E-4</v>
          </cell>
        </row>
        <row r="225">
          <cell r="A225" t="str">
            <v>ITOT-SWHSTG-SOL</v>
          </cell>
          <cell r="B225" t="str">
            <v>VAR_ncap</v>
          </cell>
          <cell r="C225" t="str">
            <v>-</v>
          </cell>
          <cell r="H225">
            <v>1.15477507727272E-5</v>
          </cell>
          <cell r="I225">
            <v>2.95251787386818E-5</v>
          </cell>
          <cell r="J225">
            <v>1.56599394072156E-7</v>
          </cell>
        </row>
        <row r="226">
          <cell r="A226" t="str">
            <v>ITOT-SWHSTG-SOL</v>
          </cell>
          <cell r="B226" t="str">
            <v>VAR_cap</v>
          </cell>
          <cell r="C226" t="str">
            <v>-</v>
          </cell>
          <cell r="H226">
            <v>2.40424993217079E-5</v>
          </cell>
          <cell r="I226">
            <v>4.4748359606477997E-5</v>
          </cell>
          <cell r="J226">
            <v>2.6468648215066599E-5</v>
          </cell>
        </row>
        <row r="227">
          <cell r="A227" t="str">
            <v>RHES-SHLTHCHPNGA</v>
          </cell>
          <cell r="B227" t="str">
            <v>VAR_fout</v>
          </cell>
          <cell r="C227" t="str">
            <v>RHES-SHLTHC-NGA</v>
          </cell>
          <cell r="H227"/>
          <cell r="I227"/>
          <cell r="J227"/>
        </row>
        <row r="228">
          <cell r="A228" t="str">
            <v>RHES-SHLTHCHPNGA</v>
          </cell>
          <cell r="B228" t="str">
            <v>VAR_fin</v>
          </cell>
          <cell r="C228" t="str">
            <v>RHESLTHCHPC</v>
          </cell>
          <cell r="H228"/>
          <cell r="I228"/>
          <cell r="J228"/>
        </row>
        <row r="229">
          <cell r="A229" t="str">
            <v>RHES-SHLTHCHPNGA</v>
          </cell>
          <cell r="B229" t="str">
            <v>VAR_fin</v>
          </cell>
          <cell r="C229" t="str">
            <v>RHES_LTH_CHPNGA_ON</v>
          </cell>
          <cell r="H229"/>
          <cell r="I229"/>
          <cell r="J229"/>
        </row>
        <row r="230">
          <cell r="A230" t="str">
            <v>RHES-SHLTHCHPNGA</v>
          </cell>
          <cell r="B230" t="str">
            <v>VAR_ncap</v>
          </cell>
          <cell r="C230" t="str">
            <v>-</v>
          </cell>
          <cell r="H230">
            <v>4.54013121295311E-4</v>
          </cell>
          <cell r="I230">
            <v>1.7688422979237001E-4</v>
          </cell>
          <cell r="J230">
            <v>9.2095680980840895E-5</v>
          </cell>
        </row>
        <row r="231">
          <cell r="A231" t="str">
            <v>RHES-SHLTHCHPNGA</v>
          </cell>
          <cell r="B231" t="str">
            <v>VAR_cap</v>
          </cell>
          <cell r="C231" t="str">
            <v>-</v>
          </cell>
          <cell r="H231">
            <v>8.6654658369065976E-4</v>
          </cell>
          <cell r="I231">
            <v>3.6086926526374997E-4</v>
          </cell>
          <cell r="J231">
            <v>1.5934250635674899E-4</v>
          </cell>
        </row>
        <row r="232">
          <cell r="A232" t="str">
            <v>RHSA-WHSTG-ELC</v>
          </cell>
          <cell r="B232" t="str">
            <v>VAR_fout</v>
          </cell>
          <cell r="C232" t="str">
            <v>RHSA-WHAELCB</v>
          </cell>
          <cell r="H232">
            <v>0.36635174100500068</v>
          </cell>
          <cell r="I232">
            <v>0.40863766800116474</v>
          </cell>
          <cell r="J232">
            <v>0.35960681174687559</v>
          </cell>
        </row>
        <row r="233">
          <cell r="A233" t="str">
            <v>RHSA-WHSTG-ELC</v>
          </cell>
          <cell r="B233" t="str">
            <v>VAR_fout</v>
          </cell>
          <cell r="C233" t="str">
            <v>AUX_RHSA-WHSTG-ELC_OUT</v>
          </cell>
          <cell r="H233">
            <v>0.3667180927460052</v>
          </cell>
          <cell r="I233">
            <v>0.40904630566916561</v>
          </cell>
          <cell r="J233">
            <v>0.35996641855862249</v>
          </cell>
        </row>
        <row r="234">
          <cell r="A234" t="str">
            <v>RHSA-WHSTG-ELC</v>
          </cell>
          <cell r="B234" t="str">
            <v>VAR_fin</v>
          </cell>
          <cell r="C234" t="str">
            <v>RHSA-WHAELCB</v>
          </cell>
          <cell r="H234">
            <v>0.36635166663561264</v>
          </cell>
          <cell r="I234">
            <v>0.40863780792059512</v>
          </cell>
          <cell r="J234">
            <v>0.35960692495821095</v>
          </cell>
        </row>
        <row r="235">
          <cell r="A235" t="str">
            <v>RHSA-WHSTG-ELC</v>
          </cell>
          <cell r="B235" t="str">
            <v>VAR_ncap</v>
          </cell>
          <cell r="C235" t="str">
            <v>-</v>
          </cell>
          <cell r="H235">
            <v>1.6722021518551299E-2</v>
          </cell>
          <cell r="I235">
            <v>1.68251594247316E-2</v>
          </cell>
          <cell r="J235">
            <v>9.9660395257296103E-3</v>
          </cell>
        </row>
        <row r="236">
          <cell r="A236" t="str">
            <v>RHSA-WHSTG-ELC</v>
          </cell>
          <cell r="B236" t="str">
            <v>VAR_cap</v>
          </cell>
          <cell r="C236" t="str">
            <v>-</v>
          </cell>
          <cell r="H236">
            <v>3.364548035213933E-2</v>
          </cell>
          <cell r="I236">
            <v>3.3539375616303997E-2</v>
          </cell>
          <cell r="J236">
            <v>2.9210730662718811E-2</v>
          </cell>
        </row>
        <row r="237">
          <cell r="A237" t="str">
            <v>ITOT-SWHLFOBR</v>
          </cell>
          <cell r="B237" t="str">
            <v>VAR_fout</v>
          </cell>
          <cell r="C237" t="str">
            <v>ITOT-SWH</v>
          </cell>
          <cell r="H237">
            <v>4.0189505878661089</v>
          </cell>
          <cell r="I237">
            <v>2.6968715524507583</v>
          </cell>
          <cell r="J237">
            <v>0.54649653136796938</v>
          </cell>
        </row>
        <row r="238">
          <cell r="A238" t="str">
            <v>ITOT-SWHLFOBR</v>
          </cell>
          <cell r="B238" t="str">
            <v>VAR_fout</v>
          </cell>
          <cell r="C238" t="str">
            <v>CO2_I</v>
          </cell>
          <cell r="H238">
            <v>376.41178541182302</v>
          </cell>
          <cell r="I238">
            <v>251.58158747438799</v>
          </cell>
          <cell r="J238">
            <v>50.578119122843297</v>
          </cell>
        </row>
        <row r="239">
          <cell r="A239" t="str">
            <v>ITOT-SWHLFOBR</v>
          </cell>
          <cell r="B239" t="str">
            <v>VAR_fin</v>
          </cell>
          <cell r="C239" t="str">
            <v>ILFO</v>
          </cell>
          <cell r="H239">
            <v>5.1073512267547283</v>
          </cell>
          <cell r="I239">
            <v>3.4135900607108338</v>
          </cell>
          <cell r="J239">
            <v>0.68627027303722199</v>
          </cell>
        </row>
        <row r="240">
          <cell r="A240" t="str">
            <v>ITOT-SWHLFOBR</v>
          </cell>
          <cell r="B240" t="str">
            <v>VAR_ncap</v>
          </cell>
          <cell r="C240" t="str">
            <v>-</v>
          </cell>
          <cell r="H240">
            <v>0.1796877075553</v>
          </cell>
          <cell r="I240">
            <v>5.0345708099870799E-5</v>
          </cell>
          <cell r="J240">
            <v>6.2110643892009899E-6</v>
          </cell>
        </row>
        <row r="241">
          <cell r="A241" t="str">
            <v>ITOT-SWHLFOBR</v>
          </cell>
          <cell r="B241" t="str">
            <v>VAR_cap</v>
          </cell>
          <cell r="C241" t="str">
            <v>-</v>
          </cell>
          <cell r="H241">
            <v>0.27736029056883954</v>
          </cell>
          <cell r="I241">
            <v>0.17974671976018194</v>
          </cell>
          <cell r="J241">
            <v>5.58417382077952E-2</v>
          </cell>
        </row>
        <row r="242">
          <cell r="A242" t="str">
            <v>D-SCOM_LTH_CHPNGA</v>
          </cell>
          <cell r="B242" t="str">
            <v>VAR_fout</v>
          </cell>
          <cell r="C242" t="str">
            <v>LTH</v>
          </cell>
          <cell r="H242"/>
          <cell r="I242"/>
          <cell r="J242"/>
        </row>
        <row r="243">
          <cell r="A243" t="str">
            <v>D-SCOM_LTH_CHPNGA</v>
          </cell>
          <cell r="B243" t="str">
            <v>VAR_fout</v>
          </cell>
          <cell r="C243" t="str">
            <v>SCOM_LTH_CHPNGA_ON</v>
          </cell>
          <cell r="H243"/>
          <cell r="I243"/>
          <cell r="J243"/>
        </row>
        <row r="244">
          <cell r="A244" t="str">
            <v>D-SCOM_LTH_CHPNGA</v>
          </cell>
          <cell r="B244" t="str">
            <v>VAR_fin</v>
          </cell>
          <cell r="C244" t="str">
            <v>SCOM_LTH_CHPNGA</v>
          </cell>
          <cell r="H244"/>
          <cell r="I244"/>
          <cell r="J244"/>
        </row>
        <row r="245">
          <cell r="A245" t="str">
            <v>D-IWOD</v>
          </cell>
          <cell r="B245" t="str">
            <v>VAR_fout</v>
          </cell>
          <cell r="C245" t="str">
            <v>IWOD</v>
          </cell>
          <cell r="H245">
            <v>16.816173755670921</v>
          </cell>
          <cell r="I245">
            <v>19.958809584061918</v>
          </cell>
          <cell r="J245">
            <v>20.446719821717537</v>
          </cell>
        </row>
        <row r="246">
          <cell r="A246" t="str">
            <v>D-IWOD</v>
          </cell>
          <cell r="B246" t="str">
            <v>VAR_fin</v>
          </cell>
          <cell r="C246" t="str">
            <v>WOD</v>
          </cell>
          <cell r="H246">
            <v>16.816173755670921</v>
          </cell>
          <cell r="I246">
            <v>19.958809584061918</v>
          </cell>
          <cell r="J246">
            <v>20.446719821717537</v>
          </cell>
        </row>
        <row r="247">
          <cell r="A247" t="str">
            <v>SCOM-ELCSPEC</v>
          </cell>
          <cell r="B247" t="str">
            <v>VAR_fout</v>
          </cell>
          <cell r="C247" t="str">
            <v>SCOM-ELS</v>
          </cell>
          <cell r="H247">
            <v>43.972654728522386</v>
          </cell>
          <cell r="I247">
            <v>42.94356863168597</v>
          </cell>
          <cell r="J247">
            <v>40.456041409442562</v>
          </cell>
        </row>
        <row r="248">
          <cell r="A248" t="str">
            <v>SCOM-ELCSPEC</v>
          </cell>
          <cell r="B248" t="str">
            <v>VAR_fin</v>
          </cell>
          <cell r="C248" t="str">
            <v>SCOM_ELC</v>
          </cell>
          <cell r="H248">
            <v>43.972654728522386</v>
          </cell>
          <cell r="I248">
            <v>42.94356863168597</v>
          </cell>
          <cell r="J248">
            <v>40.456041409442562</v>
          </cell>
        </row>
        <row r="249">
          <cell r="A249" t="str">
            <v>SCOM-ELCSPEC</v>
          </cell>
          <cell r="B249" t="str">
            <v>VAR_ncap</v>
          </cell>
          <cell r="C249" t="str">
            <v>-</v>
          </cell>
          <cell r="H249">
            <v>1.03633346283959E-6</v>
          </cell>
          <cell r="I249">
            <v>1.3093738795273899E-6</v>
          </cell>
          <cell r="J249">
            <v>3.8729764764676502</v>
          </cell>
        </row>
        <row r="250">
          <cell r="A250" t="str">
            <v>SCOM-ELCSPEC</v>
          </cell>
          <cell r="B250" t="str">
            <v>VAR_cap</v>
          </cell>
          <cell r="C250" t="str">
            <v>-</v>
          </cell>
          <cell r="H250">
            <v>4.6478807833135436</v>
          </cell>
          <cell r="I250">
            <v>4.5391072009347333</v>
          </cell>
          <cell r="J250">
            <v>4.2761755221837561</v>
          </cell>
        </row>
        <row r="251">
          <cell r="A251" t="str">
            <v>D-ITOT_KEV_WST_ELC_CHP</v>
          </cell>
          <cell r="B251" t="str">
            <v>VAR_fout</v>
          </cell>
          <cell r="C251" t="str">
            <v>ITOT_ELC</v>
          </cell>
          <cell r="H251">
            <v>8.3982763168314472E-4</v>
          </cell>
          <cell r="I251">
            <v>4.8387489216104298E-4</v>
          </cell>
          <cell r="J251">
            <v>1.5791240707695023E-4</v>
          </cell>
        </row>
        <row r="252">
          <cell r="A252" t="str">
            <v>D-ITOT_KEV_WST_ELC_CHP</v>
          </cell>
          <cell r="B252" t="str">
            <v>VAR_fout</v>
          </cell>
          <cell r="C252" t="str">
            <v>ELC5</v>
          </cell>
          <cell r="H252">
            <v>6.3352968753740469E-4</v>
          </cell>
          <cell r="I252">
            <v>3.6981013260543215E-4</v>
          </cell>
          <cell r="J252">
            <v>1.3795222482738883E-4</v>
          </cell>
        </row>
        <row r="253">
          <cell r="A253" t="str">
            <v>D-ITOT_KEV_WST_ELC_CHP</v>
          </cell>
          <cell r="B253" t="str">
            <v>VAR_fin</v>
          </cell>
          <cell r="C253" t="str">
            <v>ITOT_KEV_WST_ELC_CHP</v>
          </cell>
          <cell r="H253">
            <v>1.4684447069493606E-3</v>
          </cell>
          <cell r="I253">
            <v>8.4803552065460615E-4</v>
          </cell>
          <cell r="J253">
            <v>2.9125383020319585E-4</v>
          </cell>
        </row>
        <row r="254">
          <cell r="A254" t="str">
            <v>D-RHNM_SOLELC</v>
          </cell>
          <cell r="B254" t="str">
            <v>VAR_fout</v>
          </cell>
          <cell r="C254" t="str">
            <v>ELC5</v>
          </cell>
          <cell r="H254">
            <v>7.5658774785890227E-4</v>
          </cell>
          <cell r="I254">
            <v>5.7850499278058417E-4</v>
          </cell>
          <cell r="J254">
            <v>3.4325977129690265E-4</v>
          </cell>
        </row>
        <row r="255">
          <cell r="A255" t="str">
            <v>D-RHNM_SOLELC</v>
          </cell>
          <cell r="B255" t="str">
            <v>VAR_fout</v>
          </cell>
          <cell r="C255" t="str">
            <v>RHNM_ELC</v>
          </cell>
          <cell r="H255">
            <v>1.9748761294681867</v>
          </cell>
          <cell r="I255">
            <v>2.0759453272010329</v>
          </cell>
          <cell r="J255">
            <v>2.2933951507815808</v>
          </cell>
        </row>
        <row r="256">
          <cell r="A256" t="str">
            <v>D-RHNM_SOLELC</v>
          </cell>
          <cell r="B256" t="str">
            <v>VAR_fin</v>
          </cell>
          <cell r="C256" t="str">
            <v>RHNM_SOL_ELC</v>
          </cell>
          <cell r="H256">
            <v>1.9756327172160457</v>
          </cell>
          <cell r="I256">
            <v>2.0765238321938146</v>
          </cell>
          <cell r="J256">
            <v>2.2937384105528769</v>
          </cell>
        </row>
        <row r="257">
          <cell r="A257" t="str">
            <v>RHNM-SHSTG-ELCHP</v>
          </cell>
          <cell r="B257" t="str">
            <v>VAR_fout</v>
          </cell>
          <cell r="C257" t="str">
            <v>AUX_RHNM-SHSTG-ELCHP_OUT</v>
          </cell>
          <cell r="H257">
            <v>0.3279145448693519</v>
          </cell>
          <cell r="I257">
            <v>0.45512371406630525</v>
          </cell>
          <cell r="J257">
            <v>0.63838292372064764</v>
          </cell>
        </row>
        <row r="258">
          <cell r="A258" t="str">
            <v>RHNM-SHSTG-ELCHP</v>
          </cell>
          <cell r="B258" t="str">
            <v>VAR_fout</v>
          </cell>
          <cell r="C258" t="str">
            <v>RHNM-SHAELCH</v>
          </cell>
          <cell r="H258">
            <v>0.3275869579114406</v>
          </cell>
          <cell r="I258">
            <v>0.4546690450212838</v>
          </cell>
          <cell r="J258">
            <v>0.63774517854210566</v>
          </cell>
        </row>
        <row r="259">
          <cell r="A259" t="str">
            <v>RHNM-SHSTG-ELCHP</v>
          </cell>
          <cell r="B259" t="str">
            <v>VAR_fin</v>
          </cell>
          <cell r="C259" t="str">
            <v>RHNM-SHAELCH</v>
          </cell>
          <cell r="H259">
            <v>0.32758799658957471</v>
          </cell>
          <cell r="I259">
            <v>0.45467124791691366</v>
          </cell>
          <cell r="J259">
            <v>0.63774744705306607</v>
          </cell>
        </row>
        <row r="260">
          <cell r="A260" t="str">
            <v>RHNM-SHSTG-ELCHP</v>
          </cell>
          <cell r="B260" t="str">
            <v>VAR_ncap</v>
          </cell>
          <cell r="C260" t="str">
            <v>-</v>
          </cell>
          <cell r="H260">
            <v>1.02093142773955E-2</v>
          </cell>
          <cell r="I260">
            <v>2.6138394046237402E-2</v>
          </cell>
          <cell r="J260">
            <v>3.8234117405893699E-2</v>
          </cell>
        </row>
        <row r="261">
          <cell r="A261" t="str">
            <v>RHNM-SHSTG-ELCHP</v>
          </cell>
          <cell r="B261" t="str">
            <v>VAR_cap</v>
          </cell>
          <cell r="C261" t="str">
            <v>-</v>
          </cell>
          <cell r="H261">
            <v>4.1107057388723896E-2</v>
          </cell>
          <cell r="I261">
            <v>4.8958074116375816E-2</v>
          </cell>
          <cell r="J261">
            <v>6.1477823166815201E-2</v>
          </cell>
        </row>
        <row r="262">
          <cell r="A262" t="str">
            <v>D-SCOM_LTH</v>
          </cell>
          <cell r="B262" t="str">
            <v>VAR_fout</v>
          </cell>
          <cell r="C262" t="str">
            <v>SCOM_LTH_DH</v>
          </cell>
          <cell r="H262">
            <v>7.4463291853115559</v>
          </cell>
          <cell r="I262">
            <v>7.8147929692513269</v>
          </cell>
          <cell r="J262">
            <v>8.3571086944377289</v>
          </cell>
        </row>
        <row r="263">
          <cell r="A263" t="str">
            <v>D-SCOM_LTH</v>
          </cell>
          <cell r="B263" t="str">
            <v>VAR_fin</v>
          </cell>
          <cell r="C263" t="str">
            <v>LTH</v>
          </cell>
          <cell r="H263">
            <v>8.0791676087187287</v>
          </cell>
          <cell r="I263">
            <v>8.4733881100863986</v>
          </cell>
          <cell r="J263">
            <v>9.0495441463783557</v>
          </cell>
        </row>
        <row r="264">
          <cell r="A264" t="str">
            <v>D-SCOM_LTH</v>
          </cell>
          <cell r="B264" t="str">
            <v>VAR_ncap</v>
          </cell>
          <cell r="C264" t="str">
            <v>-</v>
          </cell>
          <cell r="H264">
            <v>5.5208054292689698E-8</v>
          </cell>
          <cell r="I264">
            <v>5.6386070570128303E-8</v>
          </cell>
          <cell r="J264">
            <v>1.1614406763473701E-7</v>
          </cell>
        </row>
        <row r="265">
          <cell r="A265" t="str">
            <v>D-SCOM_LTH</v>
          </cell>
          <cell r="B265" t="str">
            <v>VAR_cap</v>
          </cell>
          <cell r="C265" t="str">
            <v>-</v>
          </cell>
          <cell r="H265">
            <v>0.84970040010381298</v>
          </cell>
          <cell r="I265">
            <v>0.84970045648988302</v>
          </cell>
          <cell r="J265">
            <v>0.84970057263395105</v>
          </cell>
        </row>
        <row r="266">
          <cell r="A266" t="str">
            <v>ITOT-SWHBIOBR</v>
          </cell>
          <cell r="B266" t="str">
            <v>VAR_fout</v>
          </cell>
          <cell r="C266" t="str">
            <v>ITOT-SWH</v>
          </cell>
          <cell r="H266">
            <v>4.5544562704215172</v>
          </cell>
          <cell r="I266">
            <v>4.5561497000485893</v>
          </cell>
          <cell r="J266">
            <v>5.9012219657262666</v>
          </cell>
        </row>
        <row r="267">
          <cell r="A267" t="str">
            <v>ITOT-SWHBIOBR</v>
          </cell>
          <cell r="B267" t="str">
            <v>VAR_fin</v>
          </cell>
          <cell r="C267" t="str">
            <v>IBIO</v>
          </cell>
          <cell r="H267">
            <v>6.4057050216898999</v>
          </cell>
          <cell r="I267">
            <v>6.4080867792525931</v>
          </cell>
          <cell r="J267">
            <v>8.1961416190642638</v>
          </cell>
        </row>
        <row r="268">
          <cell r="A268" t="str">
            <v>ITOT-SWHBIOBR</v>
          </cell>
          <cell r="B268" t="str">
            <v>VAR_ncap</v>
          </cell>
          <cell r="C268" t="str">
            <v>-</v>
          </cell>
          <cell r="H268">
            <v>0.183518062945631</v>
          </cell>
          <cell r="I268">
            <v>7.1793098724243096E-2</v>
          </cell>
          <cell r="J268">
            <v>0.26067910962830199</v>
          </cell>
        </row>
        <row r="269">
          <cell r="A269" t="str">
            <v>ITOT-SWHBIOBR</v>
          </cell>
          <cell r="B269" t="str">
            <v>VAR_cap</v>
          </cell>
          <cell r="C269" t="str">
            <v>-</v>
          </cell>
          <cell r="H269">
            <v>0.33841974994584967</v>
          </cell>
          <cell r="I269">
            <v>0.31139101480882048</v>
          </cell>
          <cell r="J269">
            <v>0.39039400126781049</v>
          </cell>
        </row>
        <row r="270">
          <cell r="A270" t="str">
            <v>RHNS-SHPLTBR</v>
          </cell>
          <cell r="B270" t="str">
            <v>VAR_fout</v>
          </cell>
          <cell r="C270" t="str">
            <v>RHNS-SHPLT</v>
          </cell>
          <cell r="H270">
            <v>9.0965807093054893E-3</v>
          </cell>
          <cell r="I270">
            <v>1.2056248689738747E-2</v>
          </cell>
          <cell r="J270">
            <v>1.8142768280122356E-2</v>
          </cell>
        </row>
        <row r="271">
          <cell r="A271" t="str">
            <v>RHNS-SHPLTBR</v>
          </cell>
          <cell r="B271" t="str">
            <v>VAR_fin</v>
          </cell>
          <cell r="C271" t="str">
            <v>RPLT</v>
          </cell>
          <cell r="H271">
            <v>1.2145999001895764E-2</v>
          </cell>
          <cell r="I271">
            <v>1.6062853263209709E-2</v>
          </cell>
          <cell r="J271">
            <v>2.4135044634616565E-2</v>
          </cell>
        </row>
        <row r="272">
          <cell r="A272" t="str">
            <v>RHNS-SHPLTBR</v>
          </cell>
          <cell r="B272" t="str">
            <v>VAR_ncap</v>
          </cell>
          <cell r="C272" t="str">
            <v>-</v>
          </cell>
          <cell r="H272">
            <v>1.9082814200933399E-4</v>
          </cell>
          <cell r="I272">
            <v>4.6825281919753397E-4</v>
          </cell>
          <cell r="J272">
            <v>9.1647431108014897E-4</v>
          </cell>
        </row>
        <row r="273">
          <cell r="A273" t="str">
            <v>RHNS-SHPLTBR</v>
          </cell>
          <cell r="B273" t="str">
            <v>VAR_cap</v>
          </cell>
          <cell r="C273" t="str">
            <v>-</v>
          </cell>
          <cell r="H273">
            <v>6.9545870994098017E-4</v>
          </cell>
          <cell r="I273">
            <v>8.9541041769244792E-4</v>
          </cell>
          <cell r="J273">
            <v>1.3369190412420011E-3</v>
          </cell>
        </row>
        <row r="274">
          <cell r="A274" t="str">
            <v>D-RHNM_KEV_WOD_ELC_CHP</v>
          </cell>
          <cell r="B274" t="str">
            <v>VAR_fout</v>
          </cell>
          <cell r="C274" t="str">
            <v>ELC5</v>
          </cell>
          <cell r="H274">
            <v>4.493463559597693E-4</v>
          </cell>
          <cell r="I274">
            <v>3.005455811352508E-4</v>
          </cell>
          <cell r="J274">
            <v>1.9343090929951377E-4</v>
          </cell>
        </row>
        <row r="275">
          <cell r="A275" t="str">
            <v>D-RHNM_KEV_WOD_ELC_CHP</v>
          </cell>
          <cell r="B275" t="str">
            <v>VAR_fout</v>
          </cell>
          <cell r="C275" t="str">
            <v>RHNM_ELC</v>
          </cell>
          <cell r="H275">
            <v>7.0495705599933872E-4</v>
          </cell>
          <cell r="I275">
            <v>4.3330696813967623E-4</v>
          </cell>
          <cell r="J275">
            <v>2.9277403205170595E-4</v>
          </cell>
        </row>
        <row r="276">
          <cell r="A276" t="str">
            <v>D-RHNM_KEV_WOD_ELC_CHP</v>
          </cell>
          <cell r="B276" t="str">
            <v>VAR_fin</v>
          </cell>
          <cell r="C276" t="str">
            <v>RHNM_KEV_WOD_ELC_CHP</v>
          </cell>
          <cell r="H276">
            <v>1.1502862831367119E-3</v>
          </cell>
          <cell r="I276">
            <v>7.3065460153540803E-4</v>
          </cell>
          <cell r="J276">
            <v>4.8340868787475862E-4</v>
          </cell>
        </row>
        <row r="277">
          <cell r="A277" t="str">
            <v>SCOM-SHLTHCHPNGA</v>
          </cell>
          <cell r="B277" t="str">
            <v>VAR_fout</v>
          </cell>
          <cell r="C277" t="str">
            <v>SCOM-SHLTHC-NGA</v>
          </cell>
          <cell r="H277"/>
          <cell r="I277"/>
          <cell r="J277"/>
        </row>
        <row r="278">
          <cell r="A278" t="str">
            <v>SCOM-SHLTHCHPNGA</v>
          </cell>
          <cell r="B278" t="str">
            <v>VAR_fin</v>
          </cell>
          <cell r="C278" t="str">
            <v>SCOMLTHCHPC</v>
          </cell>
          <cell r="H278"/>
          <cell r="I278"/>
          <cell r="J278"/>
        </row>
        <row r="279">
          <cell r="A279" t="str">
            <v>SCOM-SHLTHCHPNGA</v>
          </cell>
          <cell r="B279" t="str">
            <v>VAR_fin</v>
          </cell>
          <cell r="C279" t="str">
            <v>SCOM_LTH_CHPNGA_ON</v>
          </cell>
          <cell r="H279"/>
          <cell r="I279"/>
          <cell r="J279"/>
        </row>
        <row r="280">
          <cell r="A280" t="str">
            <v>SCOM-SHLTHCHPNGA</v>
          </cell>
          <cell r="B280" t="str">
            <v>VAR_ncap</v>
          </cell>
          <cell r="C280" t="str">
            <v>-</v>
          </cell>
          <cell r="H280">
            <v>0.43377113211489099</v>
          </cell>
          <cell r="I280">
            <v>5.3888430172599103E-2</v>
          </cell>
          <cell r="J280">
            <v>1.2953433877857599E-2</v>
          </cell>
        </row>
        <row r="281">
          <cell r="A281" t="str">
            <v>SCOM-SHLTHCHPNGA</v>
          </cell>
          <cell r="B281" t="str">
            <v>VAR_cap</v>
          </cell>
          <cell r="C281" t="str">
            <v>-</v>
          </cell>
          <cell r="H281">
            <v>0.46092931067679666</v>
          </cell>
          <cell r="I281">
            <v>0.46556097182408795</v>
          </cell>
          <cell r="J281">
            <v>0.12687249660684</v>
          </cell>
        </row>
        <row r="282">
          <cell r="A282" t="str">
            <v>ITOT-PROCESSCO2</v>
          </cell>
          <cell r="B282" t="str">
            <v>VAR_fout</v>
          </cell>
          <cell r="C282" t="str">
            <v>CO2</v>
          </cell>
          <cell r="H282">
            <v>2085.53495476948</v>
          </cell>
          <cell r="I282">
            <v>2077.4128471263102</v>
          </cell>
          <cell r="J282">
            <v>2063.74855625499</v>
          </cell>
        </row>
        <row r="283">
          <cell r="A283" t="str">
            <v>ITOT-PROCESSCO2</v>
          </cell>
          <cell r="B283" t="str">
            <v>VAR_fout</v>
          </cell>
          <cell r="C283" t="str">
            <v>CO2P</v>
          </cell>
          <cell r="H283">
            <v>2085.53495476948</v>
          </cell>
          <cell r="I283">
            <v>2077.4128471263102</v>
          </cell>
          <cell r="J283">
            <v>2063.74855625499</v>
          </cell>
        </row>
        <row r="284">
          <cell r="A284" t="str">
            <v>RHNM-SHWODBR</v>
          </cell>
          <cell r="B284" t="str">
            <v>VAR_fout</v>
          </cell>
          <cell r="C284" t="str">
            <v>RHNM-SHWOD</v>
          </cell>
          <cell r="H284">
            <v>0.20612105459610106</v>
          </cell>
          <cell r="I284">
            <v>0.23732255572510441</v>
          </cell>
          <cell r="J284">
            <v>0.27287664520270877</v>
          </cell>
        </row>
        <row r="285">
          <cell r="A285" t="str">
            <v>RHNM-SHWODBR</v>
          </cell>
          <cell r="B285" t="str">
            <v>VAR_fin</v>
          </cell>
          <cell r="C285" t="str">
            <v>RHNMWODBRC</v>
          </cell>
          <cell r="H285">
            <v>0.20612105459610106</v>
          </cell>
          <cell r="I285">
            <v>0.23732255572510441</v>
          </cell>
          <cell r="J285">
            <v>0.27287664520270877</v>
          </cell>
        </row>
        <row r="286">
          <cell r="A286" t="str">
            <v>RHNM-SHWODBR</v>
          </cell>
          <cell r="B286" t="str">
            <v>VAR_fin</v>
          </cell>
          <cell r="C286" t="str">
            <v>RWOD</v>
          </cell>
          <cell r="H286">
            <v>0.27627164505070062</v>
          </cell>
          <cell r="I286">
            <v>0.31747606702225062</v>
          </cell>
          <cell r="J286">
            <v>0.36503822334329389</v>
          </cell>
        </row>
        <row r="287">
          <cell r="A287" t="str">
            <v>RHNM-SHWODBR</v>
          </cell>
          <cell r="B287" t="str">
            <v>VAR_ncap</v>
          </cell>
          <cell r="C287" t="str">
            <v>-</v>
          </cell>
          <cell r="H287">
            <v>5.00874506080176E-2</v>
          </cell>
          <cell r="I287"/>
          <cell r="J287"/>
        </row>
        <row r="288">
          <cell r="A288" t="str">
            <v>RHNM-SHWODBR</v>
          </cell>
          <cell r="B288" t="str">
            <v>VAR_cap</v>
          </cell>
          <cell r="C288" t="str">
            <v>-</v>
          </cell>
          <cell r="H288">
            <v>5.0253287794060943E-2</v>
          </cell>
          <cell r="I288">
            <v>5.0098961907368178E-2</v>
          </cell>
          <cell r="J288">
            <v>2.1186685970282799E-2</v>
          </cell>
        </row>
        <row r="289">
          <cell r="A289" t="str">
            <v>RHNS-SHDEM</v>
          </cell>
          <cell r="B289" t="str">
            <v>VAR_fout</v>
          </cell>
          <cell r="C289" t="str">
            <v>RHNS-SHD</v>
          </cell>
          <cell r="H289">
            <v>3.6807552777854222</v>
          </cell>
          <cell r="I289">
            <v>4.3642978862964208</v>
          </cell>
          <cell r="J289">
            <v>5.3513375022584508</v>
          </cell>
        </row>
        <row r="290">
          <cell r="A290" t="str">
            <v>RHNS-SHDEM</v>
          </cell>
          <cell r="B290" t="str">
            <v>VAR_fin</v>
          </cell>
          <cell r="C290" t="str">
            <v>RHNS-SHLTHC-WOD</v>
          </cell>
          <cell r="H290">
            <v>4.8105388060817917E-5</v>
          </cell>
          <cell r="I290">
            <v>1.1322270022112737E-5</v>
          </cell>
          <cell r="J290">
            <v>8.4206412376506355E-5</v>
          </cell>
        </row>
        <row r="291">
          <cell r="A291" t="str">
            <v>RHNS-SHDEM</v>
          </cell>
          <cell r="B291" t="str">
            <v>VAR_fin</v>
          </cell>
          <cell r="C291" t="str">
            <v>RHNS-SHLFO</v>
          </cell>
          <cell r="H291">
            <v>7.2671413336193924E-2</v>
          </cell>
          <cell r="I291">
            <v>7.2479863494662997E-2</v>
          </cell>
          <cell r="J291"/>
        </row>
        <row r="292">
          <cell r="A292" t="str">
            <v>RHNS-SHDEM</v>
          </cell>
          <cell r="B292" t="str">
            <v>VAR_fin</v>
          </cell>
          <cell r="C292" t="str">
            <v>RHNS-SHNGAH</v>
          </cell>
          <cell r="H292">
            <v>0.7692329903092392</v>
          </cell>
          <cell r="I292">
            <v>0.96302298695024091</v>
          </cell>
          <cell r="J292">
            <v>1.2835893617311314</v>
          </cell>
        </row>
        <row r="293">
          <cell r="A293" t="str">
            <v>RHNS-SHDEM</v>
          </cell>
          <cell r="B293" t="str">
            <v>VAR_fin</v>
          </cell>
          <cell r="C293" t="str">
            <v>RHNS-SHCON</v>
          </cell>
          <cell r="H293">
            <v>1.0349396843015311E-3</v>
          </cell>
          <cell r="I293">
            <v>4.8446124883505855E-3</v>
          </cell>
          <cell r="J293">
            <v>6.9843575991948445E-2</v>
          </cell>
        </row>
        <row r="294">
          <cell r="A294" t="str">
            <v>RHNS-SHDEM</v>
          </cell>
          <cell r="B294" t="str">
            <v>VAR_fin</v>
          </cell>
          <cell r="C294" t="str">
            <v>RHNS-SHWOD</v>
          </cell>
          <cell r="H294">
            <v>0.11049924284125567</v>
          </cell>
          <cell r="I294">
            <v>0.12820326009641403</v>
          </cell>
          <cell r="J294">
            <v>0.14911772621597286</v>
          </cell>
        </row>
        <row r="295">
          <cell r="A295" t="str">
            <v>RHNS-SHDEM</v>
          </cell>
          <cell r="B295" t="str">
            <v>VAR_fin</v>
          </cell>
          <cell r="C295" t="str">
            <v>RHNS-SHNST</v>
          </cell>
          <cell r="H295">
            <v>9.9044930750728696E-5</v>
          </cell>
          <cell r="I295">
            <v>1.6442554163149193E-4</v>
          </cell>
          <cell r="J295">
            <v>9.4777963419105673E-5</v>
          </cell>
        </row>
        <row r="296">
          <cell r="A296" t="str">
            <v>RHNS-SHDEM</v>
          </cell>
          <cell r="B296" t="str">
            <v>VAR_fin</v>
          </cell>
          <cell r="C296" t="str">
            <v>RHNS-SHPLT</v>
          </cell>
          <cell r="H296">
            <v>9.0669694105577504E-3</v>
          </cell>
          <cell r="I296">
            <v>1.2012243630854652E-2</v>
          </cell>
          <cell r="J296">
            <v>1.8032709352534884E-2</v>
          </cell>
        </row>
        <row r="297">
          <cell r="A297" t="str">
            <v>RHNS-SHDEM</v>
          </cell>
          <cell r="B297" t="str">
            <v>VAR_fin</v>
          </cell>
          <cell r="C297" t="str">
            <v>RHNS-SHLTHD</v>
          </cell>
          <cell r="H297">
            <v>8.4801902866848619E-3</v>
          </cell>
          <cell r="I297">
            <v>1.0288242752564108E-2</v>
          </cell>
          <cell r="J297">
            <v>1.2917074483722304E-2</v>
          </cell>
        </row>
        <row r="298">
          <cell r="A298" t="str">
            <v>RHNS-SHDEM</v>
          </cell>
          <cell r="B298" t="str">
            <v>VAR_fin</v>
          </cell>
          <cell r="C298" t="str">
            <v>RHNS-SHELCB</v>
          </cell>
          <cell r="H298">
            <v>2.2803143290314021E-2</v>
          </cell>
          <cell r="I298">
            <v>2.7768140070333059E-2</v>
          </cell>
          <cell r="J298">
            <v>3.2587436887421467E-2</v>
          </cell>
        </row>
        <row r="299">
          <cell r="A299" t="str">
            <v>RHNS-SHDEM</v>
          </cell>
          <cell r="B299" t="str">
            <v>VAR_fin</v>
          </cell>
          <cell r="C299" t="str">
            <v>RHNS-SHELCH</v>
          </cell>
          <cell r="H299">
            <v>2.5400979454125996</v>
          </cell>
          <cell r="I299">
            <v>2.9751471550431803</v>
          </cell>
          <cell r="J299">
            <v>3.5942782508598157</v>
          </cell>
        </row>
        <row r="300">
          <cell r="A300" t="str">
            <v>RHNS-SHDEM</v>
          </cell>
          <cell r="B300" t="str">
            <v>VAR_fin</v>
          </cell>
          <cell r="C300" t="str">
            <v>RHNS-SHSOL</v>
          </cell>
          <cell r="H300">
            <v>4.4653687700007497E-4</v>
          </cell>
          <cell r="I300">
            <v>5.4635029372114184E-4</v>
          </cell>
          <cell r="J300">
            <v>7.9033616525755036E-4</v>
          </cell>
        </row>
        <row r="301">
          <cell r="A301" t="str">
            <v>RHNS-SHDEM</v>
          </cell>
          <cell r="B301" t="str">
            <v>VAR_fin</v>
          </cell>
          <cell r="C301" t="str">
            <v>RHNS-SHLTHC-NGA</v>
          </cell>
          <cell r="H301">
            <v>3.3765577294127594E-5</v>
          </cell>
          <cell r="I301"/>
          <cell r="J301">
            <v>2.4491662385100738E-6</v>
          </cell>
        </row>
        <row r="302">
          <cell r="A302" t="str">
            <v>RHNS-SHDEM</v>
          </cell>
          <cell r="B302" t="str">
            <v>VAR_fin</v>
          </cell>
          <cell r="C302" t="str">
            <v>RHNS-SHNGA</v>
          </cell>
          <cell r="H302">
            <v>0.14631956096660687</v>
          </cell>
          <cell r="I302">
            <v>0.16987366679231392</v>
          </cell>
          <cell r="J302">
            <v>0.19004918456314071</v>
          </cell>
        </row>
        <row r="303">
          <cell r="A303" t="str">
            <v>RES-ELCSPEC</v>
          </cell>
          <cell r="B303" t="str">
            <v>VAR_fout</v>
          </cell>
          <cell r="C303" t="str">
            <v>RHSA-ELS</v>
          </cell>
          <cell r="H303">
            <v>50.505141742178317</v>
          </cell>
          <cell r="I303">
            <v>50.54832211872683</v>
          </cell>
          <cell r="J303">
            <v>50.05975592092944</v>
          </cell>
        </row>
        <row r="304">
          <cell r="A304" t="str">
            <v>RES-ELCSPEC</v>
          </cell>
          <cell r="B304" t="str">
            <v>VAR_fin</v>
          </cell>
          <cell r="C304" t="str">
            <v>RHSA_ELC</v>
          </cell>
          <cell r="H304">
            <v>50.505141742178317</v>
          </cell>
          <cell r="I304">
            <v>50.54832211872683</v>
          </cell>
          <cell r="J304">
            <v>50.05975592092944</v>
          </cell>
        </row>
        <row r="305">
          <cell r="A305" t="str">
            <v>RES-ELCSPEC</v>
          </cell>
          <cell r="B305" t="str">
            <v>VAR_ncap</v>
          </cell>
          <cell r="C305" t="str">
            <v>-</v>
          </cell>
          <cell r="H305">
            <v>5.1612481863853997E-2</v>
          </cell>
          <cell r="I305">
            <v>4.5684903735060296E-3</v>
          </cell>
          <cell r="J305">
            <v>4.56894149225975</v>
          </cell>
        </row>
        <row r="306">
          <cell r="A306" t="str">
            <v>RES-ELCSPEC</v>
          </cell>
          <cell r="B306" t="str">
            <v>VAR_cap</v>
          </cell>
          <cell r="C306" t="str">
            <v>-</v>
          </cell>
          <cell r="H306">
            <v>5.3383596536885118</v>
          </cell>
          <cell r="I306">
            <v>5.3429235111670028</v>
          </cell>
          <cell r="J306">
            <v>5.2912815846570354</v>
          </cell>
        </row>
        <row r="307">
          <cell r="A307" t="str">
            <v>SCOM-SHCONBR1</v>
          </cell>
          <cell r="B307" t="str">
            <v>VAR_fout</v>
          </cell>
          <cell r="C307" t="str">
            <v>SCOM-SHCON</v>
          </cell>
          <cell r="H307">
            <v>1.2642625112026826</v>
          </cell>
          <cell r="I307">
            <v>2.1005943155782387</v>
          </cell>
          <cell r="J307">
            <v>2.6177926314713593</v>
          </cell>
        </row>
        <row r="308">
          <cell r="A308" t="str">
            <v>SCOM-SHCONBR1</v>
          </cell>
          <cell r="B308" t="str">
            <v>VAR_fin</v>
          </cell>
          <cell r="C308" t="str">
            <v>CON</v>
          </cell>
          <cell r="H308">
            <v>1.2642625112026826</v>
          </cell>
          <cell r="I308">
            <v>2.1005943155782387</v>
          </cell>
          <cell r="J308">
            <v>2.6177926314713593</v>
          </cell>
        </row>
        <row r="309">
          <cell r="A309" t="str">
            <v>SCOM-SHCONBR1</v>
          </cell>
          <cell r="B309" t="str">
            <v>VAR_ncap</v>
          </cell>
          <cell r="C309" t="str">
            <v>-</v>
          </cell>
          <cell r="H309">
            <v>4.5540566859694899E-7</v>
          </cell>
          <cell r="I309">
            <v>4.5897446019581602E-2</v>
          </cell>
          <cell r="J309">
            <v>9.2974318724485402E-2</v>
          </cell>
        </row>
        <row r="310">
          <cell r="A310" t="str">
            <v>SCOM-SHCONBR1</v>
          </cell>
          <cell r="B310" t="str">
            <v>VAR_cap</v>
          </cell>
          <cell r="C310" t="str">
            <v>-</v>
          </cell>
          <cell r="H310">
            <v>0.11743186024441116</v>
          </cell>
          <cell r="I310">
            <v>0.16332954717614895</v>
          </cell>
          <cell r="J310">
            <v>0.20675974149271628</v>
          </cell>
        </row>
        <row r="311">
          <cell r="A311" t="str">
            <v>RHSA-WHSTG-SOL</v>
          </cell>
          <cell r="B311" t="str">
            <v>VAR_fout</v>
          </cell>
          <cell r="C311" t="str">
            <v>RHSA-WHASOL</v>
          </cell>
          <cell r="H311">
            <v>0.39965932466956483</v>
          </cell>
          <cell r="I311">
            <v>0.44276142857020018</v>
          </cell>
          <cell r="J311">
            <v>0.51037053952063249</v>
          </cell>
        </row>
        <row r="312">
          <cell r="A312" t="str">
            <v>RHSA-WHSTG-SOL</v>
          </cell>
          <cell r="B312" t="str">
            <v>VAR_fout</v>
          </cell>
          <cell r="C312" t="str">
            <v>AUX_RHSA-WHSTG-SOL_OUT</v>
          </cell>
          <cell r="H312">
            <v>0.40005898399423423</v>
          </cell>
          <cell r="I312">
            <v>0.44320418999877031</v>
          </cell>
          <cell r="J312">
            <v>0.51088091006015335</v>
          </cell>
        </row>
        <row r="313">
          <cell r="A313" t="str">
            <v>RHSA-WHSTG-SOL</v>
          </cell>
          <cell r="B313" t="str">
            <v>VAR_fin</v>
          </cell>
          <cell r="C313" t="str">
            <v>RHSA-WHASOL</v>
          </cell>
          <cell r="H313">
            <v>0.39966602318902611</v>
          </cell>
          <cell r="I313">
            <v>0.44276533694858689</v>
          </cell>
          <cell r="J313">
            <v>0.51037567880015255</v>
          </cell>
        </row>
        <row r="314">
          <cell r="A314" t="str">
            <v>RHSA-WHSTG-SOL</v>
          </cell>
          <cell r="B314" t="str">
            <v>VAR_ncap</v>
          </cell>
          <cell r="C314" t="str">
            <v>-</v>
          </cell>
          <cell r="H314">
            <v>4.0440635930516097E-2</v>
          </cell>
          <cell r="I314">
            <v>2.66263933734299E-2</v>
          </cell>
          <cell r="J314">
            <v>4.0865389800498898E-2</v>
          </cell>
        </row>
        <row r="315">
          <cell r="A315" t="str">
            <v>RHSA-WHSTG-SOL</v>
          </cell>
          <cell r="B315" t="str">
            <v>VAR_cap</v>
          </cell>
          <cell r="C315" t="str">
            <v>-</v>
          </cell>
          <cell r="H315">
            <v>6.0820804436410469E-2</v>
          </cell>
          <cell r="I315">
            <v>6.7067268604700206E-2</v>
          </cell>
          <cell r="J315">
            <v>7.7295228787033196E-2</v>
          </cell>
        </row>
        <row r="316">
          <cell r="A316" t="str">
            <v>SCOM-SHCONBR2</v>
          </cell>
          <cell r="B316" t="str">
            <v>VAR_fout</v>
          </cell>
          <cell r="C316" t="str">
            <v>SCOM-SHCON</v>
          </cell>
          <cell r="H316">
            <v>1.9896404121818663</v>
          </cell>
          <cell r="I316">
            <v>2.353185988306707</v>
          </cell>
          <cell r="J316">
            <v>4.0772686547685417</v>
          </cell>
        </row>
        <row r="317">
          <cell r="A317" t="str">
            <v>SCOM-SHCONBR2</v>
          </cell>
          <cell r="B317" t="str">
            <v>VAR_fin</v>
          </cell>
          <cell r="C317" t="str">
            <v>CON</v>
          </cell>
          <cell r="H317">
            <v>1.9896404121818663</v>
          </cell>
          <cell r="I317">
            <v>2.353185988306707</v>
          </cell>
          <cell r="J317">
            <v>4.0772686547685417</v>
          </cell>
          <cell r="L317"/>
          <cell r="M317"/>
          <cell r="N317"/>
        </row>
        <row r="318">
          <cell r="A318" t="str">
            <v>SCOM-SHCONBR2</v>
          </cell>
          <cell r="B318" t="str">
            <v>VAR_ncap</v>
          </cell>
          <cell r="C318" t="str">
            <v>-</v>
          </cell>
          <cell r="H318">
            <v>3.4171102305656101E-7</v>
          </cell>
          <cell r="I318">
            <v>1.88303871011832E-6</v>
          </cell>
          <cell r="J318">
            <v>0.21059184876429499</v>
          </cell>
        </row>
        <row r="319">
          <cell r="A319" t="str">
            <v>SCOM-SHCONBR2</v>
          </cell>
          <cell r="B319" t="str">
            <v>VAR_cap</v>
          </cell>
          <cell r="C319" t="str">
            <v>-</v>
          </cell>
          <cell r="H319">
            <v>0.18290221007788612</v>
          </cell>
          <cell r="I319">
            <v>0.18290433594266786</v>
          </cell>
          <cell r="J319">
            <v>0.31633011510310527</v>
          </cell>
        </row>
        <row r="320">
          <cell r="A320" t="str">
            <v>SCOM-SHCONBR3</v>
          </cell>
          <cell r="B320" t="str">
            <v>VAR_fout</v>
          </cell>
          <cell r="C320" t="str">
            <v>SCOM-SHCON</v>
          </cell>
          <cell r="H320">
            <v>1.5963656610763535</v>
          </cell>
          <cell r="I320">
            <v>1.8894645034344837</v>
          </cell>
          <cell r="J320">
            <v>3.2762289314535651</v>
          </cell>
        </row>
        <row r="321">
          <cell r="A321" t="str">
            <v>SCOM-SHCONBR3</v>
          </cell>
          <cell r="B321" t="str">
            <v>VAR_fin</v>
          </cell>
          <cell r="C321" t="str">
            <v>CON</v>
          </cell>
          <cell r="H321">
            <v>1.5963656610763535</v>
          </cell>
          <cell r="I321">
            <v>1.8894645034344837</v>
          </cell>
          <cell r="J321">
            <v>3.2762289314535651</v>
          </cell>
        </row>
        <row r="322">
          <cell r="A322" t="str">
            <v>SCOM-SHCONBR3</v>
          </cell>
          <cell r="B322" t="str">
            <v>VAR_ncap</v>
          </cell>
          <cell r="C322" t="str">
            <v>-</v>
          </cell>
          <cell r="H322">
            <v>1.15824550266851E-7</v>
          </cell>
          <cell r="I322">
            <v>1.5731356629272701E-7</v>
          </cell>
          <cell r="J322">
            <v>0.16820136048061801</v>
          </cell>
        </row>
        <row r="323">
          <cell r="A323" t="str">
            <v>SCOM-SHCONBR3</v>
          </cell>
          <cell r="B323" t="str">
            <v>VAR_cap</v>
          </cell>
          <cell r="C323" t="str">
            <v>-</v>
          </cell>
          <cell r="H323">
            <v>0.14696816567883988</v>
          </cell>
          <cell r="I323">
            <v>0.14696857095335539</v>
          </cell>
          <cell r="J323">
            <v>0.25316424845250934</v>
          </cell>
        </row>
        <row r="324">
          <cell r="A324" t="str">
            <v>SCOM-SHCONBR4</v>
          </cell>
          <cell r="B324" t="str">
            <v>VAR_fout</v>
          </cell>
          <cell r="C324" t="str">
            <v>SCOM-SHCON</v>
          </cell>
          <cell r="H324">
            <v>0.42697249149903671</v>
          </cell>
          <cell r="I324">
            <v>0.5155728753583344</v>
          </cell>
          <cell r="J324">
            <v>0.31115687368266515</v>
          </cell>
        </row>
        <row r="325">
          <cell r="A325" t="str">
            <v>SCOM-SHCONBR4</v>
          </cell>
          <cell r="B325" t="str">
            <v>VAR_fin</v>
          </cell>
          <cell r="C325" t="str">
            <v>CON</v>
          </cell>
          <cell r="H325">
            <v>0.42697249149903671</v>
          </cell>
          <cell r="I325">
            <v>0.5155728753583344</v>
          </cell>
          <cell r="J325">
            <v>0.31115687368266515</v>
          </cell>
        </row>
        <row r="326">
          <cell r="A326" t="str">
            <v>SCOM-SHCONBR4</v>
          </cell>
          <cell r="B326" t="str">
            <v>VAR_ncap</v>
          </cell>
          <cell r="C326" t="str">
            <v>-</v>
          </cell>
          <cell r="H326">
            <v>8.1303536349726096E-8</v>
          </cell>
          <cell r="I326">
            <v>1.2509798255046301E-7</v>
          </cell>
          <cell r="J326">
            <v>6.9295987384733102E-4</v>
          </cell>
        </row>
        <row r="327">
          <cell r="A327" t="str">
            <v>SCOM-SHCONBR4</v>
          </cell>
          <cell r="B327" t="str">
            <v>VAR_cap</v>
          </cell>
          <cell r="C327" t="str">
            <v>-</v>
          </cell>
          <cell r="H327">
            <v>4.0401593104231429E-2</v>
          </cell>
          <cell r="I327">
            <v>4.0401961339705535E-2</v>
          </cell>
          <cell r="J327">
            <v>2.4049551270322066E-2</v>
          </cell>
        </row>
        <row r="328">
          <cell r="A328" t="str">
            <v>RHEM-SHNGABR</v>
          </cell>
          <cell r="B328" t="str">
            <v>VAR_fout</v>
          </cell>
          <cell r="C328" t="str">
            <v>CO2_R</v>
          </cell>
          <cell r="H328">
            <v>898.64843995726403</v>
          </cell>
          <cell r="I328">
            <v>698.13843445945997</v>
          </cell>
          <cell r="J328">
            <v>324.81552499210301</v>
          </cell>
        </row>
        <row r="329">
          <cell r="A329" t="str">
            <v>RHEM-SHNGABR</v>
          </cell>
          <cell r="B329" t="str">
            <v>VAR_fout</v>
          </cell>
          <cell r="C329" t="str">
            <v>RHEM-SHNGA</v>
          </cell>
          <cell r="H329">
            <v>15.159485411166701</v>
          </cell>
          <cell r="I329">
            <v>11.777040877816736</v>
          </cell>
          <cell r="J329">
            <v>5.4793799148779501</v>
          </cell>
        </row>
        <row r="330">
          <cell r="A330" t="str">
            <v>RHEM-SHNGABR</v>
          </cell>
          <cell r="B330" t="str">
            <v>VAR_fin</v>
          </cell>
          <cell r="C330" t="str">
            <v>RNGA</v>
          </cell>
          <cell r="H330">
            <v>15.933482977965692</v>
          </cell>
          <cell r="I330">
            <v>12.378341036515263</v>
          </cell>
          <cell r="J330">
            <v>5.7591405140443808</v>
          </cell>
        </row>
        <row r="331">
          <cell r="A331" t="str">
            <v>RHEM-SHNGABR</v>
          </cell>
          <cell r="B331" t="str">
            <v>VAR_ncap</v>
          </cell>
          <cell r="C331" t="str">
            <v>-</v>
          </cell>
          <cell r="H331">
            <v>0.52612538629203198</v>
          </cell>
          <cell r="I331">
            <v>0.27094421541365599</v>
          </cell>
          <cell r="J331">
            <v>2.4146120460338902E-7</v>
          </cell>
        </row>
        <row r="332">
          <cell r="A332" t="str">
            <v>RHEM-SHNGABR</v>
          </cell>
          <cell r="B332" t="str">
            <v>VAR_cap</v>
          </cell>
          <cell r="C332" t="str">
            <v>-</v>
          </cell>
          <cell r="H332">
            <v>1.0706434633887352</v>
          </cell>
          <cell r="I332">
            <v>0.83165112674264752</v>
          </cell>
          <cell r="J332">
            <v>0.41917859216260955</v>
          </cell>
        </row>
        <row r="333">
          <cell r="A333" t="str">
            <v>SCOM-SHCONBR5</v>
          </cell>
          <cell r="B333" t="str">
            <v>VAR_fout</v>
          </cell>
          <cell r="C333" t="str">
            <v>SCOM-SHCON</v>
          </cell>
          <cell r="H333">
            <v>0.53598945239697626</v>
          </cell>
          <cell r="I333">
            <v>0.64451946176849928</v>
          </cell>
          <cell r="J333">
            <v>0.37719285104415612</v>
          </cell>
        </row>
        <row r="334">
          <cell r="A334" t="str">
            <v>SCOM-SHCONBR5</v>
          </cell>
          <cell r="B334" t="str">
            <v>VAR_fin</v>
          </cell>
          <cell r="C334" t="str">
            <v>CON</v>
          </cell>
          <cell r="H334">
            <v>0.53598945239697626</v>
          </cell>
          <cell r="I334">
            <v>0.64451946176849928</v>
          </cell>
          <cell r="J334">
            <v>0.37719285104415612</v>
          </cell>
        </row>
        <row r="335">
          <cell r="A335" t="str">
            <v>SCOM-SHCONBR5</v>
          </cell>
          <cell r="B335" t="str">
            <v>VAR_ncap</v>
          </cell>
          <cell r="C335" t="str">
            <v>-</v>
          </cell>
          <cell r="H335">
            <v>6.36710115075641E-8</v>
          </cell>
          <cell r="I335">
            <v>9.1041340066144701E-8</v>
          </cell>
          <cell r="J335">
            <v>7.0992959046657195E-7</v>
          </cell>
        </row>
        <row r="336">
          <cell r="A336" t="str">
            <v>SCOM-SHCONBR5</v>
          </cell>
          <cell r="B336" t="str">
            <v>VAR_cap</v>
          </cell>
          <cell r="C336" t="str">
            <v>-</v>
          </cell>
          <cell r="H336">
            <v>5.0425720224641972E-2</v>
          </cell>
          <cell r="I336">
            <v>5.0426055827714263E-2</v>
          </cell>
          <cell r="J336">
            <v>2.9152211618064913E-2</v>
          </cell>
        </row>
        <row r="337">
          <cell r="A337" t="str">
            <v>RHES-SHSTG-ELCHP</v>
          </cell>
          <cell r="B337" t="str">
            <v>VAR_fout</v>
          </cell>
          <cell r="C337" t="str">
            <v>RHES-SHAELCH</v>
          </cell>
          <cell r="H337">
            <v>3.4892738325967385</v>
          </cell>
          <cell r="I337">
            <v>4.1949621370464252</v>
          </cell>
          <cell r="J337">
            <v>4.3917982213227935</v>
          </cell>
        </row>
        <row r="338">
          <cell r="A338" t="str">
            <v>RHES-SHSTG-ELCHP</v>
          </cell>
          <cell r="B338" t="str">
            <v>VAR_fout</v>
          </cell>
          <cell r="C338" t="str">
            <v>AUX_RHES-SHSTG-ELCHP_OUT</v>
          </cell>
          <cell r="H338">
            <v>3.4927631064293325</v>
          </cell>
          <cell r="I338">
            <v>4.1991570991834735</v>
          </cell>
          <cell r="J338">
            <v>4.3961900195441164</v>
          </cell>
        </row>
        <row r="339">
          <cell r="A339" t="str">
            <v>RHES-SHSTG-ELCHP</v>
          </cell>
          <cell r="B339" t="str">
            <v>VAR_fin</v>
          </cell>
          <cell r="C339" t="str">
            <v>RHES-SHAELCH</v>
          </cell>
          <cell r="H339">
            <v>3.4892755436554541</v>
          </cell>
          <cell r="I339">
            <v>4.1949644553989645</v>
          </cell>
          <cell r="J339">
            <v>4.3918007346869423</v>
          </cell>
        </row>
        <row r="340">
          <cell r="A340" t="str">
            <v>RHES-SHSTG-ELCHP</v>
          </cell>
          <cell r="B340" t="str">
            <v>VAR_ncap</v>
          </cell>
          <cell r="C340" t="str">
            <v>-</v>
          </cell>
          <cell r="H340">
            <v>0.11616940985140101</v>
          </cell>
          <cell r="I340">
            <v>0.186855250457554</v>
          </cell>
          <cell r="J340">
            <v>0.19607007182188699</v>
          </cell>
        </row>
        <row r="341">
          <cell r="A341" t="str">
            <v>RHES-SHSTG-ELCHP</v>
          </cell>
          <cell r="B341" t="str">
            <v>VAR_cap</v>
          </cell>
          <cell r="C341" t="str">
            <v>-</v>
          </cell>
          <cell r="H341">
            <v>0.34456093864779064</v>
          </cell>
          <cell r="I341">
            <v>0.35760050254088954</v>
          </cell>
          <cell r="J341">
            <v>0.38078750446951914</v>
          </cell>
        </row>
        <row r="342">
          <cell r="A342" t="str">
            <v>SCOM-SHCONBR6</v>
          </cell>
          <cell r="B342" t="str">
            <v>VAR_fout</v>
          </cell>
          <cell r="C342" t="str">
            <v>SCOM-SHCON</v>
          </cell>
          <cell r="H342">
            <v>1.5708875229747301E-4</v>
          </cell>
          <cell r="I342">
            <v>2.2233234223372337E-4</v>
          </cell>
          <cell r="J342">
            <v>3.6151289532774725E-4</v>
          </cell>
        </row>
        <row r="343">
          <cell r="A343" t="str">
            <v>SCOM-SHCONBR6</v>
          </cell>
          <cell r="B343" t="str">
            <v>VAR_fin</v>
          </cell>
          <cell r="C343" t="str">
            <v>CON</v>
          </cell>
          <cell r="H343">
            <v>1.5708875229747301E-4</v>
          </cell>
          <cell r="I343">
            <v>2.2233234223372337E-4</v>
          </cell>
          <cell r="J343">
            <v>3.6151289532774725E-4</v>
          </cell>
        </row>
        <row r="344">
          <cell r="A344" t="str">
            <v>SCOM-SHCONBR6</v>
          </cell>
          <cell r="B344" t="str">
            <v>VAR_ncap</v>
          </cell>
          <cell r="C344" t="str">
            <v>-</v>
          </cell>
          <cell r="H344">
            <v>2.2523816136311799E-5</v>
          </cell>
          <cell r="I344">
            <v>5.7134488982081297E-7</v>
          </cell>
          <cell r="J344">
            <v>8.3971383197279107E-6</v>
          </cell>
        </row>
        <row r="345">
          <cell r="A345" t="str">
            <v>SCOM-SHCONBR6</v>
          </cell>
          <cell r="B345" t="str">
            <v>VAR_cap</v>
          </cell>
          <cell r="C345" t="str">
            <v>-</v>
          </cell>
          <cell r="H345">
            <v>2.2523816136311799E-5</v>
          </cell>
          <cell r="I345">
            <v>2.3071248970041384E-5</v>
          </cell>
          <cell r="J345">
            <v>3.1479551638099567E-5</v>
          </cell>
        </row>
        <row r="346">
          <cell r="A346" t="str">
            <v>RHNM-SHDEM</v>
          </cell>
          <cell r="B346" t="str">
            <v>VAR_fout</v>
          </cell>
          <cell r="C346" t="str">
            <v>RHNM-SHD</v>
          </cell>
          <cell r="H346">
            <v>4.1740987100210294</v>
          </cell>
          <cell r="I346">
            <v>4.976612258956842</v>
          </cell>
          <cell r="J346">
            <v>6.1692573462616513</v>
          </cell>
        </row>
        <row r="347">
          <cell r="A347" t="str">
            <v>RHNM-SHDEM</v>
          </cell>
          <cell r="B347" t="str">
            <v>VAR_fin</v>
          </cell>
          <cell r="C347" t="str">
            <v>RHNM-SHLFO</v>
          </cell>
          <cell r="H347">
            <v>0.16366681153142729</v>
          </cell>
          <cell r="I347">
            <v>0.16227466407465341</v>
          </cell>
          <cell r="J347">
            <v>5.3405981071864008E-5</v>
          </cell>
        </row>
        <row r="348">
          <cell r="A348" t="str">
            <v>RHNM-SHDEM</v>
          </cell>
          <cell r="B348" t="str">
            <v>VAR_fin</v>
          </cell>
          <cell r="C348" t="str">
            <v>RHNM-SHLTHD</v>
          </cell>
          <cell r="H348">
            <v>0.14988758550307585</v>
          </cell>
          <cell r="I348">
            <v>0.1784258014641591</v>
          </cell>
          <cell r="J348">
            <v>0.22781547821892972</v>
          </cell>
        </row>
        <row r="349">
          <cell r="A349" t="str">
            <v>RHNM-SHDEM</v>
          </cell>
          <cell r="B349" t="str">
            <v>VAR_fin</v>
          </cell>
          <cell r="C349" t="str">
            <v>RHNM-SHCON</v>
          </cell>
          <cell r="H349">
            <v>1.2611000944316498E-3</v>
          </cell>
          <cell r="I349">
            <v>9.6619121605891253E-3</v>
          </cell>
          <cell r="J349">
            <v>0.13722622487268921</v>
          </cell>
        </row>
        <row r="350">
          <cell r="A350" t="str">
            <v>RHNM-SHDEM</v>
          </cell>
          <cell r="B350" t="str">
            <v>VAR_fin</v>
          </cell>
          <cell r="C350" t="str">
            <v>RHNM-SHELCB</v>
          </cell>
          <cell r="H350">
            <v>5.1190275241027256E-3</v>
          </cell>
          <cell r="I350">
            <v>5.8827311185596634E-3</v>
          </cell>
          <cell r="J350">
            <v>7.4489030282093851E-3</v>
          </cell>
        </row>
        <row r="351">
          <cell r="A351" t="str">
            <v>RHNM-SHDEM</v>
          </cell>
          <cell r="B351" t="str">
            <v>VAR_fin</v>
          </cell>
          <cell r="C351" t="str">
            <v>RHNM-SHWOD</v>
          </cell>
          <cell r="H351">
            <v>0.20587988205887503</v>
          </cell>
          <cell r="I351">
            <v>0.23711485488151057</v>
          </cell>
          <cell r="J351">
            <v>0.27275177486730301</v>
          </cell>
        </row>
        <row r="352">
          <cell r="A352" t="str">
            <v>RHNM-SHDEM</v>
          </cell>
          <cell r="B352" t="str">
            <v>VAR_fin</v>
          </cell>
          <cell r="C352" t="str">
            <v>RHNM-SHELCH</v>
          </cell>
          <cell r="H352">
            <v>2.2499459484069892</v>
          </cell>
          <cell r="I352">
            <v>2.6800857094835888</v>
          </cell>
          <cell r="J352">
            <v>3.365819665884016</v>
          </cell>
        </row>
        <row r="353">
          <cell r="A353" t="str">
            <v>RHNM-SHDEM</v>
          </cell>
          <cell r="B353" t="str">
            <v>VAR_fin</v>
          </cell>
          <cell r="C353" t="str">
            <v>RHNM-SHNST</v>
          </cell>
          <cell r="H353">
            <v>1.0630012574943996E-4</v>
          </cell>
          <cell r="I353">
            <v>3.3251851628508339E-5</v>
          </cell>
          <cell r="J353">
            <v>5.9382390315178095E-5</v>
          </cell>
        </row>
        <row r="354">
          <cell r="A354" t="str">
            <v>RHNM-SHDEM</v>
          </cell>
          <cell r="B354" t="str">
            <v>VAR_fin</v>
          </cell>
          <cell r="C354" t="str">
            <v>RHNM-SHPLT</v>
          </cell>
          <cell r="H354">
            <v>5.7783740303568462E-2</v>
          </cell>
          <cell r="I354">
            <v>7.1202934242049903E-2</v>
          </cell>
          <cell r="J354">
            <v>9.8567128645518462E-2</v>
          </cell>
        </row>
        <row r="355">
          <cell r="A355" t="str">
            <v>RHNM-SHDEM</v>
          </cell>
          <cell r="B355" t="str">
            <v>VAR_fin</v>
          </cell>
          <cell r="C355" t="str">
            <v>RHNM-SHLTHC-NGA</v>
          </cell>
          <cell r="H355">
            <v>7.4495151087719468E-5</v>
          </cell>
          <cell r="I355">
            <v>2.5520559934143695E-5</v>
          </cell>
          <cell r="J355"/>
        </row>
        <row r="356">
          <cell r="A356" t="str">
            <v>RHNM-SHDEM</v>
          </cell>
          <cell r="B356" t="str">
            <v>VAR_fin</v>
          </cell>
          <cell r="C356" t="str">
            <v>RHNM-SHSOL</v>
          </cell>
          <cell r="H356">
            <v>3.6155480164264705E-4</v>
          </cell>
          <cell r="I356">
            <v>3.2430728314804486E-4</v>
          </cell>
          <cell r="J356">
            <v>2.6653165149090319E-4</v>
          </cell>
        </row>
        <row r="357">
          <cell r="A357" t="str">
            <v>RHNM-SHDEM</v>
          </cell>
          <cell r="B357" t="str">
            <v>VAR_fin</v>
          </cell>
          <cell r="C357" t="str">
            <v>RHNM-SHLTHC-WOD</v>
          </cell>
          <cell r="H357">
            <v>3.557690335656126E-5</v>
          </cell>
          <cell r="I357">
            <v>1.3291128024766775E-4</v>
          </cell>
          <cell r="J357">
            <v>9.5990944191758308E-6</v>
          </cell>
        </row>
        <row r="358">
          <cell r="A358" t="str">
            <v>RHNM-SHDEM</v>
          </cell>
          <cell r="B358" t="str">
            <v>VAR_fin</v>
          </cell>
          <cell r="C358" t="str">
            <v>RHNM-SHNGAH</v>
          </cell>
          <cell r="H358">
            <v>1.0133431161388582</v>
          </cell>
          <cell r="I358">
            <v>1.2721545942010364</v>
          </cell>
          <cell r="J358">
            <v>1.7313749063372943</v>
          </cell>
        </row>
        <row r="359">
          <cell r="A359" t="str">
            <v>RHNM-SHDEM</v>
          </cell>
          <cell r="B359" t="str">
            <v>VAR_fin</v>
          </cell>
          <cell r="C359" t="str">
            <v>RHNM-SHNGA</v>
          </cell>
          <cell r="H359">
            <v>0.32671354620290527</v>
          </cell>
          <cell r="I359">
            <v>0.35935892533500524</v>
          </cell>
          <cell r="J359">
            <v>0.32791530888722648</v>
          </cell>
        </row>
        <row r="360">
          <cell r="A360" t="str">
            <v>SCOM-STG-ELCSPEC</v>
          </cell>
          <cell r="B360" t="str">
            <v>VAR_fout</v>
          </cell>
          <cell r="C360" t="str">
            <v>SCOM-ELS</v>
          </cell>
          <cell r="H360">
            <v>1.1445827268415447E-2</v>
          </cell>
          <cell r="I360">
            <v>1.1467458072643391E-2</v>
          </cell>
          <cell r="J360">
            <v>1.169452378065325E-2</v>
          </cell>
        </row>
        <row r="361">
          <cell r="A361" t="str">
            <v>SCOM-STG-ELCSPEC</v>
          </cell>
          <cell r="B361" t="str">
            <v>VAR_fin</v>
          </cell>
          <cell r="C361" t="str">
            <v>SCOM-ELS</v>
          </cell>
          <cell r="H361">
            <v>1.144603897214869E-2</v>
          </cell>
          <cell r="I361">
            <v>1.1467929656279909E-2</v>
          </cell>
          <cell r="J361">
            <v>1.1694759911740318E-2</v>
          </cell>
        </row>
        <row r="362">
          <cell r="A362" t="str">
            <v>SCOM-STG-ELCSPEC</v>
          </cell>
          <cell r="B362" t="str">
            <v>VAR_ncap</v>
          </cell>
          <cell r="C362" t="str">
            <v>-</v>
          </cell>
          <cell r="H362">
            <v>1.4588212914573599E-5</v>
          </cell>
          <cell r="I362">
            <v>1.97179729989777E-4</v>
          </cell>
          <cell r="J362">
            <v>2.20509762890524E-4</v>
          </cell>
        </row>
        <row r="363">
          <cell r="A363" t="str">
            <v>SCOM-STG-ELCSPEC</v>
          </cell>
          <cell r="B363" t="str">
            <v>VAR_cap</v>
          </cell>
          <cell r="C363" t="str">
            <v>-</v>
          </cell>
          <cell r="H363">
            <v>4.2790498488427001E-4</v>
          </cell>
          <cell r="I363">
            <v>4.2844152000519103E-4</v>
          </cell>
          <cell r="J363">
            <v>4.2906108220672662E-4</v>
          </cell>
        </row>
        <row r="364">
          <cell r="A364" t="str">
            <v>SCOM-SHCONBR7</v>
          </cell>
          <cell r="B364" t="str">
            <v>VAR_fout</v>
          </cell>
          <cell r="C364" t="str">
            <v>SCOM-SHCON</v>
          </cell>
          <cell r="H364"/>
          <cell r="I364"/>
          <cell r="J364">
            <v>1.6500343868145631E-4</v>
          </cell>
        </row>
        <row r="365">
          <cell r="A365" t="str">
            <v>SCOM-SHCONBR7</v>
          </cell>
          <cell r="B365" t="str">
            <v>VAR_fin</v>
          </cell>
          <cell r="C365" t="str">
            <v>CON</v>
          </cell>
          <cell r="H365"/>
          <cell r="I365"/>
          <cell r="J365">
            <v>1.6500343868145631E-4</v>
          </cell>
        </row>
        <row r="366">
          <cell r="A366" t="str">
            <v>SCOM-SHCONBR7</v>
          </cell>
          <cell r="B366" t="str">
            <v>VAR_ncap</v>
          </cell>
          <cell r="C366" t="str">
            <v>-</v>
          </cell>
          <cell r="H366"/>
          <cell r="I366"/>
          <cell r="J366">
            <v>1.5196379253078899E-5</v>
          </cell>
        </row>
        <row r="367">
          <cell r="A367" t="str">
            <v>SCOM-SHCONBR7</v>
          </cell>
          <cell r="B367" t="str">
            <v>VAR_cap</v>
          </cell>
          <cell r="C367" t="str">
            <v>-</v>
          </cell>
          <cell r="H367"/>
          <cell r="I367"/>
          <cell r="J367">
            <v>1.5196379253078899E-5</v>
          </cell>
        </row>
        <row r="368">
          <cell r="A368" t="str">
            <v>SCOM-SHCONBR8</v>
          </cell>
          <cell r="B368" t="str">
            <v>VAR_fout</v>
          </cell>
          <cell r="C368" t="str">
            <v>SCOM-SHCON</v>
          </cell>
          <cell r="H368"/>
          <cell r="I368"/>
          <cell r="J368">
            <v>4.6794716439354172E-5</v>
          </cell>
        </row>
        <row r="369">
          <cell r="A369" t="str">
            <v>SCOM-SHCONBR8</v>
          </cell>
          <cell r="B369" t="str">
            <v>VAR_fin</v>
          </cell>
          <cell r="C369" t="str">
            <v>CON</v>
          </cell>
          <cell r="H369"/>
          <cell r="I369"/>
          <cell r="J369">
            <v>4.6794716439354172E-5</v>
          </cell>
        </row>
        <row r="370">
          <cell r="A370" t="str">
            <v>SCOM-SHCONBR8</v>
          </cell>
          <cell r="B370" t="str">
            <v>VAR_ncap</v>
          </cell>
          <cell r="C370" t="str">
            <v>-</v>
          </cell>
          <cell r="H370"/>
          <cell r="I370"/>
          <cell r="J370">
            <v>4.5833986082473201E-6</v>
          </cell>
        </row>
        <row r="371">
          <cell r="A371" t="str">
            <v>SCOM-SHCONBR8</v>
          </cell>
          <cell r="B371" t="str">
            <v>VAR_cap</v>
          </cell>
          <cell r="C371" t="str">
            <v>-</v>
          </cell>
          <cell r="H371"/>
          <cell r="I371"/>
          <cell r="J371">
            <v>4.5833986082473201E-6</v>
          </cell>
        </row>
        <row r="372">
          <cell r="A372" t="str">
            <v>ITOT-ELCSPEC</v>
          </cell>
          <cell r="B372" t="str">
            <v>VAR_fout</v>
          </cell>
          <cell r="C372" t="str">
            <v>ITOT-ELS</v>
          </cell>
          <cell r="H372">
            <v>53.831240921836724</v>
          </cell>
          <cell r="I372">
            <v>53.566130712020623</v>
          </cell>
          <cell r="J372">
            <v>54.299848971272432</v>
          </cell>
        </row>
        <row r="373">
          <cell r="A373" t="str">
            <v>ITOT-ELCSPEC</v>
          </cell>
          <cell r="B373" t="str">
            <v>VAR_fin</v>
          </cell>
          <cell r="C373" t="str">
            <v>ITOT_ELC</v>
          </cell>
          <cell r="H373">
            <v>53.831240921836724</v>
          </cell>
          <cell r="I373">
            <v>53.566130712020623</v>
          </cell>
          <cell r="J373">
            <v>54.299848971272432</v>
          </cell>
        </row>
        <row r="374">
          <cell r="A374" t="str">
            <v>ITOT-ELCSPEC</v>
          </cell>
          <cell r="B374" t="str">
            <v>VAR_ncap</v>
          </cell>
          <cell r="C374" t="str">
            <v>-</v>
          </cell>
          <cell r="H374">
            <v>4.2151027123972597E-2</v>
          </cell>
          <cell r="I374">
            <v>1.7682285932909699E-6</v>
          </cell>
          <cell r="J374">
            <v>2.5584199529895999</v>
          </cell>
        </row>
        <row r="375">
          <cell r="A375" t="str">
            <v>ITOT-ELCSPEC</v>
          </cell>
          <cell r="B375" t="str">
            <v>VAR_cap</v>
          </cell>
          <cell r="C375" t="str">
            <v>-</v>
          </cell>
          <cell r="H375">
            <v>2.9274963149238733</v>
          </cell>
          <cell r="I375">
            <v>2.9130804635780092</v>
          </cell>
          <cell r="J375">
            <v>2.9529802118047725</v>
          </cell>
        </row>
        <row r="376">
          <cell r="A376" t="str">
            <v>RHNM-SHLTHDH</v>
          </cell>
          <cell r="B376" t="str">
            <v>VAR_fout</v>
          </cell>
          <cell r="C376" t="str">
            <v>RHNM-SHLTHD</v>
          </cell>
          <cell r="H376">
            <v>0.15013468222964166</v>
          </cell>
          <cell r="I376">
            <v>0.17864428388160736</v>
          </cell>
          <cell r="J376">
            <v>0.22795170320869496</v>
          </cell>
        </row>
        <row r="377">
          <cell r="A377" t="str">
            <v>RHNM-SHLTHDH</v>
          </cell>
          <cell r="B377" t="str">
            <v>VAR_fin</v>
          </cell>
          <cell r="C377" t="str">
            <v>RHNMLTHDHC</v>
          </cell>
          <cell r="H377">
            <v>0.15013468222964166</v>
          </cell>
          <cell r="I377">
            <v>0.17864428388160736</v>
          </cell>
          <cell r="J377">
            <v>0.22795170320869496</v>
          </cell>
        </row>
        <row r="378">
          <cell r="A378" t="str">
            <v>RHNM-SHLTHDH</v>
          </cell>
          <cell r="B378" t="str">
            <v>VAR_fin</v>
          </cell>
          <cell r="C378" t="str">
            <v>RHNM_LTH_DH</v>
          </cell>
          <cell r="H378">
            <v>0.16535435965642903</v>
          </cell>
          <cell r="I378">
            <v>0.19649085500872171</v>
          </cell>
          <cell r="J378">
            <v>0.25072408750483605</v>
          </cell>
        </row>
        <row r="379">
          <cell r="A379" t="str">
            <v>RHNM-SHLTHDH</v>
          </cell>
          <cell r="B379" t="str">
            <v>VAR_ncap</v>
          </cell>
          <cell r="C379" t="str">
            <v>-</v>
          </cell>
          <cell r="H379">
            <v>3.3235577230221101E-2</v>
          </cell>
          <cell r="I379">
            <v>1.9137256723210701E-2</v>
          </cell>
          <cell r="J379">
            <v>3.35552047926104E-3</v>
          </cell>
        </row>
        <row r="380">
          <cell r="A380" t="str">
            <v>RHNM-SHLTHDH</v>
          </cell>
          <cell r="B380" t="str">
            <v>VAR_cap</v>
          </cell>
          <cell r="C380" t="str">
            <v>-</v>
          </cell>
          <cell r="H380">
            <v>5.2606162514417701E-2</v>
          </cell>
          <cell r="I380">
            <v>5.7742707508372598E-2</v>
          </cell>
          <cell r="J380">
            <v>2.2548089124845905E-2</v>
          </cell>
        </row>
        <row r="381">
          <cell r="A381" t="str">
            <v>SCOM-SHCONBR9</v>
          </cell>
          <cell r="B381" t="str">
            <v>VAR_fout</v>
          </cell>
          <cell r="C381" t="str">
            <v>SCOM-SHCON</v>
          </cell>
          <cell r="H381"/>
          <cell r="I381"/>
          <cell r="J381">
            <v>1.4940826571398227E-5</v>
          </cell>
        </row>
        <row r="382">
          <cell r="A382" t="str">
            <v>SCOM-SHCONBR9</v>
          </cell>
          <cell r="B382" t="str">
            <v>VAR_fin</v>
          </cell>
          <cell r="C382" t="str">
            <v>CON</v>
          </cell>
          <cell r="H382"/>
          <cell r="I382"/>
          <cell r="J382">
            <v>1.4940826571398227E-5</v>
          </cell>
        </row>
        <row r="383">
          <cell r="A383" t="str">
            <v>SCOM-SHCONBR9</v>
          </cell>
          <cell r="B383" t="str">
            <v>VAR_ncap</v>
          </cell>
          <cell r="C383" t="str">
            <v>-</v>
          </cell>
          <cell r="H383"/>
          <cell r="I383"/>
          <cell r="J383">
            <v>1.21060783579347E-6</v>
          </cell>
        </row>
        <row r="384">
          <cell r="A384" t="str">
            <v>SCOM-SHCONBR9</v>
          </cell>
          <cell r="B384" t="str">
            <v>VAR_cap</v>
          </cell>
          <cell r="C384" t="str">
            <v>-</v>
          </cell>
          <cell r="H384"/>
          <cell r="I384"/>
          <cell r="J384">
            <v>1.21060783579347E-6</v>
          </cell>
        </row>
        <row r="385">
          <cell r="A385" t="str">
            <v>ITOT-SWHCOABR</v>
          </cell>
          <cell r="B385" t="str">
            <v>VAR_fout</v>
          </cell>
          <cell r="C385" t="str">
            <v>ITOT-SWH</v>
          </cell>
          <cell r="H385">
            <v>7.0101856045208782E-4</v>
          </cell>
          <cell r="I385">
            <v>4.7138141403813331E-4</v>
          </cell>
          <cell r="J385">
            <v>2.5146091578867445E-4</v>
          </cell>
        </row>
        <row r="386">
          <cell r="A386" t="str">
            <v>ITOT-SWHCOABR</v>
          </cell>
          <cell r="B386" t="str">
            <v>VAR_fout</v>
          </cell>
          <cell r="C386" t="str">
            <v>CO2_I</v>
          </cell>
          <cell r="H386">
            <v>9.6631108630347198E-2</v>
          </cell>
          <cell r="I386">
            <v>6.4736380861236897E-2</v>
          </cell>
          <cell r="J386">
            <v>3.42800395494266E-2</v>
          </cell>
        </row>
        <row r="387">
          <cell r="A387" t="str">
            <v>ITOT-SWHCOABR</v>
          </cell>
          <cell r="B387" t="str">
            <v>VAR_fin</v>
          </cell>
          <cell r="C387" t="str">
            <v>ICOA</v>
          </cell>
          <cell r="H387">
            <v>1.042406781341394E-3</v>
          </cell>
          <cell r="I387">
            <v>6.9834283561204908E-4</v>
          </cell>
          <cell r="J387">
            <v>3.697954643951093E-4</v>
          </cell>
        </row>
        <row r="388">
          <cell r="A388" t="str">
            <v>ITOT-SWHCOABR</v>
          </cell>
          <cell r="B388" t="str">
            <v>VAR_ncap</v>
          </cell>
          <cell r="C388" t="str">
            <v>-</v>
          </cell>
          <cell r="H388">
            <v>4.8633212066370703E-5</v>
          </cell>
          <cell r="I388">
            <v>5.97039950900452E-6</v>
          </cell>
          <cell r="J388">
            <v>8.3547756153631207E-6</v>
          </cell>
        </row>
        <row r="389">
          <cell r="A389" t="str">
            <v>ITOT-SWHCOABR</v>
          </cell>
          <cell r="B389" t="str">
            <v>VAR_cap</v>
          </cell>
          <cell r="C389" t="str">
            <v>-</v>
          </cell>
          <cell r="H389">
            <v>6.6010085440326716E-5</v>
          </cell>
          <cell r="I389">
            <v>4.4708801614630001E-5</v>
          </cell>
          <cell r="J389">
            <v>2.386263653559408E-5</v>
          </cell>
        </row>
        <row r="390">
          <cell r="A390" t="str">
            <v>RHSA-WHDEM</v>
          </cell>
          <cell r="B390" t="str">
            <v>VAR_fout</v>
          </cell>
          <cell r="C390" t="str">
            <v>RHSA-WHD</v>
          </cell>
          <cell r="H390">
            <v>23.752196442533609</v>
          </cell>
          <cell r="I390">
            <v>25.263593979070599</v>
          </cell>
          <cell r="J390">
            <v>28.820906011883459</v>
          </cell>
        </row>
        <row r="391">
          <cell r="A391" t="str">
            <v>RHSA-WHDEM</v>
          </cell>
          <cell r="B391" t="str">
            <v>VAR_fin</v>
          </cell>
          <cell r="C391" t="str">
            <v>RHSA-WHNGA</v>
          </cell>
          <cell r="H391">
            <v>3.7093483366463902</v>
          </cell>
          <cell r="I391">
            <v>3.1239142165685485</v>
          </cell>
          <cell r="J391">
            <v>2.0786855376613231</v>
          </cell>
        </row>
        <row r="392">
          <cell r="A392" t="str">
            <v>RHSA-WHDEM</v>
          </cell>
          <cell r="B392" t="str">
            <v>VAR_fin</v>
          </cell>
          <cell r="C392" t="str">
            <v>RHSA-WHLFO</v>
          </cell>
          <cell r="H392">
            <v>2.2986024184444567</v>
          </cell>
          <cell r="I392">
            <v>1.8177062001136677</v>
          </cell>
          <cell r="J392">
            <v>0.91631643488853531</v>
          </cell>
        </row>
        <row r="393">
          <cell r="A393" t="str">
            <v>RHSA-WHDEM</v>
          </cell>
          <cell r="B393" t="str">
            <v>VAR_fin</v>
          </cell>
          <cell r="C393" t="str">
            <v>RHSA-WHWOD</v>
          </cell>
          <cell r="H393">
            <v>1.3677373710534695</v>
          </cell>
          <cell r="I393">
            <v>1.3807104322693484</v>
          </cell>
          <cell r="J393">
            <v>1.3662584768930106</v>
          </cell>
        </row>
        <row r="394">
          <cell r="A394" t="str">
            <v>RHSA-WHDEM</v>
          </cell>
          <cell r="B394" t="str">
            <v>VAR_fin</v>
          </cell>
          <cell r="C394" t="str">
            <v>RHSA-WHNGAH</v>
          </cell>
          <cell r="H394">
            <v>3.1070432204187193</v>
          </cell>
          <cell r="I394">
            <v>3.9963012983297745</v>
          </cell>
          <cell r="J394">
            <v>5.8699316292363042</v>
          </cell>
        </row>
        <row r="395">
          <cell r="A395" t="str">
            <v>RHSA-WHDEM</v>
          </cell>
          <cell r="B395" t="str">
            <v>VAR_fin</v>
          </cell>
          <cell r="C395" t="str">
            <v>RHSA-WHNST</v>
          </cell>
          <cell r="H395"/>
          <cell r="I395"/>
          <cell r="J395"/>
        </row>
        <row r="396">
          <cell r="A396" t="str">
            <v>RHSA-WHDEM</v>
          </cell>
          <cell r="B396" t="str">
            <v>VAR_fin</v>
          </cell>
          <cell r="C396" t="str">
            <v>RHSA-WHPLT</v>
          </cell>
          <cell r="H396">
            <v>0.19684205462123133</v>
          </cell>
          <cell r="I396">
            <v>0.23883164381941932</v>
          </cell>
          <cell r="J396">
            <v>0.32389141901616364</v>
          </cell>
        </row>
        <row r="397">
          <cell r="A397" t="str">
            <v>RHSA-WHDEM</v>
          </cell>
          <cell r="B397" t="str">
            <v>VAR_fin</v>
          </cell>
          <cell r="C397" t="str">
            <v>RHSA-WHLTHRD</v>
          </cell>
          <cell r="H397">
            <v>1.306783932159457</v>
          </cell>
          <cell r="I397">
            <v>1.4175672582107148</v>
          </cell>
          <cell r="J397">
            <v>1.6477658156278709</v>
          </cell>
        </row>
        <row r="398">
          <cell r="A398" t="str">
            <v>RHSA-WHDEM</v>
          </cell>
          <cell r="B398" t="str">
            <v>VAR_fin</v>
          </cell>
          <cell r="C398" t="str">
            <v>RHSA-WHELCB</v>
          </cell>
          <cell r="H398">
            <v>2.0272912848321898</v>
          </cell>
          <cell r="I398">
            <v>1.9351143530979404</v>
          </cell>
          <cell r="J398">
            <v>1.769039066506922</v>
          </cell>
        </row>
        <row r="399">
          <cell r="A399" t="str">
            <v>RHSA-WHDEM</v>
          </cell>
          <cell r="B399" t="str">
            <v>VAR_fin</v>
          </cell>
          <cell r="C399" t="str">
            <v>RHSA-WHSOL</v>
          </cell>
          <cell r="H399">
            <v>1.158851032432356</v>
          </cell>
          <cell r="I399">
            <v>1.2431911463170415</v>
          </cell>
          <cell r="J399">
            <v>1.4319647895926029</v>
          </cell>
        </row>
        <row r="400">
          <cell r="A400" t="str">
            <v>RHSA-WHDEM</v>
          </cell>
          <cell r="B400" t="str">
            <v>VAR_fin</v>
          </cell>
          <cell r="C400" t="str">
            <v>RHSA-WHELCH</v>
          </cell>
          <cell r="H400">
            <v>8.5797325511679006</v>
          </cell>
          <cell r="I400">
            <v>10.110289108756687</v>
          </cell>
          <cell r="J400">
            <v>13.417083048240309</v>
          </cell>
        </row>
        <row r="401">
          <cell r="A401" t="str">
            <v>RHSA-WHNGAHP</v>
          </cell>
          <cell r="B401" t="str">
            <v>VAR_fout</v>
          </cell>
          <cell r="C401" t="str">
            <v>RHSA-WHANGAH</v>
          </cell>
          <cell r="H401">
            <v>3.1070433592625495</v>
          </cell>
          <cell r="I401">
            <v>3.9963000701923668</v>
          </cell>
          <cell r="J401">
            <v>5.8699319691819722</v>
          </cell>
        </row>
        <row r="402">
          <cell r="A402" t="str">
            <v>RHSA-WHNGAHP</v>
          </cell>
          <cell r="B402" t="str">
            <v>VAR_fout</v>
          </cell>
          <cell r="C402" t="str">
            <v>CO2_R</v>
          </cell>
          <cell r="H402">
            <v>77.427529739466706</v>
          </cell>
          <cell r="I402">
            <v>96.057313898134097</v>
          </cell>
          <cell r="J402">
            <v>131.413738260679</v>
          </cell>
        </row>
        <row r="403">
          <cell r="A403" t="str">
            <v>RHSA-WHNGAHP</v>
          </cell>
          <cell r="B403" t="str">
            <v>VAR_fin</v>
          </cell>
          <cell r="C403" t="str">
            <v>RNGA</v>
          </cell>
          <cell r="H403">
            <v>1.3728285414799066</v>
          </cell>
          <cell r="I403">
            <v>1.7031438634420937</v>
          </cell>
          <cell r="J403">
            <v>2.3300308202248057</v>
          </cell>
        </row>
        <row r="404">
          <cell r="A404" t="str">
            <v>RHSA-WHNGAHP</v>
          </cell>
          <cell r="B404" t="str">
            <v>VAR_ncap</v>
          </cell>
          <cell r="C404" t="str">
            <v>-</v>
          </cell>
          <cell r="H404">
            <v>6.7259017984239403E-2</v>
          </cell>
          <cell r="I404">
            <v>0.13686856657010399</v>
          </cell>
          <cell r="J404">
            <v>0.273431335499426</v>
          </cell>
        </row>
        <row r="405">
          <cell r="A405" t="str">
            <v>RHSA-WHNGAHP</v>
          </cell>
          <cell r="B405" t="str">
            <v>VAR_cap</v>
          </cell>
          <cell r="C405" t="str">
            <v>-</v>
          </cell>
          <cell r="H405">
            <v>0.21237314594565926</v>
          </cell>
          <cell r="I405">
            <v>0.27315230127626655</v>
          </cell>
          <cell r="J405">
            <v>0.40121154097704242</v>
          </cell>
        </row>
        <row r="406">
          <cell r="A406" t="str">
            <v>SCOM-SHSTG-ELCHP</v>
          </cell>
          <cell r="B406" t="str">
            <v>VAR_fout</v>
          </cell>
          <cell r="C406" t="str">
            <v>SCOM-SHAELCH</v>
          </cell>
          <cell r="H406">
            <v>7.3129055222622908E-6</v>
          </cell>
          <cell r="I406">
            <v>6.802967646599245E-6</v>
          </cell>
          <cell r="J406">
            <v>4.0855502422305192E-6</v>
          </cell>
        </row>
        <row r="407">
          <cell r="A407" t="str">
            <v>SCOM-SHSTG-ELCHP</v>
          </cell>
          <cell r="B407" t="str">
            <v>VAR_fin</v>
          </cell>
          <cell r="C407" t="str">
            <v>SCOM-SHAELCH</v>
          </cell>
          <cell r="H407">
            <v>8.1721767387926657E-6</v>
          </cell>
          <cell r="I407">
            <v>7.7609224456065312E-6</v>
          </cell>
          <cell r="J407">
            <v>3.9047911069586406E-6</v>
          </cell>
        </row>
        <row r="408">
          <cell r="A408" t="str">
            <v>SCOM-SHSTG-ELCHP</v>
          </cell>
          <cell r="B408" t="str">
            <v>VAR_ncap</v>
          </cell>
          <cell r="C408" t="str">
            <v>-</v>
          </cell>
          <cell r="H408">
            <v>8.3626807644546705E-2</v>
          </cell>
          <cell r="I408">
            <v>9.2805320923455406E-2</v>
          </cell>
          <cell r="J408">
            <v>0.16997643855442199</v>
          </cell>
        </row>
        <row r="409">
          <cell r="A409" t="str">
            <v>SCOM-SHSTG-ELCHP</v>
          </cell>
          <cell r="B409" t="str">
            <v>VAR_cap</v>
          </cell>
          <cell r="C409" t="str">
            <v>-</v>
          </cell>
          <cell r="H409">
            <v>0.16847078301531604</v>
          </cell>
          <cell r="I409">
            <v>0.20052216485688315</v>
          </cell>
          <cell r="J409">
            <v>0.27265581626726298</v>
          </cell>
        </row>
        <row r="410">
          <cell r="A410" t="str">
            <v>RHEM-SHLFOBR</v>
          </cell>
          <cell r="B410" t="str">
            <v>VAR_fout</v>
          </cell>
          <cell r="C410" t="str">
            <v>CO2_R</v>
          </cell>
          <cell r="H410">
            <v>890.87445049484302</v>
          </cell>
          <cell r="I410">
            <v>684.26476819840605</v>
          </cell>
          <cell r="J410">
            <v>260.10951054864398</v>
          </cell>
        </row>
        <row r="411">
          <cell r="A411" t="str">
            <v>RHEM-SHLFOBR</v>
          </cell>
          <cell r="B411" t="str">
            <v>VAR_fout</v>
          </cell>
          <cell r="C411" t="str">
            <v>RHEM-SHLFO</v>
          </cell>
          <cell r="H411">
            <v>10.654280928965125</v>
          </cell>
          <cell r="I411">
            <v>8.2180552368164559</v>
          </cell>
          <cell r="J411">
            <v>3.1351826552393267</v>
          </cell>
        </row>
        <row r="412">
          <cell r="A412" t="str">
            <v>RHEM-SHLFOBR</v>
          </cell>
          <cell r="B412" t="str">
            <v>VAR_fin</v>
          </cell>
          <cell r="C412" t="str">
            <v>RLFO</v>
          </cell>
          <cell r="H412">
            <v>12.08784871770478</v>
          </cell>
          <cell r="I412">
            <v>9.2844608982144496</v>
          </cell>
          <cell r="J412">
            <v>3.5293013642963951</v>
          </cell>
        </row>
        <row r="413">
          <cell r="A413" t="str">
            <v>RHEM-SHLFOBR</v>
          </cell>
          <cell r="B413" t="str">
            <v>VAR_ncap</v>
          </cell>
          <cell r="C413" t="str">
            <v>-</v>
          </cell>
          <cell r="H413">
            <v>0.32307545240839802</v>
          </cell>
          <cell r="I413">
            <v>0.25725062403000098</v>
          </cell>
          <cell r="J413">
            <v>1.09218301720054E-7</v>
          </cell>
        </row>
        <row r="414">
          <cell r="A414" t="str">
            <v>RHEM-SHLFOBR</v>
          </cell>
          <cell r="B414" t="str">
            <v>VAR_cap</v>
          </cell>
          <cell r="C414" t="str">
            <v>-</v>
          </cell>
          <cell r="H414">
            <v>0.7524947481316272</v>
          </cell>
          <cell r="I414">
            <v>0.58032601231001613</v>
          </cell>
          <cell r="J414">
            <v>0.32333663324453904</v>
          </cell>
        </row>
        <row r="415">
          <cell r="A415" t="str">
            <v>RHES-SHNGAHP</v>
          </cell>
          <cell r="B415" t="str">
            <v>VAR_fout</v>
          </cell>
          <cell r="C415" t="str">
            <v>RHES-SHANGAH</v>
          </cell>
          <cell r="H415">
            <v>4.8863522845654774</v>
          </cell>
          <cell r="I415">
            <v>5.7433279219033269</v>
          </cell>
          <cell r="J415">
            <v>7.2986112835828285</v>
          </cell>
        </row>
        <row r="416">
          <cell r="A416" t="str">
            <v>RHES-SHNGAHP</v>
          </cell>
          <cell r="B416" t="str">
            <v>VAR_fout</v>
          </cell>
          <cell r="C416" t="str">
            <v>CO2_R</v>
          </cell>
          <cell r="H416">
            <v>145.24676257352701</v>
          </cell>
          <cell r="I416">
            <v>168.25425582474699</v>
          </cell>
          <cell r="J416">
            <v>208.25195029870599</v>
          </cell>
        </row>
        <row r="417">
          <cell r="A417" t="str">
            <v>RHES-SHNGAHP</v>
          </cell>
          <cell r="B417" t="str">
            <v>VAR_fin</v>
          </cell>
          <cell r="C417" t="str">
            <v>RHESELCHPC</v>
          </cell>
          <cell r="H417">
            <v>4.8863522845654774</v>
          </cell>
          <cell r="I417">
            <v>5.7433279219033269</v>
          </cell>
          <cell r="J417">
            <v>7.2986112835828285</v>
          </cell>
        </row>
        <row r="418">
          <cell r="A418" t="str">
            <v>RHES-SHNGAHP</v>
          </cell>
          <cell r="B418" t="str">
            <v>VAR_fin</v>
          </cell>
          <cell r="C418" t="str">
            <v>RNGA</v>
          </cell>
          <cell r="H418">
            <v>2.575297208750468</v>
          </cell>
          <cell r="I418">
            <v>2.9832314862543701</v>
          </cell>
          <cell r="J418">
            <v>3.6924104662891102</v>
          </cell>
        </row>
        <row r="419">
          <cell r="A419" t="str">
            <v>RHES-SHNGAHP</v>
          </cell>
          <cell r="B419" t="str">
            <v>VAR_ncap</v>
          </cell>
          <cell r="C419" t="str">
            <v>-</v>
          </cell>
          <cell r="H419">
            <v>7.7429717301839798E-2</v>
          </cell>
          <cell r="I419">
            <v>0.252256150053768</v>
          </cell>
          <cell r="J419">
            <v>0.37382060253433702</v>
          </cell>
        </row>
        <row r="420">
          <cell r="A420" t="str">
            <v>RHES-SHNGAHP</v>
          </cell>
          <cell r="B420" t="str">
            <v>VAR_cap</v>
          </cell>
          <cell r="C420" t="str">
            <v>-</v>
          </cell>
          <cell r="H420">
            <v>0.39477224729418808</v>
          </cell>
          <cell r="I420">
            <v>0.4640034163478311</v>
          </cell>
          <cell r="J420">
            <v>0.58964363433704714</v>
          </cell>
        </row>
        <row r="421">
          <cell r="A421" t="str">
            <v>D-RHES_LTH_CHPWOD</v>
          </cell>
          <cell r="B421" t="str">
            <v>VAR_fout</v>
          </cell>
          <cell r="C421" t="str">
            <v>RHES_LTH_CHPWOD_ON</v>
          </cell>
          <cell r="H421">
            <v>2.4042068215782866E-4</v>
          </cell>
          <cell r="I421">
            <v>3.2937738234241218E-4</v>
          </cell>
          <cell r="J421"/>
        </row>
        <row r="422">
          <cell r="A422" t="str">
            <v>D-RHES_LTH_CHPWOD</v>
          </cell>
          <cell r="B422" t="str">
            <v>VAR_fout</v>
          </cell>
          <cell r="C422" t="str">
            <v>RHSA_LTH</v>
          </cell>
          <cell r="H422">
            <v>6.2496471850696973E-4</v>
          </cell>
          <cell r="I422">
            <v>2.3186023237427479E-4</v>
          </cell>
          <cell r="J422">
            <v>2.9499680549001188E-4</v>
          </cell>
        </row>
        <row r="423">
          <cell r="A423" t="str">
            <v>D-RHES_LTH_CHPWOD</v>
          </cell>
          <cell r="B423" t="str">
            <v>VAR_fin</v>
          </cell>
          <cell r="C423" t="str">
            <v>RHES_LTH_CHPWOD</v>
          </cell>
          <cell r="H423">
            <v>8.6625201477175606E-4</v>
          </cell>
          <cell r="I423">
            <v>5.6199152357123733E-4</v>
          </cell>
          <cell r="J423">
            <v>2.95633540918625E-4</v>
          </cell>
        </row>
        <row r="424">
          <cell r="A424" t="str">
            <v>ITOT-SWHSOLBR</v>
          </cell>
          <cell r="B424" t="str">
            <v>VAR_fout</v>
          </cell>
          <cell r="C424" t="str">
            <v>ITOT-SWHASOL</v>
          </cell>
          <cell r="H424">
            <v>3.4992448687641488E-2</v>
          </cell>
          <cell r="I424">
            <v>8.6598201095499344E-2</v>
          </cell>
          <cell r="J424">
            <v>8.6884238729321342E-2</v>
          </cell>
        </row>
        <row r="425">
          <cell r="A425" t="str">
            <v>ITOT-SWHSOLBR</v>
          </cell>
          <cell r="B425" t="str">
            <v>VAR_fin</v>
          </cell>
          <cell r="C425" t="str">
            <v>SOL</v>
          </cell>
          <cell r="H425">
            <v>3.4992448687641488E-2</v>
          </cell>
          <cell r="I425">
            <v>8.6598201095499344E-2</v>
          </cell>
          <cell r="J425">
            <v>8.6884238729321342E-2</v>
          </cell>
        </row>
        <row r="426">
          <cell r="A426" t="str">
            <v>ITOT-SWHSOLBR</v>
          </cell>
          <cell r="B426" t="str">
            <v>VAR_ncap</v>
          </cell>
          <cell r="C426" t="str">
            <v>-</v>
          </cell>
          <cell r="H426">
            <v>8.6652465623899902E-3</v>
          </cell>
          <cell r="I426">
            <v>4.0090052588941999E-3</v>
          </cell>
          <cell r="J426">
            <v>6.0988685739379999E-3</v>
          </cell>
        </row>
        <row r="427">
          <cell r="A427" t="str">
            <v>ITOT-SWHSOLBR</v>
          </cell>
          <cell r="B427" t="str">
            <v>VAR_cap</v>
          </cell>
          <cell r="C427" t="str">
            <v>-</v>
          </cell>
          <cell r="H427">
            <v>1.2675037681094681E-2</v>
          </cell>
          <cell r="I427">
            <v>1.26743024745341E-2</v>
          </cell>
          <cell r="J427">
            <v>1.26736910361743E-2</v>
          </cell>
        </row>
        <row r="428">
          <cell r="A428" t="str">
            <v>SCOM-SHNGAHP</v>
          </cell>
          <cell r="B428" t="str">
            <v>VAR_fout</v>
          </cell>
          <cell r="C428" t="str">
            <v>SCOM-SHANGAH</v>
          </cell>
          <cell r="H428">
            <v>4.6187684053985514</v>
          </cell>
          <cell r="I428">
            <v>5.7006386906887654</v>
          </cell>
          <cell r="J428">
            <v>8.2417655465445421</v>
          </cell>
        </row>
        <row r="429">
          <cell r="A429" t="str">
            <v>SCOM-SHNGAHP</v>
          </cell>
          <cell r="B429" t="str">
            <v>VAR_fout</v>
          </cell>
          <cell r="C429" t="str">
            <v>CO2_S</v>
          </cell>
          <cell r="H429">
            <v>130.27824845294401</v>
          </cell>
          <cell r="I429">
            <v>158.07532882819399</v>
          </cell>
          <cell r="J429">
            <v>220.3482441527</v>
          </cell>
        </row>
        <row r="430">
          <cell r="A430" t="str">
            <v>SCOM-SHNGAHP</v>
          </cell>
          <cell r="B430" t="str">
            <v>VAR_fin</v>
          </cell>
          <cell r="C430" t="str">
            <v>SCOMELCHPC</v>
          </cell>
          <cell r="H430">
            <v>4.6187684053985514</v>
          </cell>
          <cell r="I430">
            <v>5.7006386906887654</v>
          </cell>
          <cell r="J430">
            <v>8.2417655465445421</v>
          </cell>
        </row>
        <row r="431">
          <cell r="A431" t="str">
            <v>SCOM-SHNGAHP</v>
          </cell>
          <cell r="B431" t="str">
            <v>VAR_fin</v>
          </cell>
          <cell r="C431" t="str">
            <v>SNGA</v>
          </cell>
          <cell r="H431">
            <v>2.309898022215318</v>
          </cell>
          <cell r="I431">
            <v>2.8027540572374874</v>
          </cell>
          <cell r="J431">
            <v>3.9068837615727023</v>
          </cell>
        </row>
        <row r="432">
          <cell r="A432" t="str">
            <v>SCOM-SHNGAHP</v>
          </cell>
          <cell r="B432" t="str">
            <v>VAR_ncap</v>
          </cell>
          <cell r="C432" t="str">
            <v>-</v>
          </cell>
          <cell r="H432">
            <v>9.0102368425638998E-2</v>
          </cell>
          <cell r="I432">
            <v>0.23719763933266499</v>
          </cell>
          <cell r="J432">
            <v>0.42957615905252799</v>
          </cell>
        </row>
        <row r="433">
          <cell r="A433" t="str">
            <v>SCOM-SHNGAHP</v>
          </cell>
          <cell r="B433" t="str">
            <v>VAR_cap</v>
          </cell>
          <cell r="C433" t="str">
            <v>-</v>
          </cell>
          <cell r="H433">
            <v>0.3570645747388404</v>
          </cell>
          <cell r="I433">
            <v>0.4422966037691165</v>
          </cell>
          <cell r="J433">
            <v>0.63983110790120756</v>
          </cell>
        </row>
        <row r="434">
          <cell r="A434" t="str">
            <v>RHNS-SHNGABR</v>
          </cell>
          <cell r="B434" t="str">
            <v>VAR_fout</v>
          </cell>
          <cell r="C434" t="str">
            <v>CO2_R</v>
          </cell>
          <cell r="H434">
            <v>8.6094409491525195</v>
          </cell>
          <cell r="I434">
            <v>9.9939453907896905</v>
          </cell>
          <cell r="J434">
            <v>11.1805697825951</v>
          </cell>
        </row>
        <row r="435">
          <cell r="A435" t="str">
            <v>RHNS-SHNGABR</v>
          </cell>
          <cell r="B435" t="str">
            <v>VAR_fout</v>
          </cell>
          <cell r="C435" t="str">
            <v>RHNS-SHNGA</v>
          </cell>
          <cell r="H435">
            <v>0.14650560196824422</v>
          </cell>
          <cell r="I435">
            <v>0.17006913411628766</v>
          </cell>
          <cell r="J435">
            <v>0.1902621784990991</v>
          </cell>
        </row>
        <row r="436">
          <cell r="A436" t="str">
            <v>RHNS-SHNGABR</v>
          </cell>
          <cell r="B436" t="str">
            <v>VAR_fin</v>
          </cell>
          <cell r="C436" t="str">
            <v>RNGA</v>
          </cell>
          <cell r="H436">
            <v>0.15264966221901641</v>
          </cell>
          <cell r="I436">
            <v>0.17719761331187373</v>
          </cell>
          <cell r="J436">
            <v>0.19823705288289153</v>
          </cell>
        </row>
        <row r="437">
          <cell r="A437" t="str">
            <v>RHNS-SHNGABR</v>
          </cell>
          <cell r="B437" t="str">
            <v>VAR_ncap</v>
          </cell>
          <cell r="C437" t="str">
            <v>-</v>
          </cell>
          <cell r="H437">
            <v>6.1196630270306702E-3</v>
          </cell>
          <cell r="I437">
            <v>5.8074176191610701E-3</v>
          </cell>
          <cell r="J437">
            <v>7.6635409944212796E-3</v>
          </cell>
        </row>
        <row r="438">
          <cell r="A438" t="str">
            <v>RHNS-SHNGABR</v>
          </cell>
          <cell r="B438" t="str">
            <v>VAR_cap</v>
          </cell>
          <cell r="C438" t="str">
            <v>-</v>
          </cell>
          <cell r="H438">
            <v>1.0749715575858267E-2</v>
          </cell>
          <cell r="I438">
            <v>1.2467918861917665E-2</v>
          </cell>
          <cell r="J438">
            <v>1.4466552598908567E-2</v>
          </cell>
        </row>
        <row r="439">
          <cell r="A439" t="str">
            <v>D-RHNM_LTH_CHPNGA</v>
          </cell>
          <cell r="B439" t="str">
            <v>VAR_fout</v>
          </cell>
          <cell r="C439" t="str">
            <v>RHSA_LTH</v>
          </cell>
          <cell r="H439">
            <v>0.58363197880773321</v>
          </cell>
          <cell r="I439">
            <v>0.70494751912775977</v>
          </cell>
          <cell r="J439">
            <v>1.4394582333032193</v>
          </cell>
        </row>
        <row r="440">
          <cell r="A440" t="str">
            <v>D-RHNM_LTH_CHPNGA</v>
          </cell>
          <cell r="B440" t="str">
            <v>VAR_fout</v>
          </cell>
          <cell r="C440" t="str">
            <v>LTH</v>
          </cell>
          <cell r="H440">
            <v>1.7534054556559474E-3</v>
          </cell>
          <cell r="I440">
            <v>3.2577657417826459E-3</v>
          </cell>
          <cell r="J440">
            <v>5.3231743276762333E-3</v>
          </cell>
        </row>
        <row r="441">
          <cell r="A441" t="str">
            <v>D-RHNM_LTH_CHPNGA</v>
          </cell>
          <cell r="B441" t="str">
            <v>VAR_fout</v>
          </cell>
          <cell r="C441" t="str">
            <v>RHNM_LTH_CHPNGA_ON</v>
          </cell>
          <cell r="H441">
            <v>0.46122730306574439</v>
          </cell>
          <cell r="I441">
            <v>0.63314649103282761</v>
          </cell>
        </row>
        <row r="442">
          <cell r="A442" t="str">
            <v>D-RHNM_LTH_CHPNGA</v>
          </cell>
          <cell r="B442" t="str">
            <v>VAR_fin</v>
          </cell>
          <cell r="C442" t="str">
            <v>RHNM_LTH_CHPNGA</v>
          </cell>
          <cell r="H442">
            <v>1.046612687329133</v>
          </cell>
          <cell r="I442">
            <v>1.3413517759023701</v>
          </cell>
          <cell r="J442">
            <v>1.4447814076308954</v>
          </cell>
        </row>
        <row r="443">
          <cell r="A443" t="str">
            <v>RHNM-SHELCHP</v>
          </cell>
          <cell r="B443" t="str">
            <v>VAR_fout</v>
          </cell>
          <cell r="C443" t="str">
            <v>RHNM-SHAELCH</v>
          </cell>
          <cell r="H443">
            <v>2.2502924875039381</v>
          </cell>
          <cell r="I443">
            <v>2.6803926983752584</v>
          </cell>
          <cell r="J443">
            <v>3.3660014934897284</v>
          </cell>
        </row>
        <row r="444">
          <cell r="A444" t="str">
            <v>RHNM-SHELCHP</v>
          </cell>
          <cell r="B444" t="str">
            <v>VAR_fin</v>
          </cell>
          <cell r="C444" t="str">
            <v>RHNM_ELC</v>
          </cell>
          <cell r="H444">
            <v>0.62903866749503667</v>
          </cell>
          <cell r="I444">
            <v>0.73506675147087808</v>
          </cell>
          <cell r="J444">
            <v>0.88837678329283187</v>
          </cell>
        </row>
        <row r="445">
          <cell r="A445" t="str">
            <v>RHNM-SHELCHP</v>
          </cell>
          <cell r="B445" t="str">
            <v>VAR_fin</v>
          </cell>
          <cell r="C445" t="str">
            <v>RHNMELCHPC</v>
          </cell>
          <cell r="H445">
            <v>2.2502924875039381</v>
          </cell>
          <cell r="I445">
            <v>2.6803926983752584</v>
          </cell>
          <cell r="J445">
            <v>3.3660014934897284</v>
          </cell>
        </row>
        <row r="446">
          <cell r="A446" t="str">
            <v>RHNM-SHELCHP</v>
          </cell>
          <cell r="B446" t="str">
            <v>VAR_ncap</v>
          </cell>
          <cell r="C446" t="str">
            <v>-</v>
          </cell>
          <cell r="H446">
            <v>4.3237401205264397E-2</v>
          </cell>
          <cell r="I446">
            <v>0.11098829667789099</v>
          </cell>
          <cell r="J446">
            <v>0.162442671516347</v>
          </cell>
        </row>
        <row r="447">
          <cell r="A447" t="str">
            <v>RHNM-SHELCHP</v>
          </cell>
          <cell r="B447" t="str">
            <v>VAR_cap</v>
          </cell>
          <cell r="C447" t="str">
            <v>-</v>
          </cell>
          <cell r="H447">
            <v>0.17470982527084725</v>
          </cell>
          <cell r="I447">
            <v>0.20807141345882277</v>
          </cell>
          <cell r="J447">
            <v>0.26127966650502604</v>
          </cell>
        </row>
        <row r="448">
          <cell r="A448" t="str">
            <v>D-IH2R</v>
          </cell>
          <cell r="B448" t="str">
            <v>VAR_fout</v>
          </cell>
          <cell r="C448" t="str">
            <v>IH2</v>
          </cell>
          <cell r="H448">
            <v>2.2126213564333751E-3</v>
          </cell>
          <cell r="I448">
            <v>1.4563732387432148E-3</v>
          </cell>
          <cell r="J448">
            <v>1.7474085117890076E-2</v>
          </cell>
        </row>
        <row r="449">
          <cell r="A449" t="str">
            <v>D-IH2R</v>
          </cell>
          <cell r="B449" t="str">
            <v>VAR_fin</v>
          </cell>
          <cell r="C449" t="str">
            <v>H2</v>
          </cell>
          <cell r="H449">
            <v>2.2126213564333751E-3</v>
          </cell>
          <cell r="I449">
            <v>1.4563732387432148E-3</v>
          </cell>
          <cell r="J449">
            <v>1.7474085117890076E-2</v>
          </cell>
        </row>
        <row r="450">
          <cell r="A450" t="str">
            <v>D-IH2R</v>
          </cell>
          <cell r="B450" t="str">
            <v>VAR_ncap</v>
          </cell>
          <cell r="C450" t="str">
            <v>-</v>
          </cell>
          <cell r="H450">
            <v>1.85343490840368E-4</v>
          </cell>
          <cell r="I450">
            <v>1.84191587543617E-4</v>
          </cell>
          <cell r="J450">
            <v>2.1231979373989599E-3</v>
          </cell>
        </row>
        <row r="451">
          <cell r="A451" t="str">
            <v>D-IH2R</v>
          </cell>
          <cell r="B451" t="str">
            <v>VAR_cap</v>
          </cell>
          <cell r="C451" t="str">
            <v>-</v>
          </cell>
          <cell r="H451">
            <v>2.8840462248154301E-4</v>
          </cell>
          <cell r="I451">
            <v>2.17019983105183E-4</v>
          </cell>
          <cell r="J451">
            <v>2.18628746960422E-3</v>
          </cell>
        </row>
        <row r="452">
          <cell r="A452" t="str">
            <v>RHEM-SHSTG-ELC</v>
          </cell>
          <cell r="B452" t="str">
            <v>VAR_fout</v>
          </cell>
          <cell r="C452" t="str">
            <v>RHEM-SHAELCB</v>
          </cell>
          <cell r="H452">
            <v>7.333475150541949E-4</v>
          </cell>
          <cell r="I452">
            <v>4.9131717553283199E-4</v>
          </cell>
          <cell r="J452">
            <v>6.9873700369913979E-4</v>
          </cell>
        </row>
        <row r="453">
          <cell r="A453" t="str">
            <v>RHEM-SHSTG-ELC</v>
          </cell>
          <cell r="B453" t="str">
            <v>VAR_fout</v>
          </cell>
          <cell r="C453" t="str">
            <v>AUX_RHEM-SHSTG-ELC_OUT</v>
          </cell>
          <cell r="H453">
            <v>7.3408086256924934E-4</v>
          </cell>
          <cell r="I453">
            <v>4.9180849270836471E-4</v>
          </cell>
          <cell r="J453">
            <v>6.9943574070283944E-4</v>
          </cell>
        </row>
        <row r="454">
          <cell r="A454" t="str">
            <v>RHEM-SHSTG-ELC</v>
          </cell>
          <cell r="B454" t="str">
            <v>VAR_fin</v>
          </cell>
          <cell r="C454" t="str">
            <v>RHEM-SHAELCB</v>
          </cell>
          <cell r="H454">
            <v>7.3357767196735612E-4</v>
          </cell>
          <cell r="I454">
            <v>4.9178715522244713E-4</v>
          </cell>
          <cell r="J454">
            <v>6.9920205841040759E-4</v>
          </cell>
        </row>
        <row r="455">
          <cell r="A455" t="str">
            <v>RHEM-SHSTG-ELC</v>
          </cell>
          <cell r="B455" t="str">
            <v>VAR_ncap</v>
          </cell>
          <cell r="C455" t="str">
            <v>-</v>
          </cell>
          <cell r="H455">
            <v>5.11991377412219E-5</v>
          </cell>
          <cell r="I455">
            <v>5.75907642681733E-5</v>
          </cell>
          <cell r="J455">
            <v>8.0521801817883896E-5</v>
          </cell>
        </row>
        <row r="456">
          <cell r="A456" t="str">
            <v>RHEM-SHSTG-ELC</v>
          </cell>
          <cell r="B456" t="str">
            <v>VAR_cap</v>
          </cell>
          <cell r="C456" t="str">
            <v>-</v>
          </cell>
          <cell r="H456">
            <v>1.4734905647750124E-4</v>
          </cell>
          <cell r="I456">
            <v>9.7850027049672703E-5</v>
          </cell>
          <cell r="J456">
            <v>1.230054755888672E-4</v>
          </cell>
        </row>
        <row r="457">
          <cell r="A457" t="str">
            <v>RHNM-SHLTHCHPWOD</v>
          </cell>
          <cell r="B457" t="str">
            <v>VAR_ncap</v>
          </cell>
          <cell r="C457" t="str">
            <v>-</v>
          </cell>
          <cell r="H457">
            <v>1.3907600511799001E-4</v>
          </cell>
          <cell r="I457">
            <v>7.5590822102987099E-5</v>
          </cell>
          <cell r="J457">
            <v>4.6852864151869702E-5</v>
          </cell>
        </row>
        <row r="458">
          <cell r="A458" t="str">
            <v>RHNM-SHLTHCHPWOD</v>
          </cell>
          <cell r="B458" t="str">
            <v>VAR_cap</v>
          </cell>
          <cell r="C458" t="str">
            <v>-</v>
          </cell>
          <cell r="H458">
            <v>1.9003290588054381E-4</v>
          </cell>
          <cell r="I458">
            <v>1.44656428157539E-4</v>
          </cell>
          <cell r="J458">
            <v>7.704305341707991E-5</v>
          </cell>
        </row>
        <row r="459">
          <cell r="A459" t="str">
            <v>ITOT-SWHDEM</v>
          </cell>
          <cell r="B459" t="str">
            <v>VAR_fout</v>
          </cell>
          <cell r="C459" t="str">
            <v>ITOT-SWHD</v>
          </cell>
          <cell r="H459">
            <v>77.238982058075479</v>
          </cell>
          <cell r="I459">
            <v>77.470125806647161</v>
          </cell>
          <cell r="J459">
            <v>77.907473510311576</v>
          </cell>
        </row>
        <row r="460">
          <cell r="A460" t="str">
            <v>ITOT-SWHDEM</v>
          </cell>
          <cell r="B460" t="str">
            <v>VAR_fin</v>
          </cell>
          <cell r="C460" t="str">
            <v>ITOT-SWHNGAH</v>
          </cell>
          <cell r="H460">
            <v>2.90627518741557E-2</v>
          </cell>
          <cell r="I460">
            <v>0.21449122904013004</v>
          </cell>
          <cell r="J460">
            <v>0.18791791193904372</v>
          </cell>
        </row>
        <row r="461">
          <cell r="A461" t="str">
            <v>ITOT-SWHDEM</v>
          </cell>
          <cell r="B461" t="str">
            <v>VAR_fin</v>
          </cell>
          <cell r="C461" t="str">
            <v>ITOT-SWH</v>
          </cell>
          <cell r="H461">
            <v>58.1528555551808</v>
          </cell>
          <cell r="I461">
            <v>56.493435314881893</v>
          </cell>
          <cell r="J461">
            <v>47.393150552316044</v>
          </cell>
        </row>
        <row r="462">
          <cell r="A462" t="str">
            <v>ITOT-SWHDEM</v>
          </cell>
          <cell r="B462" t="str">
            <v>VAR_fin</v>
          </cell>
          <cell r="C462" t="str">
            <v>ITOT-SWHELCH</v>
          </cell>
          <cell r="H462">
            <v>6.2532133618865577</v>
          </cell>
          <cell r="I462">
            <v>6.2534638506738931</v>
          </cell>
          <cell r="J462">
            <v>13.042137199155871</v>
          </cell>
        </row>
        <row r="463">
          <cell r="A463" t="str">
            <v>ITOT-SWHDEM</v>
          </cell>
          <cell r="B463" t="str">
            <v>VAR_fin</v>
          </cell>
          <cell r="C463" t="str">
            <v>ITOT-SWHC</v>
          </cell>
          <cell r="H463">
            <v>1.5756673754506041</v>
          </cell>
          <cell r="I463">
            <v>3.2369354360626881</v>
          </cell>
          <cell r="J463">
            <v>5.9752440879414062</v>
          </cell>
        </row>
        <row r="464">
          <cell r="A464" t="str">
            <v>ITOT-SWHDEM</v>
          </cell>
          <cell r="B464" t="str">
            <v>VAR_fin</v>
          </cell>
          <cell r="C464" t="str">
            <v>ITOT-SWHELC</v>
          </cell>
          <cell r="H464">
            <v>11.193271169085124</v>
          </cell>
          <cell r="I464">
            <v>11.185311479327593</v>
          </cell>
          <cell r="J464">
            <v>11.22223351320898</v>
          </cell>
        </row>
        <row r="465">
          <cell r="A465" t="str">
            <v>ITOT-SWHDEM</v>
          </cell>
          <cell r="B465" t="str">
            <v>VAR_fin</v>
          </cell>
          <cell r="C465" t="str">
            <v>ITOT-SWHSOL</v>
          </cell>
          <cell r="H465">
            <v>3.4976933869590651E-2</v>
          </cell>
          <cell r="I465">
            <v>8.6556946294272186E-2</v>
          </cell>
          <cell r="J465">
            <v>8.6869237469044458E-2</v>
          </cell>
        </row>
        <row r="466">
          <cell r="A466" t="str">
            <v>D-RHNS_NKEV_GAS_ELC_CHP</v>
          </cell>
          <cell r="B466" t="str">
            <v>VAR_fout</v>
          </cell>
          <cell r="C466" t="str">
            <v>RHNS_ELC</v>
          </cell>
          <cell r="H466">
            <v>1.5396258012411962E-3</v>
          </cell>
          <cell r="I466">
            <v>1.5206523547584027E-3</v>
          </cell>
          <cell r="J466">
            <v>9.980594689678855E-4</v>
          </cell>
        </row>
        <row r="467">
          <cell r="A467" t="str">
            <v>D-RHNS_NKEV_GAS_ELC_CHP</v>
          </cell>
          <cell r="B467" t="str">
            <v>VAR_fout</v>
          </cell>
          <cell r="C467" t="str">
            <v>ELC5</v>
          </cell>
          <cell r="H467">
            <v>5.993061260544558E-4</v>
          </cell>
          <cell r="I467">
            <v>5.1442529270280979E-4</v>
          </cell>
          <cell r="J467">
            <v>3.1882401173398753E-4</v>
          </cell>
        </row>
        <row r="468">
          <cell r="A468" t="str">
            <v>D-RHNS_NKEV_GAS_ELC_CHP</v>
          </cell>
          <cell r="B468" t="str">
            <v>VAR_fin</v>
          </cell>
          <cell r="C468" t="str">
            <v>RHNS_NKEV_GAS_ELC_CHP</v>
          </cell>
          <cell r="H468">
            <v>2.1389319272956523E-3</v>
          </cell>
          <cell r="I468">
            <v>2.0350776474612137E-3</v>
          </cell>
          <cell r="J468">
            <v>1.3168834807018746E-3</v>
          </cell>
        </row>
        <row r="469">
          <cell r="A469" t="str">
            <v>RHNM-SHSTG-NGAHP</v>
          </cell>
          <cell r="B469" t="str">
            <v>VAR_fout</v>
          </cell>
          <cell r="C469" t="str">
            <v>RHNM-SHANGAH</v>
          </cell>
          <cell r="H469">
            <v>5.7725361011946405E-2</v>
          </cell>
          <cell r="I469">
            <v>7.0895620151008337E-2</v>
          </cell>
          <cell r="J469">
            <v>0.16399888318828867</v>
          </cell>
        </row>
        <row r="470">
          <cell r="A470" t="str">
            <v>RHNM-SHSTG-NGAHP</v>
          </cell>
          <cell r="B470" t="str">
            <v>VAR_fout</v>
          </cell>
          <cell r="C470" t="str">
            <v>AUX_RHNM-SHSTG-NGAHP_OUT</v>
          </cell>
          <cell r="H470">
            <v>5.7783086372958398E-2</v>
          </cell>
          <cell r="I470">
            <v>7.096651577115938E-2</v>
          </cell>
          <cell r="J470">
            <v>0.164162882071477</v>
          </cell>
        </row>
        <row r="471">
          <cell r="A471" t="str">
            <v>RHNM-SHSTG-NGAHP</v>
          </cell>
          <cell r="B471" t="str">
            <v>VAR_fin</v>
          </cell>
          <cell r="C471" t="str">
            <v>RHNM-SHANGAH</v>
          </cell>
          <cell r="H471">
            <v>5.7732154530459025E-2</v>
          </cell>
          <cell r="I471">
            <v>7.0903040468633563E-2</v>
          </cell>
          <cell r="J471">
            <v>0.16400612708613993</v>
          </cell>
        </row>
        <row r="472">
          <cell r="A472" t="str">
            <v>RHNM-SHSTG-NGAHP</v>
          </cell>
          <cell r="B472" t="str">
            <v>VAR_ncap</v>
          </cell>
          <cell r="C472" t="str">
            <v>-</v>
          </cell>
          <cell r="H472">
            <v>6.0773624666122803E-3</v>
          </cell>
          <cell r="I472">
            <v>1.0841986212967E-2</v>
          </cell>
          <cell r="J472">
            <v>2.1231484972372001E-2</v>
          </cell>
        </row>
        <row r="473">
          <cell r="A473" t="str">
            <v>RHNM-SHSTG-NGAHP</v>
          </cell>
          <cell r="B473" t="str">
            <v>VAR_cap</v>
          </cell>
          <cell r="C473" t="str">
            <v>-</v>
          </cell>
          <cell r="H473">
            <v>1.8519225027360354E-2</v>
          </cell>
          <cell r="I473">
            <v>2.3244565816667517E-2</v>
          </cell>
          <cell r="J473">
            <v>3.1627456079295582E-2</v>
          </cell>
        </row>
        <row r="474">
          <cell r="A474" t="str">
            <v>D-IBIO</v>
          </cell>
          <cell r="B474" t="str">
            <v>VAR_fout</v>
          </cell>
          <cell r="C474" t="str">
            <v>IBIO</v>
          </cell>
          <cell r="H474">
            <v>6.4057050216898999</v>
          </cell>
          <cell r="I474">
            <v>6.4080867792525931</v>
          </cell>
          <cell r="J474">
            <v>8.1961416190642638</v>
          </cell>
        </row>
        <row r="475">
          <cell r="A475" t="str">
            <v>D-IBIO</v>
          </cell>
          <cell r="B475" t="str">
            <v>VAR_fin</v>
          </cell>
          <cell r="C475" t="str">
            <v>BIO</v>
          </cell>
          <cell r="H475">
            <v>6.4057050216898999</v>
          </cell>
          <cell r="I475">
            <v>6.4080867792525931</v>
          </cell>
          <cell r="J475">
            <v>8.1961416190642638</v>
          </cell>
        </row>
        <row r="476">
          <cell r="A476" t="str">
            <v>D-RHES_KEV_WOD_ELC_CHP</v>
          </cell>
          <cell r="B476" t="str">
            <v>VAR_fout</v>
          </cell>
          <cell r="C476" t="str">
            <v>RHES_ELC</v>
          </cell>
          <cell r="H476">
            <v>2.8134522422389917E-4</v>
          </cell>
          <cell r="I476">
            <v>2.2679036802801788E-4</v>
          </cell>
          <cell r="J476">
            <v>1.3377800414676044E-4</v>
          </cell>
        </row>
        <row r="477">
          <cell r="A477" t="str">
            <v>D-RHES_KEV_WOD_ELC_CHP</v>
          </cell>
          <cell r="B477" t="str">
            <v>VAR_fout</v>
          </cell>
          <cell r="C477" t="str">
            <v>ELC5</v>
          </cell>
          <cell r="H477">
            <v>2.2854578163674337E-4</v>
          </cell>
          <cell r="I477">
            <v>1.813026615820962E-4</v>
          </cell>
          <cell r="J477">
            <v>1.0651979212677178E-4</v>
          </cell>
        </row>
        <row r="478">
          <cell r="A478" t="str">
            <v>D-RHES_KEV_WOD_ELC_CHP</v>
          </cell>
          <cell r="B478" t="str">
            <v>VAR_fin</v>
          </cell>
          <cell r="C478" t="str">
            <v>RHES_KEV_WOD_ELC_CHP</v>
          </cell>
          <cell r="H478">
            <v>5.062724840826302E-4</v>
          </cell>
          <cell r="I478">
            <v>4.0489508187059511E-4</v>
          </cell>
          <cell r="J478">
            <v>2.3734412207235915E-4</v>
          </cell>
        </row>
        <row r="479">
          <cell r="A479" t="str">
            <v>RHNS-SHLFOBR</v>
          </cell>
          <cell r="B479" t="str">
            <v>VAR_fout</v>
          </cell>
          <cell r="C479" t="str">
            <v>CO2_R</v>
          </cell>
          <cell r="H479">
            <v>5.65375550515152</v>
          </cell>
          <cell r="I479">
            <v>5.6380847475876399</v>
          </cell>
        </row>
        <row r="480">
          <cell r="A480" t="str">
            <v>RHNS-SHLFOBR</v>
          </cell>
          <cell r="B480" t="str">
            <v>VAR_fout</v>
          </cell>
          <cell r="C480" t="str">
            <v>RHNS-SHLFO</v>
          </cell>
          <cell r="H480">
            <v>7.2833617146411261E-2</v>
          </cell>
          <cell r="I480">
            <v>7.26338052516282E-2</v>
          </cell>
        </row>
        <row r="481">
          <cell r="A481" t="str">
            <v>RHNS-SHLFOBR</v>
          </cell>
          <cell r="B481" t="str">
            <v>VAR_fin</v>
          </cell>
          <cell r="C481" t="str">
            <v>RLFO</v>
          </cell>
          <cell r="H481">
            <v>7.6713100476954191E-2</v>
          </cell>
          <cell r="I481">
            <v>7.6500471473373674E-2</v>
          </cell>
        </row>
        <row r="482">
          <cell r="A482" t="str">
            <v>RHNS-SHLFOBR</v>
          </cell>
          <cell r="B482" t="str">
            <v>VAR_ncap</v>
          </cell>
          <cell r="C482" t="str">
            <v>-</v>
          </cell>
        </row>
        <row r="483">
          <cell r="A483" t="str">
            <v>RHNS-SHLFOBR</v>
          </cell>
          <cell r="B483" t="str">
            <v>VAR_cap</v>
          </cell>
          <cell r="C483" t="str">
            <v>-</v>
          </cell>
          <cell r="H483">
            <v>2.9881551183414307E-2</v>
          </cell>
          <cell r="I483">
            <v>5.2924643165763001E-3</v>
          </cell>
        </row>
        <row r="484">
          <cell r="A484" t="str">
            <v>D-SNGA</v>
          </cell>
          <cell r="B484" t="str">
            <v>VAR_fout</v>
          </cell>
          <cell r="C484" t="str">
            <v>CO2</v>
          </cell>
          <cell r="H484">
            <v>1975.0113913134601</v>
          </cell>
          <cell r="I484">
            <v>1795.34584558084</v>
          </cell>
          <cell r="J484">
            <v>1378.18987894527</v>
          </cell>
        </row>
        <row r="485">
          <cell r="A485" t="str">
            <v>D-SNGA</v>
          </cell>
          <cell r="B485" t="str">
            <v>VAR_fout</v>
          </cell>
          <cell r="C485" t="str">
            <v>SNGA</v>
          </cell>
          <cell r="H485">
            <v>34.923832313619577</v>
          </cell>
          <cell r="I485">
            <v>31.731143663279529</v>
          </cell>
          <cell r="J485">
            <v>24.358253628062332</v>
          </cell>
        </row>
        <row r="486">
          <cell r="A486" t="str">
            <v>D-SNGA</v>
          </cell>
          <cell r="B486" t="str">
            <v>VAR_fin</v>
          </cell>
          <cell r="C486" t="str">
            <v>NGA</v>
          </cell>
          <cell r="H486">
            <v>35.017932470096738</v>
          </cell>
          <cell r="I486">
            <v>31.832373148596524</v>
          </cell>
          <cell r="J486">
            <v>24.435990761440909</v>
          </cell>
        </row>
        <row r="487">
          <cell r="A487" t="str">
            <v>D-SNGA</v>
          </cell>
          <cell r="B487" t="str">
            <v>VAR_fin</v>
          </cell>
          <cell r="C487" t="str">
            <v>BNGA</v>
          </cell>
          <cell r="H487">
            <v>1.7468202322165588E-2</v>
          </cell>
          <cell r="I487">
            <v>1.3944778134743845E-4</v>
          </cell>
          <cell r="J487">
            <v>8.0824685270349455E-5</v>
          </cell>
        </row>
        <row r="488">
          <cell r="A488" t="str">
            <v>D-SNGA</v>
          </cell>
          <cell r="B488" t="str">
            <v>VAR_ncap</v>
          </cell>
          <cell r="C488" t="str">
            <v>-</v>
          </cell>
          <cell r="H488">
            <v>3.5555263477503499E-7</v>
          </cell>
          <cell r="I488">
            <v>5.7107263787436297E-7</v>
          </cell>
          <cell r="J488">
            <v>0.13337770430770701</v>
          </cell>
        </row>
        <row r="489">
          <cell r="A489" t="str">
            <v>D-SNGA</v>
          </cell>
          <cell r="B489" t="str">
            <v>VAR_cap</v>
          </cell>
          <cell r="C489" t="str">
            <v>-</v>
          </cell>
          <cell r="H489">
            <v>2.2350531519849044</v>
          </cell>
          <cell r="I489">
            <v>2.235053723057542</v>
          </cell>
          <cell r="J489">
            <v>1.254269728228969</v>
          </cell>
        </row>
        <row r="490">
          <cell r="A490" t="str">
            <v>D-IPLT</v>
          </cell>
          <cell r="B490" t="str">
            <v>VAR_fout</v>
          </cell>
          <cell r="C490" t="str">
            <v>IPLT</v>
          </cell>
          <cell r="H490">
            <v>0.73286112057003294</v>
          </cell>
          <cell r="I490">
            <v>0.73081741447165638</v>
          </cell>
          <cell r="J490">
            <v>0.72676240889193999</v>
          </cell>
        </row>
        <row r="491">
          <cell r="A491" t="str">
            <v>D-IPLT</v>
          </cell>
          <cell r="B491" t="str">
            <v>VAR_fin</v>
          </cell>
          <cell r="C491" t="str">
            <v>PLT</v>
          </cell>
          <cell r="H491">
            <v>0.73286112057003294</v>
          </cell>
          <cell r="I491">
            <v>0.73081741447165638</v>
          </cell>
          <cell r="J491">
            <v>0.72676240889193999</v>
          </cell>
        </row>
        <row r="492">
          <cell r="A492" t="str">
            <v>ITOT-SWHWODBR</v>
          </cell>
          <cell r="B492" t="str">
            <v>VAR_fout</v>
          </cell>
          <cell r="C492" t="str">
            <v>ITOT-SWH</v>
          </cell>
          <cell r="H492">
            <v>6.1495190217513418</v>
          </cell>
          <cell r="I492">
            <v>6.0229878553315164</v>
          </cell>
          <cell r="J492">
            <v>5.8763229867778106</v>
          </cell>
        </row>
        <row r="493">
          <cell r="A493" t="str">
            <v>ITOT-SWHWODBR</v>
          </cell>
          <cell r="B493" t="str">
            <v>VAR_fin</v>
          </cell>
          <cell r="C493" t="str">
            <v>IWOD</v>
          </cell>
          <cell r="H493">
            <v>10.335326086977046</v>
          </cell>
          <cell r="I493">
            <v>10.094393053628234</v>
          </cell>
          <cell r="J493">
            <v>9.7938716446296876</v>
          </cell>
        </row>
        <row r="494">
          <cell r="A494" t="str">
            <v>ITOT-SWHWODBR</v>
          </cell>
          <cell r="B494" t="str">
            <v>VAR_fin</v>
          </cell>
          <cell r="C494" t="str">
            <v>ITOTWODBRC</v>
          </cell>
          <cell r="H494">
            <v>6.1495190217513418</v>
          </cell>
          <cell r="I494">
            <v>6.0229878553315164</v>
          </cell>
          <cell r="J494">
            <v>5.8763229867778106</v>
          </cell>
        </row>
        <row r="495">
          <cell r="A495" t="str">
            <v>ITOT-SWHWODBR</v>
          </cell>
          <cell r="B495" t="str">
            <v>VAR_ncap</v>
          </cell>
          <cell r="C495" t="str">
            <v>-</v>
          </cell>
          <cell r="H495">
            <v>0.23587215102589501</v>
          </cell>
          <cell r="I495">
            <v>9.6118012195837904E-2</v>
          </cell>
          <cell r="J495">
            <v>0.16003166734403501</v>
          </cell>
        </row>
        <row r="496">
          <cell r="A496" t="str">
            <v>ITOT-SWHWODBR</v>
          </cell>
          <cell r="B496" t="str">
            <v>VAR_cap</v>
          </cell>
          <cell r="C496" t="str">
            <v>-</v>
          </cell>
          <cell r="H496">
            <v>0.33754659834869188</v>
          </cell>
          <cell r="I496">
            <v>0.33198886879902356</v>
          </cell>
          <cell r="J496">
            <v>0.32955333414797183</v>
          </cell>
        </row>
        <row r="497">
          <cell r="A497" t="str">
            <v>D-ITOT_KEV_WOD_ELC_CHP</v>
          </cell>
          <cell r="B497" t="str">
            <v>VAR_fout</v>
          </cell>
          <cell r="C497" t="str">
            <v>ITOT_ELC</v>
          </cell>
          <cell r="H497">
            <v>2.2384116377848202</v>
          </cell>
          <cell r="I497">
            <v>3.4238572232260349</v>
          </cell>
          <cell r="J497">
            <v>3.856495434470828</v>
          </cell>
        </row>
        <row r="498">
          <cell r="A498" t="str">
            <v>D-ITOT_KEV_WOD_ELC_CHP</v>
          </cell>
          <cell r="B498" t="str">
            <v>VAR_fout</v>
          </cell>
          <cell r="C498" t="str">
            <v>ELC5</v>
          </cell>
          <cell r="H498">
            <v>2.6122506114870723E-3</v>
          </cell>
          <cell r="I498">
            <v>5.9002887220207641E-2</v>
          </cell>
          <cell r="J498">
            <v>6.0266362449180183E-2</v>
          </cell>
        </row>
        <row r="499">
          <cell r="A499" t="str">
            <v>D-ITOT_KEV_WOD_ELC_CHP</v>
          </cell>
          <cell r="B499" t="str">
            <v>VAR_fin</v>
          </cell>
          <cell r="C499" t="str">
            <v>ITOT_KEV_WOD_ELC_CHP</v>
          </cell>
          <cell r="H499">
            <v>2.2410189907611899</v>
          </cell>
          <cell r="I499">
            <v>3.4828551476222125</v>
          </cell>
          <cell r="J499">
            <v>3.9167568273605533</v>
          </cell>
        </row>
        <row r="500">
          <cell r="A500" t="str">
            <v>RHEM-SHSTG-SOL</v>
          </cell>
          <cell r="B500" t="str">
            <v>VAR_fout</v>
          </cell>
          <cell r="C500" t="str">
            <v>RHEM-SHASOL</v>
          </cell>
          <cell r="H500">
            <v>7.4047843797308329E-3</v>
          </cell>
          <cell r="I500">
            <v>2.263370750992256E-3</v>
          </cell>
          <cell r="J500">
            <v>2.5901685670190982E-3</v>
          </cell>
        </row>
        <row r="501">
          <cell r="A501" t="str">
            <v>RHEM-SHSTG-SOL</v>
          </cell>
          <cell r="B501" t="str">
            <v>VAR_fout</v>
          </cell>
          <cell r="C501" t="str">
            <v>AUX_RHEM-SHSTG-SOL_OUT</v>
          </cell>
          <cell r="H501">
            <v>7.4121891641105711E-3</v>
          </cell>
          <cell r="I501">
            <v>2.265634121743246E-3</v>
          </cell>
          <cell r="J501">
            <v>2.5927587355861182E-3</v>
          </cell>
        </row>
        <row r="502">
          <cell r="A502" t="str">
            <v>RHEM-SHSTG-SOL</v>
          </cell>
          <cell r="B502" t="str">
            <v>VAR_fin</v>
          </cell>
          <cell r="C502" t="str">
            <v>RHEM-SHASOL</v>
          </cell>
          <cell r="H502">
            <v>7.4061161275680281E-3</v>
          </cell>
          <cell r="I502">
            <v>2.2651491429189789E-3</v>
          </cell>
          <cell r="J502">
            <v>2.5921274300776918E-3</v>
          </cell>
        </row>
        <row r="503">
          <cell r="A503" t="str">
            <v>RHEM-SHSTG-SOL</v>
          </cell>
          <cell r="B503" t="str">
            <v>VAR_ncap</v>
          </cell>
          <cell r="C503" t="str">
            <v>-</v>
          </cell>
          <cell r="H503">
            <v>3.9049549459928198E-4</v>
          </cell>
          <cell r="I503">
            <v>5.6893281614924399E-5</v>
          </cell>
          <cell r="J503">
            <v>2.4434697865155101E-4</v>
          </cell>
        </row>
        <row r="504">
          <cell r="A504" t="str">
            <v>RHEM-SHSTG-SOL</v>
          </cell>
          <cell r="B504" t="str">
            <v>VAR_cap</v>
          </cell>
          <cell r="C504" t="str">
            <v>-</v>
          </cell>
          <cell r="H504">
            <v>4.6416216489691903E-3</v>
          </cell>
          <cell r="I504">
            <v>4.4749966518964698E-4</v>
          </cell>
          <cell r="J504">
            <v>4.5081384599199097E-4</v>
          </cell>
        </row>
        <row r="505">
          <cell r="A505" t="str">
            <v>ITOT-SWHCONBR10</v>
          </cell>
          <cell r="B505" t="str">
            <v>VAR_fout</v>
          </cell>
          <cell r="C505" t="str">
            <v>ITOT-ELS</v>
          </cell>
          <cell r="J505">
            <v>2.1788849891097601E-5</v>
          </cell>
        </row>
        <row r="506">
          <cell r="A506" t="str">
            <v>ITOT-SWHCONBR10</v>
          </cell>
          <cell r="B506" t="str">
            <v>VAR_fout</v>
          </cell>
          <cell r="C506" t="str">
            <v>ITOT-SWHC</v>
          </cell>
          <cell r="J506">
            <v>1.3423626882177211E-4</v>
          </cell>
        </row>
        <row r="507">
          <cell r="A507" t="str">
            <v>ITOT-SWHCONBR10</v>
          </cell>
          <cell r="B507" t="str">
            <v>VAR_fin</v>
          </cell>
          <cell r="C507" t="str">
            <v>CON</v>
          </cell>
          <cell r="J507">
            <v>1.5603457958372985E-4</v>
          </cell>
        </row>
        <row r="508">
          <cell r="A508" t="str">
            <v>ITOT-SWHCONBR10</v>
          </cell>
          <cell r="B508" t="str">
            <v>VAR_ncap</v>
          </cell>
          <cell r="C508" t="str">
            <v>-</v>
          </cell>
          <cell r="J508">
            <v>8.0124824273823395E-6</v>
          </cell>
        </row>
        <row r="509">
          <cell r="A509" t="str">
            <v>ITOT-SWHCONBR10</v>
          </cell>
          <cell r="B509" t="str">
            <v>VAR_cap</v>
          </cell>
          <cell r="C509" t="str">
            <v>-</v>
          </cell>
          <cell r="J509">
            <v>8.0124824273823395E-6</v>
          </cell>
        </row>
        <row r="510">
          <cell r="A510" t="str">
            <v>SCOM-SHSTG</v>
          </cell>
          <cell r="B510" t="str">
            <v>VAR_fout</v>
          </cell>
          <cell r="C510" t="str">
            <v>AUX_SCOM-SHSTG_OUT</v>
          </cell>
          <cell r="H510">
            <v>1.4119109401144902E-5</v>
          </cell>
          <cell r="I510">
            <v>1.5790199178804106E-5</v>
          </cell>
          <cell r="J510">
            <v>4.0766640361368186E-4</v>
          </cell>
        </row>
        <row r="511">
          <cell r="A511" t="str">
            <v>SCOM-SHSTG</v>
          </cell>
          <cell r="B511" t="str">
            <v>VAR_fout</v>
          </cell>
          <cell r="C511" t="str">
            <v>SCOM-SHD</v>
          </cell>
          <cell r="H511">
            <v>1.4134814750868071E-5</v>
          </cell>
          <cell r="I511">
            <v>1.5790199178804089E-5</v>
          </cell>
          <cell r="J511">
            <v>4.0766640361368186E-4</v>
          </cell>
        </row>
        <row r="512">
          <cell r="A512" t="str">
            <v>SCOM-SHSTG</v>
          </cell>
          <cell r="B512" t="str">
            <v>VAR_fin</v>
          </cell>
          <cell r="C512" t="str">
            <v>AUX_SCOM-SHSTG_IN</v>
          </cell>
          <cell r="H512">
            <v>1.4439703685624002E-5</v>
          </cell>
          <cell r="I512">
            <v>1.7225771848757324E-5</v>
          </cell>
          <cell r="J512">
            <v>4.1194735748591529E-4</v>
          </cell>
        </row>
        <row r="513">
          <cell r="A513" t="str">
            <v>SCOM-SHSTG</v>
          </cell>
          <cell r="B513" t="str">
            <v>VAR_fin</v>
          </cell>
          <cell r="C513" t="str">
            <v>SCOM-SHD</v>
          </cell>
          <cell r="H513">
            <v>1.4439703685624002E-5</v>
          </cell>
          <cell r="I513">
            <v>1.7225771848757324E-5</v>
          </cell>
          <cell r="J513">
            <v>4.1194735748591529E-4</v>
          </cell>
        </row>
        <row r="514">
          <cell r="A514" t="str">
            <v>SCOM-SHSTG</v>
          </cell>
          <cell r="B514" t="str">
            <v>VAR_ncap</v>
          </cell>
          <cell r="C514" t="str">
            <v>-</v>
          </cell>
          <cell r="H514">
            <v>4.8426140773200097E-5</v>
          </cell>
          <cell r="I514">
            <v>2.4829120535410599E-4</v>
          </cell>
          <cell r="J514">
            <v>2.7026025230152102E-4</v>
          </cell>
        </row>
        <row r="515">
          <cell r="A515" t="str">
            <v>SCOM-SHSTG</v>
          </cell>
          <cell r="B515" t="str">
            <v>VAR_cap</v>
          </cell>
          <cell r="C515" t="str">
            <v>-</v>
          </cell>
          <cell r="H515">
            <v>5.3768658954639358E-4</v>
          </cell>
          <cell r="I515">
            <v>4.6679202171509635E-4</v>
          </cell>
          <cell r="J515">
            <v>5.5421135779750146E-4</v>
          </cell>
        </row>
        <row r="516">
          <cell r="A516" t="str">
            <v>D-RNGA</v>
          </cell>
          <cell r="B516" t="str">
            <v>VAR_fout</v>
          </cell>
          <cell r="C516" t="str">
            <v>CO2</v>
          </cell>
          <cell r="H516">
            <v>2390.5649900968001</v>
          </cell>
          <cell r="I516">
            <v>2608.8395193321799</v>
          </cell>
          <cell r="J516">
            <v>2118.93573711519</v>
          </cell>
        </row>
        <row r="517">
          <cell r="A517" t="str">
            <v>D-RNGA</v>
          </cell>
          <cell r="B517" t="str">
            <v>VAR_fout</v>
          </cell>
          <cell r="C517" t="str">
            <v>RNGA</v>
          </cell>
          <cell r="H517">
            <v>42.268675747348773</v>
          </cell>
          <cell r="I517">
            <v>46.108859219642312</v>
          </cell>
          <cell r="J517">
            <v>37.450224183580488</v>
          </cell>
        </row>
        <row r="518">
          <cell r="A518" t="str">
            <v>D-RNGA</v>
          </cell>
          <cell r="B518" t="str">
            <v>VAR_fin</v>
          </cell>
          <cell r="C518" t="str">
            <v>NGA</v>
          </cell>
          <cell r="H518">
            <v>42.38590407973043</v>
          </cell>
          <cell r="I518">
            <v>46.256019846315354</v>
          </cell>
          <cell r="J518">
            <v>37.569782572964428</v>
          </cell>
        </row>
        <row r="519">
          <cell r="A519" t="str">
            <v>D-RNGA</v>
          </cell>
          <cell r="B519" t="str">
            <v>VAR_fin</v>
          </cell>
          <cell r="C519" t="str">
            <v>BNGA</v>
          </cell>
          <cell r="H519">
            <v>1.7804007122231021E-2</v>
          </cell>
          <cell r="I519">
            <v>1.396381732578832E-4</v>
          </cell>
          <cell r="J519">
            <v>8.0830370276488314E-5</v>
          </cell>
        </row>
        <row r="520">
          <cell r="A520" t="str">
            <v>D-RNGA</v>
          </cell>
          <cell r="B520" t="str">
            <v>VAR_ncap</v>
          </cell>
          <cell r="C520" t="str">
            <v>-</v>
          </cell>
          <cell r="H520">
            <v>1.67884706984988E-7</v>
          </cell>
          <cell r="I520">
            <v>2.8712518828055999E-7</v>
          </cell>
          <cell r="J520">
            <v>0.39114984773553901</v>
          </cell>
        </row>
        <row r="521">
          <cell r="A521" t="str">
            <v>D-RNGA</v>
          </cell>
          <cell r="B521" t="str">
            <v>VAR_cap</v>
          </cell>
          <cell r="C521" t="str">
            <v>-</v>
          </cell>
          <cell r="H521">
            <v>3.097240654571467</v>
          </cell>
          <cell r="I521">
            <v>3.0972409416966555</v>
          </cell>
          <cell r="J521">
            <v>1.944433030072495</v>
          </cell>
        </row>
        <row r="522">
          <cell r="A522" t="str">
            <v>RHNS-SHLTHCHPNGA</v>
          </cell>
          <cell r="B522" t="str">
            <v>VAR_fout</v>
          </cell>
          <cell r="C522" t="str">
            <v>RHNS-SHLTHC-NGA</v>
          </cell>
        </row>
        <row r="523">
          <cell r="A523" t="str">
            <v>RHNS-SHLTHCHPNGA</v>
          </cell>
          <cell r="B523" t="str">
            <v>VAR_fin</v>
          </cell>
          <cell r="C523" t="str">
            <v>RHNSLTHCHPC</v>
          </cell>
        </row>
        <row r="524">
          <cell r="A524" t="str">
            <v>RHNS-SHLTHCHPNGA</v>
          </cell>
          <cell r="B524" t="str">
            <v>VAR_fin</v>
          </cell>
          <cell r="C524" t="str">
            <v>RHNS_LTH_CHPNGA_ON</v>
          </cell>
        </row>
        <row r="525">
          <cell r="A525" t="str">
            <v>RHNS-SHLTHCHPNGA</v>
          </cell>
          <cell r="B525" t="str">
            <v>VAR_ncap</v>
          </cell>
          <cell r="C525" t="str">
            <v>-</v>
          </cell>
          <cell r="H525">
            <v>2.28837103071566E-4</v>
          </cell>
          <cell r="I525">
            <v>1.6588757125079599E-4</v>
          </cell>
          <cell r="J525">
            <v>9.6689012985858898E-5</v>
          </cell>
        </row>
        <row r="526">
          <cell r="A526" t="str">
            <v>RHNS-SHLTHCHPNGA</v>
          </cell>
          <cell r="B526" t="str">
            <v>VAR_cap</v>
          </cell>
          <cell r="C526" t="str">
            <v>-</v>
          </cell>
          <cell r="H526">
            <v>3.2927707764584407E-4</v>
          </cell>
          <cell r="I526">
            <v>2.9096580589023499E-4</v>
          </cell>
          <cell r="J526">
            <v>1.5926892112416103E-4</v>
          </cell>
        </row>
        <row r="527">
          <cell r="A527" t="str">
            <v>D-SCOM_KEV_BIO_ELC_CHP</v>
          </cell>
          <cell r="B527" t="str">
            <v>VAR_fout</v>
          </cell>
          <cell r="C527" t="str">
            <v>ELC5</v>
          </cell>
          <cell r="H527">
            <v>9.887029915687628E-4</v>
          </cell>
          <cell r="I527">
            <v>7.5252552597334732E-4</v>
          </cell>
          <cell r="J527">
            <v>4.4412420060444512E-4</v>
          </cell>
        </row>
        <row r="528">
          <cell r="A528" t="str">
            <v>D-SCOM_KEV_BIO_ELC_CHP</v>
          </cell>
          <cell r="B528" t="str">
            <v>VAR_fout</v>
          </cell>
          <cell r="C528" t="str">
            <v>SCOM_ELC</v>
          </cell>
          <cell r="H528">
            <v>1.1049750430010608</v>
          </cell>
          <cell r="I528">
            <v>1.1052124887123509</v>
          </cell>
          <cell r="J528">
            <v>1.1055210536442461</v>
          </cell>
        </row>
        <row r="529">
          <cell r="A529" t="str">
            <v>D-SCOM_KEV_BIO_ELC_CHP</v>
          </cell>
          <cell r="B529" t="str">
            <v>VAR_fin</v>
          </cell>
          <cell r="C529" t="str">
            <v>SCOM_KEV_BIO_ELC_CHP</v>
          </cell>
          <cell r="H529">
            <v>1.1059596743147138</v>
          </cell>
          <cell r="I529">
            <v>1.1059597635634657</v>
          </cell>
          <cell r="J529">
            <v>1.1059598508386868</v>
          </cell>
        </row>
        <row r="530">
          <cell r="A530" t="str">
            <v>RHES-SHLTHCHPWOD</v>
          </cell>
          <cell r="B530" t="str">
            <v>VAR_ncap</v>
          </cell>
          <cell r="C530" t="str">
            <v>-</v>
          </cell>
          <cell r="H530">
            <v>7.2297029600352594E-5</v>
          </cell>
          <cell r="I530">
            <v>3.9059556394405097E-5</v>
          </cell>
          <cell r="J530">
            <v>2.28210238164181E-5</v>
          </cell>
        </row>
        <row r="531">
          <cell r="A531" t="str">
            <v>RHES-SHLTHCHPWOD</v>
          </cell>
          <cell r="B531" t="str">
            <v>VAR_cap</v>
          </cell>
          <cell r="C531" t="str">
            <v>-</v>
          </cell>
          <cell r="H531">
            <v>9.7726369519053193E-5</v>
          </cell>
          <cell r="I531">
            <v>7.45803635948898E-5</v>
          </cell>
          <cell r="J531">
            <v>3.8155963978120197E-5</v>
          </cell>
        </row>
        <row r="532">
          <cell r="A532" t="str">
            <v>RHES-SHSTG-NGAHP</v>
          </cell>
          <cell r="B532" t="str">
            <v>VAR_fout</v>
          </cell>
          <cell r="C532" t="str">
            <v>RHES-SHANGAH</v>
          </cell>
          <cell r="H532">
            <v>0.4028759788601165</v>
          </cell>
          <cell r="I532">
            <v>0.48637912512771148</v>
          </cell>
          <cell r="J532">
            <v>0.78781546822882043</v>
          </cell>
        </row>
        <row r="533">
          <cell r="A533" t="str">
            <v>RHES-SHSTG-NGAHP</v>
          </cell>
          <cell r="B533" t="str">
            <v>VAR_fout</v>
          </cell>
          <cell r="C533" t="str">
            <v>AUX_RHES-SHSTG-NGAHP_OUT</v>
          </cell>
          <cell r="H533">
            <v>0.40327885483897669</v>
          </cell>
          <cell r="I533">
            <v>0.48686550425283959</v>
          </cell>
          <cell r="J533">
            <v>0.78860328369704935</v>
          </cell>
        </row>
        <row r="534">
          <cell r="A534" t="str">
            <v>RHES-SHSTG-NGAHP</v>
          </cell>
          <cell r="B534" t="str">
            <v>VAR_fin</v>
          </cell>
          <cell r="C534" t="str">
            <v>RHES-SHANGAH</v>
          </cell>
          <cell r="H534">
            <v>0.40288353361948387</v>
          </cell>
          <cell r="I534">
            <v>0.48638568505093305</v>
          </cell>
          <cell r="J534">
            <v>0.7878217953233293</v>
          </cell>
        </row>
        <row r="535">
          <cell r="A535" t="str">
            <v>RHES-SHSTG-NGAHP</v>
          </cell>
          <cell r="B535" t="str">
            <v>VAR_ncap</v>
          </cell>
          <cell r="C535" t="str">
            <v>-</v>
          </cell>
          <cell r="H535">
            <v>1.3685512548206E-2</v>
          </cell>
          <cell r="I535">
            <v>4.4532953963678401E-2</v>
          </cell>
          <cell r="J535">
            <v>6.5974979802382205E-2</v>
          </cell>
        </row>
        <row r="536">
          <cell r="A536" t="str">
            <v>RHES-SHSTG-NGAHP</v>
          </cell>
          <cell r="B536" t="str">
            <v>VAR_cap</v>
          </cell>
          <cell r="C536" t="str">
            <v>-</v>
          </cell>
          <cell r="H536">
            <v>6.9665247627316115E-2</v>
          </cell>
          <cell r="I536">
            <v>8.1883306402453337E-2</v>
          </cell>
          <cell r="J536">
            <v>0.10405510898280948</v>
          </cell>
        </row>
        <row r="537">
          <cell r="A537" t="str">
            <v>D-RHNS_SOLELC</v>
          </cell>
          <cell r="B537" t="str">
            <v>VAR_fout</v>
          </cell>
          <cell r="C537" t="str">
            <v>RHNS_ELC</v>
          </cell>
          <cell r="H537">
            <v>9.8842977286067247E-4</v>
          </cell>
          <cell r="I537">
            <v>1.143590281805299E-3</v>
          </cell>
          <cell r="J537">
            <v>1.3491721223667338E-3</v>
          </cell>
        </row>
        <row r="538">
          <cell r="A538" t="str">
            <v>D-RHNS_SOLELC</v>
          </cell>
          <cell r="B538" t="str">
            <v>VAR_fout</v>
          </cell>
          <cell r="C538" t="str">
            <v>ELC5</v>
          </cell>
          <cell r="H538">
            <v>2.9407056012566103E-4</v>
          </cell>
          <cell r="I538">
            <v>2.7027166086084249E-4</v>
          </cell>
          <cell r="J538">
            <v>2.022313212117945E-4</v>
          </cell>
        </row>
        <row r="539">
          <cell r="A539" t="str">
            <v>D-RHNS_SOLELC</v>
          </cell>
          <cell r="B539" t="str">
            <v>VAR_fin</v>
          </cell>
          <cell r="C539" t="str">
            <v>RHNS_SOL_ELC</v>
          </cell>
          <cell r="H539">
            <v>1.282523289870391E-3</v>
          </cell>
          <cell r="I539">
            <v>1.4138861497183265E-3</v>
          </cell>
          <cell r="J539">
            <v>1.551430445222517E-3</v>
          </cell>
        </row>
        <row r="540">
          <cell r="A540" t="str">
            <v>D-IHFO</v>
          </cell>
          <cell r="B540" t="str">
            <v>VAR_fout</v>
          </cell>
          <cell r="C540" t="str">
            <v>CO2</v>
          </cell>
          <cell r="H540">
            <v>8.3183198525477606E-2</v>
          </cell>
          <cell r="I540">
            <v>5.8143545169166602E-2</v>
          </cell>
        </row>
        <row r="541">
          <cell r="A541" t="str">
            <v>D-IHFO</v>
          </cell>
          <cell r="B541" t="str">
            <v>VAR_fout</v>
          </cell>
          <cell r="C541" t="str">
            <v>IHFO</v>
          </cell>
          <cell r="H541">
            <v>1.0622589892049896E-3</v>
          </cell>
          <cell r="I541">
            <v>7.424997429171515E-4</v>
          </cell>
        </row>
        <row r="542">
          <cell r="A542" t="str">
            <v>D-IHFO</v>
          </cell>
          <cell r="B542" t="str">
            <v>VAR_fin</v>
          </cell>
          <cell r="C542" t="str">
            <v>HFO</v>
          </cell>
          <cell r="H542">
            <v>1.0803012795516564E-3</v>
          </cell>
          <cell r="I542">
            <v>7.5511097622294214E-4</v>
          </cell>
        </row>
        <row r="543">
          <cell r="A543" t="str">
            <v>RHEM-SHCONBR</v>
          </cell>
          <cell r="B543" t="str">
            <v>VAR_fout</v>
          </cell>
          <cell r="C543" t="str">
            <v>RHEM-SHCON</v>
          </cell>
          <cell r="H543">
            <v>2.0117193854357883E-4</v>
          </cell>
          <cell r="I543">
            <v>2.1690576533040472E-4</v>
          </cell>
          <cell r="J543">
            <v>2.9024729390379365E-4</v>
          </cell>
        </row>
        <row r="544">
          <cell r="A544" t="str">
            <v>RHEM-SHCONBR</v>
          </cell>
          <cell r="B544" t="str">
            <v>VAR_fin</v>
          </cell>
          <cell r="C544" t="str">
            <v>CON</v>
          </cell>
          <cell r="H544">
            <v>2.0117193854357883E-4</v>
          </cell>
          <cell r="I544">
            <v>2.1690576533040472E-4</v>
          </cell>
          <cell r="J544">
            <v>2.9024729390379365E-4</v>
          </cell>
        </row>
        <row r="545">
          <cell r="A545" t="str">
            <v>RHEM-SHCONBR</v>
          </cell>
          <cell r="B545" t="str">
            <v>VAR_ncap</v>
          </cell>
          <cell r="C545" t="str">
            <v>-</v>
          </cell>
          <cell r="H545">
            <v>5.2440632130110298E-6</v>
          </cell>
          <cell r="I545">
            <v>1.20298012859344E-6</v>
          </cell>
          <cell r="J545">
            <v>4.7973969285454002E-6</v>
          </cell>
        </row>
        <row r="546">
          <cell r="A546" t="str">
            <v>RHEM-SHCONBR</v>
          </cell>
          <cell r="B546" t="str">
            <v>VAR_cap</v>
          </cell>
          <cell r="C546" t="str">
            <v>-</v>
          </cell>
          <cell r="H546">
            <v>1.4533640803076879E-5</v>
          </cell>
          <cell r="I546">
            <v>1.5731189240262328E-5</v>
          </cell>
          <cell r="J546">
            <v>2.0603622614153199E-5</v>
          </cell>
        </row>
        <row r="547">
          <cell r="A547" t="str">
            <v>RHEM-SHSOLBR</v>
          </cell>
          <cell r="B547" t="str">
            <v>VAR_fout</v>
          </cell>
          <cell r="C547" t="str">
            <v>RHEM-SHASOL</v>
          </cell>
          <cell r="H547">
            <v>1.2288350425882054E-2</v>
          </cell>
          <cell r="I547">
            <v>1.2917776937567153E-2</v>
          </cell>
          <cell r="J547">
            <v>1.3097889222645362E-2</v>
          </cell>
        </row>
        <row r="548">
          <cell r="A548" t="str">
            <v>RHEM-SHSOLBR</v>
          </cell>
          <cell r="B548" t="str">
            <v>VAR_fin</v>
          </cell>
          <cell r="C548" t="str">
            <v>SOL</v>
          </cell>
          <cell r="H548">
            <v>1.2288350425882054E-2</v>
          </cell>
          <cell r="I548">
            <v>1.2917776937567153E-2</v>
          </cell>
          <cell r="J548">
            <v>1.3097889222645362E-2</v>
          </cell>
        </row>
        <row r="549">
          <cell r="A549" t="str">
            <v>RHEM-SHSOLBR</v>
          </cell>
          <cell r="B549" t="str">
            <v>VAR_ncap</v>
          </cell>
          <cell r="C549" t="str">
            <v>-</v>
          </cell>
          <cell r="H549">
            <v>7.1151211567852505E-7</v>
          </cell>
          <cell r="I549">
            <v>1.9083586885088001E-3</v>
          </cell>
          <cell r="J549">
            <v>5.3795245753806198E-4</v>
          </cell>
        </row>
        <row r="550">
          <cell r="A550" t="str">
            <v>RHEM-SHSOLBR</v>
          </cell>
          <cell r="B550" t="str">
            <v>VAR_cap</v>
          </cell>
          <cell r="C550" t="str">
            <v>-</v>
          </cell>
          <cell r="H550">
            <v>1.9729852725185567E-2</v>
          </cell>
          <cell r="I550">
            <v>1.9089552794265986E-3</v>
          </cell>
          <cell r="J550">
            <v>1.9230866845854949E-3</v>
          </cell>
        </row>
        <row r="551">
          <cell r="A551" t="str">
            <v>SCOM-SHH2BR</v>
          </cell>
          <cell r="B551" t="str">
            <v>VAR_ncap</v>
          </cell>
          <cell r="C551" t="str">
            <v>-</v>
          </cell>
          <cell r="H551">
            <v>0.484535230689918</v>
          </cell>
          <cell r="I551">
            <v>6.7680542930309395E-2</v>
          </cell>
          <cell r="J551">
            <v>0.57794076914116899</v>
          </cell>
        </row>
        <row r="552">
          <cell r="A552" t="str">
            <v>SCOM-SHH2BR</v>
          </cell>
          <cell r="B552" t="str">
            <v>VAR_cap</v>
          </cell>
          <cell r="C552" t="str">
            <v>-</v>
          </cell>
          <cell r="H552">
            <v>0.48453534747743382</v>
          </cell>
          <cell r="I552">
            <v>0.55221538761340261</v>
          </cell>
          <cell r="J552">
            <v>0.83201386481587714</v>
          </cell>
        </row>
        <row r="553">
          <cell r="A553" t="str">
            <v>ITOT-SWHCONBR1</v>
          </cell>
          <cell r="B553" t="str">
            <v>VAR_fout</v>
          </cell>
          <cell r="C553" t="str">
            <v>ITOT-ELS</v>
          </cell>
          <cell r="H553">
            <v>0.33079276124959539</v>
          </cell>
          <cell r="I553">
            <v>0.48527199808689048</v>
          </cell>
          <cell r="J553">
            <v>0.97003311574925943</v>
          </cell>
        </row>
        <row r="554">
          <cell r="A554" t="str">
            <v>ITOT-SWHCONBR1</v>
          </cell>
          <cell r="B554" t="str">
            <v>VAR_fout</v>
          </cell>
          <cell r="C554" t="str">
            <v>ITOT-SWHC</v>
          </cell>
          <cell r="H554">
            <v>1.5725393734371282</v>
          </cell>
          <cell r="I554">
            <v>2.3069105893836324</v>
          </cell>
          <cell r="J554">
            <v>4.6113925295439735</v>
          </cell>
        </row>
        <row r="555">
          <cell r="A555" t="str">
            <v>ITOT-SWHCONBR1</v>
          </cell>
          <cell r="B555" t="str">
            <v>VAR_fin</v>
          </cell>
          <cell r="C555" t="str">
            <v>CON</v>
          </cell>
          <cell r="H555">
            <v>1.9033321346867245</v>
          </cell>
          <cell r="I555">
            <v>2.7921825874705224</v>
          </cell>
          <cell r="J555">
            <v>5.5814256452932343</v>
          </cell>
        </row>
        <row r="556">
          <cell r="A556" t="str">
            <v>ITOT-SWHCONBR1</v>
          </cell>
          <cell r="B556" t="str">
            <v>VAR_ncap</v>
          </cell>
          <cell r="C556" t="str">
            <v>-</v>
          </cell>
          <cell r="H556">
            <v>5.2228985059663897E-2</v>
          </cell>
          <cell r="I556">
            <v>9.9623550215562295E-2</v>
          </cell>
          <cell r="J556">
            <v>0.20914503990821301</v>
          </cell>
        </row>
        <row r="557">
          <cell r="A557" t="str">
            <v>ITOT-SWHCONBR1</v>
          </cell>
          <cell r="B557" t="str">
            <v>VAR_cap</v>
          </cell>
          <cell r="C557" t="str">
            <v>-</v>
          </cell>
          <cell r="H557">
            <v>0.10351517267185099</v>
          </cell>
          <cell r="I557">
            <v>0.15185302126807201</v>
          </cell>
          <cell r="J557">
            <v>0.30353777139249499</v>
          </cell>
        </row>
        <row r="558">
          <cell r="A558" t="str">
            <v>SCOM-SHLTHCHPWOD</v>
          </cell>
          <cell r="B558" t="str">
            <v>VAR_ncap</v>
          </cell>
          <cell r="C558" t="str">
            <v>-</v>
          </cell>
          <cell r="H558">
            <v>1.4453382351904199E-4</v>
          </cell>
          <cell r="I558">
            <v>8.8560253874885299E-5</v>
          </cell>
          <cell r="J558">
            <v>3.3523482499557301E-5</v>
          </cell>
        </row>
        <row r="559">
          <cell r="A559" t="str">
            <v>SCOM-SHLTHCHPWOD</v>
          </cell>
          <cell r="B559" t="str">
            <v>VAR_cap</v>
          </cell>
          <cell r="C559" t="str">
            <v>-</v>
          </cell>
          <cell r="H559">
            <v>1.8336224630858151E-4</v>
          </cell>
          <cell r="I559">
            <v>1.4205658348309197E-4</v>
          </cell>
          <cell r="J559">
            <v>5.967612225000339E-5</v>
          </cell>
        </row>
        <row r="560">
          <cell r="A560" t="str">
            <v>SCOM-SHSTG-NGAHP</v>
          </cell>
          <cell r="B560" t="str">
            <v>VAR_fout</v>
          </cell>
          <cell r="C560" t="str">
            <v>SCOM-SHANGAH</v>
          </cell>
          <cell r="H560">
            <v>8.52923726518304E-6</v>
          </cell>
          <cell r="I560">
            <v>7.380305449354142E-6</v>
          </cell>
          <cell r="J560">
            <v>4.4994149108806887E-6</v>
          </cell>
        </row>
        <row r="561">
          <cell r="A561" t="str">
            <v>SCOM-SHSTG-NGAHP</v>
          </cell>
          <cell r="B561" t="str">
            <v>VAR_fin</v>
          </cell>
          <cell r="C561" t="str">
            <v>SCOM-SHANGAH</v>
          </cell>
          <cell r="H561">
            <v>7.8088896109277299E-6</v>
          </cell>
          <cell r="I561">
            <v>7.4058748583909952E-6</v>
          </cell>
          <cell r="J561">
            <v>3.3181728064448249E-6</v>
          </cell>
        </row>
        <row r="562">
          <cell r="A562" t="str">
            <v>SCOM-SHSTG-NGAHP</v>
          </cell>
          <cell r="B562" t="str">
            <v>VAR_ncap</v>
          </cell>
          <cell r="C562" t="str">
            <v>-</v>
          </cell>
          <cell r="H562">
            <v>2.1233261859256301E-2</v>
          </cell>
          <cell r="I562">
            <v>5.58392959538778E-2</v>
          </cell>
          <cell r="J562">
            <v>0.10108798283991099</v>
          </cell>
        </row>
        <row r="563">
          <cell r="A563" t="str">
            <v>SCOM-SHSTG-NGAHP</v>
          </cell>
          <cell r="B563" t="str">
            <v>VAR_cap</v>
          </cell>
          <cell r="C563" t="str">
            <v>-</v>
          </cell>
          <cell r="H563">
            <v>8.4014796350793203E-2</v>
          </cell>
          <cell r="I563">
            <v>0.10406985547543131</v>
          </cell>
          <cell r="J563">
            <v>0.15054872664528116</v>
          </cell>
        </row>
        <row r="564">
          <cell r="A564" t="str">
            <v>ITOT-SWHCONBR2</v>
          </cell>
          <cell r="B564" t="str">
            <v>VAR_fout</v>
          </cell>
          <cell r="C564" t="str">
            <v>ITOT-ELS</v>
          </cell>
          <cell r="H564">
            <v>9.789404375704447E-4</v>
          </cell>
          <cell r="I564">
            <v>0.60030063461012773</v>
          </cell>
          <cell r="J564">
            <v>0.88012229125181674</v>
          </cell>
        </row>
        <row r="565">
          <cell r="A565" t="str">
            <v>ITOT-SWHCONBR2</v>
          </cell>
          <cell r="B565" t="str">
            <v>VAR_fout</v>
          </cell>
          <cell r="C565" t="str">
            <v>ITOT-SWHC</v>
          </cell>
          <cell r="H565">
            <v>1.5132545753183122E-3</v>
          </cell>
          <cell r="I565">
            <v>0.92794990075674944</v>
          </cell>
          <cell r="J565">
            <v>1.3605006320730395</v>
          </cell>
        </row>
        <row r="566">
          <cell r="A566" t="str">
            <v>ITOT-SWHCONBR2</v>
          </cell>
          <cell r="B566" t="str">
            <v>VAR_fin</v>
          </cell>
          <cell r="C566" t="str">
            <v>CON</v>
          </cell>
          <cell r="H566">
            <v>2.4921950128887569E-3</v>
          </cell>
          <cell r="I566">
            <v>1.5282505353668774</v>
          </cell>
          <cell r="J566">
            <v>2.2406229233248571</v>
          </cell>
        </row>
        <row r="567">
          <cell r="A567" t="str">
            <v>ITOT-SWHCONBR2</v>
          </cell>
          <cell r="B567" t="str">
            <v>VAR_ncap</v>
          </cell>
          <cell r="C567" t="str">
            <v>-</v>
          </cell>
          <cell r="H567">
            <v>8.5244452877727696E-5</v>
          </cell>
          <cell r="I567">
            <v>8.2996090130915898E-2</v>
          </cell>
          <cell r="J567">
            <v>6.1586712345255597E-2</v>
          </cell>
        </row>
        <row r="568">
          <cell r="A568" t="str">
            <v>ITOT-SWHCONBR2</v>
          </cell>
          <cell r="B568" t="str">
            <v>VAR_cap</v>
          </cell>
          <cell r="C568" t="str">
            <v>-</v>
          </cell>
          <cell r="H568">
            <v>1.3536831165478699E-4</v>
          </cell>
          <cell r="I568">
            <v>8.3115568493125402E-2</v>
          </cell>
          <cell r="J568">
            <v>0.121855815251497</v>
          </cell>
        </row>
        <row r="569">
          <cell r="A569" t="str">
            <v>RHES-SHCONBR1</v>
          </cell>
          <cell r="B569" t="str">
            <v>VAR_fout</v>
          </cell>
          <cell r="C569" t="str">
            <v>RHES-SHCON</v>
          </cell>
          <cell r="H569">
            <v>3.1666687735877126</v>
          </cell>
          <cell r="I569">
            <v>4.144937816547662</v>
          </cell>
          <cell r="J569">
            <v>6.414211829908373</v>
          </cell>
        </row>
        <row r="570">
          <cell r="A570" t="str">
            <v>RHES-SHCONBR1</v>
          </cell>
          <cell r="B570" t="str">
            <v>VAR_fin</v>
          </cell>
          <cell r="C570" t="str">
            <v>CON</v>
          </cell>
          <cell r="H570">
            <v>3.1666687735877126</v>
          </cell>
          <cell r="I570">
            <v>4.144937816547662</v>
          </cell>
          <cell r="J570">
            <v>6.414211829908373</v>
          </cell>
        </row>
        <row r="571">
          <cell r="A571" t="str">
            <v>RHES-SHCONBR1</v>
          </cell>
          <cell r="B571" t="str">
            <v>VAR_ncap</v>
          </cell>
          <cell r="C571" t="str">
            <v>-</v>
          </cell>
          <cell r="H571">
            <v>0.134737486579972</v>
          </cell>
          <cell r="I571">
            <v>7.9027601164273903E-2</v>
          </cell>
          <cell r="J571">
            <v>0.22525036083910399</v>
          </cell>
        </row>
        <row r="572">
          <cell r="A572" t="str">
            <v>RHES-SHCONBR1</v>
          </cell>
          <cell r="B572" t="str">
            <v>VAR_cap</v>
          </cell>
          <cell r="C572" t="str">
            <v>-</v>
          </cell>
          <cell r="H572">
            <v>0.2558384090577932</v>
          </cell>
          <cell r="I572">
            <v>0.33486605650974433</v>
          </cell>
          <cell r="J572">
            <v>0.51819280409646562</v>
          </cell>
        </row>
        <row r="573">
          <cell r="A573" t="str">
            <v>ITOT-SWHCONBR3</v>
          </cell>
          <cell r="B573" t="str">
            <v>VAR_fout</v>
          </cell>
          <cell r="C573" t="str">
            <v>ITOT-ELS</v>
          </cell>
          <cell r="H573">
            <v>3.3286604598438033E-4</v>
          </cell>
          <cell r="I573">
            <v>3.9755702249045908E-4</v>
          </cell>
          <cell r="J573">
            <v>7.2294359744474372E-4</v>
          </cell>
        </row>
        <row r="574">
          <cell r="A574" t="str">
            <v>ITOT-SWHCONBR3</v>
          </cell>
          <cell r="B574" t="str">
            <v>VAR_fout</v>
          </cell>
          <cell r="C574" t="str">
            <v>ITOT-SWHC</v>
          </cell>
          <cell r="H574">
            <v>6.605915506126041E-4</v>
          </cell>
          <cell r="I574">
            <v>7.8897446318759051E-4</v>
          </cell>
          <cell r="J574">
            <v>1.4347225792560648E-3</v>
          </cell>
        </row>
        <row r="575">
          <cell r="A575" t="str">
            <v>ITOT-SWHCONBR3</v>
          </cell>
          <cell r="B575" t="str">
            <v>VAR_fin</v>
          </cell>
          <cell r="C575" t="str">
            <v>CON</v>
          </cell>
          <cell r="H575">
            <v>9.9345759659698438E-4</v>
          </cell>
          <cell r="I575">
            <v>1.1865314856780488E-3</v>
          </cell>
          <cell r="J575">
            <v>2.1576661767008084E-3</v>
          </cell>
        </row>
        <row r="576">
          <cell r="A576" t="str">
            <v>ITOT-SWHCONBR3</v>
          </cell>
          <cell r="B576" t="str">
            <v>VAR_ncap</v>
          </cell>
          <cell r="C576" t="str">
            <v>-</v>
          </cell>
          <cell r="H576">
            <v>3.0473115831947401E-5</v>
          </cell>
          <cell r="I576">
            <v>1.7794283777678899E-5</v>
          </cell>
          <cell r="J576">
            <v>9.1257668619106205E-5</v>
          </cell>
        </row>
        <row r="577">
          <cell r="A577" t="str">
            <v>ITOT-SWHCONBR3</v>
          </cell>
          <cell r="B577" t="str">
            <v>VAR_cap</v>
          </cell>
          <cell r="C577" t="str">
            <v>-</v>
          </cell>
          <cell r="H577">
            <v>5.3796011204549297E-5</v>
          </cell>
          <cell r="I577">
            <v>6.4196617850647306E-5</v>
          </cell>
          <cell r="J577">
            <v>1.17061541896607E-4</v>
          </cell>
        </row>
        <row r="578">
          <cell r="A578" t="str">
            <v>ITOT-ELCSPECADV</v>
          </cell>
          <cell r="B578" t="str">
            <v>VAR_fout</v>
          </cell>
          <cell r="C578" t="str">
            <v>ITOT-ELS</v>
          </cell>
          <cell r="H578">
            <v>6.8316976248560869E-4</v>
          </cell>
          <cell r="I578">
            <v>5.2840888535424203E-4</v>
          </cell>
          <cell r="J578">
            <v>6.1495103703332462E-4</v>
          </cell>
        </row>
        <row r="579">
          <cell r="A579" t="str">
            <v>ITOT-ELCSPECADV</v>
          </cell>
          <cell r="B579" t="str">
            <v>VAR_fin</v>
          </cell>
          <cell r="C579" t="str">
            <v>ITOT_ELC</v>
          </cell>
          <cell r="H579">
            <v>6.3550675580056632E-4</v>
          </cell>
          <cell r="I579">
            <v>4.8037171395840222E-4</v>
          </cell>
          <cell r="J579">
            <v>5.3474003220289131E-4</v>
          </cell>
        </row>
        <row r="580">
          <cell r="A580" t="str">
            <v>ITOT-ELCSPECADV</v>
          </cell>
          <cell r="B580" t="str">
            <v>VAR_ncap</v>
          </cell>
          <cell r="C580" t="str">
            <v>-</v>
          </cell>
          <cell r="H580">
            <v>1.6977957184765999E-5</v>
          </cell>
          <cell r="I580">
            <v>6.6003672464290897E-7</v>
          </cell>
          <cell r="J580">
            <v>6.49526032791996E-7</v>
          </cell>
        </row>
        <row r="581">
          <cell r="A581" t="str">
            <v>ITOT-ELCSPECADV</v>
          </cell>
          <cell r="B581" t="str">
            <v>VAR_cap</v>
          </cell>
          <cell r="C581" t="str">
            <v>-</v>
          </cell>
          <cell r="H581">
            <v>4.287968932105358E-5</v>
          </cell>
          <cell r="I581">
            <v>4.332378079126572E-5</v>
          </cell>
          <cell r="J581">
            <v>3.4743794906459228E-5</v>
          </cell>
        </row>
        <row r="582">
          <cell r="A582" t="str">
            <v>RHES-SHELCBR</v>
          </cell>
          <cell r="B582" t="str">
            <v>VAR_fout</v>
          </cell>
          <cell r="C582" t="str">
            <v>RHES-SHAELCB</v>
          </cell>
          <cell r="H582">
            <v>3.1230617338553548E-2</v>
          </cell>
          <cell r="I582">
            <v>4.4954394170539352E-3</v>
          </cell>
          <cell r="J582">
            <v>2.3364935263187458E-3</v>
          </cell>
        </row>
        <row r="583">
          <cell r="A583" t="str">
            <v>RHES-SHELCBR</v>
          </cell>
          <cell r="B583" t="str">
            <v>VAR_fin</v>
          </cell>
          <cell r="C583" t="str">
            <v>RHES_ELC</v>
          </cell>
          <cell r="H583">
            <v>3.3754003562745619E-2</v>
          </cell>
          <cell r="I583">
            <v>4.7832546165864492E-3</v>
          </cell>
          <cell r="J583">
            <v>2.4725735265579683E-3</v>
          </cell>
        </row>
        <row r="584">
          <cell r="A584" t="str">
            <v>RHES-SHELCBR</v>
          </cell>
          <cell r="B584" t="str">
            <v>VAR_ncap</v>
          </cell>
          <cell r="C584" t="str">
            <v>-</v>
          </cell>
          <cell r="H584">
            <v>1.9252076439681198E-6</v>
          </cell>
          <cell r="I584">
            <v>3.61269063583639E-4</v>
          </cell>
          <cell r="J584">
            <v>1.1956148205001801E-7</v>
          </cell>
        </row>
        <row r="585">
          <cell r="A585" t="str">
            <v>RHES-SHELCBR</v>
          </cell>
          <cell r="B585" t="str">
            <v>VAR_cap</v>
          </cell>
          <cell r="C585" t="str">
            <v>-</v>
          </cell>
          <cell r="H585">
            <v>4.2893162707312721E-3</v>
          </cell>
          <cell r="I585">
            <v>3.6305053688365392E-4</v>
          </cell>
          <cell r="J585">
            <v>1.8869680485915651E-4</v>
          </cell>
        </row>
        <row r="586">
          <cell r="A586" t="str">
            <v>RHSA-WHELCBR</v>
          </cell>
          <cell r="B586" t="str">
            <v>VAR_fout</v>
          </cell>
          <cell r="C586" t="str">
            <v>RHSA-WHAELCB</v>
          </cell>
          <cell r="H586">
            <v>2.0272878600573154</v>
          </cell>
          <cell r="I586">
            <v>1.9351118228169322</v>
          </cell>
          <cell r="J586">
            <v>1.769036900653441</v>
          </cell>
        </row>
        <row r="587">
          <cell r="A587" t="str">
            <v>RHSA-WHELCBR</v>
          </cell>
          <cell r="B587" t="str">
            <v>VAR_fin</v>
          </cell>
          <cell r="C587" t="str">
            <v>RHSA_ELC</v>
          </cell>
          <cell r="H587">
            <v>4.1109254277206393</v>
          </cell>
          <cell r="I587">
            <v>3.8594524034674356</v>
          </cell>
          <cell r="J587">
            <v>3.4348713144906875</v>
          </cell>
        </row>
        <row r="588">
          <cell r="A588" t="str">
            <v>RHSA-WHELCBR</v>
          </cell>
          <cell r="B588" t="str">
            <v>VAR_ncap</v>
          </cell>
          <cell r="C588" t="str">
            <v>-</v>
          </cell>
          <cell r="H588">
            <v>6.2386089853897798E-2</v>
          </cell>
          <cell r="I588">
            <v>8.0157761280913994E-2</v>
          </cell>
          <cell r="J588">
            <v>3.95839994064432E-2</v>
          </cell>
        </row>
        <row r="589">
          <cell r="A589" t="str">
            <v>RHSA-WHELCBR</v>
          </cell>
          <cell r="B589" t="str">
            <v>VAR_cap</v>
          </cell>
          <cell r="C589" t="str">
            <v>-</v>
          </cell>
          <cell r="H589">
            <v>0.1429995655531596</v>
          </cell>
          <cell r="I589">
            <v>0.14254356039328028</v>
          </cell>
          <cell r="J589">
            <v>0.12414566428165061</v>
          </cell>
        </row>
        <row r="590">
          <cell r="A590" t="str">
            <v>ITOT-SWHLTHDH</v>
          </cell>
          <cell r="B590" t="str">
            <v>VAR_fout</v>
          </cell>
          <cell r="C590" t="str">
            <v>ITOT-SWH</v>
          </cell>
          <cell r="H590">
            <v>7.1671214265971237</v>
          </cell>
          <cell r="I590">
            <v>7.210833494665196</v>
          </cell>
          <cell r="J590">
            <v>8.55114120077784</v>
          </cell>
        </row>
        <row r="591">
          <cell r="A591" t="str">
            <v>ITOT-SWHLTHDH</v>
          </cell>
          <cell r="B591" t="str">
            <v>VAR_fin</v>
          </cell>
          <cell r="C591" t="str">
            <v>ITOT_LTH_DH</v>
          </cell>
          <cell r="H591">
            <v>7.6300598528357195</v>
          </cell>
          <cell r="I591">
            <v>7.6363517871934734</v>
          </cell>
          <cell r="J591">
            <v>9.0012012639766841</v>
          </cell>
        </row>
        <row r="592">
          <cell r="A592" t="str">
            <v>ITOT-SWHLTHDH</v>
          </cell>
          <cell r="B592" t="str">
            <v>VAR_fin</v>
          </cell>
          <cell r="C592" t="str">
            <v>ITOTLTHDHC</v>
          </cell>
          <cell r="H592">
            <v>7.1671214265971237</v>
          </cell>
          <cell r="I592">
            <v>7.210833494665196</v>
          </cell>
          <cell r="J592">
            <v>8.55114120077784</v>
          </cell>
        </row>
        <row r="593">
          <cell r="A593" t="str">
            <v>ITOT-SWHLTHDH</v>
          </cell>
          <cell r="B593" t="str">
            <v>VAR_ncap</v>
          </cell>
          <cell r="C593" t="str">
            <v>-</v>
          </cell>
          <cell r="H593">
            <v>0.41666604905646298</v>
          </cell>
          <cell r="I593">
            <v>0.27684521421980801</v>
          </cell>
          <cell r="J593">
            <v>0.342998812115342</v>
          </cell>
        </row>
        <row r="594">
          <cell r="A594" t="str">
            <v>ITOT-SWHLTHDH</v>
          </cell>
          <cell r="B594" t="str">
            <v>VAR_cap</v>
          </cell>
          <cell r="C594" t="str">
            <v>-</v>
          </cell>
          <cell r="H594">
            <v>0.72739735059359101</v>
          </cell>
          <cell r="I594">
            <v>0.71668193196498386</v>
          </cell>
          <cell r="J594">
            <v>0.68872324172743649</v>
          </cell>
        </row>
        <row r="595">
          <cell r="A595" t="str">
            <v>RHES-SHCONBR2</v>
          </cell>
          <cell r="B595" t="str">
            <v>VAR_fout</v>
          </cell>
          <cell r="C595" t="str">
            <v>RHES-SHCON</v>
          </cell>
          <cell r="H595">
            <v>0.93738567555469343</v>
          </cell>
          <cell r="I595">
            <v>1.6614957543691249</v>
          </cell>
          <cell r="J595">
            <v>3.4104405373018096</v>
          </cell>
        </row>
        <row r="596">
          <cell r="A596" t="str">
            <v>RHES-SHCONBR2</v>
          </cell>
          <cell r="B596" t="str">
            <v>VAR_fin</v>
          </cell>
          <cell r="C596" t="str">
            <v>CON</v>
          </cell>
          <cell r="H596">
            <v>0.93738567555469343</v>
          </cell>
          <cell r="I596">
            <v>1.6614957543691249</v>
          </cell>
          <cell r="J596">
            <v>3.4104405373018096</v>
          </cell>
        </row>
        <row r="597">
          <cell r="A597" t="str">
            <v>RHES-SHCONBR2</v>
          </cell>
          <cell r="B597" t="str">
            <v>VAR_ncap</v>
          </cell>
          <cell r="C597" t="str">
            <v>-</v>
          </cell>
          <cell r="H597">
            <v>9.4258305959002593E-3</v>
          </cell>
          <cell r="I597">
            <v>5.84947664922588E-2</v>
          </cell>
          <cell r="J597">
            <v>0.17180103935701399</v>
          </cell>
        </row>
        <row r="598">
          <cell r="A598" t="str">
            <v>RHES-SHCONBR2</v>
          </cell>
          <cell r="B598" t="str">
            <v>VAR_cap</v>
          </cell>
          <cell r="C598" t="str">
            <v>-</v>
          </cell>
          <cell r="H598">
            <v>7.5739614614448975E-2</v>
          </cell>
          <cell r="I598">
            <v>0.13423442657868739</v>
          </cell>
          <cell r="J598">
            <v>0.27552485049510539</v>
          </cell>
        </row>
        <row r="599">
          <cell r="A599" t="str">
            <v>ITOT-SWHCONBR4</v>
          </cell>
          <cell r="B599" t="str">
            <v>VAR_fout</v>
          </cell>
          <cell r="C599" t="str">
            <v>ITOT-ELS</v>
          </cell>
          <cell r="H599">
            <v>5.0841833785391075E-5</v>
          </cell>
          <cell r="I599">
            <v>5.1969603779654024E-5</v>
          </cell>
          <cell r="J599">
            <v>5.2493029729479173E-5</v>
          </cell>
        </row>
        <row r="600">
          <cell r="A600" t="str">
            <v>ITOT-SWHCONBR4</v>
          </cell>
          <cell r="B600" t="str">
            <v>VAR_fout</v>
          </cell>
          <cell r="C600" t="str">
            <v>ITOT-SWHC</v>
          </cell>
          <cell r="H600">
            <v>5.4637372084262784E-4</v>
          </cell>
          <cell r="I600">
            <v>5.5849334443097286E-4</v>
          </cell>
          <cell r="J600">
            <v>5.6411836151825366E-4</v>
          </cell>
        </row>
        <row r="601">
          <cell r="A601" t="str">
            <v>ITOT-SWHCONBR4</v>
          </cell>
          <cell r="B601" t="str">
            <v>VAR_fin</v>
          </cell>
          <cell r="C601" t="str">
            <v>CON</v>
          </cell>
          <cell r="H601">
            <v>5.9721555462801854E-4</v>
          </cell>
          <cell r="I601">
            <v>6.1046294821062654E-4</v>
          </cell>
          <cell r="J601">
            <v>6.1661139124773265E-4</v>
          </cell>
        </row>
        <row r="602">
          <cell r="A602" t="str">
            <v>ITOT-SWHCONBR4</v>
          </cell>
          <cell r="B602" t="str">
            <v>VAR_ncap</v>
          </cell>
          <cell r="C602" t="str">
            <v>-</v>
          </cell>
          <cell r="H602">
            <v>3.1959286865444502E-5</v>
          </cell>
          <cell r="I602">
            <v>7.6988937353077797E-7</v>
          </cell>
          <cell r="J602">
            <v>1.9130151237517499E-5</v>
          </cell>
        </row>
        <row r="603">
          <cell r="A603" t="str">
            <v>ITOT-SWHCONBR4</v>
          </cell>
          <cell r="B603" t="str">
            <v>VAR_cap</v>
          </cell>
          <cell r="C603" t="str">
            <v>-</v>
          </cell>
          <cell r="H603">
            <v>3.1959286865444502E-5</v>
          </cell>
          <cell r="I603">
            <v>3.27291762389752E-5</v>
          </cell>
          <cell r="J603">
            <v>3.3207493170396498E-5</v>
          </cell>
        </row>
        <row r="604">
          <cell r="A604" t="str">
            <v>D-ITOT_NKEV_GAS_ELC_CHP</v>
          </cell>
          <cell r="B604" t="str">
            <v>VAR_fout</v>
          </cell>
          <cell r="C604" t="str">
            <v>ITOT_ELC</v>
          </cell>
          <cell r="H604">
            <v>1.0206623241000847</v>
          </cell>
          <cell r="I604">
            <v>0.19791274940072992</v>
          </cell>
          <cell r="J604">
            <v>4.3874069745690795E-2</v>
          </cell>
        </row>
        <row r="605">
          <cell r="A605" t="str">
            <v>D-ITOT_NKEV_GAS_ELC_CHP</v>
          </cell>
          <cell r="B605" t="str">
            <v>VAR_fout</v>
          </cell>
          <cell r="C605" t="str">
            <v>ELC5</v>
          </cell>
          <cell r="H605">
            <v>2.5720709252857747E-3</v>
          </cell>
          <cell r="I605">
            <v>7.4197172401432102E-3</v>
          </cell>
          <cell r="J605">
            <v>2.4687470944443034E-3</v>
          </cell>
        </row>
        <row r="606">
          <cell r="A606" t="str">
            <v>D-ITOT_NKEV_GAS_ELC_CHP</v>
          </cell>
          <cell r="B606" t="str">
            <v>VAR_fin</v>
          </cell>
          <cell r="C606" t="str">
            <v>ITOT_NKEV_GAS_ELC_CHP</v>
          </cell>
          <cell r="H606">
            <v>1.0232343950253699</v>
          </cell>
          <cell r="I606">
            <v>0.20533246664087337</v>
          </cell>
          <cell r="J606">
            <v>4.634281684013513E-2</v>
          </cell>
        </row>
        <row r="607">
          <cell r="A607" t="str">
            <v>SCOM-SHELCBR</v>
          </cell>
          <cell r="B607" t="str">
            <v>VAR_fout</v>
          </cell>
          <cell r="C607" t="str">
            <v>SCOM-SHAELCB</v>
          </cell>
          <cell r="H607">
            <v>0.29779351528805803</v>
          </cell>
          <cell r="I607">
            <v>0.27133681142960153</v>
          </cell>
          <cell r="J607">
            <v>0.20510453214202518</v>
          </cell>
        </row>
        <row r="608">
          <cell r="A608" t="str">
            <v>SCOM-SHELCBR</v>
          </cell>
          <cell r="B608" t="str">
            <v>VAR_fin</v>
          </cell>
          <cell r="C608" t="str">
            <v>SCOM_ELC</v>
          </cell>
          <cell r="H608">
            <v>0.60188543630124902</v>
          </cell>
          <cell r="I608">
            <v>0.53871040385919622</v>
          </cell>
          <cell r="J608">
            <v>0.39068223562172893</v>
          </cell>
        </row>
        <row r="609">
          <cell r="A609" t="str">
            <v>SCOM-SHELCBR</v>
          </cell>
          <cell r="B609" t="str">
            <v>VAR_ncap</v>
          </cell>
          <cell r="C609" t="str">
            <v>-</v>
          </cell>
          <cell r="H609">
            <v>1.6315445325269899E-2</v>
          </cell>
          <cell r="I609">
            <v>1.10447634436277E-2</v>
          </cell>
          <cell r="J609">
            <v>6.5016629963734404E-3</v>
          </cell>
        </row>
        <row r="610">
          <cell r="A610" t="str">
            <v>SCOM-SHELCBR</v>
          </cell>
          <cell r="B610" t="str">
            <v>VAR_cap</v>
          </cell>
          <cell r="C610" t="str">
            <v>-</v>
          </cell>
          <cell r="H610">
            <v>2.8053026630886699E-2</v>
          </cell>
          <cell r="I610">
            <v>2.7359811004787796E-2</v>
          </cell>
          <cell r="J610">
            <v>2.1417138356916367E-2</v>
          </cell>
        </row>
        <row r="611">
          <cell r="A611" t="str">
            <v>RHES-SHCONBR3</v>
          </cell>
          <cell r="B611" t="str">
            <v>VAR_fout</v>
          </cell>
          <cell r="C611" t="str">
            <v>RHES-SHCON</v>
          </cell>
          <cell r="H611">
            <v>1.3553780887037266</v>
          </cell>
          <cell r="I611">
            <v>1.3554327161026232</v>
          </cell>
          <cell r="J611">
            <v>0.73166884891576911</v>
          </cell>
        </row>
        <row r="612">
          <cell r="A612" t="str">
            <v>RHES-SHCONBR3</v>
          </cell>
          <cell r="B612" t="str">
            <v>VAR_fin</v>
          </cell>
          <cell r="C612" t="str">
            <v>CON</v>
          </cell>
          <cell r="H612">
            <v>1.3553780887037266</v>
          </cell>
          <cell r="I612">
            <v>1.3554327161026232</v>
          </cell>
          <cell r="J612">
            <v>0.73166884891576911</v>
          </cell>
        </row>
        <row r="613">
          <cell r="A613" t="str">
            <v>RHES-SHCONBR3</v>
          </cell>
          <cell r="B613" t="str">
            <v>VAR_ncap</v>
          </cell>
          <cell r="C613" t="str">
            <v>-</v>
          </cell>
          <cell r="H613">
            <v>2.7571722468136499E-8</v>
          </cell>
          <cell r="I613">
            <v>3.3060255594723E-8</v>
          </cell>
          <cell r="J613">
            <v>4.77196528687213E-8</v>
          </cell>
        </row>
        <row r="614">
          <cell r="A614" t="str">
            <v>RHES-SHCONBR3</v>
          </cell>
          <cell r="B614" t="str">
            <v>VAR_cap</v>
          </cell>
          <cell r="C614" t="str">
            <v>-</v>
          </cell>
          <cell r="H614">
            <v>0.10950815929432629</v>
          </cell>
          <cell r="I614">
            <v>0.10950823724927149</v>
          </cell>
          <cell r="J614">
            <v>5.9112983368756075E-2</v>
          </cell>
        </row>
        <row r="615">
          <cell r="A615" t="str">
            <v>ITOT-SWHCONBR5</v>
          </cell>
          <cell r="B615" t="str">
            <v>VAR_fout</v>
          </cell>
          <cell r="C615" t="str">
            <v>ITOT-ELS</v>
          </cell>
          <cell r="H615">
            <v>8.3138111337148257E-5</v>
          </cell>
          <cell r="I615">
            <v>8.5721383686441073E-5</v>
          </cell>
          <cell r="J615">
            <v>8.6481461920441256E-5</v>
          </cell>
        </row>
        <row r="616">
          <cell r="A616" t="str">
            <v>ITOT-SWHCONBR5</v>
          </cell>
          <cell r="B616" t="str">
            <v>VAR_fout</v>
          </cell>
          <cell r="C616" t="str">
            <v>ITOT-SWHC</v>
          </cell>
          <cell r="H616">
            <v>4.0778216670147454E-4</v>
          </cell>
          <cell r="I616">
            <v>4.2045279848312216E-4</v>
          </cell>
          <cell r="J616">
            <v>4.2418088833431357E-4</v>
          </cell>
        </row>
        <row r="617">
          <cell r="A617" t="str">
            <v>ITOT-SWHCONBR5</v>
          </cell>
          <cell r="B617" t="str">
            <v>VAR_fin</v>
          </cell>
          <cell r="C617" t="str">
            <v>CON</v>
          </cell>
          <cell r="H617">
            <v>4.9092027803862299E-4</v>
          </cell>
          <cell r="I617">
            <v>5.0617418216956369E-4</v>
          </cell>
          <cell r="J617">
            <v>5.1066235025475516E-4</v>
          </cell>
        </row>
        <row r="618">
          <cell r="A618" t="str">
            <v>ITOT-SWHCONBR5</v>
          </cell>
          <cell r="B618" t="str">
            <v>VAR_ncap</v>
          </cell>
          <cell r="C618" t="str">
            <v>-</v>
          </cell>
          <cell r="H618">
            <v>2.6166363780522802E-5</v>
          </cell>
          <cell r="I618">
            <v>8.2248468018904195E-7</v>
          </cell>
          <cell r="J618">
            <v>1.5771363742939301E-5</v>
          </cell>
        </row>
        <row r="619">
          <cell r="A619" t="str">
            <v>ITOT-SWHCONBR5</v>
          </cell>
          <cell r="B619" t="str">
            <v>VAR_cap</v>
          </cell>
          <cell r="C619" t="str">
            <v>-</v>
          </cell>
          <cell r="H619">
            <v>2.6166363780522802E-5</v>
          </cell>
          <cell r="I619">
            <v>2.6988848460711801E-5</v>
          </cell>
          <cell r="J619">
            <v>2.7436500372493198E-5</v>
          </cell>
        </row>
        <row r="620">
          <cell r="A620" t="str">
            <v>RHES-SHSTG-ELC</v>
          </cell>
          <cell r="B620" t="str">
            <v>VAR_fout</v>
          </cell>
          <cell r="C620" t="str">
            <v>RHES-SHAELCB</v>
          </cell>
          <cell r="H620">
            <v>5.1951110319610047E-3</v>
          </cell>
          <cell r="I620">
            <v>7.0307509745968729E-4</v>
          </cell>
          <cell r="J620">
            <v>4.2742229175513356E-4</v>
          </cell>
        </row>
        <row r="621">
          <cell r="A621" t="str">
            <v>RHES-SHSTG-ELC</v>
          </cell>
          <cell r="B621" t="str">
            <v>VAR_fout</v>
          </cell>
          <cell r="C621" t="str">
            <v>AUX_RHES-SHSTG-ELC_OUT</v>
          </cell>
          <cell r="H621">
            <v>5.2003061429929612E-3</v>
          </cell>
          <cell r="I621">
            <v>7.0377817255714735E-4</v>
          </cell>
          <cell r="J621">
            <v>4.2784971404688841E-4</v>
          </cell>
        </row>
        <row r="622">
          <cell r="A622" t="str">
            <v>RHES-SHSTG-ELC</v>
          </cell>
          <cell r="B622" t="str">
            <v>VAR_fin</v>
          </cell>
          <cell r="C622" t="str">
            <v>RHES-SHAELCB</v>
          </cell>
          <cell r="H622">
            <v>5.1953759815655818E-3</v>
          </cell>
          <cell r="I622">
            <v>7.0358297447048544E-4</v>
          </cell>
          <cell r="J622">
            <v>4.2789845736133724E-4</v>
          </cell>
        </row>
        <row r="623">
          <cell r="A623" t="str">
            <v>RHES-SHSTG-ELC</v>
          </cell>
          <cell r="B623" t="str">
            <v>VAR_ncap</v>
          </cell>
          <cell r="C623" t="str">
            <v>-</v>
          </cell>
          <cell r="H623">
            <v>2.7236826978826199E-5</v>
          </cell>
          <cell r="I623">
            <v>1.184161013346E-4</v>
          </cell>
          <cell r="J623">
            <v>7.6898704381058998E-6</v>
          </cell>
        </row>
        <row r="624">
          <cell r="A624" t="str">
            <v>RHES-SHSTG-ELC</v>
          </cell>
          <cell r="B624" t="str">
            <v>VAR_cap</v>
          </cell>
          <cell r="C624" t="str">
            <v>-</v>
          </cell>
          <cell r="H624">
            <v>7.5715227182359887E-4</v>
          </cell>
          <cell r="I624">
            <v>1.374263019460814E-4</v>
          </cell>
          <cell r="J624">
            <v>7.1435342191188806E-5</v>
          </cell>
        </row>
        <row r="625">
          <cell r="A625" t="str">
            <v>RHES-SHCONBR4</v>
          </cell>
          <cell r="B625" t="str">
            <v>VAR_fout</v>
          </cell>
          <cell r="C625" t="str">
            <v>RHES-SHCON</v>
          </cell>
          <cell r="H625">
            <v>0.42655856008155257</v>
          </cell>
          <cell r="I625">
            <v>0.42661069038312249</v>
          </cell>
          <cell r="J625">
            <v>0.24662785338197471</v>
          </cell>
        </row>
        <row r="626">
          <cell r="A626" t="str">
            <v>RHES-SHCONBR4</v>
          </cell>
          <cell r="B626" t="str">
            <v>VAR_fin</v>
          </cell>
          <cell r="C626" t="str">
            <v>CON</v>
          </cell>
          <cell r="H626">
            <v>0.42655856008155257</v>
          </cell>
          <cell r="I626">
            <v>0.42661069038312249</v>
          </cell>
          <cell r="J626">
            <v>0.24662785338197471</v>
          </cell>
        </row>
        <row r="627">
          <cell r="A627" t="str">
            <v>RHES-SHCONBR4</v>
          </cell>
          <cell r="B627" t="str">
            <v>VAR_ncap</v>
          </cell>
          <cell r="C627" t="str">
            <v>-</v>
          </cell>
          <cell r="H627">
            <v>2.0036801394239801E-8</v>
          </cell>
          <cell r="I627">
            <v>2.45502992143656E-8</v>
          </cell>
          <cell r="J627">
            <v>3.04299663005229E-8</v>
          </cell>
        </row>
        <row r="628">
          <cell r="A628" t="str">
            <v>RHES-SHCONBR4</v>
          </cell>
          <cell r="B628" t="str">
            <v>VAR_cap</v>
          </cell>
          <cell r="C628" t="str">
            <v>-</v>
          </cell>
          <cell r="H628">
            <v>3.4470512242731725E-2</v>
          </cell>
          <cell r="I628">
            <v>3.4470566994495494E-2</v>
          </cell>
          <cell r="J628">
            <v>1.9927530251609475E-2</v>
          </cell>
        </row>
        <row r="629">
          <cell r="A629" t="str">
            <v>ITOT-SWHCONBR6</v>
          </cell>
          <cell r="B629" t="str">
            <v>VAR_fout</v>
          </cell>
          <cell r="C629" t="str">
            <v>ITOT-SWHC</v>
          </cell>
          <cell r="I629">
            <v>3.0702531620504223E-4</v>
          </cell>
          <cell r="J629">
            <v>3.123372833963539E-4</v>
          </cell>
        </row>
        <row r="630">
          <cell r="A630" t="str">
            <v>ITOT-SWHCONBR6</v>
          </cell>
          <cell r="B630" t="str">
            <v>VAR_fin</v>
          </cell>
          <cell r="C630" t="str">
            <v>CON</v>
          </cell>
          <cell r="I630">
            <v>3.0702531620504223E-4</v>
          </cell>
          <cell r="J630">
            <v>3.123372833963539E-4</v>
          </cell>
        </row>
        <row r="631">
          <cell r="A631" t="str">
            <v>ITOT-SWHCONBR6</v>
          </cell>
          <cell r="B631" t="str">
            <v>VAR_ncap</v>
          </cell>
          <cell r="C631" t="str">
            <v>-</v>
          </cell>
          <cell r="I631">
            <v>1.60863797327836E-5</v>
          </cell>
          <cell r="J631">
            <v>4.8854266741158002E-6</v>
          </cell>
        </row>
        <row r="632">
          <cell r="A632" t="str">
            <v>ITOT-SWHCONBR6</v>
          </cell>
          <cell r="B632" t="str">
            <v>VAR_cap</v>
          </cell>
          <cell r="C632" t="str">
            <v>-</v>
          </cell>
          <cell r="I632">
            <v>1.60863797327836E-5</v>
          </cell>
          <cell r="J632">
            <v>1.6559851723991999E-5</v>
          </cell>
        </row>
        <row r="633">
          <cell r="A633" t="str">
            <v>RHNM-SHNGAHP</v>
          </cell>
          <cell r="B633" t="str">
            <v>VAR_fout</v>
          </cell>
          <cell r="C633" t="str">
            <v>CO2_R</v>
          </cell>
          <cell r="H633">
            <v>28.751755052345299</v>
          </cell>
          <cell r="I633">
            <v>35.840846866865398</v>
          </cell>
          <cell r="J633">
            <v>48.322013716292702</v>
          </cell>
        </row>
        <row r="634">
          <cell r="A634" t="str">
            <v>RHNM-SHNGAHP</v>
          </cell>
          <cell r="B634" t="str">
            <v>VAR_fout</v>
          </cell>
          <cell r="C634" t="str">
            <v>RHNM-SHANGAH</v>
          </cell>
          <cell r="H634">
            <v>1.0136475240657026</v>
          </cell>
          <cell r="I634">
            <v>1.272428482237149</v>
          </cell>
          <cell r="J634">
            <v>1.7315433459513749</v>
          </cell>
        </row>
        <row r="635">
          <cell r="A635" t="str">
            <v>RHNM-SHNGAHP</v>
          </cell>
          <cell r="B635" t="str">
            <v>VAR_fin</v>
          </cell>
          <cell r="C635" t="str">
            <v>RNGA</v>
          </cell>
          <cell r="H635">
            <v>0.50978289099902974</v>
          </cell>
          <cell r="I635">
            <v>0.63547600827775563</v>
          </cell>
          <cell r="J635">
            <v>0.85677329284207016</v>
          </cell>
        </row>
        <row r="636">
          <cell r="A636" t="str">
            <v>RHNM-SHNGAHP</v>
          </cell>
          <cell r="B636" t="str">
            <v>VAR_fin</v>
          </cell>
          <cell r="C636" t="str">
            <v>RHNMELCHPC</v>
          </cell>
          <cell r="H636">
            <v>1.0136475240657026</v>
          </cell>
          <cell r="I636">
            <v>1.272428482237149</v>
          </cell>
          <cell r="J636">
            <v>1.7315433459513749</v>
          </cell>
        </row>
        <row r="637">
          <cell r="A637" t="str">
            <v>RHNM-SHNGAHP</v>
          </cell>
          <cell r="B637" t="str">
            <v>VAR_ncap</v>
          </cell>
          <cell r="C637" t="str">
            <v>-</v>
          </cell>
          <cell r="H637">
            <v>2.5708843437115301E-2</v>
          </cell>
          <cell r="I637">
            <v>4.5957231601302898E-2</v>
          </cell>
          <cell r="J637">
            <v>9.0186971115179704E-2</v>
          </cell>
        </row>
        <row r="638">
          <cell r="A638" t="str">
            <v>RHNM-SHNGAHP</v>
          </cell>
          <cell r="B638" t="str">
            <v>VAR_cap</v>
          </cell>
          <cell r="C638" t="str">
            <v>-</v>
          </cell>
          <cell r="H638">
            <v>7.8707815733727232E-2</v>
          </cell>
          <cell r="I638">
            <v>9.8787212000112298E-2</v>
          </cell>
          <cell r="J638">
            <v>0.13441425391439232</v>
          </cell>
        </row>
        <row r="639">
          <cell r="A639" t="str">
            <v>D-SCOM_KEV_WOD_ELC_CHP</v>
          </cell>
          <cell r="B639" t="str">
            <v>VAR_fout</v>
          </cell>
          <cell r="C639" t="str">
            <v>ELC5</v>
          </cell>
          <cell r="H639">
            <v>4.4152008320205434E-4</v>
          </cell>
          <cell r="I639">
            <v>3.4248235510666572E-4</v>
          </cell>
          <cell r="J639">
            <v>1.4132214623092411E-4</v>
          </cell>
        </row>
        <row r="640">
          <cell r="A640" t="str">
            <v>D-SCOM_KEV_WOD_ELC_CHP</v>
          </cell>
          <cell r="B640" t="str">
            <v>VAR_fout</v>
          </cell>
          <cell r="C640" t="str">
            <v>SCOM_ELC</v>
          </cell>
          <cell r="H640">
            <v>8.1207706564753041E-4</v>
          </cell>
          <cell r="I640">
            <v>6.3518159219181746E-4</v>
          </cell>
          <cell r="J640">
            <v>2.0569242633143518E-4</v>
          </cell>
        </row>
        <row r="641">
          <cell r="A641" t="str">
            <v>D-SCOM_KEV_WOD_ELC_CHP</v>
          </cell>
          <cell r="B641" t="str">
            <v>VAR_fin</v>
          </cell>
          <cell r="C641" t="str">
            <v>SCOM_KEV_WOD_ELC_CHP</v>
          </cell>
          <cell r="H641">
            <v>1.24948429783998E-3</v>
          </cell>
          <cell r="I641">
            <v>9.7239106900041884E-4</v>
          </cell>
          <cell r="J641">
            <v>3.4273395351983168E-4</v>
          </cell>
        </row>
        <row r="642">
          <cell r="A642" t="str">
            <v>RHES-SHCONBR5</v>
          </cell>
          <cell r="B642" t="str">
            <v>VAR_fout</v>
          </cell>
          <cell r="C642" t="str">
            <v>RHES-SHCON</v>
          </cell>
          <cell r="H642">
            <v>9.7937566447533369E-4</v>
          </cell>
          <cell r="I642">
            <v>1.010537531863778E-3</v>
          </cell>
          <cell r="J642">
            <v>5.8721420543442107E-4</v>
          </cell>
        </row>
        <row r="643">
          <cell r="A643" t="str">
            <v>RHES-SHCONBR5</v>
          </cell>
          <cell r="B643" t="str">
            <v>VAR_fin</v>
          </cell>
          <cell r="C643" t="str">
            <v>CON</v>
          </cell>
          <cell r="H643">
            <v>9.7937566447533369E-4</v>
          </cell>
          <cell r="I643">
            <v>1.010537531863778E-3</v>
          </cell>
          <cell r="J643">
            <v>5.8721420543442107E-4</v>
          </cell>
        </row>
        <row r="644">
          <cell r="A644" t="str">
            <v>RHES-SHCONBR5</v>
          </cell>
          <cell r="B644" t="str">
            <v>VAR_ncap</v>
          </cell>
          <cell r="C644" t="str">
            <v>-</v>
          </cell>
          <cell r="H644">
            <v>1.55828692383274E-8</v>
          </cell>
          <cell r="I644">
            <v>1.8618455311924599E-8</v>
          </cell>
          <cell r="J644">
            <v>2.43859983254447E-8</v>
          </cell>
        </row>
        <row r="645">
          <cell r="A645" t="str">
            <v>RHES-SHCONBR5</v>
          </cell>
          <cell r="B645" t="str">
            <v>VAR_cap</v>
          </cell>
          <cell r="C645" t="str">
            <v>-</v>
          </cell>
          <cell r="H645">
            <v>8.5419909664690027E-5</v>
          </cell>
          <cell r="I645">
            <v>8.5455079832859088E-5</v>
          </cell>
          <cell r="J645">
            <v>4.9459055885510461E-5</v>
          </cell>
        </row>
        <row r="646">
          <cell r="A646" t="str">
            <v>RHNS-SHCONBR</v>
          </cell>
          <cell r="B646" t="str">
            <v>VAR_fout</v>
          </cell>
          <cell r="C646" t="str">
            <v>RHNS-SHCON</v>
          </cell>
          <cell r="H646">
            <v>1.0349396843015311E-3</v>
          </cell>
          <cell r="I646">
            <v>4.8446124883505855E-3</v>
          </cell>
          <cell r="J646">
            <v>6.9843575991948445E-2</v>
          </cell>
        </row>
        <row r="647">
          <cell r="A647" t="str">
            <v>RHNS-SHCONBR</v>
          </cell>
          <cell r="B647" t="str">
            <v>VAR_fin</v>
          </cell>
          <cell r="C647" t="str">
            <v>CON</v>
          </cell>
          <cell r="H647">
            <v>1.0349396843015311E-3</v>
          </cell>
          <cell r="I647">
            <v>4.8446124883505855E-3</v>
          </cell>
          <cell r="J647">
            <v>6.9843575991948445E-2</v>
          </cell>
        </row>
        <row r="648">
          <cell r="A648" t="str">
            <v>RHNS-SHCONBR</v>
          </cell>
          <cell r="B648" t="str">
            <v>VAR_ncap</v>
          </cell>
          <cell r="C648" t="str">
            <v>-</v>
          </cell>
          <cell r="H648">
            <v>3.6621283364800698E-6</v>
          </cell>
          <cell r="I648">
            <v>2.77483830336287E-4</v>
          </cell>
          <cell r="J648">
            <v>4.7298915659020899E-3</v>
          </cell>
        </row>
        <row r="649">
          <cell r="A649" t="str">
            <v>RHNS-SHCONBR</v>
          </cell>
          <cell r="B649" t="str">
            <v>VAR_cap</v>
          </cell>
          <cell r="C649" t="str">
            <v>-</v>
          </cell>
          <cell r="H649">
            <v>7.5694966976113734E-5</v>
          </cell>
          <cell r="I649">
            <v>3.5317278488862416E-4</v>
          </cell>
          <cell r="J649">
            <v>5.0831161985510197E-3</v>
          </cell>
        </row>
        <row r="650">
          <cell r="A650" t="str">
            <v>D-RHEM_SOLELC</v>
          </cell>
          <cell r="B650" t="str">
            <v>VAR_fout</v>
          </cell>
          <cell r="C650" t="str">
            <v>ELC5</v>
          </cell>
          <cell r="H650">
            <v>7.567890729071198E-4</v>
          </cell>
          <cell r="I650">
            <v>5.7850982808449784E-4</v>
          </cell>
          <cell r="J650">
            <v>3.4309601215027903E-4</v>
          </cell>
        </row>
        <row r="651">
          <cell r="A651" t="str">
            <v>D-RHEM_SOLELC</v>
          </cell>
          <cell r="B651" t="str">
            <v>VAR_fout</v>
          </cell>
          <cell r="C651" t="str">
            <v>RHEM_ELC</v>
          </cell>
          <cell r="H651">
            <v>2.0395002846853076</v>
          </cell>
          <cell r="I651">
            <v>2.1438662151266272</v>
          </cell>
          <cell r="J651">
            <v>2.368422293805716</v>
          </cell>
        </row>
        <row r="652">
          <cell r="A652" t="str">
            <v>D-RHEM_SOLELC</v>
          </cell>
          <cell r="B652" t="str">
            <v>VAR_fin</v>
          </cell>
          <cell r="C652" t="str">
            <v>RHEM_SOL_ELC</v>
          </cell>
          <cell r="H652">
            <v>2.0402570737582151</v>
          </cell>
          <cell r="I652">
            <v>2.1444447249547114</v>
          </cell>
          <cell r="J652">
            <v>2.3687653898178644</v>
          </cell>
        </row>
        <row r="653">
          <cell r="A653" t="str">
            <v>ITOT-SWHCONBR7</v>
          </cell>
          <cell r="B653" t="str">
            <v>VAR_fout</v>
          </cell>
          <cell r="C653" t="str">
            <v>ITOT-ELS</v>
          </cell>
          <cell r="J653">
            <v>7.4095012135046157E-4</v>
          </cell>
        </row>
        <row r="654">
          <cell r="A654" t="str">
            <v>ITOT-SWHCONBR7</v>
          </cell>
          <cell r="B654" t="str">
            <v>VAR_fout</v>
          </cell>
          <cell r="C654" t="str">
            <v>ITOT-SWHC</v>
          </cell>
          <cell r="J654">
            <v>1.2920514176621123E-4</v>
          </cell>
        </row>
        <row r="655">
          <cell r="A655" t="str">
            <v>ITOT-SWHCONBR7</v>
          </cell>
          <cell r="B655" t="str">
            <v>VAR_fin</v>
          </cell>
          <cell r="C655" t="str">
            <v>CON</v>
          </cell>
          <cell r="J655">
            <v>8.7015526311667282E-4</v>
          </cell>
        </row>
        <row r="656">
          <cell r="A656" t="str">
            <v>ITOT-SWHCONBR7</v>
          </cell>
          <cell r="B656" t="str">
            <v>VAR_ncap</v>
          </cell>
          <cell r="C656" t="str">
            <v>-</v>
          </cell>
          <cell r="J656">
            <v>4.71137615435811E-5</v>
          </cell>
        </row>
        <row r="657">
          <cell r="A657" t="str">
            <v>ITOT-SWHCONBR7</v>
          </cell>
          <cell r="B657" t="str">
            <v>VAR_cap</v>
          </cell>
          <cell r="C657" t="str">
            <v>-</v>
          </cell>
          <cell r="J657">
            <v>4.71137615435811E-5</v>
          </cell>
        </row>
        <row r="658">
          <cell r="A658" t="str">
            <v>RHNS-SHSTG-ELCHP</v>
          </cell>
          <cell r="B658" t="str">
            <v>VAR_fout</v>
          </cell>
          <cell r="C658" t="str">
            <v>RHNS-SHAELCH</v>
          </cell>
          <cell r="H658">
            <v>0.27908033928482612</v>
          </cell>
          <cell r="I658">
            <v>0.36717280421828186</v>
          </cell>
          <cell r="J658">
            <v>0.50575392157518795</v>
          </cell>
        </row>
        <row r="659">
          <cell r="A659" t="str">
            <v>RHNS-SHSTG-ELCHP</v>
          </cell>
          <cell r="B659" t="str">
            <v>VAR_fout</v>
          </cell>
          <cell r="C659" t="str">
            <v>AUX_RHNS-SHSTG-ELCHP_OUT</v>
          </cell>
          <cell r="H659">
            <v>0.27935941962411093</v>
          </cell>
          <cell r="I659">
            <v>0.36753997702250013</v>
          </cell>
          <cell r="J659">
            <v>0.5062596754967631</v>
          </cell>
        </row>
        <row r="660">
          <cell r="A660" t="str">
            <v>RHNS-SHSTG-ELCHP</v>
          </cell>
          <cell r="B660" t="str">
            <v>VAR_fin</v>
          </cell>
          <cell r="C660" t="str">
            <v>RHNS-SHAELCH</v>
          </cell>
          <cell r="H660">
            <v>0.27908126765451019</v>
          </cell>
          <cell r="I660">
            <v>0.36717499207728183</v>
          </cell>
          <cell r="J660">
            <v>0.50575614389983914</v>
          </cell>
        </row>
        <row r="661">
          <cell r="A661" t="str">
            <v>RHNS-SHSTG-ELCHP</v>
          </cell>
          <cell r="B661" t="str">
            <v>VAR_ncap</v>
          </cell>
          <cell r="C661" t="str">
            <v>-</v>
          </cell>
          <cell r="H661">
            <v>6.9115228898339902E-3</v>
          </cell>
          <cell r="I661">
            <v>2.09270653936636E-2</v>
          </cell>
          <cell r="J661">
            <v>2.8228409678422699E-2</v>
          </cell>
        </row>
        <row r="662">
          <cell r="A662" t="str">
            <v>RHNS-SHSTG-ELCHP</v>
          </cell>
          <cell r="B662" t="str">
            <v>VAR_cap</v>
          </cell>
          <cell r="C662" t="str">
            <v>-</v>
          </cell>
          <cell r="H662">
            <v>3.2706909321579644E-2</v>
          </cell>
          <cell r="I662">
            <v>3.827122516950953E-2</v>
          </cell>
          <cell r="J662">
            <v>4.6312098485561573E-2</v>
          </cell>
        </row>
        <row r="663">
          <cell r="A663" t="str">
            <v>RHNS-SHSOLBR</v>
          </cell>
          <cell r="B663" t="str">
            <v>VAR_fout</v>
          </cell>
          <cell r="C663" t="str">
            <v>RHNS-SHASOL</v>
          </cell>
          <cell r="H663">
            <v>2.8935877078642674E-4</v>
          </cell>
          <cell r="I663">
            <v>3.6814935439577961E-4</v>
          </cell>
          <cell r="J663">
            <v>6.6377317010742347E-4</v>
          </cell>
        </row>
        <row r="664">
          <cell r="A664" t="str">
            <v>RHNS-SHSOLBR</v>
          </cell>
          <cell r="B664" t="str">
            <v>VAR_fin</v>
          </cell>
          <cell r="C664" t="str">
            <v>SOL</v>
          </cell>
          <cell r="H664">
            <v>2.8935877078642674E-4</v>
          </cell>
          <cell r="I664">
            <v>3.6814935439577961E-4</v>
          </cell>
          <cell r="J664">
            <v>6.6377317010742347E-4</v>
          </cell>
        </row>
        <row r="665">
          <cell r="A665" t="str">
            <v>RHNS-SHSOLBR</v>
          </cell>
          <cell r="B665" t="str">
            <v>VAR_ncap</v>
          </cell>
          <cell r="C665" t="str">
            <v>-</v>
          </cell>
          <cell r="H665">
            <v>8.4827993450010901E-5</v>
          </cell>
          <cell r="I665">
            <v>4.4140791500184798E-5</v>
          </cell>
          <cell r="J665">
            <v>1.01304928830501E-4</v>
          </cell>
        </row>
        <row r="666">
          <cell r="A666" t="str">
            <v>RHNS-SHSOLBR</v>
          </cell>
          <cell r="B666" t="str">
            <v>VAR_cap</v>
          </cell>
          <cell r="C666" t="str">
            <v>-</v>
          </cell>
          <cell r="H666">
            <v>3.8680918849689702E-4</v>
          </cell>
          <cell r="I666">
            <v>1.3072983163210861E-4</v>
          </cell>
          <cell r="J666">
            <v>1.690881303564479E-4</v>
          </cell>
        </row>
        <row r="667">
          <cell r="A667" t="str">
            <v>RHES-SHPLTBR</v>
          </cell>
          <cell r="B667" t="str">
            <v>VAR_fout</v>
          </cell>
          <cell r="C667" t="str">
            <v>RHES-SHPLT</v>
          </cell>
          <cell r="H667">
            <v>8.0272782593896932E-2</v>
          </cell>
          <cell r="I667">
            <v>9.4064216779277246E-2</v>
          </cell>
          <cell r="J667">
            <v>0.11799283126883509</v>
          </cell>
        </row>
        <row r="668">
          <cell r="A668" t="str">
            <v>RHES-SHPLTBR</v>
          </cell>
          <cell r="B668" t="str">
            <v>VAR_fin</v>
          </cell>
          <cell r="C668" t="str">
            <v>RPLT</v>
          </cell>
          <cell r="H668">
            <v>0.10770008344594166</v>
          </cell>
          <cell r="I668">
            <v>0.12582823127639531</v>
          </cell>
          <cell r="J668">
            <v>0.15697852289970163</v>
          </cell>
        </row>
        <row r="669">
          <cell r="A669" t="str">
            <v>RHES-SHPLTBR</v>
          </cell>
          <cell r="B669" t="str">
            <v>VAR_ncap</v>
          </cell>
          <cell r="C669" t="str">
            <v>-</v>
          </cell>
          <cell r="H669">
            <v>3.4467148732231999E-3</v>
          </cell>
          <cell r="I669">
            <v>4.1636478331916601E-3</v>
          </cell>
          <cell r="J669">
            <v>5.0594388220720496E-3</v>
          </cell>
        </row>
        <row r="670">
          <cell r="A670" t="str">
            <v>RHES-SHPLTBR</v>
          </cell>
          <cell r="B670" t="str">
            <v>VAR_cap</v>
          </cell>
          <cell r="C670" t="str">
            <v>-</v>
          </cell>
          <cell r="H670">
            <v>6.5016919177309021E-3</v>
          </cell>
          <cell r="I670">
            <v>7.6107505149362684E-3</v>
          </cell>
          <cell r="J670">
            <v>9.5389973689552227E-3</v>
          </cell>
        </row>
        <row r="671">
          <cell r="A671" t="str">
            <v>RHES-SHCONBR6</v>
          </cell>
          <cell r="B671" t="str">
            <v>VAR_fout</v>
          </cell>
          <cell r="C671" t="str">
            <v>RHES-SHCON</v>
          </cell>
          <cell r="H671">
            <v>1.7134905937826964E-4</v>
          </cell>
          <cell r="I671">
            <v>1.819729575744971E-4</v>
          </cell>
          <cell r="J671">
            <v>1.0817179667686053E-4</v>
          </cell>
        </row>
        <row r="672">
          <cell r="A672" t="str">
            <v>RHES-SHCONBR6</v>
          </cell>
          <cell r="B672" t="str">
            <v>VAR_fin</v>
          </cell>
          <cell r="C672" t="str">
            <v>CON</v>
          </cell>
          <cell r="H672">
            <v>1.7134905937826964E-4</v>
          </cell>
          <cell r="I672">
            <v>1.819729575744971E-4</v>
          </cell>
          <cell r="J672">
            <v>1.0817179667686053E-4</v>
          </cell>
        </row>
        <row r="673">
          <cell r="A673" t="str">
            <v>RHES-SHCONBR6</v>
          </cell>
          <cell r="B673" t="str">
            <v>VAR_ncap</v>
          </cell>
          <cell r="C673" t="str">
            <v>-</v>
          </cell>
          <cell r="H673">
            <v>1.40816398427648E-8</v>
          </cell>
          <cell r="I673">
            <v>1.5160197063543801E-8</v>
          </cell>
          <cell r="J673">
            <v>2.10561379716868E-8</v>
          </cell>
        </row>
        <row r="674">
          <cell r="A674" t="str">
            <v>RHES-SHCONBR6</v>
          </cell>
          <cell r="B674" t="str">
            <v>VAR_cap</v>
          </cell>
          <cell r="C674" t="str">
            <v>-</v>
          </cell>
          <cell r="H674">
            <v>1.6059803735237192E-5</v>
          </cell>
          <cell r="I674">
            <v>1.6073043688318002E-5</v>
          </cell>
          <cell r="J674">
            <v>9.3428483265788055E-6</v>
          </cell>
        </row>
        <row r="675">
          <cell r="A675" t="str">
            <v>RHSA-WHPLTBR</v>
          </cell>
          <cell r="B675" t="str">
            <v>VAR_fout</v>
          </cell>
          <cell r="C675" t="str">
            <v>RHSA-WHPLT</v>
          </cell>
          <cell r="H675">
            <v>0.19683917213217331</v>
          </cell>
          <cell r="I675">
            <v>0.23882829147840773</v>
          </cell>
          <cell r="J675">
            <v>0.32388857193487747</v>
          </cell>
        </row>
        <row r="676">
          <cell r="A676" t="str">
            <v>RHSA-WHPLTBR</v>
          </cell>
          <cell r="B676" t="str">
            <v>VAR_fin</v>
          </cell>
          <cell r="C676" t="str">
            <v>RPLT</v>
          </cell>
          <cell r="H676">
            <v>0.42005995382625988</v>
          </cell>
          <cell r="I676">
            <v>0.50362566191698288</v>
          </cell>
          <cell r="J676">
            <v>0.66657763882217358</v>
          </cell>
        </row>
        <row r="677">
          <cell r="A677" t="str">
            <v>RHSA-WHPLTBR</v>
          </cell>
          <cell r="B677" t="str">
            <v>VAR_ncap</v>
          </cell>
          <cell r="C677" t="str">
            <v>-</v>
          </cell>
          <cell r="H677">
            <v>9.8142974034089499E-3</v>
          </cell>
          <cell r="I677">
            <v>6.5165925999669397E-3</v>
          </cell>
          <cell r="J677">
            <v>1.32610188758003E-2</v>
          </cell>
        </row>
        <row r="678">
          <cell r="A678" t="str">
            <v>RHSA-WHPLTBR</v>
          </cell>
          <cell r="B678" t="str">
            <v>VAR_cap</v>
          </cell>
          <cell r="C678" t="str">
            <v>-</v>
          </cell>
          <cell r="H678">
            <v>1.3466176908508376E-2</v>
          </cell>
          <cell r="I678">
            <v>1.633147039343804E-2</v>
          </cell>
          <cell r="J678">
            <v>2.2141585728371896E-2</v>
          </cell>
        </row>
        <row r="679">
          <cell r="A679" t="str">
            <v>ITOT-SWHCONBR8</v>
          </cell>
          <cell r="B679" t="str">
            <v>VAR_fout</v>
          </cell>
          <cell r="C679" t="str">
            <v>ITOT-ELS</v>
          </cell>
          <cell r="J679">
            <v>5.4133648385606258E-5</v>
          </cell>
        </row>
        <row r="680">
          <cell r="A680" t="str">
            <v>ITOT-SWHCONBR8</v>
          </cell>
          <cell r="B680" t="str">
            <v>VAR_fout</v>
          </cell>
          <cell r="C680" t="str">
            <v>ITOT-SWHC</v>
          </cell>
          <cell r="J680">
            <v>2.0901113880323856E-4</v>
          </cell>
        </row>
        <row r="681">
          <cell r="A681" t="str">
            <v>ITOT-SWHCONBR8</v>
          </cell>
          <cell r="B681" t="str">
            <v>VAR_fin</v>
          </cell>
          <cell r="C681" t="str">
            <v>CON</v>
          </cell>
          <cell r="J681">
            <v>2.6314478718884459E-4</v>
          </cell>
        </row>
        <row r="682">
          <cell r="A682" t="str">
            <v>ITOT-SWHCONBR8</v>
          </cell>
          <cell r="B682" t="str">
            <v>VAR_ncap</v>
          </cell>
          <cell r="C682" t="str">
            <v>-</v>
          </cell>
          <cell r="J682">
            <v>1.3841147580417E-5</v>
          </cell>
        </row>
        <row r="683">
          <cell r="A683" t="str">
            <v>ITOT-SWHCONBR8</v>
          </cell>
          <cell r="B683" t="str">
            <v>VAR_cap</v>
          </cell>
          <cell r="C683" t="str">
            <v>-</v>
          </cell>
          <cell r="J683">
            <v>1.3841147580417E-5</v>
          </cell>
        </row>
        <row r="684">
          <cell r="A684" t="str">
            <v>SCOM-ELCSPECADV</v>
          </cell>
          <cell r="B684" t="str">
            <v>VAR_ncap</v>
          </cell>
          <cell r="C684" t="str">
            <v>-</v>
          </cell>
          <cell r="H684">
            <v>6.6525672680955499E-8</v>
          </cell>
          <cell r="I684">
            <v>4.9959282349933697E-8</v>
          </cell>
          <cell r="J684">
            <v>4.0217764374621703E-8</v>
          </cell>
        </row>
        <row r="685">
          <cell r="A685" t="str">
            <v>SCOM-ELCSPECADV</v>
          </cell>
          <cell r="B685" t="str">
            <v>VAR_cap</v>
          </cell>
          <cell r="C685" t="str">
            <v>-</v>
          </cell>
          <cell r="H685">
            <v>4.059009488145301E-8</v>
          </cell>
          <cell r="I685">
            <v>-3.8092117516209879E-9</v>
          </cell>
          <cell r="J685">
            <v>9.1530334516780062E-9</v>
          </cell>
        </row>
        <row r="686">
          <cell r="A686" t="str">
            <v>RHSA-WHLTHRD</v>
          </cell>
          <cell r="B686" t="str">
            <v>VAR_fout</v>
          </cell>
          <cell r="C686" t="str">
            <v>RHSA-WHLTHRD</v>
          </cell>
          <cell r="H686">
            <v>1.3067806801330086</v>
          </cell>
          <cell r="I686">
            <v>1.4175640195823198</v>
          </cell>
          <cell r="J686">
            <v>1.6477627306311842</v>
          </cell>
        </row>
        <row r="687">
          <cell r="A687" t="str">
            <v>RHSA-WHLTHRD</v>
          </cell>
          <cell r="B687" t="str">
            <v>VAR_fin</v>
          </cell>
          <cell r="C687" t="str">
            <v>RHSA_LTH</v>
          </cell>
          <cell r="H687">
            <v>2.3203524182147861</v>
          </cell>
          <cell r="I687">
            <v>2.4850141598633821</v>
          </cell>
          <cell r="J687">
            <v>2.808205327963571</v>
          </cell>
        </row>
        <row r="688">
          <cell r="A688" t="str">
            <v>RHSA-WHLTHRD</v>
          </cell>
          <cell r="B688" t="str">
            <v>VAR_ncap</v>
          </cell>
          <cell r="C688" t="str">
            <v>-</v>
          </cell>
          <cell r="H688">
            <v>3.0089605248949901E-2</v>
          </cell>
          <cell r="I688">
            <v>4.9497845117988902E-2</v>
          </cell>
          <cell r="J688">
            <v>5.97455796207427E-2</v>
          </cell>
        </row>
        <row r="689">
          <cell r="A689" t="str">
            <v>RHSA-WHLTHRD</v>
          </cell>
          <cell r="B689" t="str">
            <v>VAR_cap</v>
          </cell>
          <cell r="C689" t="str">
            <v>-</v>
          </cell>
          <cell r="H689">
            <v>0.11654810557696998</v>
          </cell>
          <cell r="I689">
            <v>0.13662158119909099</v>
          </cell>
          <cell r="J689">
            <v>0.16218723104013799</v>
          </cell>
        </row>
        <row r="690">
          <cell r="A690" t="str">
            <v>RHES-SHCONBR7</v>
          </cell>
          <cell r="B690" t="str">
            <v>VAR_fout</v>
          </cell>
          <cell r="C690" t="str">
            <v>RHES-SHCON</v>
          </cell>
          <cell r="H690">
            <v>1.6178391448291635E-4</v>
          </cell>
          <cell r="I690">
            <v>1.7188262777572828E-4</v>
          </cell>
          <cell r="J690">
            <v>1.0232244529466953E-4</v>
          </cell>
        </row>
        <row r="691">
          <cell r="A691" t="str">
            <v>RHES-SHCONBR7</v>
          </cell>
          <cell r="B691" t="str">
            <v>VAR_fin</v>
          </cell>
          <cell r="C691" t="str">
            <v>CON</v>
          </cell>
          <cell r="H691">
            <v>1.6178391448291635E-4</v>
          </cell>
          <cell r="I691">
            <v>1.7188262777572828E-4</v>
          </cell>
          <cell r="J691">
            <v>1.0232244529466953E-4</v>
          </cell>
        </row>
        <row r="692">
          <cell r="A692" t="str">
            <v>RHES-SHCONBR7</v>
          </cell>
          <cell r="B692" t="str">
            <v>VAR_ncap</v>
          </cell>
          <cell r="C692" t="str">
            <v>-</v>
          </cell>
          <cell r="H692">
            <v>1.40311787798796E-8</v>
          </cell>
          <cell r="I692">
            <v>1.49011129604603E-8</v>
          </cell>
          <cell r="J692">
            <v>2.08706923635673E-8</v>
          </cell>
        </row>
        <row r="693">
          <cell r="A693" t="str">
            <v>RHES-SHCONBR7</v>
          </cell>
          <cell r="B693" t="str">
            <v>VAR_cap</v>
          </cell>
          <cell r="C693" t="str">
            <v>-</v>
          </cell>
          <cell r="H693">
            <v>1.5158982289208425E-5</v>
          </cell>
          <cell r="I693">
            <v>1.5171573301605851E-5</v>
          </cell>
          <cell r="J693">
            <v>8.8213317431107049E-6</v>
          </cell>
        </row>
        <row r="694">
          <cell r="A694" t="str">
            <v>ITOT-SWHCONBR9</v>
          </cell>
          <cell r="B694" t="str">
            <v>VAR_fout</v>
          </cell>
          <cell r="C694" t="str">
            <v>ITOT-ELS</v>
          </cell>
          <cell r="J694">
            <v>2.4657961665981688E-5</v>
          </cell>
        </row>
        <row r="695">
          <cell r="A695" t="str">
            <v>ITOT-SWHCONBR9</v>
          </cell>
          <cell r="B695" t="str">
            <v>VAR_fout</v>
          </cell>
          <cell r="C695" t="str">
            <v>ITOT-SWHC</v>
          </cell>
          <cell r="J695">
            <v>1.4311466249823608E-4</v>
          </cell>
        </row>
        <row r="696">
          <cell r="A696" t="str">
            <v>ITOT-SWHCONBR9</v>
          </cell>
          <cell r="B696" t="str">
            <v>VAR_fin</v>
          </cell>
          <cell r="C696" t="str">
            <v>CON</v>
          </cell>
          <cell r="J696">
            <v>1.6777262416421763E-4</v>
          </cell>
        </row>
        <row r="697">
          <cell r="A697" t="str">
            <v>ITOT-SWHCONBR9</v>
          </cell>
          <cell r="B697" t="str">
            <v>VAR_ncap</v>
          </cell>
          <cell r="C697" t="str">
            <v>-</v>
          </cell>
          <cell r="J697">
            <v>8.6513746223053303E-6</v>
          </cell>
        </row>
        <row r="698">
          <cell r="A698" t="str">
            <v>ITOT-SWHCONBR9</v>
          </cell>
          <cell r="B698" t="str">
            <v>VAR_cap</v>
          </cell>
          <cell r="C698" t="str">
            <v>-</v>
          </cell>
          <cell r="J698">
            <v>8.6513746223053303E-6</v>
          </cell>
        </row>
        <row r="699">
          <cell r="A699" t="str">
            <v>SCOM-SHPLTBR</v>
          </cell>
          <cell r="B699" t="str">
            <v>VAR_fout</v>
          </cell>
          <cell r="C699" t="str">
            <v>SCOM-SHPLT</v>
          </cell>
          <cell r="H699">
            <v>0.96352869344663417</v>
          </cell>
          <cell r="I699">
            <v>1.0813122182488355</v>
          </cell>
          <cell r="J699">
            <v>1.3684071323422442</v>
          </cell>
        </row>
        <row r="700">
          <cell r="A700" t="str">
            <v>SCOM-SHPLTBR</v>
          </cell>
          <cell r="B700" t="str">
            <v>VAR_fin</v>
          </cell>
          <cell r="C700" t="str">
            <v>SCOMPLTBRC</v>
          </cell>
          <cell r="H700">
            <v>0.96352869344663417</v>
          </cell>
          <cell r="I700">
            <v>1.0813122182488355</v>
          </cell>
          <cell r="J700">
            <v>1.3684071323422442</v>
          </cell>
        </row>
        <row r="701">
          <cell r="A701" t="str">
            <v>SCOM-SHPLTBR</v>
          </cell>
          <cell r="B701" t="str">
            <v>VAR_fin</v>
          </cell>
          <cell r="C701" t="str">
            <v>SPLT</v>
          </cell>
          <cell r="H701">
            <v>1.4352269518453395</v>
          </cell>
          <cell r="I701">
            <v>1.6106717418440355</v>
          </cell>
          <cell r="J701">
            <v>2.0383148014094492</v>
          </cell>
        </row>
        <row r="702">
          <cell r="A702" t="str">
            <v>SCOM-SHPLTBR</v>
          </cell>
          <cell r="B702" t="str">
            <v>VAR_ncap</v>
          </cell>
          <cell r="C702" t="str">
            <v>-</v>
          </cell>
          <cell r="H702">
            <v>5.50351665075322E-2</v>
          </cell>
          <cell r="I702">
            <v>3.4978655016611897E-2</v>
          </cell>
          <cell r="J702">
            <v>6.6298130789665802E-2</v>
          </cell>
        </row>
        <row r="703">
          <cell r="A703" t="str">
            <v>SCOM-SHPLTBR</v>
          </cell>
          <cell r="B703" t="str">
            <v>VAR_cap</v>
          </cell>
          <cell r="C703" t="str">
            <v>-</v>
          </cell>
          <cell r="H703">
            <v>7.9787176600415191E-2</v>
          </cell>
          <cell r="I703">
            <v>9.0014649543711633E-2</v>
          </cell>
          <cell r="J703">
            <v>0.11496256234122267</v>
          </cell>
        </row>
        <row r="704">
          <cell r="A704" t="str">
            <v>ITOT-SWHELCHP</v>
          </cell>
          <cell r="B704" t="str">
            <v>VAR_fout</v>
          </cell>
          <cell r="C704" t="str">
            <v>ITOT-SWHAELCH</v>
          </cell>
          <cell r="H704">
            <v>6.253637510385806</v>
          </cell>
          <cell r="I704">
            <v>6.2537598100384857</v>
          </cell>
          <cell r="J704">
            <v>13.042334086066006</v>
          </cell>
        </row>
        <row r="705">
          <cell r="A705" t="str">
            <v>ITOT-SWHELCHP</v>
          </cell>
          <cell r="B705" t="str">
            <v>VAR_fin</v>
          </cell>
          <cell r="C705" t="str">
            <v>ITOT_ELC</v>
          </cell>
          <cell r="H705">
            <v>1.915262256590712</v>
          </cell>
          <cell r="I705">
            <v>1.8799518776605844</v>
          </cell>
          <cell r="J705">
            <v>3.7811104623690079</v>
          </cell>
        </row>
        <row r="706">
          <cell r="A706" t="str">
            <v>ITOT-SWHELCHP</v>
          </cell>
          <cell r="B706" t="str">
            <v>VAR_fin</v>
          </cell>
          <cell r="C706" t="str">
            <v>ITOTELCHPC</v>
          </cell>
          <cell r="H706">
            <v>6.253637510385806</v>
          </cell>
          <cell r="I706">
            <v>6.2537598100384857</v>
          </cell>
          <cell r="J706">
            <v>13.042334086066006</v>
          </cell>
        </row>
        <row r="707">
          <cell r="A707" t="str">
            <v>ITOT-SWHELCHP</v>
          </cell>
          <cell r="B707" t="str">
            <v>VAR_ncap</v>
          </cell>
          <cell r="C707" t="str">
            <v>-</v>
          </cell>
          <cell r="H707">
            <v>0.18481398660866699</v>
          </cell>
          <cell r="I707">
            <v>6.8040729841711597E-2</v>
          </cell>
          <cell r="J707">
            <v>0.60009506535436696</v>
          </cell>
        </row>
        <row r="708">
          <cell r="A708" t="str">
            <v>ITOT-SWHELCHP</v>
          </cell>
          <cell r="B708" t="str">
            <v>VAR_cap</v>
          </cell>
          <cell r="C708" t="str">
            <v>-</v>
          </cell>
          <cell r="H708">
            <v>0.34019086106638174</v>
          </cell>
          <cell r="I708">
            <v>0.34267504742257826</v>
          </cell>
          <cell r="J708">
            <v>0.72764893379550155</v>
          </cell>
        </row>
        <row r="709">
          <cell r="A709" t="str">
            <v>RHES-SHCONBR8</v>
          </cell>
          <cell r="B709" t="str">
            <v>VAR_fout</v>
          </cell>
          <cell r="C709" t="str">
            <v>RHES-SHCON</v>
          </cell>
          <cell r="H709">
            <v>3.3418466616271728E-5</v>
          </cell>
          <cell r="I709">
            <v>3.3639045324705612E-5</v>
          </cell>
          <cell r="J709">
            <v>2.1770949773478652E-5</v>
          </cell>
        </row>
        <row r="710">
          <cell r="A710" t="str">
            <v>RHES-SHCONBR8</v>
          </cell>
          <cell r="B710" t="str">
            <v>VAR_fin</v>
          </cell>
          <cell r="C710" t="str">
            <v>CON</v>
          </cell>
          <cell r="H710">
            <v>3.3418466616271728E-5</v>
          </cell>
          <cell r="I710">
            <v>3.3639045324705612E-5</v>
          </cell>
          <cell r="J710">
            <v>2.1770949773478652E-5</v>
          </cell>
        </row>
        <row r="711">
          <cell r="A711" t="str">
            <v>RHES-SHCONBR8</v>
          </cell>
          <cell r="B711" t="str">
            <v>VAR_ncap</v>
          </cell>
          <cell r="C711" t="str">
            <v>-</v>
          </cell>
          <cell r="J711">
            <v>1.13808979397191E-8</v>
          </cell>
        </row>
        <row r="712">
          <cell r="A712" t="str">
            <v>RHES-SHCONBR8</v>
          </cell>
          <cell r="B712" t="str">
            <v>VAR_cap</v>
          </cell>
          <cell r="C712" t="str">
            <v>-</v>
          </cell>
          <cell r="H712">
            <v>1.85039457136626E-6</v>
          </cell>
          <cell r="I712">
            <v>1.85039457136626E-6</v>
          </cell>
          <cell r="J712">
            <v>1.09597732904198E-6</v>
          </cell>
        </row>
        <row r="713">
          <cell r="A713" t="str">
            <v>RHEM-SHWODBR</v>
          </cell>
          <cell r="B713" t="str">
            <v>VAR_fout</v>
          </cell>
          <cell r="C713" t="str">
            <v>RHEM-SHWOD</v>
          </cell>
          <cell r="H713">
            <v>4.8131416047414124</v>
          </cell>
          <cell r="I713">
            <v>4.4679409540004418</v>
          </cell>
          <cell r="J713">
            <v>3.7141642650310986</v>
          </cell>
        </row>
        <row r="714">
          <cell r="A714" t="str">
            <v>RHEM-SHWODBR</v>
          </cell>
          <cell r="B714" t="str">
            <v>VAR_fin</v>
          </cell>
          <cell r="C714" t="str">
            <v>RHEMWODBRC</v>
          </cell>
          <cell r="H714">
            <v>4.8131416047414124</v>
          </cell>
          <cell r="I714">
            <v>4.4679409540004418</v>
          </cell>
          <cell r="J714">
            <v>3.7141642650310986</v>
          </cell>
        </row>
        <row r="715">
          <cell r="A715" t="str">
            <v>RHEM-SHWODBR</v>
          </cell>
          <cell r="B715" t="str">
            <v>VAR_fin</v>
          </cell>
          <cell r="C715" t="str">
            <v>RWOD</v>
          </cell>
          <cell r="H715">
            <v>6.5438072014144666</v>
          </cell>
          <cell r="I715">
            <v>6.0562080275250167</v>
          </cell>
          <cell r="J715">
            <v>4.9750935434568655</v>
          </cell>
        </row>
        <row r="716">
          <cell r="A716" t="str">
            <v>RHEM-SHWODBR</v>
          </cell>
          <cell r="B716" t="str">
            <v>VAR_ncap</v>
          </cell>
          <cell r="C716" t="str">
            <v>-</v>
          </cell>
          <cell r="H716">
            <v>0.25302388751432903</v>
          </cell>
          <cell r="I716">
            <v>6.2503355323125606E-2</v>
          </cell>
          <cell r="J716">
            <v>0.10989996256745301</v>
          </cell>
        </row>
        <row r="717">
          <cell r="A717" t="str">
            <v>RHEM-SHWODBR</v>
          </cell>
          <cell r="B717" t="str">
            <v>VAR_cap</v>
          </cell>
          <cell r="C717" t="str">
            <v>-</v>
          </cell>
          <cell r="H717">
            <v>0.33991936591953448</v>
          </cell>
          <cell r="I717">
            <v>0.31552741591104966</v>
          </cell>
          <cell r="J717">
            <v>0.26228832628874871</v>
          </cell>
        </row>
        <row r="718">
          <cell r="A718" t="str">
            <v>RHES-SHCONBR9</v>
          </cell>
          <cell r="B718" t="str">
            <v>VAR_fout</v>
          </cell>
          <cell r="C718" t="str">
            <v>RHES-SHCON</v>
          </cell>
          <cell r="H718">
            <v>1.7422691660152414E-5</v>
          </cell>
          <cell r="I718">
            <v>1.6832280005417003E-5</v>
          </cell>
          <cell r="J718">
            <v>1.2020036696323879E-5</v>
          </cell>
        </row>
        <row r="719">
          <cell r="A719" t="str">
            <v>RHES-SHCONBR9</v>
          </cell>
          <cell r="B719" t="str">
            <v>VAR_fin</v>
          </cell>
          <cell r="C719" t="str">
            <v>CON</v>
          </cell>
          <cell r="H719">
            <v>1.7422691660152414E-5</v>
          </cell>
          <cell r="I719">
            <v>1.6832280005417003E-5</v>
          </cell>
          <cell r="J719">
            <v>1.2020036696323879E-5</v>
          </cell>
        </row>
        <row r="720">
          <cell r="A720" t="str">
            <v>D-RHNS_LTH_CHPNGA</v>
          </cell>
          <cell r="B720" t="str">
            <v>VAR_fout</v>
          </cell>
          <cell r="C720" t="str">
            <v>RHSA_LTH</v>
          </cell>
          <cell r="H720">
            <v>2.4710902079107529E-3</v>
          </cell>
          <cell r="I720">
            <v>2.5297407950309534E-4</v>
          </cell>
          <cell r="J720">
            <v>9.4415881942376751E-4</v>
          </cell>
        </row>
        <row r="721">
          <cell r="A721" t="str">
            <v>D-RHNS_LTH_CHPNGA</v>
          </cell>
          <cell r="B721" t="str">
            <v>VAR_fout</v>
          </cell>
          <cell r="C721" t="str">
            <v>LTH</v>
          </cell>
          <cell r="H721">
            <v>1.4500648416335238E-6</v>
          </cell>
          <cell r="I721">
            <v>1.0108617872987389E-6</v>
          </cell>
          <cell r="J721">
            <v>3.3426871324873666E-7</v>
          </cell>
        </row>
        <row r="722">
          <cell r="A722" t="str">
            <v>D-RHNS_LTH_CHPNGA</v>
          </cell>
          <cell r="B722" t="str">
            <v>VAR_fout</v>
          </cell>
          <cell r="C722" t="str">
            <v>RHNS_LTH_CHPNGA_ON</v>
          </cell>
          <cell r="H722">
            <v>3.1391383647224116E-4</v>
          </cell>
          <cell r="I722">
            <v>1.5274567085341452E-3</v>
          </cell>
        </row>
        <row r="723">
          <cell r="A723" t="str">
            <v>D-RHNS_LTH_CHPNGA</v>
          </cell>
          <cell r="B723" t="str">
            <v>VAR_fin</v>
          </cell>
          <cell r="C723" t="str">
            <v>RHNS_LTH_CHPNGA</v>
          </cell>
          <cell r="H723">
            <v>2.7876841422151909E-3</v>
          </cell>
          <cell r="I723">
            <v>1.7827448665980444E-3</v>
          </cell>
          <cell r="J723">
            <v>9.4603442173176399E-4</v>
          </cell>
        </row>
        <row r="724">
          <cell r="A724" t="str">
            <v>D-SLFO</v>
          </cell>
          <cell r="B724" t="str">
            <v>VAR_fout</v>
          </cell>
          <cell r="C724" t="str">
            <v>CO2</v>
          </cell>
          <cell r="H724">
            <v>1130.77525983033</v>
          </cell>
          <cell r="I724">
            <v>909.92246796191898</v>
          </cell>
          <cell r="J724">
            <v>433.06208736555402</v>
          </cell>
        </row>
        <row r="725">
          <cell r="A725" t="str">
            <v>D-SLFO</v>
          </cell>
          <cell r="B725" t="str">
            <v>VAR_fout</v>
          </cell>
          <cell r="C725" t="str">
            <v>SLFO</v>
          </cell>
          <cell r="H725">
            <v>15.086981368198499</v>
          </cell>
          <cell r="I725">
            <v>12.140294950949196</v>
          </cell>
          <cell r="J725">
            <v>5.7780062930266558</v>
          </cell>
        </row>
        <row r="726">
          <cell r="A726" t="str">
            <v>D-SLFO</v>
          </cell>
          <cell r="B726" t="str">
            <v>VAR_fin</v>
          </cell>
          <cell r="C726" t="str">
            <v>LFO</v>
          </cell>
          <cell r="H726">
            <v>15.342947894577049</v>
          </cell>
          <cell r="I726">
            <v>12.34630214330962</v>
          </cell>
          <cell r="J726">
            <v>5.8760120402381757</v>
          </cell>
        </row>
        <row r="727">
          <cell r="A727" t="str">
            <v>D-SLFO</v>
          </cell>
          <cell r="B727" t="str">
            <v>VAR_fin</v>
          </cell>
          <cell r="C727" t="str">
            <v>BDS</v>
          </cell>
          <cell r="H727">
            <v>2.8335022185394573E-4</v>
          </cell>
          <cell r="I727">
            <v>1.9367637793888106E-4</v>
          </cell>
          <cell r="J727">
            <v>1.326383289646197E-4</v>
          </cell>
        </row>
        <row r="728">
          <cell r="A728" t="str">
            <v>D-RCOA</v>
          </cell>
          <cell r="B728" t="str">
            <v>VAR_fout</v>
          </cell>
          <cell r="C728" t="str">
            <v>CO2</v>
          </cell>
          <cell r="H728">
            <v>0.120771358129107</v>
          </cell>
        </row>
        <row r="729">
          <cell r="A729" t="str">
            <v>D-RCOA</v>
          </cell>
          <cell r="B729" t="str">
            <v>VAR_fout</v>
          </cell>
          <cell r="C729" t="str">
            <v>RCOA</v>
          </cell>
          <cell r="H729">
            <v>1.3028193972934993E-3</v>
          </cell>
        </row>
        <row r="730">
          <cell r="A730" t="str">
            <v>D-RCOA</v>
          </cell>
          <cell r="B730" t="str">
            <v>VAR_fin</v>
          </cell>
          <cell r="C730" t="str">
            <v>COA</v>
          </cell>
          <cell r="H730">
            <v>1.3028193972934993E-3</v>
          </cell>
        </row>
        <row r="731">
          <cell r="A731" t="str">
            <v>SCOM-ELCSPECDC</v>
          </cell>
          <cell r="B731" t="str">
            <v>VAR_fout</v>
          </cell>
          <cell r="C731" t="str">
            <v>SCOM-ELSDC</v>
          </cell>
          <cell r="H731">
            <v>14.899648223985468</v>
          </cell>
          <cell r="I731">
            <v>15.634211432487488</v>
          </cell>
          <cell r="J731">
            <v>16.899531980738132</v>
          </cell>
        </row>
        <row r="732">
          <cell r="A732" t="str">
            <v>SCOM-ELCSPECDC</v>
          </cell>
          <cell r="B732" t="str">
            <v>VAR_fin</v>
          </cell>
          <cell r="C732" t="str">
            <v>SCOM_ELC</v>
          </cell>
          <cell r="H732">
            <v>14.899648223985468</v>
          </cell>
          <cell r="I732">
            <v>15.634211432487488</v>
          </cell>
          <cell r="J732">
            <v>16.899531980738132</v>
          </cell>
        </row>
        <row r="733">
          <cell r="A733" t="str">
            <v>D-RHEM_KEV_WOD_ELC_CHP</v>
          </cell>
          <cell r="B733" t="str">
            <v>VAR_fout</v>
          </cell>
          <cell r="C733" t="str">
            <v>ELC5</v>
          </cell>
          <cell r="H733">
            <v>4.4693492534854227E-4</v>
          </cell>
          <cell r="I733">
            <v>3.0142298929589361E-4</v>
          </cell>
          <cell r="J733">
            <v>1.9341670174428816E-4</v>
          </cell>
        </row>
        <row r="734">
          <cell r="A734" t="str">
            <v>D-RHEM_KEV_WOD_ELC_CHP</v>
          </cell>
          <cell r="B734" t="str">
            <v>VAR_fout</v>
          </cell>
          <cell r="C734" t="str">
            <v>RHEM_ELC</v>
          </cell>
          <cell r="H734">
            <v>6.9926518574930908E-4</v>
          </cell>
          <cell r="I734">
            <v>4.3515993403600361E-4</v>
          </cell>
          <cell r="J734">
            <v>2.9281350818488193E-4</v>
          </cell>
        </row>
        <row r="735">
          <cell r="A735" t="str">
            <v>D-RHEM_KEV_WOD_ELC_CHP</v>
          </cell>
          <cell r="B735" t="str">
            <v>VAR_fin</v>
          </cell>
          <cell r="C735" t="str">
            <v>RHEM_KEV_WOD_ELC_CHP</v>
          </cell>
          <cell r="H735">
            <v>1.1421937737969234E-3</v>
          </cell>
          <cell r="I735">
            <v>7.3338497559237762E-4</v>
          </cell>
          <cell r="J735">
            <v>4.8343395645270964E-4</v>
          </cell>
        </row>
        <row r="736">
          <cell r="A736" t="str">
            <v>RHES-SHSTG-SOL</v>
          </cell>
          <cell r="B736" t="str">
            <v>VAR_fout</v>
          </cell>
          <cell r="C736" t="str">
            <v>AUX_RHES-SHSTG-SOL_OUT</v>
          </cell>
          <cell r="H736">
            <v>9.1833996242916983E-3</v>
          </cell>
          <cell r="I736">
            <v>3.9991421373420117E-3</v>
          </cell>
          <cell r="J736">
            <v>3.5308280705730445E-3</v>
          </cell>
        </row>
        <row r="737">
          <cell r="A737" t="str">
            <v>RHES-SHSTG-SOL</v>
          </cell>
          <cell r="B737" t="str">
            <v>VAR_fout</v>
          </cell>
          <cell r="C737" t="str">
            <v>RHES-SHASOL</v>
          </cell>
          <cell r="H737">
            <v>9.1742253988928001E-3</v>
          </cell>
          <cell r="I737">
            <v>3.9951469903516598E-3</v>
          </cell>
          <cell r="J737">
            <v>3.527300769803246E-3</v>
          </cell>
        </row>
        <row r="738">
          <cell r="A738" t="str">
            <v>RHES-SHSTG-SOL</v>
          </cell>
          <cell r="B738" t="str">
            <v>VAR_fin</v>
          </cell>
          <cell r="C738" t="str">
            <v>RHES-SHASOL</v>
          </cell>
          <cell r="H738">
            <v>9.176057220298588E-3</v>
          </cell>
          <cell r="I738">
            <v>3.9966374486184062E-3</v>
          </cell>
          <cell r="J738">
            <v>3.5291591338278954E-3</v>
          </cell>
        </row>
        <row r="739">
          <cell r="A739" t="str">
            <v>RHES-SHSTG-SOL</v>
          </cell>
          <cell r="B739" t="str">
            <v>VAR_ncap</v>
          </cell>
          <cell r="C739" t="str">
            <v>-</v>
          </cell>
          <cell r="H739">
            <v>3.2491049774662899E-4</v>
          </cell>
          <cell r="I739">
            <v>3.4374974111074099E-4</v>
          </cell>
          <cell r="J739">
            <v>3.0407344605676002E-4</v>
          </cell>
        </row>
        <row r="740">
          <cell r="A740" t="str">
            <v>RHES-SHSTG-SOL</v>
          </cell>
          <cell r="B740" t="str">
            <v>VAR_cap</v>
          </cell>
          <cell r="C740" t="str">
            <v>-</v>
          </cell>
          <cell r="H740">
            <v>3.2576513848207099E-3</v>
          </cell>
          <cell r="I740">
            <v>6.6882344884282698E-4</v>
          </cell>
          <cell r="J740">
            <v>6.9097955971657104E-4</v>
          </cell>
        </row>
        <row r="741">
          <cell r="A741" t="str">
            <v>D-ITOT_LTH</v>
          </cell>
          <cell r="B741" t="str">
            <v>VAR_fout</v>
          </cell>
          <cell r="C741" t="str">
            <v>ITOT_LTH_DH</v>
          </cell>
          <cell r="H741">
            <v>7.6300598528357195</v>
          </cell>
          <cell r="I741">
            <v>7.6363517871934734</v>
          </cell>
          <cell r="J741">
            <v>9.0012012639766841</v>
          </cell>
        </row>
        <row r="742">
          <cell r="A742" t="str">
            <v>D-ITOT_LTH</v>
          </cell>
          <cell r="B742" t="str">
            <v>VAR_fin</v>
          </cell>
          <cell r="C742" t="str">
            <v>LTH</v>
          </cell>
          <cell r="H742">
            <v>8.278512926505325</v>
          </cell>
          <cell r="I742">
            <v>8.2799087183292599</v>
          </cell>
          <cell r="J742">
            <v>9.7470035615318817</v>
          </cell>
        </row>
        <row r="743">
          <cell r="A743" t="str">
            <v>D-ITOT_LTH</v>
          </cell>
          <cell r="B743" t="str">
            <v>VAR_ncap</v>
          </cell>
          <cell r="C743" t="str">
            <v>-</v>
          </cell>
          <cell r="H743">
            <v>5.32582068374615E-8</v>
          </cell>
          <cell r="I743">
            <v>4.69455926439518E-8</v>
          </cell>
          <cell r="J743">
            <v>7.4477297431178103E-8</v>
          </cell>
        </row>
        <row r="744">
          <cell r="A744" t="str">
            <v>D-ITOT_LTH</v>
          </cell>
          <cell r="B744" t="str">
            <v>VAR_cap</v>
          </cell>
          <cell r="C744" t="str">
            <v>-</v>
          </cell>
          <cell r="H744">
            <v>0.79547263447861605</v>
          </cell>
          <cell r="I744">
            <v>0.79547268142420902</v>
          </cell>
          <cell r="J744">
            <v>0.79547275590150601</v>
          </cell>
        </row>
        <row r="745">
          <cell r="A745" t="str">
            <v>D-IH2</v>
          </cell>
          <cell r="B745" t="str">
            <v>VAR_fout</v>
          </cell>
          <cell r="C745" t="str">
            <v>IH2</v>
          </cell>
          <cell r="H745">
            <v>1.3180253301679451E-3</v>
          </cell>
          <cell r="I745">
            <v>9.566501283378966E-4</v>
          </cell>
          <cell r="J745">
            <v>6.6985366387587106E-3</v>
          </cell>
        </row>
        <row r="746">
          <cell r="A746" t="str">
            <v>D-IH2</v>
          </cell>
          <cell r="B746" t="str">
            <v>VAR_fin</v>
          </cell>
          <cell r="C746" t="str">
            <v>H2</v>
          </cell>
          <cell r="H746">
            <v>1.3280665585511803E-3</v>
          </cell>
          <cell r="I746">
            <v>9.6393826021338135E-4</v>
          </cell>
          <cell r="J746">
            <v>6.7495686900279298E-3</v>
          </cell>
        </row>
        <row r="747">
          <cell r="A747" t="str">
            <v>D-IH2</v>
          </cell>
          <cell r="B747" t="str">
            <v>VAR_ncap</v>
          </cell>
          <cell r="C747" t="str">
            <v>-</v>
          </cell>
          <cell r="H747">
            <v>9.9393257595830397E-5</v>
          </cell>
          <cell r="I747">
            <v>4.88453241627337E-6</v>
          </cell>
          <cell r="J747">
            <v>9.5832406950809999E-4</v>
          </cell>
        </row>
        <row r="748">
          <cell r="A748" t="str">
            <v>D-IH2</v>
          </cell>
          <cell r="B748" t="str">
            <v>VAR_cap</v>
          </cell>
          <cell r="C748" t="str">
            <v>-</v>
          </cell>
          <cell r="H748">
            <v>2.3682634694398099E-4</v>
          </cell>
          <cell r="I748">
            <v>2.4171087936025401E-4</v>
          </cell>
          <cell r="J748">
            <v>1.20003494886835E-3</v>
          </cell>
        </row>
        <row r="749">
          <cell r="A749" t="str">
            <v>D-RHNM_LTH_CHPWOD</v>
          </cell>
          <cell r="B749" t="str">
            <v>VAR_fout</v>
          </cell>
          <cell r="C749" t="str">
            <v>RHNM_LTH_CHPWOD_ON</v>
          </cell>
          <cell r="H749">
            <v>1.1558062267404733E-3</v>
          </cell>
          <cell r="I749">
            <v>4.095750262606309E-4</v>
          </cell>
        </row>
        <row r="750">
          <cell r="A750" t="str">
            <v>D-RHNM_LTH_CHPWOD</v>
          </cell>
          <cell r="B750" t="str">
            <v>VAR_fout</v>
          </cell>
          <cell r="C750" t="str">
            <v>RHSA_LTH</v>
          </cell>
          <cell r="H750">
            <v>1.0911660094106907E-3</v>
          </cell>
          <cell r="I750">
            <v>7.0572756617581832E-4</v>
          </cell>
          <cell r="J750">
            <v>7.038452470886471E-4</v>
          </cell>
        </row>
        <row r="751">
          <cell r="A751" t="str">
            <v>D-RHNM_LTH_CHPWOD</v>
          </cell>
          <cell r="B751" t="str">
            <v>VAR_fout</v>
          </cell>
          <cell r="C751" t="str">
            <v>LTH</v>
          </cell>
          <cell r="H751">
            <v>7.0106578791337747E-7</v>
          </cell>
          <cell r="I751">
            <v>3.0300475258933402E-8</v>
          </cell>
          <cell r="J751">
            <v>2.4345680392888236E-7</v>
          </cell>
        </row>
        <row r="752">
          <cell r="A752" t="str">
            <v>D-RHNM_LTH_CHPWOD</v>
          </cell>
          <cell r="B752" t="str">
            <v>VAR_fin</v>
          </cell>
          <cell r="C752" t="str">
            <v>RHNM_LTH_CHPWOD</v>
          </cell>
          <cell r="H752">
            <v>2.249141381287431E-3</v>
          </cell>
          <cell r="I752">
            <v>1.1167630875025417E-3</v>
          </cell>
          <cell r="J752">
            <v>7.0526109942996643E-4</v>
          </cell>
        </row>
        <row r="753">
          <cell r="A753" t="str">
            <v>RHNS-SHWODBR</v>
          </cell>
          <cell r="B753" t="str">
            <v>VAR_fout</v>
          </cell>
          <cell r="C753" t="str">
            <v>RHNS-SHWOD</v>
          </cell>
          <cell r="H753">
            <v>0.11068817371599445</v>
          </cell>
          <cell r="I753">
            <v>0.12839508005225439</v>
          </cell>
          <cell r="J753">
            <v>0.14932349656571717</v>
          </cell>
        </row>
        <row r="754">
          <cell r="A754" t="str">
            <v>RHNS-SHWODBR</v>
          </cell>
          <cell r="B754" t="str">
            <v>VAR_fin</v>
          </cell>
          <cell r="C754" t="str">
            <v>RHNSWODBRC</v>
          </cell>
          <cell r="H754">
            <v>0.11068817371599445</v>
          </cell>
          <cell r="I754">
            <v>0.12839508005225439</v>
          </cell>
          <cell r="J754">
            <v>0.14932349656571717</v>
          </cell>
        </row>
        <row r="755">
          <cell r="A755" t="str">
            <v>RHNS-SHWODBR</v>
          </cell>
          <cell r="B755" t="str">
            <v>VAR_fin</v>
          </cell>
          <cell r="C755" t="str">
            <v>RWOD</v>
          </cell>
          <cell r="H755">
            <v>0.14814175387765882</v>
          </cell>
          <cell r="I755">
            <v>0.17156217198342152</v>
          </cell>
          <cell r="J755">
            <v>0.19927071998525711</v>
          </cell>
        </row>
        <row r="756">
          <cell r="A756" t="str">
            <v>RHNS-SHWODBR</v>
          </cell>
          <cell r="B756" t="str">
            <v>VAR_ncap</v>
          </cell>
          <cell r="C756" t="str">
            <v>-</v>
          </cell>
          <cell r="H756">
            <v>2.5726459778521001E-2</v>
          </cell>
        </row>
        <row r="757">
          <cell r="A757" t="str">
            <v>RHNS-SHWODBR</v>
          </cell>
          <cell r="B757" t="str">
            <v>VAR_cap</v>
          </cell>
          <cell r="C757" t="str">
            <v>-</v>
          </cell>
          <cell r="H757">
            <v>2.587928545075999E-2</v>
          </cell>
          <cell r="I757">
            <v>2.5740422941263622E-2</v>
          </cell>
          <cell r="J757">
            <v>1.0882130102756082E-2</v>
          </cell>
        </row>
        <row r="758">
          <cell r="A758" t="str">
            <v>D-RHNM_NKEV_GAS_ELC_CHP</v>
          </cell>
          <cell r="B758" t="str">
            <v>VAR_fout</v>
          </cell>
          <cell r="C758" t="str">
            <v>ELC5</v>
          </cell>
          <cell r="H758">
            <v>1.2699011183011069E-3</v>
          </cell>
          <cell r="I758">
            <v>9.9443806321644081E-4</v>
          </cell>
          <cell r="J758">
            <v>5.927032812179158E-4</v>
          </cell>
        </row>
        <row r="759">
          <cell r="A759" t="str">
            <v>D-RHNM_NKEV_GAS_ELC_CHP</v>
          </cell>
          <cell r="B759" t="str">
            <v>VAR_fout</v>
          </cell>
          <cell r="C759" t="str">
            <v>RHNM_ELC</v>
          </cell>
          <cell r="H759">
            <v>0.59717952254079643</v>
          </cell>
          <cell r="I759">
            <v>1.9358612221116853</v>
          </cell>
          <cell r="J759">
            <v>2.1880500263104024</v>
          </cell>
        </row>
        <row r="760">
          <cell r="A760" t="str">
            <v>D-RHNM_NKEV_GAS_ELC_CHP</v>
          </cell>
          <cell r="B760" t="str">
            <v>VAR_fin</v>
          </cell>
          <cell r="C760" t="str">
            <v>RHNM_NKEV_GAS_ELC_CHP</v>
          </cell>
          <cell r="H760">
            <v>0.59844942365909715</v>
          </cell>
          <cell r="I760">
            <v>1.9368556601749023</v>
          </cell>
          <cell r="J760">
            <v>2.1886427295916193</v>
          </cell>
        </row>
        <row r="761">
          <cell r="A761" t="str">
            <v>D-RLFO</v>
          </cell>
          <cell r="B761" t="str">
            <v>VAR_fout</v>
          </cell>
          <cell r="C761" t="str">
            <v>CO2</v>
          </cell>
          <cell r="H761">
            <v>1831.4873678617</v>
          </cell>
          <cell r="I761">
            <v>1382.2556419749801</v>
          </cell>
          <cell r="J761">
            <v>522.97592503736996</v>
          </cell>
        </row>
        <row r="762">
          <cell r="A762" t="str">
            <v>D-RLFO</v>
          </cell>
          <cell r="B762" t="str">
            <v>VAR_fout</v>
          </cell>
          <cell r="C762" t="str">
            <v>RLFO</v>
          </cell>
          <cell r="H762">
            <v>24.435820200822029</v>
          </cell>
          <cell r="I762">
            <v>18.442122833590908</v>
          </cell>
          <cell r="J762">
            <v>6.977628698054664</v>
          </cell>
        </row>
        <row r="763">
          <cell r="A763" t="str">
            <v>D-RLFO</v>
          </cell>
          <cell r="B763" t="str">
            <v>VAR_fin</v>
          </cell>
          <cell r="C763" t="str">
            <v>LFO</v>
          </cell>
          <cell r="H763">
            <v>24.850574869222459</v>
          </cell>
          <cell r="I763">
            <v>18.755164748642869</v>
          </cell>
          <cell r="J763">
            <v>7.0960098376848073</v>
          </cell>
        </row>
        <row r="764">
          <cell r="A764" t="str">
            <v>D-RLFO</v>
          </cell>
          <cell r="B764" t="str">
            <v>VAR_fin</v>
          </cell>
          <cell r="C764" t="str">
            <v>BDS</v>
          </cell>
          <cell r="H764">
            <v>2.8360717131431892E-4</v>
          </cell>
          <cell r="I764">
            <v>1.944408216351341E-4</v>
          </cell>
          <cell r="J764">
            <v>1.3288245416225695E-4</v>
          </cell>
        </row>
        <row r="765">
          <cell r="A765" t="str">
            <v>D-SCOM_LTH_CHPBIO</v>
          </cell>
          <cell r="B765" t="str">
            <v>VAR_fout</v>
          </cell>
          <cell r="C765" t="str">
            <v>SCOM_LTH_CHPBIO_ON</v>
          </cell>
        </row>
        <row r="766">
          <cell r="A766" t="str">
            <v>D-SCOM_LTH_CHPBIO</v>
          </cell>
          <cell r="B766" t="str">
            <v>VAR_fout</v>
          </cell>
          <cell r="C766" t="str">
            <v>LTH</v>
          </cell>
        </row>
        <row r="767">
          <cell r="A767" t="str">
            <v>D-SCOM_LTH_CHPBIO</v>
          </cell>
          <cell r="B767" t="str">
            <v>VAR_fin</v>
          </cell>
          <cell r="C767" t="str">
            <v>SCOM_LTH_CHPBIO</v>
          </cell>
        </row>
        <row r="768">
          <cell r="A768" t="str">
            <v>D-SCOM_NKEV_GAS_ELC_CHP</v>
          </cell>
          <cell r="B768" t="str">
            <v>VAR_fout</v>
          </cell>
          <cell r="C768" t="str">
            <v>ELC5</v>
          </cell>
          <cell r="H768">
            <v>1.0084813609639873E-3</v>
          </cell>
          <cell r="I768">
            <v>7.7009916091346333E-4</v>
          </cell>
          <cell r="J768">
            <v>4.5577984866198597E-4</v>
          </cell>
        </row>
        <row r="769">
          <cell r="A769" t="str">
            <v>D-SCOM_NKEV_GAS_ELC_CHP</v>
          </cell>
          <cell r="B769" t="str">
            <v>VAR_fout</v>
          </cell>
          <cell r="C769" t="str">
            <v>SCOM_ELC</v>
          </cell>
          <cell r="H769">
            <v>5.5457222624548965</v>
          </cell>
          <cell r="I769">
            <v>5.2930918117239427</v>
          </cell>
          <cell r="J769">
            <v>7.43793654882111</v>
          </cell>
        </row>
        <row r="770">
          <cell r="A770" t="str">
            <v>D-SCOM_NKEV_GAS_ELC_CHP</v>
          </cell>
          <cell r="B770" t="str">
            <v>VAR_fin</v>
          </cell>
          <cell r="C770" t="str">
            <v>SCOM_NKEV_GAS_ELC_CHP</v>
          </cell>
          <cell r="H770">
            <v>5.5467307438158624</v>
          </cell>
          <cell r="I770">
            <v>5.2938619108848615</v>
          </cell>
          <cell r="J770">
            <v>7.4383923286697771</v>
          </cell>
        </row>
        <row r="771">
          <cell r="A771" t="str">
            <v>RHEM-SHLTHDH</v>
          </cell>
          <cell r="B771" t="str">
            <v>VAR_fout</v>
          </cell>
          <cell r="C771" t="str">
            <v>RHEM-SHLTHD</v>
          </cell>
          <cell r="H771">
            <v>4.9896293756623802</v>
          </cell>
          <cell r="I771">
            <v>5.019699329333589</v>
          </cell>
          <cell r="J771">
            <v>5.1019463640582847</v>
          </cell>
        </row>
        <row r="772">
          <cell r="A772" t="str">
            <v>RHEM-SHLTHDH</v>
          </cell>
          <cell r="B772" t="str">
            <v>VAR_fin</v>
          </cell>
          <cell r="C772" t="str">
            <v>RHEMLTHDHC</v>
          </cell>
          <cell r="H772">
            <v>4.9896293756623802</v>
          </cell>
          <cell r="I772">
            <v>5.019699329333589</v>
          </cell>
          <cell r="J772">
            <v>5.1019463640582847</v>
          </cell>
        </row>
        <row r="773">
          <cell r="A773" t="str">
            <v>RHEM-SHLTHDH</v>
          </cell>
          <cell r="B773" t="str">
            <v>VAR_fin</v>
          </cell>
          <cell r="C773" t="str">
            <v>RHEM_LTH_DH</v>
          </cell>
          <cell r="H773">
            <v>5.5385461181734943</v>
          </cell>
          <cell r="I773">
            <v>5.5595977500364056</v>
          </cell>
          <cell r="J773">
            <v>5.6103637538575919</v>
          </cell>
        </row>
        <row r="774">
          <cell r="A774" t="str">
            <v>RHEM-SHLTHDH</v>
          </cell>
          <cell r="B774" t="str">
            <v>VAR_ncap</v>
          </cell>
          <cell r="C774" t="str">
            <v>-</v>
          </cell>
          <cell r="H774">
            <v>2.15397127223966E-2</v>
          </cell>
          <cell r="I774">
            <v>3.9961800389636197E-2</v>
          </cell>
          <cell r="J774">
            <v>8.9181463874698302E-2</v>
          </cell>
        </row>
        <row r="775">
          <cell r="A775" t="str">
            <v>RHEM-SHLTHDH</v>
          </cell>
          <cell r="B775" t="str">
            <v>VAR_cap</v>
          </cell>
          <cell r="C775" t="str">
            <v>-</v>
          </cell>
          <cell r="H775">
            <v>0.38386162296604692</v>
          </cell>
          <cell r="I775">
            <v>0.38807081387564696</v>
          </cell>
          <cell r="J775">
            <v>0.43988073090555202</v>
          </cell>
        </row>
        <row r="776">
          <cell r="A776" t="str">
            <v>D-ITOT_SOLELC</v>
          </cell>
          <cell r="B776" t="str">
            <v>VAR_fout</v>
          </cell>
          <cell r="C776" t="str">
            <v>ITOT_ELC</v>
          </cell>
          <cell r="H776">
            <v>20.07990478254376</v>
          </cell>
          <cell r="I776">
            <v>26.963181854628267</v>
          </cell>
          <cell r="J776">
            <v>29.472408174156712</v>
          </cell>
        </row>
        <row r="777">
          <cell r="A777" t="str">
            <v>D-ITOT_SOLELC</v>
          </cell>
          <cell r="B777" t="str">
            <v>VAR_fout</v>
          </cell>
          <cell r="C777" t="str">
            <v>ELC5</v>
          </cell>
          <cell r="H777">
            <v>1.6175218040860389E-3</v>
          </cell>
          <cell r="I777">
            <v>0.41435491413524728</v>
          </cell>
          <cell r="J777">
            <v>0.22426494119337703</v>
          </cell>
        </row>
        <row r="778">
          <cell r="A778" t="str">
            <v>D-ITOT_SOLELC</v>
          </cell>
          <cell r="B778" t="str">
            <v>VAR_fin</v>
          </cell>
          <cell r="C778" t="str">
            <v>ITOT_SOL_ELC</v>
          </cell>
          <cell r="H778">
            <v>20.081522304347853</v>
          </cell>
          <cell r="I778">
            <v>27.377536768763534</v>
          </cell>
          <cell r="J778">
            <v>29.696673115350091</v>
          </cell>
        </row>
        <row r="779">
          <cell r="A779" t="str">
            <v>D-SWOD</v>
          </cell>
          <cell r="B779" t="str">
            <v>VAR_fout</v>
          </cell>
          <cell r="C779" t="str">
            <v>SWOD</v>
          </cell>
          <cell r="H779">
            <v>10.259517146923523</v>
          </cell>
          <cell r="I779">
            <v>9.3776644465604733</v>
          </cell>
          <cell r="J779">
            <v>7.9584986043651424</v>
          </cell>
        </row>
        <row r="780">
          <cell r="A780" t="str">
            <v>D-SWOD</v>
          </cell>
          <cell r="B780" t="str">
            <v>VAR_fin</v>
          </cell>
          <cell r="C780" t="str">
            <v>WOD</v>
          </cell>
          <cell r="H780">
            <v>10.259517146923523</v>
          </cell>
          <cell r="I780">
            <v>9.3776644465604733</v>
          </cell>
          <cell r="J780">
            <v>7.9584986043651424</v>
          </cell>
        </row>
        <row r="781">
          <cell r="A781" t="str">
            <v>SCOM-SHLTHCHPBIO</v>
          </cell>
          <cell r="B781" t="str">
            <v>VAR_fout</v>
          </cell>
          <cell r="C781" t="str">
            <v>SCOM-SHLTHC-BIO</v>
          </cell>
        </row>
        <row r="782">
          <cell r="A782" t="str">
            <v>SCOM-SHLTHCHPBIO</v>
          </cell>
          <cell r="B782" t="str">
            <v>VAR_fin</v>
          </cell>
          <cell r="C782" t="str">
            <v>SCOM_LTH_CHPBIO_ON</v>
          </cell>
        </row>
        <row r="783">
          <cell r="A783" t="str">
            <v>SCOM-SHLTHCHPBIO</v>
          </cell>
          <cell r="B783" t="str">
            <v>VAR_fin</v>
          </cell>
          <cell r="C783" t="str">
            <v>SCOMLTHCHPC</v>
          </cell>
        </row>
        <row r="784">
          <cell r="A784" t="str">
            <v>SCOM-SHLTHCHPBIO</v>
          </cell>
          <cell r="B784" t="str">
            <v>VAR_ncap</v>
          </cell>
          <cell r="C784" t="str">
            <v>-</v>
          </cell>
          <cell r="H784">
            <v>5.0371031830204097E-2</v>
          </cell>
          <cell r="I784">
            <v>3.47495280689646E-2</v>
          </cell>
          <cell r="J784">
            <v>5.09870353513424E-2</v>
          </cell>
        </row>
        <row r="785">
          <cell r="A785" t="str">
            <v>SCOM-SHLTHCHPBIO</v>
          </cell>
          <cell r="B785" t="str">
            <v>VAR_cap</v>
          </cell>
          <cell r="C785" t="str">
            <v>-</v>
          </cell>
          <cell r="H785">
            <v>8.9263528349676893E-2</v>
          </cell>
          <cell r="I785">
            <v>7.7079665336733189E-2</v>
          </cell>
          <cell r="J785">
            <v>7.7080208470255401E-2</v>
          </cell>
        </row>
        <row r="786">
          <cell r="A786" t="str">
            <v>RHES-SHNGABR</v>
          </cell>
          <cell r="B786" t="str">
            <v>VAR_fout</v>
          </cell>
          <cell r="C786" t="str">
            <v>CO2_R</v>
          </cell>
          <cell r="H786">
            <v>434.75370528167002</v>
          </cell>
          <cell r="I786">
            <v>334.08071352550797</v>
          </cell>
          <cell r="J786">
            <v>163.026558278869</v>
          </cell>
        </row>
        <row r="787">
          <cell r="A787" t="str">
            <v>RHES-SHNGABR</v>
          </cell>
          <cell r="B787" t="str">
            <v>VAR_fout</v>
          </cell>
          <cell r="C787" t="str">
            <v>RHES-SHNGA</v>
          </cell>
          <cell r="H787">
            <v>7.1637890309150816</v>
          </cell>
          <cell r="I787">
            <v>5.5349234942731149</v>
          </cell>
          <cell r="J787">
            <v>2.733840526816254</v>
          </cell>
        </row>
        <row r="788">
          <cell r="A788" t="str">
            <v>RHES-SHNGABR</v>
          </cell>
          <cell r="B788" t="str">
            <v>VAR_fin</v>
          </cell>
          <cell r="C788" t="str">
            <v>RNGA</v>
          </cell>
          <cell r="H788">
            <v>7.7083990298168485</v>
          </cell>
          <cell r="I788">
            <v>5.9234169064806466</v>
          </cell>
          <cell r="J788">
            <v>2.8905418134551222</v>
          </cell>
        </row>
        <row r="789">
          <cell r="A789" t="str">
            <v>RHES-SHNGABR</v>
          </cell>
          <cell r="B789" t="str">
            <v>VAR_ncap</v>
          </cell>
          <cell r="C789" t="str">
            <v>-</v>
          </cell>
          <cell r="H789">
            <v>0.159110391015886</v>
          </cell>
          <cell r="I789">
            <v>0.288058132264151</v>
          </cell>
          <cell r="J789">
            <v>9.1926056635321406E-8</v>
          </cell>
        </row>
        <row r="790">
          <cell r="A790" t="str">
            <v>RHES-SHNGABR</v>
          </cell>
          <cell r="B790" t="str">
            <v>VAR_cap</v>
          </cell>
          <cell r="C790" t="str">
            <v>-</v>
          </cell>
          <cell r="H790">
            <v>0.57884555280536454</v>
          </cell>
          <cell r="I790">
            <v>0.44716848475581594</v>
          </cell>
          <cell r="J790">
            <v>0.27634868790678452</v>
          </cell>
        </row>
        <row r="791">
          <cell r="A791" t="str">
            <v>RHSA-WHNGABR</v>
          </cell>
          <cell r="B791" t="str">
            <v>VAR_fout</v>
          </cell>
          <cell r="C791" t="str">
            <v>RHSA-WHNGA</v>
          </cell>
          <cell r="H791">
            <v>3.7093481125449435</v>
          </cell>
          <cell r="I791">
            <v>3.1239124877524471</v>
          </cell>
          <cell r="J791">
            <v>2.0786853573196029</v>
          </cell>
        </row>
        <row r="792">
          <cell r="A792" t="str">
            <v>RHSA-WHNGABR</v>
          </cell>
          <cell r="B792" t="str">
            <v>VAR_fout</v>
          </cell>
          <cell r="C792" t="str">
            <v>CO2_R</v>
          </cell>
          <cell r="H792">
            <v>372.677198186797</v>
          </cell>
          <cell r="I792">
            <v>309.86403424414499</v>
          </cell>
          <cell r="J792">
            <v>200.14026288425401</v>
          </cell>
        </row>
        <row r="793">
          <cell r="A793" t="str">
            <v>RHSA-WHNGABR</v>
          </cell>
          <cell r="B793" t="str">
            <v>VAR_fin</v>
          </cell>
          <cell r="C793" t="str">
            <v>RNGA</v>
          </cell>
          <cell r="H793">
            <v>6.6077517409006576</v>
          </cell>
          <cell r="I793">
            <v>5.4940431603571795</v>
          </cell>
          <cell r="J793">
            <v>3.5485862213520267</v>
          </cell>
        </row>
        <row r="794">
          <cell r="A794" t="str">
            <v>RHSA-WHNGABR</v>
          </cell>
          <cell r="B794" t="str">
            <v>VAR_ncap</v>
          </cell>
          <cell r="C794" t="str">
            <v>-</v>
          </cell>
          <cell r="H794">
            <v>0.14046788535112301</v>
          </cell>
          <cell r="I794">
            <v>7.5208709019282699E-2</v>
          </cell>
          <cell r="J794">
            <v>2.8219976318595501E-2</v>
          </cell>
        </row>
        <row r="795">
          <cell r="A795" t="str">
            <v>RHSA-WHNGABR</v>
          </cell>
          <cell r="B795" t="str">
            <v>VAR_cap</v>
          </cell>
          <cell r="C795" t="str">
            <v>-</v>
          </cell>
          <cell r="H795">
            <v>0.25356154115323504</v>
          </cell>
          <cell r="I795">
            <v>0.21567625520883077</v>
          </cell>
          <cell r="J795">
            <v>0.14221833646437279</v>
          </cell>
        </row>
        <row r="796">
          <cell r="A796" t="str">
            <v>ITOT-SWHWSTBR</v>
          </cell>
          <cell r="B796" t="str">
            <v>VAR_fout</v>
          </cell>
          <cell r="C796" t="str">
            <v>ITOT-SWH</v>
          </cell>
          <cell r="H796">
            <v>5.6871415411264241</v>
          </cell>
          <cell r="I796">
            <v>5.6636571141473562</v>
          </cell>
          <cell r="J796">
            <v>5.7808923934774352</v>
          </cell>
        </row>
        <row r="797">
          <cell r="A797" t="str">
            <v>ITOT-SWHWSTBR</v>
          </cell>
          <cell r="B797" t="str">
            <v>VAR_fout</v>
          </cell>
          <cell r="C797" t="str">
            <v>CO2_I</v>
          </cell>
          <cell r="H797">
            <v>999.55821025858302</v>
          </cell>
          <cell r="I797">
            <v>995.43064430468598</v>
          </cell>
          <cell r="J797">
            <v>986.152231828504</v>
          </cell>
        </row>
        <row r="798">
          <cell r="A798" t="str">
            <v>ITOT-SWHWSTBR</v>
          </cell>
          <cell r="B798" t="str">
            <v>VAR_fin</v>
          </cell>
          <cell r="C798" t="str">
            <v>IWST</v>
          </cell>
          <cell r="H798">
            <v>10.771101403648546</v>
          </cell>
          <cell r="I798">
            <v>10.726623322248765</v>
          </cell>
          <cell r="J798">
            <v>10.62664042918647</v>
          </cell>
        </row>
        <row r="799">
          <cell r="A799" t="str">
            <v>ITOT-SWHWSTBR</v>
          </cell>
          <cell r="B799" t="str">
            <v>VAR_ncap</v>
          </cell>
          <cell r="C799" t="str">
            <v>-</v>
          </cell>
          <cell r="H799">
            <v>0.22273556688631799</v>
          </cell>
          <cell r="I799">
            <v>9.1906283190028207E-2</v>
          </cell>
          <cell r="J799">
            <v>0.201112919313535</v>
          </cell>
        </row>
        <row r="800">
          <cell r="A800" t="str">
            <v>ITOT-SWHWSTBR</v>
          </cell>
          <cell r="B800" t="str">
            <v>VAR_cap</v>
          </cell>
          <cell r="C800" t="str">
            <v>-</v>
          </cell>
          <cell r="H800">
            <v>0.31597111584520049</v>
          </cell>
          <cell r="I800">
            <v>0.31463910934501665</v>
          </cell>
          <cell r="J800">
            <v>0.36201696481926832</v>
          </cell>
        </row>
        <row r="801">
          <cell r="A801" t="str">
            <v>SCOM-SHSTG-ELC</v>
          </cell>
          <cell r="B801" t="str">
            <v>VAR_fout</v>
          </cell>
          <cell r="C801" t="str">
            <v>SCOM-SHAELCB</v>
          </cell>
          <cell r="H801">
            <v>6.8487107566074139E-6</v>
          </cell>
          <cell r="I801">
            <v>6.6851154192476638E-6</v>
          </cell>
          <cell r="J801">
            <v>3.6947716394008616E-6</v>
          </cell>
        </row>
        <row r="802">
          <cell r="A802" t="str">
            <v>SCOM-SHSTG-ELC</v>
          </cell>
          <cell r="B802" t="str">
            <v>VAR_fin</v>
          </cell>
          <cell r="C802" t="str">
            <v>SCOM-SHAELCB</v>
          </cell>
          <cell r="H802">
            <v>8.3168019390819124E-6</v>
          </cell>
          <cell r="I802">
            <v>7.5774235442604545E-6</v>
          </cell>
          <cell r="J802">
            <v>3.7509112395948011E-6</v>
          </cell>
        </row>
        <row r="803">
          <cell r="A803" t="str">
            <v>SCOM-SHSTG-ELC</v>
          </cell>
          <cell r="B803" t="str">
            <v>VAR_ncap</v>
          </cell>
          <cell r="C803" t="str">
            <v>-</v>
          </cell>
          <cell r="H803">
            <v>1.53076266644391E-3</v>
          </cell>
          <cell r="I803">
            <v>4.9162052835639899E-3</v>
          </cell>
          <cell r="J803">
            <v>8.6656483107305597E-4</v>
          </cell>
        </row>
        <row r="804">
          <cell r="A804" t="str">
            <v>SCOM-SHSTG-ELC</v>
          </cell>
          <cell r="B804" t="str">
            <v>VAR_cap</v>
          </cell>
          <cell r="C804" t="str">
            <v>-</v>
          </cell>
          <cell r="H804">
            <v>6.6000885557368104E-3</v>
          </cell>
          <cell r="I804">
            <v>6.4376024316848942E-3</v>
          </cell>
          <cell r="J804">
            <v>5.0393673384476903E-3</v>
          </cell>
        </row>
        <row r="805">
          <cell r="A805" t="str">
            <v>SCOM-SHNGABR</v>
          </cell>
          <cell r="B805" t="str">
            <v>VAR_fout</v>
          </cell>
          <cell r="C805" t="str">
            <v>CO2_S</v>
          </cell>
          <cell r="H805">
            <v>970.30479235217103</v>
          </cell>
          <cell r="I805">
            <v>801.91932651514503</v>
          </cell>
          <cell r="J805">
            <v>476.702885390978</v>
          </cell>
        </row>
        <row r="806">
          <cell r="A806" t="str">
            <v>SCOM-SHNGABR</v>
          </cell>
          <cell r="B806" t="str">
            <v>VAR_fout</v>
          </cell>
          <cell r="C806" t="str">
            <v>SCOM-SHNGA</v>
          </cell>
          <cell r="H806">
            <v>14.896030144103275</v>
          </cell>
          <cell r="I806">
            <v>12.310991922394866</v>
          </cell>
          <cell r="J806">
            <v>7.3182989577441138</v>
          </cell>
        </row>
        <row r="807">
          <cell r="A807" t="str">
            <v>SCOM-SHNGABR</v>
          </cell>
          <cell r="B807" t="str">
            <v>VAR_fin</v>
          </cell>
          <cell r="C807" t="str">
            <v>SNGA</v>
          </cell>
          <cell r="H807">
            <v>17.203985680003019</v>
          </cell>
          <cell r="I807">
            <v>14.218427775091238</v>
          </cell>
          <cell r="J807">
            <v>8.4521788189889691</v>
          </cell>
        </row>
        <row r="808">
          <cell r="A808" t="str">
            <v>SCOM-SHNGABR</v>
          </cell>
          <cell r="B808" t="str">
            <v>VAR_ncap</v>
          </cell>
          <cell r="C808" t="str">
            <v>-</v>
          </cell>
          <cell r="H808">
            <v>0.50133718527128102</v>
          </cell>
          <cell r="I808">
            <v>0.64139748905971505</v>
          </cell>
          <cell r="J808">
            <v>7.7745964892433295E-2</v>
          </cell>
        </row>
        <row r="809">
          <cell r="A809" t="str">
            <v>SCOM-SHNGABR</v>
          </cell>
          <cell r="B809" t="str">
            <v>VAR_cap</v>
          </cell>
          <cell r="C809" t="str">
            <v>-</v>
          </cell>
          <cell r="H809">
            <v>1.220884087229148</v>
          </cell>
          <cell r="I809">
            <v>1.1427343677585073</v>
          </cell>
          <cell r="J809">
            <v>0.75529168492161225</v>
          </cell>
        </row>
        <row r="810">
          <cell r="A810" t="str">
            <v>RHEM-SHELCHP</v>
          </cell>
          <cell r="B810" t="str">
            <v>VAR_fout</v>
          </cell>
          <cell r="C810" t="str">
            <v>RHEM-SHAELCH</v>
          </cell>
          <cell r="H810">
            <v>15.044672885425957</v>
          </cell>
          <cell r="I810">
            <v>16.744388829829575</v>
          </cell>
          <cell r="J810">
            <v>20.739167129466875</v>
          </cell>
        </row>
        <row r="811">
          <cell r="A811" t="str">
            <v>RHEM-SHELCHP</v>
          </cell>
          <cell r="B811" t="str">
            <v>VAR_fin</v>
          </cell>
          <cell r="C811" t="str">
            <v>RHEMELCHPC</v>
          </cell>
          <cell r="H811">
            <v>15.044672885425957</v>
          </cell>
          <cell r="I811">
            <v>16.744388829829575</v>
          </cell>
          <cell r="J811">
            <v>20.739167129466875</v>
          </cell>
        </row>
        <row r="812">
          <cell r="A812" t="str">
            <v>RHEM-SHELCHP</v>
          </cell>
          <cell r="B812" t="str">
            <v>VAR_fin</v>
          </cell>
          <cell r="C812" t="str">
            <v>RHEM_ELC</v>
          </cell>
          <cell r="H812">
            <v>4.4110717189739308</v>
          </cell>
          <cell r="I812">
            <v>4.7426218852197684</v>
          </cell>
          <cell r="J812">
            <v>5.417755799753194</v>
          </cell>
        </row>
        <row r="813">
          <cell r="A813" t="str">
            <v>RHEM-SHELCHP</v>
          </cell>
          <cell r="B813" t="str">
            <v>VAR_ncap</v>
          </cell>
          <cell r="C813" t="str">
            <v>-</v>
          </cell>
          <cell r="H813">
            <v>0.70670068306896305</v>
          </cell>
          <cell r="I813">
            <v>0.39992940793436399</v>
          </cell>
          <cell r="J813">
            <v>0.87530051976918899</v>
          </cell>
        </row>
        <row r="814">
          <cell r="A814" t="str">
            <v>RHEM-SHELCHP</v>
          </cell>
          <cell r="B814" t="str">
            <v>VAR_cap</v>
          </cell>
          <cell r="C814" t="str">
            <v>-</v>
          </cell>
          <cell r="H814">
            <v>1.0623831117640712</v>
          </cell>
          <cell r="I814">
            <v>1.1823961238716072</v>
          </cell>
          <cell r="J814">
            <v>1.4644732157933769</v>
          </cell>
        </row>
        <row r="815">
          <cell r="A815" t="str">
            <v>RHNM-SHSTG-ELC</v>
          </cell>
          <cell r="B815" t="str">
            <v>VAR_fout</v>
          </cell>
          <cell r="C815" t="str">
            <v>RHNM-SHAELCB</v>
          </cell>
          <cell r="H815">
            <v>9.1726610729314249E-4</v>
          </cell>
          <cell r="I815">
            <v>8.9184424030293264E-4</v>
          </cell>
          <cell r="J815">
            <v>1.0685365101728913E-3</v>
          </cell>
        </row>
        <row r="816">
          <cell r="A816" t="str">
            <v>RHNM-SHSTG-ELC</v>
          </cell>
          <cell r="B816" t="str">
            <v>VAR_fout</v>
          </cell>
          <cell r="C816" t="str">
            <v>AUX_RHNM-SHSTG-ELC_OUT</v>
          </cell>
          <cell r="H816">
            <v>9.1818337340043572E-4</v>
          </cell>
          <cell r="I816">
            <v>8.9273608454323514E-4</v>
          </cell>
          <cell r="J816">
            <v>1.069605046683064E-3</v>
          </cell>
        </row>
        <row r="817">
          <cell r="A817" t="str">
            <v>RHNM-SHSTG-ELC</v>
          </cell>
          <cell r="B817" t="str">
            <v>VAR_fin</v>
          </cell>
          <cell r="C817" t="str">
            <v>RHNM-SHAELCB</v>
          </cell>
          <cell r="H817">
            <v>9.1655156463381891E-4</v>
          </cell>
          <cell r="I817">
            <v>8.910382455394884E-4</v>
          </cell>
          <cell r="J817">
            <v>1.0686086080392081E-3</v>
          </cell>
        </row>
        <row r="818">
          <cell r="A818" t="str">
            <v>RHNM-SHSTG-ELC</v>
          </cell>
          <cell r="B818" t="str">
            <v>VAR_ncap</v>
          </cell>
          <cell r="C818" t="str">
            <v>-</v>
          </cell>
          <cell r="H818">
            <v>3.3298572755785998E-4</v>
          </cell>
          <cell r="I818">
            <v>5.3005941434819897E-5</v>
          </cell>
          <cell r="J818">
            <v>2.86372052080542E-5</v>
          </cell>
        </row>
        <row r="819">
          <cell r="A819" t="str">
            <v>RHNM-SHSTG-ELC</v>
          </cell>
          <cell r="B819" t="str">
            <v>VAR_cap</v>
          </cell>
          <cell r="C819" t="str">
            <v>-</v>
          </cell>
          <cell r="H819">
            <v>1.2766327537255379E-3</v>
          </cell>
          <cell r="I819">
            <v>3.726675152162132E-4</v>
          </cell>
          <cell r="J819">
            <v>1.5758682266545459E-4</v>
          </cell>
        </row>
        <row r="820">
          <cell r="A820" t="str">
            <v>D-RWOD</v>
          </cell>
          <cell r="B820" t="str">
            <v>VAR_fout</v>
          </cell>
          <cell r="C820" t="str">
            <v>RWOD</v>
          </cell>
          <cell r="H820">
            <v>15.391794466685207</v>
          </cell>
          <cell r="I820">
            <v>14.077140400285424</v>
          </cell>
          <cell r="J820">
            <v>11.332302647987882</v>
          </cell>
        </row>
        <row r="821">
          <cell r="A821" t="str">
            <v>D-RWOD</v>
          </cell>
          <cell r="B821" t="str">
            <v>VAR_fin</v>
          </cell>
          <cell r="C821" t="str">
            <v>WOD</v>
          </cell>
          <cell r="H821">
            <v>15.391794466685207</v>
          </cell>
          <cell r="I821">
            <v>14.077140400285424</v>
          </cell>
          <cell r="J821">
            <v>11.332302647987882</v>
          </cell>
        </row>
        <row r="822">
          <cell r="A822" t="str">
            <v>RHNS-SHLTHCHPWOD</v>
          </cell>
          <cell r="B822" t="str">
            <v>VAR_ncap</v>
          </cell>
          <cell r="C822" t="str">
            <v>-</v>
          </cell>
          <cell r="H822">
            <v>9.8459393054782597E-5</v>
          </cell>
          <cell r="I822">
            <v>5.3125356894248899E-5</v>
          </cell>
          <cell r="J822">
            <v>3.3268607719173698E-5</v>
          </cell>
        </row>
        <row r="823">
          <cell r="A823" t="str">
            <v>RHNS-SHLTHCHPWOD</v>
          </cell>
          <cell r="B823" t="str">
            <v>VAR_cap</v>
          </cell>
          <cell r="C823" t="str">
            <v>-</v>
          </cell>
          <cell r="H823">
            <v>1.333991239955134E-4</v>
          </cell>
          <cell r="I823">
            <v>1.0154396885552699E-4</v>
          </cell>
          <cell r="J823">
            <v>5.4539789324165397E-5</v>
          </cell>
        </row>
        <row r="824">
          <cell r="A824" t="str">
            <v>RHNM-SHELCBR</v>
          </cell>
          <cell r="B824" t="str">
            <v>VAR_fout</v>
          </cell>
          <cell r="C824" t="str">
            <v>RHNM-SHAELCB</v>
          </cell>
          <cell r="H824">
            <v>5.1230115859558232E-3</v>
          </cell>
          <cell r="I824">
            <v>5.8956130593672074E-3</v>
          </cell>
          <cell r="J824">
            <v>7.4725773080093205E-3</v>
          </cell>
        </row>
        <row r="825">
          <cell r="A825" t="str">
            <v>RHNM-SHELCBR</v>
          </cell>
          <cell r="B825" t="str">
            <v>VAR_fin</v>
          </cell>
          <cell r="C825" t="str">
            <v>RHNM_ELC</v>
          </cell>
          <cell r="H825">
            <v>5.3926437746903396E-3</v>
          </cell>
          <cell r="I825">
            <v>6.2059084835444246E-3</v>
          </cell>
          <cell r="J825">
            <v>7.8658708505361333E-3</v>
          </cell>
        </row>
        <row r="826">
          <cell r="A826" t="str">
            <v>RHNM-SHELCBR</v>
          </cell>
          <cell r="B826" t="str">
            <v>VAR_ncap</v>
          </cell>
          <cell r="C826" t="str">
            <v>-</v>
          </cell>
          <cell r="H826">
            <v>1.58130157776642E-3</v>
          </cell>
        </row>
        <row r="827">
          <cell r="A827" t="str">
            <v>RHNM-SHELCBR</v>
          </cell>
          <cell r="B827" t="str">
            <v>VAR_cap</v>
          </cell>
          <cell r="C827" t="str">
            <v>-</v>
          </cell>
          <cell r="H827">
            <v>5.4284920930695504E-3</v>
          </cell>
          <cell r="I827">
            <v>1.5810746377406119E-3</v>
          </cell>
          <cell r="J827">
            <v>6.6846117657579031E-4</v>
          </cell>
        </row>
        <row r="828">
          <cell r="A828" t="str">
            <v>RHNS-SHSTG-NGAHP</v>
          </cell>
          <cell r="B828" t="str">
            <v>VAR_fout</v>
          </cell>
          <cell r="C828" t="str">
            <v>RHNS-SHANGAH</v>
          </cell>
          <cell r="H828">
            <v>3.7355595922822712E-2</v>
          </cell>
          <cell r="I828">
            <v>4.7761013339096922E-2</v>
          </cell>
          <cell r="J828">
            <v>9.4748137774939165E-2</v>
          </cell>
        </row>
        <row r="829">
          <cell r="A829" t="str">
            <v>RHNS-SHSTG-NGAHP</v>
          </cell>
          <cell r="B829" t="str">
            <v>VAR_fout</v>
          </cell>
          <cell r="C829" t="str">
            <v>AUX_RHNS-SHSTG-NGAHP_OUT</v>
          </cell>
          <cell r="H829">
            <v>3.7392951518745506E-2</v>
          </cell>
          <cell r="I829">
            <v>4.780877435243603E-2</v>
          </cell>
          <cell r="J829">
            <v>9.4842885912714114E-2</v>
          </cell>
        </row>
        <row r="830">
          <cell r="A830" t="str">
            <v>RHNS-SHSTG-NGAHP</v>
          </cell>
          <cell r="B830" t="str">
            <v>VAR_fin</v>
          </cell>
          <cell r="C830" t="str">
            <v>RHNS-SHANGAH</v>
          </cell>
          <cell r="H830">
            <v>3.736227578628909E-2</v>
          </cell>
          <cell r="I830">
            <v>4.7768136457255195E-2</v>
          </cell>
          <cell r="J830">
            <v>9.4755171326143903E-2</v>
          </cell>
        </row>
        <row r="831">
          <cell r="A831" t="str">
            <v>RHNS-SHSTG-NGAHP</v>
          </cell>
          <cell r="B831" t="str">
            <v>VAR_ncap</v>
          </cell>
          <cell r="C831" t="str">
            <v>-</v>
          </cell>
          <cell r="H831">
            <v>2.99045411358274E-3</v>
          </cell>
          <cell r="I831">
            <v>5.8252349970821004E-3</v>
          </cell>
          <cell r="J831">
            <v>1.10966167335861E-2</v>
          </cell>
        </row>
        <row r="832">
          <cell r="A832" t="str">
            <v>RHNS-SHSTG-NGAHP</v>
          </cell>
          <cell r="B832" t="str">
            <v>VAR_cap</v>
          </cell>
          <cell r="C832" t="str">
            <v>-</v>
          </cell>
          <cell r="H832">
            <v>9.8959358079045677E-3</v>
          </cell>
          <cell r="I832">
            <v>1.2424123054039841E-2</v>
          </cell>
          <cell r="J832">
            <v>1.6562585353838918E-2</v>
          </cell>
        </row>
        <row r="833">
          <cell r="A833" t="str">
            <v>RHNS-SHLTHDH</v>
          </cell>
          <cell r="B833" t="str">
            <v>VAR_fout</v>
          </cell>
          <cell r="C833" t="str">
            <v>RHNS-SHLTHD</v>
          </cell>
          <cell r="H833">
            <v>8.5253707720157144E-3</v>
          </cell>
          <cell r="I833">
            <v>1.0299399677432534E-2</v>
          </cell>
          <cell r="J833">
            <v>1.2831546588720624E-2</v>
          </cell>
        </row>
        <row r="834">
          <cell r="A834" t="str">
            <v>RHNS-SHLTHDH</v>
          </cell>
          <cell r="B834" t="str">
            <v>VAR_fin</v>
          </cell>
          <cell r="C834" t="str">
            <v>RHNS_LTH_DH</v>
          </cell>
          <cell r="H834">
            <v>9.3928314338935521E-3</v>
          </cell>
          <cell r="I834">
            <v>1.1331288405578165E-2</v>
          </cell>
          <cell r="J834">
            <v>1.4099937916506303E-2</v>
          </cell>
        </row>
        <row r="835">
          <cell r="A835" t="str">
            <v>RHNS-SHLTHDH</v>
          </cell>
          <cell r="B835" t="str">
            <v>VAR_fin</v>
          </cell>
          <cell r="C835" t="str">
            <v>RHNSLTHDHC</v>
          </cell>
          <cell r="H835">
            <v>8.5253707720157144E-3</v>
          </cell>
          <cell r="I835">
            <v>1.0299399677432534E-2</v>
          </cell>
          <cell r="J835">
            <v>1.2831546588720624E-2</v>
          </cell>
        </row>
        <row r="836">
          <cell r="A836" t="str">
            <v>RHNS-SHLTHDH</v>
          </cell>
          <cell r="B836" t="str">
            <v>VAR_ncap</v>
          </cell>
          <cell r="C836" t="str">
            <v>-</v>
          </cell>
          <cell r="H836">
            <v>2.83111620426785E-2</v>
          </cell>
          <cell r="I836">
            <v>1.7168787219232599E-2</v>
          </cell>
          <cell r="J836">
            <v>6.3232666928256904E-4</v>
          </cell>
        </row>
        <row r="837">
          <cell r="A837" t="str">
            <v>RHNS-SHLTHDH</v>
          </cell>
          <cell r="B837" t="str">
            <v>VAR_cap</v>
          </cell>
          <cell r="C837" t="str">
            <v>-</v>
          </cell>
          <cell r="H837">
            <v>3.5886865483083105E-2</v>
          </cell>
          <cell r="I837">
            <v>3.9899411661729001E-2</v>
          </cell>
          <cell r="J837">
            <v>3.2139397127357028E-3</v>
          </cell>
        </row>
        <row r="838">
          <cell r="A838" t="str">
            <v>ITOT-SWHNGAHP</v>
          </cell>
          <cell r="B838" t="str">
            <v>VAR_fout</v>
          </cell>
          <cell r="C838" t="str">
            <v>ITOT-SWHANGAH</v>
          </cell>
          <cell r="H838">
            <v>2.931756445251622E-2</v>
          </cell>
          <cell r="I838">
            <v>0.21469182286379224</v>
          </cell>
          <cell r="J838">
            <v>0.188036534992361</v>
          </cell>
        </row>
        <row r="839">
          <cell r="A839" t="str">
            <v>ITOT-SWHNGAHP</v>
          </cell>
          <cell r="B839" t="str">
            <v>VAR_fout</v>
          </cell>
          <cell r="C839" t="str">
            <v>CO2_I</v>
          </cell>
          <cell r="H839">
            <v>0.84401718334885401</v>
          </cell>
          <cell r="I839">
            <v>6.0666493326381099</v>
          </cell>
          <cell r="J839">
            <v>5.1242951665777197</v>
          </cell>
        </row>
        <row r="840">
          <cell r="A840" t="str">
            <v>ITOT-SWHNGAHP</v>
          </cell>
          <cell r="B840" t="str">
            <v>VAR_fin</v>
          </cell>
          <cell r="C840" t="str">
            <v>ITOTELCHPC</v>
          </cell>
          <cell r="H840">
            <v>2.931756445251622E-2</v>
          </cell>
          <cell r="I840">
            <v>0.21469182286379224</v>
          </cell>
          <cell r="J840">
            <v>0.188036534992361</v>
          </cell>
        </row>
        <row r="841">
          <cell r="A841" t="str">
            <v>ITOT-SWHNGAHP</v>
          </cell>
          <cell r="B841" t="str">
            <v>VAR_fin</v>
          </cell>
          <cell r="C841" t="str">
            <v>INGA</v>
          </cell>
          <cell r="H841">
            <v>1.496484367639813E-2</v>
          </cell>
          <cell r="I841">
            <v>0.10756470447939914</v>
          </cell>
          <cell r="J841">
            <v>9.0856297279746964E-2</v>
          </cell>
        </row>
        <row r="842">
          <cell r="A842" t="str">
            <v>ITOT-SWHNGAHP</v>
          </cell>
          <cell r="B842" t="str">
            <v>VAR_ncap</v>
          </cell>
          <cell r="C842" t="str">
            <v>-</v>
          </cell>
          <cell r="H842">
            <v>6.0851501698604302E-5</v>
          </cell>
          <cell r="I842">
            <v>1.1532133154222499E-2</v>
          </cell>
          <cell r="J842">
            <v>1.89747768562371E-3</v>
          </cell>
        </row>
        <row r="843">
          <cell r="A843" t="str">
            <v>ITOT-SWHNGAHP</v>
          </cell>
          <cell r="B843" t="str">
            <v>VAR_cap</v>
          </cell>
          <cell r="C843" t="str">
            <v>-</v>
          </cell>
          <cell r="H843">
            <v>1.7740705415802242E-3</v>
          </cell>
          <cell r="I843">
            <v>1.1795509385843348E-2</v>
          </cell>
          <cell r="J843">
            <v>1.0291522453677275E-2</v>
          </cell>
        </row>
        <row r="844">
          <cell r="A844" t="str">
            <v>RHSA-WHLFOBR</v>
          </cell>
          <cell r="B844" t="str">
            <v>VAR_fout</v>
          </cell>
          <cell r="C844" t="str">
            <v>CO2_R</v>
          </cell>
          <cell r="H844">
            <v>313.45871840748202</v>
          </cell>
          <cell r="I844">
            <v>243.267215527514</v>
          </cell>
          <cell r="J844">
            <v>119.576315014664</v>
          </cell>
        </row>
        <row r="845">
          <cell r="A845" t="str">
            <v>RHSA-WHLFOBR</v>
          </cell>
          <cell r="B845" t="str">
            <v>VAR_fout</v>
          </cell>
          <cell r="C845" t="str">
            <v>RHSA-WHLFO</v>
          </cell>
          <cell r="H845">
            <v>2.2986001273323584</v>
          </cell>
          <cell r="I845">
            <v>1.8177032208486181</v>
          </cell>
          <cell r="J845">
            <v>0.91631449586415803</v>
          </cell>
        </row>
        <row r="846">
          <cell r="A846" t="str">
            <v>RHSA-WHLFOBR</v>
          </cell>
          <cell r="B846" t="str">
            <v>VAR_fin</v>
          </cell>
          <cell r="C846" t="str">
            <v>RLFO</v>
          </cell>
          <cell r="H846">
            <v>4.2531712131272981</v>
          </cell>
          <cell r="I846">
            <v>3.3007763300883917</v>
          </cell>
          <cell r="J846">
            <v>1.622473745110778</v>
          </cell>
        </row>
        <row r="847">
          <cell r="A847" t="str">
            <v>RHSA-WHLFOBR</v>
          </cell>
          <cell r="B847" t="str">
            <v>VAR_ncap</v>
          </cell>
          <cell r="C847" t="str">
            <v>-</v>
          </cell>
          <cell r="H847">
            <v>4.1636322733756601E-2</v>
          </cell>
          <cell r="I847">
            <v>8.2608779462816001E-2</v>
          </cell>
        </row>
        <row r="848">
          <cell r="A848" t="str">
            <v>RHSA-WHLFOBR</v>
          </cell>
          <cell r="B848" t="str">
            <v>VAR_cap</v>
          </cell>
          <cell r="C848" t="str">
            <v>-</v>
          </cell>
          <cell r="H848">
            <v>0.1586498335625767</v>
          </cell>
          <cell r="I848">
            <v>0.12424502250605537</v>
          </cell>
          <cell r="J848">
            <v>7.7542211704372047E-2</v>
          </cell>
        </row>
        <row r="849">
          <cell r="A849" t="str">
            <v>D-IWST</v>
          </cell>
          <cell r="B849" t="str">
            <v>VAR_fout</v>
          </cell>
          <cell r="C849" t="str">
            <v>CO2</v>
          </cell>
          <cell r="H849">
            <v>1001.7549214565</v>
          </cell>
          <cell r="I849">
            <v>996.69833120078704</v>
          </cell>
          <cell r="J849">
            <v>986.58514923599296</v>
          </cell>
        </row>
        <row r="850">
          <cell r="A850" t="str">
            <v>D-IWST</v>
          </cell>
          <cell r="B850" t="str">
            <v>VAR_fout</v>
          </cell>
          <cell r="C850" t="str">
            <v>IWST</v>
          </cell>
          <cell r="H850">
            <v>10.794772860522585</v>
          </cell>
          <cell r="I850">
            <v>10.740283741387781</v>
          </cell>
          <cell r="J850">
            <v>10.631305487456808</v>
          </cell>
        </row>
        <row r="851">
          <cell r="A851" t="str">
            <v>D-IWST</v>
          </cell>
          <cell r="B851" t="str">
            <v>VAR_fin</v>
          </cell>
          <cell r="C851" t="str">
            <v>WSTNREN</v>
          </cell>
          <cell r="H851">
            <v>10.794772860522585</v>
          </cell>
          <cell r="I851">
            <v>10.740283741387781</v>
          </cell>
          <cell r="J851">
            <v>10.631305487456808</v>
          </cell>
        </row>
        <row r="852">
          <cell r="A852" t="str">
            <v>RHES-SHLFOBR</v>
          </cell>
          <cell r="B852" t="str">
            <v>VAR_fout</v>
          </cell>
          <cell r="C852" t="str">
            <v>CO2_R</v>
          </cell>
          <cell r="H852">
            <v>578.21516261713396</v>
          </cell>
          <cell r="I852">
            <v>413.407923030684</v>
          </cell>
          <cell r="J852">
            <v>134.56590555345201</v>
          </cell>
        </row>
        <row r="853">
          <cell r="A853" t="str">
            <v>RHES-SHLFOBR</v>
          </cell>
          <cell r="B853" t="str">
            <v>VAR_fout</v>
          </cell>
          <cell r="C853" t="str">
            <v>RHES-SHLFO</v>
          </cell>
          <cell r="H853">
            <v>6.83898860169763</v>
          </cell>
          <cell r="I853">
            <v>4.9187558025458085</v>
          </cell>
          <cell r="J853">
            <v>1.608207143937695</v>
          </cell>
        </row>
        <row r="854">
          <cell r="A854" t="str">
            <v>RHES-SHLFOBR</v>
          </cell>
          <cell r="B854" t="str">
            <v>VAR_fin</v>
          </cell>
          <cell r="C854" t="str">
            <v>RLFO</v>
          </cell>
          <cell r="H854">
            <v>7.8455245945337193</v>
          </cell>
          <cell r="I854">
            <v>5.6093340981096826</v>
          </cell>
          <cell r="J854">
            <v>1.8258603195855083</v>
          </cell>
        </row>
        <row r="855">
          <cell r="A855" t="str">
            <v>RHES-SHLFOBR</v>
          </cell>
          <cell r="B855" t="str">
            <v>VAR_ncap</v>
          </cell>
          <cell r="C855" t="str">
            <v>-</v>
          </cell>
          <cell r="H855">
            <v>0.109223418786354</v>
          </cell>
          <cell r="I855">
            <v>0.28816195136953099</v>
          </cell>
          <cell r="J855">
            <v>5.28333829667742E-8</v>
          </cell>
        </row>
        <row r="856">
          <cell r="A856" t="str">
            <v>RHES-SHLFOBR</v>
          </cell>
          <cell r="B856" t="str">
            <v>VAR_cap</v>
          </cell>
          <cell r="C856" t="str">
            <v>-</v>
          </cell>
          <cell r="H856">
            <v>0.5525896395778791</v>
          </cell>
          <cell r="I856">
            <v>0.39738533898099393</v>
          </cell>
          <cell r="J856">
            <v>0.16472348625159439</v>
          </cell>
        </row>
        <row r="857">
          <cell r="A857" t="str">
            <v>ITOT-SWHSTG</v>
          </cell>
          <cell r="B857" t="str">
            <v>VAR_fout</v>
          </cell>
          <cell r="C857" t="str">
            <v>ITOT-SWH</v>
          </cell>
          <cell r="H857">
            <v>2.7705525172097589E-3</v>
          </cell>
          <cell r="I857">
            <v>2.712001353651375E-3</v>
          </cell>
          <cell r="J857">
            <v>1.1297041550283764E-2</v>
          </cell>
        </row>
        <row r="858">
          <cell r="A858" t="str">
            <v>ITOT-SWHSTG</v>
          </cell>
          <cell r="B858" t="str">
            <v>VAR_fout</v>
          </cell>
          <cell r="C858" t="str">
            <v>AUX_ITOT-STG_OUT</v>
          </cell>
          <cell r="H858">
            <v>2.7674741255239725E-3</v>
          </cell>
          <cell r="I858">
            <v>2.7120013536513772E-3</v>
          </cell>
          <cell r="J858">
            <v>1.1297041550283765E-2</v>
          </cell>
        </row>
        <row r="859">
          <cell r="A859" t="str">
            <v>ITOT-SWHSTG</v>
          </cell>
          <cell r="B859" t="str">
            <v>VAR_fin</v>
          </cell>
          <cell r="C859" t="str">
            <v>AUX_ITOT-STG_IN</v>
          </cell>
          <cell r="H859">
            <v>3.0783916823544609E-3</v>
          </cell>
          <cell r="I859">
            <v>2.9161304864873407E-3</v>
          </cell>
          <cell r="J859">
            <v>1.1411153071064993E-2</v>
          </cell>
        </row>
        <row r="860">
          <cell r="A860" t="str">
            <v>ITOT-SWHSTG</v>
          </cell>
          <cell r="B860" t="str">
            <v>VAR_fin</v>
          </cell>
          <cell r="C860" t="str">
            <v>ITOT-SWH</v>
          </cell>
          <cell r="H860">
            <v>3.0783916823544609E-3</v>
          </cell>
          <cell r="I860">
            <v>2.9161304864873407E-3</v>
          </cell>
          <cell r="J860">
            <v>1.1411153071064993E-2</v>
          </cell>
        </row>
        <row r="861">
          <cell r="A861" t="str">
            <v>ITOT-SWHSTG</v>
          </cell>
          <cell r="B861" t="str">
            <v>VAR_ncap</v>
          </cell>
          <cell r="C861" t="str">
            <v>-</v>
          </cell>
          <cell r="H861">
            <v>8.1767391223414596E-4</v>
          </cell>
          <cell r="I861">
            <v>8.56296993990873E-5</v>
          </cell>
          <cell r="J861">
            <v>1.4061698919652799E-3</v>
          </cell>
        </row>
        <row r="862">
          <cell r="A862" t="str">
            <v>ITOT-SWHSTG</v>
          </cell>
          <cell r="B862" t="str">
            <v>VAR_cap</v>
          </cell>
          <cell r="C862" t="str">
            <v>-</v>
          </cell>
          <cell r="H862">
            <v>9.9692388074189698E-4</v>
          </cell>
          <cell r="I862">
            <v>9.0316986393572515E-4</v>
          </cell>
          <cell r="J862">
            <v>1.8108195017027258E-3</v>
          </cell>
        </row>
        <row r="863">
          <cell r="A863" t="str">
            <v>SCOM-SHLFOBR</v>
          </cell>
          <cell r="B863" t="str">
            <v>VAR_fout</v>
          </cell>
          <cell r="C863" t="str">
            <v>CO2_S</v>
          </cell>
          <cell r="H863">
            <v>1111.91052683623</v>
          </cell>
          <cell r="I863">
            <v>894.73973788495505</v>
          </cell>
          <cell r="J863">
            <v>425.83906379606498</v>
          </cell>
        </row>
        <row r="864">
          <cell r="A864" t="str">
            <v>SCOM-SHLFOBR</v>
          </cell>
          <cell r="B864" t="str">
            <v>VAR_fout</v>
          </cell>
          <cell r="C864" t="str">
            <v>SCOM-SHLFO</v>
          </cell>
          <cell r="H864">
            <v>12.329969927937579</v>
          </cell>
          <cell r="I864">
            <v>9.9217642024151402</v>
          </cell>
          <cell r="J864">
            <v>4.7221271172657175</v>
          </cell>
        </row>
        <row r="865">
          <cell r="A865" t="str">
            <v>SCOM-SHLFOBR</v>
          </cell>
          <cell r="B865" t="str">
            <v>VAR_fin</v>
          </cell>
          <cell r="C865" t="str">
            <v>SLFO</v>
          </cell>
          <cell r="H865">
            <v>15.086981368198499</v>
          </cell>
          <cell r="I865">
            <v>12.140294950949196</v>
          </cell>
          <cell r="J865">
            <v>5.7780062930266558</v>
          </cell>
        </row>
        <row r="866">
          <cell r="A866" t="str">
            <v>SCOM-SHLFOBR</v>
          </cell>
          <cell r="B866" t="str">
            <v>VAR_ncap</v>
          </cell>
          <cell r="C866" t="str">
            <v>-</v>
          </cell>
          <cell r="H866">
            <v>0.46631690105522</v>
          </cell>
          <cell r="I866">
            <v>0.303989185691241</v>
          </cell>
          <cell r="J866">
            <v>1.2217922694367301E-6</v>
          </cell>
        </row>
        <row r="867">
          <cell r="A867" t="str">
            <v>SCOM-SHLFOBR</v>
          </cell>
          <cell r="B867" t="str">
            <v>VAR_cap</v>
          </cell>
          <cell r="C867" t="str">
            <v>-</v>
          </cell>
          <cell r="H867">
            <v>0.954070515729179</v>
          </cell>
          <cell r="I867">
            <v>0.77030597258427069</v>
          </cell>
          <cell r="J867">
            <v>0.41786516593903972</v>
          </cell>
        </row>
        <row r="868">
          <cell r="A868" t="str">
            <v>RHNM-SHPLTBR</v>
          </cell>
          <cell r="B868" t="str">
            <v>VAR_fout</v>
          </cell>
          <cell r="C868" t="str">
            <v>RHNM-SHPLT</v>
          </cell>
          <cell r="H868">
            <v>5.7942228766883555E-2</v>
          </cell>
          <cell r="I868">
            <v>7.1346291316511337E-2</v>
          </cell>
          <cell r="J868">
            <v>9.8668824037321287E-2</v>
          </cell>
        </row>
        <row r="869">
          <cell r="A869" t="str">
            <v>RHNM-SHPLTBR</v>
          </cell>
          <cell r="B869" t="str">
            <v>VAR_fin</v>
          </cell>
          <cell r="C869" t="str">
            <v>RPLT</v>
          </cell>
          <cell r="H869">
            <v>7.7462306044926474E-2</v>
          </cell>
          <cell r="I869">
            <v>9.5191366323612428E-2</v>
          </cell>
          <cell r="J869">
            <v>0.13164552775405539</v>
          </cell>
        </row>
        <row r="870">
          <cell r="A870" t="str">
            <v>RHNM-SHPLTBR</v>
          </cell>
          <cell r="B870" t="str">
            <v>VAR_fin</v>
          </cell>
          <cell r="C870" t="str">
            <v>RHNMPLTBRC</v>
          </cell>
          <cell r="H870">
            <v>5.7942228766883555E-2</v>
          </cell>
          <cell r="I870">
            <v>7.1346291316511337E-2</v>
          </cell>
          <cell r="J870">
            <v>9.8668824037321287E-2</v>
          </cell>
        </row>
        <row r="871">
          <cell r="A871" t="str">
            <v>RHNM-SHPLTBR</v>
          </cell>
          <cell r="B871" t="str">
            <v>VAR_ncap</v>
          </cell>
          <cell r="C871" t="str">
            <v>-</v>
          </cell>
          <cell r="H871">
            <v>1.6137092696442701E-3</v>
          </cell>
          <cell r="I871">
            <v>3.9821912431492997E-3</v>
          </cell>
          <cell r="J871">
            <v>4.1034846282630797E-3</v>
          </cell>
        </row>
        <row r="872">
          <cell r="A872" t="str">
            <v>RHNM-SHPLTBR</v>
          </cell>
          <cell r="B872" t="str">
            <v>VAR_cap</v>
          </cell>
          <cell r="C872" t="str">
            <v>-</v>
          </cell>
          <cell r="H872">
            <v>4.5749200699418038E-3</v>
          </cell>
          <cell r="I872">
            <v>5.5997395458894962E-3</v>
          </cell>
          <cell r="J872">
            <v>7.6759316516176491E-3</v>
          </cell>
        </row>
        <row r="873">
          <cell r="A873" t="str">
            <v>D-RHES_NKEV_GAS_ELC_CHP</v>
          </cell>
          <cell r="B873" t="str">
            <v>VAR_fout</v>
          </cell>
          <cell r="C873" t="str">
            <v>RHES_ELC</v>
          </cell>
          <cell r="H873">
            <v>4.4698669026488674E-3</v>
          </cell>
          <cell r="I873">
            <v>1.874757536991675E-3</v>
          </cell>
          <cell r="J873">
            <v>9.9063013618743995E-4</v>
          </cell>
        </row>
        <row r="874">
          <cell r="A874" t="str">
            <v>D-RHES_NKEV_GAS_ELC_CHP</v>
          </cell>
          <cell r="B874" t="str">
            <v>VAR_fout</v>
          </cell>
          <cell r="C874" t="str">
            <v>ELC5</v>
          </cell>
          <cell r="H874">
            <v>7.9012406798615047E-4</v>
          </cell>
          <cell r="I874">
            <v>5.5741716458956533E-4</v>
          </cell>
          <cell r="J874">
            <v>3.1762147536064091E-4</v>
          </cell>
        </row>
        <row r="875">
          <cell r="A875" t="str">
            <v>D-RHES_NKEV_GAS_ELC_CHP</v>
          </cell>
          <cell r="B875" t="str">
            <v>VAR_fin</v>
          </cell>
          <cell r="C875" t="str">
            <v>RHES_NKEV_GAS_ELC_CHP</v>
          </cell>
          <cell r="H875">
            <v>5.2599909706350168E-3</v>
          </cell>
          <cell r="I875">
            <v>2.4321747015812402E-3</v>
          </cell>
          <cell r="J875">
            <v>1.3082516115480811E-3</v>
          </cell>
        </row>
        <row r="876">
          <cell r="A876" t="str">
            <v>SCOM-SHSTG-SOL</v>
          </cell>
          <cell r="B876" t="str">
            <v>VAR_fout</v>
          </cell>
          <cell r="C876" t="str">
            <v>SCOM-SHASOL</v>
          </cell>
          <cell r="H876">
            <v>8.4187112617812173E-6</v>
          </cell>
          <cell r="I876">
            <v>8.4636148283583794E-6</v>
          </cell>
          <cell r="J876">
            <v>6.4580231221996334E-6</v>
          </cell>
        </row>
        <row r="877">
          <cell r="A877" t="str">
            <v>SCOM-SHSTG-SOL</v>
          </cell>
          <cell r="B877" t="str">
            <v>VAR_fin</v>
          </cell>
          <cell r="C877" t="str">
            <v>SCOM-SHASOL</v>
          </cell>
          <cell r="H877">
            <v>6.7402097017209815E-6</v>
          </cell>
          <cell r="I877">
            <v>6.1716408193325031E-6</v>
          </cell>
          <cell r="J877">
            <v>1.5572769872433616E-6</v>
          </cell>
        </row>
        <row r="878">
          <cell r="A878" t="str">
            <v>SCOM-SHSTG-SOL</v>
          </cell>
          <cell r="B878" t="str">
            <v>VAR_ncap</v>
          </cell>
          <cell r="C878" t="str">
            <v>-</v>
          </cell>
          <cell r="H878">
            <v>1.3283003424346299E-2</v>
          </cell>
          <cell r="I878">
            <v>1.1893295735615801E-2</v>
          </cell>
          <cell r="J878">
            <v>1.51823152670841E-2</v>
          </cell>
        </row>
        <row r="879">
          <cell r="A879" t="str">
            <v>SCOM-SHSTG-SOL</v>
          </cell>
          <cell r="B879" t="str">
            <v>VAR_cap</v>
          </cell>
          <cell r="C879" t="str">
            <v>-</v>
          </cell>
          <cell r="H879">
            <v>2.32151132958946E-2</v>
          </cell>
          <cell r="I879">
            <v>2.51765117715309E-2</v>
          </cell>
          <cell r="J879">
            <v>2.9432318094063201E-2</v>
          </cell>
        </row>
        <row r="880">
          <cell r="A880" t="str">
            <v>RHNM-SHELCBRA</v>
          </cell>
          <cell r="B880" t="str">
            <v>VAR_fout</v>
          </cell>
          <cell r="C880" t="str">
            <v>RHNM-SHELCB</v>
          </cell>
          <cell r="H880">
            <v>5.1237261286151475E-3</v>
          </cell>
          <cell r="I880">
            <v>5.8964288829658242E-3</v>
          </cell>
          <cell r="J880">
            <v>7.472505210143008E-3</v>
          </cell>
        </row>
        <row r="881">
          <cell r="A881" t="str">
            <v>RHNM-SHELCBRA</v>
          </cell>
          <cell r="B881" t="str">
            <v>VAR_fin</v>
          </cell>
          <cell r="C881" t="str">
            <v>RHNM-SHAELCB</v>
          </cell>
          <cell r="H881">
            <v>5.1237261286151475E-3</v>
          </cell>
          <cell r="I881">
            <v>5.8964288829658242E-3</v>
          </cell>
          <cell r="J881">
            <v>7.472505210143008E-3</v>
          </cell>
        </row>
        <row r="882">
          <cell r="A882" t="str">
            <v>RHNM-SHELCBRA</v>
          </cell>
          <cell r="B882" t="str">
            <v>VAR_ncap</v>
          </cell>
          <cell r="C882" t="str">
            <v>-</v>
          </cell>
          <cell r="H882">
            <v>1.6148365156642499E-3</v>
          </cell>
        </row>
        <row r="883">
          <cell r="A883" t="str">
            <v>RHNM-SHELCBRA</v>
          </cell>
          <cell r="B883" t="str">
            <v>VAR_cap</v>
          </cell>
          <cell r="C883" t="str">
            <v>-</v>
          </cell>
          <cell r="H883">
            <v>5.4280731926371496E-3</v>
          </cell>
          <cell r="I883">
            <v>1.5850117291931912E-3</v>
          </cell>
          <cell r="J883">
            <v>6.7021732475249288E-4</v>
          </cell>
        </row>
        <row r="884">
          <cell r="A884" t="str">
            <v>RHNM-SHSTG-SOL</v>
          </cell>
          <cell r="B884" t="str">
            <v>VAR_fout</v>
          </cell>
          <cell r="C884" t="str">
            <v>AUX_RHNM-SHSTG-SOL_OUT</v>
          </cell>
          <cell r="H884">
            <v>1.3346848590838615E-5</v>
          </cell>
          <cell r="I884">
            <v>1.7194469906563922E-5</v>
          </cell>
          <cell r="J884">
            <v>4.8275869426079106E-5</v>
          </cell>
        </row>
        <row r="885">
          <cell r="A885" t="str">
            <v>RHNM-SHSTG-SOL</v>
          </cell>
          <cell r="B885" t="str">
            <v>VAR_fout</v>
          </cell>
          <cell r="C885" t="str">
            <v>RHNM-SHASOL</v>
          </cell>
          <cell r="H885">
            <v>1.333351507576285E-5</v>
          </cell>
          <cell r="I885">
            <v>1.7177292613949979E-5</v>
          </cell>
          <cell r="J885">
            <v>4.8227641784294834E-5</v>
          </cell>
        </row>
        <row r="886">
          <cell r="A886" t="str">
            <v>RHNM-SHSTG-SOL</v>
          </cell>
          <cell r="B886" t="str">
            <v>VAR_fin</v>
          </cell>
          <cell r="C886" t="str">
            <v>RHNM-SHASOL</v>
          </cell>
          <cell r="H886">
            <v>1.5324344413272815E-5</v>
          </cell>
          <cell r="I886">
            <v>1.8552302767774666E-5</v>
          </cell>
          <cell r="J886">
            <v>5.1225272832721617E-5</v>
          </cell>
        </row>
        <row r="887">
          <cell r="A887" t="str">
            <v>RHNM-SHSTG-SOL</v>
          </cell>
          <cell r="B887" t="str">
            <v>VAR_ncap</v>
          </cell>
          <cell r="C887" t="str">
            <v>-</v>
          </cell>
          <cell r="H887">
            <v>3.8431375616663499E-7</v>
          </cell>
          <cell r="I887">
            <v>1.13663897952528E-5</v>
          </cell>
          <cell r="J887">
            <v>1.40981839556048E-5</v>
          </cell>
        </row>
        <row r="888">
          <cell r="A888" t="str">
            <v>RHNM-SHSTG-SOL</v>
          </cell>
          <cell r="B888" t="str">
            <v>VAR_cap</v>
          </cell>
          <cell r="C888" t="str">
            <v>-</v>
          </cell>
          <cell r="H888">
            <v>1.14057935662893E-4</v>
          </cell>
          <cell r="I888">
            <v>3.0718223102954703E-5</v>
          </cell>
          <cell r="J888">
            <v>2.2509716738755E-5</v>
          </cell>
        </row>
        <row r="889">
          <cell r="A889" t="str">
            <v>RHNS-SHELCHP</v>
          </cell>
          <cell r="B889" t="str">
            <v>VAR_fout</v>
          </cell>
          <cell r="C889" t="str">
            <v>RHNS-SHAELCH</v>
          </cell>
          <cell r="H889">
            <v>2.5404344874736964</v>
          </cell>
          <cell r="I889">
            <v>2.9754877491314575</v>
          </cell>
          <cell r="J889">
            <v>3.5945916541283389</v>
          </cell>
        </row>
        <row r="890">
          <cell r="A890" t="str">
            <v>RHNS-SHELCHP</v>
          </cell>
          <cell r="B890" t="str">
            <v>VAR_fin</v>
          </cell>
          <cell r="C890" t="str">
            <v>RHNS_ELC</v>
          </cell>
          <cell r="H890">
            <v>0.71071859538798432</v>
          </cell>
          <cell r="I890">
            <v>0.81778110283421879</v>
          </cell>
          <cell r="J890">
            <v>0.95134498909316911</v>
          </cell>
        </row>
        <row r="891">
          <cell r="A891" t="str">
            <v>RHNS-SHELCHP</v>
          </cell>
          <cell r="B891" t="str">
            <v>VAR_fin</v>
          </cell>
          <cell r="C891" t="str">
            <v>RHNSELCHPC</v>
          </cell>
          <cell r="H891">
            <v>2.5404344874736964</v>
          </cell>
          <cell r="I891">
            <v>2.9754877491314575</v>
          </cell>
          <cell r="J891">
            <v>3.5945916541283389</v>
          </cell>
        </row>
        <row r="892">
          <cell r="A892" t="str">
            <v>RHNS-SHELCHP</v>
          </cell>
          <cell r="B892" t="str">
            <v>VAR_ncap</v>
          </cell>
          <cell r="C892" t="str">
            <v>-</v>
          </cell>
          <cell r="H892">
            <v>4.3971335379412502E-2</v>
          </cell>
          <cell r="I892">
            <v>0.115373036130589</v>
          </cell>
          <cell r="J892">
            <v>0.160105007027666</v>
          </cell>
        </row>
        <row r="893">
          <cell r="A893" t="str">
            <v>RHNS-SHELCHP</v>
          </cell>
          <cell r="B893" t="str">
            <v>VAR_cap</v>
          </cell>
          <cell r="C893" t="str">
            <v>-</v>
          </cell>
          <cell r="H893">
            <v>0.18534557566662413</v>
          </cell>
          <cell r="I893">
            <v>0.21686980920785173</v>
          </cell>
          <cell r="J893">
            <v>0.26243464557933122</v>
          </cell>
        </row>
        <row r="894">
          <cell r="A894" t="str">
            <v>SCOM-SHBIOBR</v>
          </cell>
          <cell r="B894" t="str">
            <v>VAR_fout</v>
          </cell>
          <cell r="C894" t="str">
            <v>SCOM-SHBIO</v>
          </cell>
        </row>
        <row r="895">
          <cell r="A895" t="str">
            <v>SCOM-SHBIOBR</v>
          </cell>
          <cell r="B895" t="str">
            <v>VAR_fin</v>
          </cell>
          <cell r="C895" t="str">
            <v>SBIO</v>
          </cell>
        </row>
        <row r="896">
          <cell r="A896" t="str">
            <v>SCOM-SHBIOBR</v>
          </cell>
          <cell r="B896" t="str">
            <v>VAR_ncap</v>
          </cell>
          <cell r="C896" t="str">
            <v>-</v>
          </cell>
          <cell r="H896">
            <v>2.4000570194592101E-5</v>
          </cell>
          <cell r="I896">
            <v>3.33614299873376E-5</v>
          </cell>
          <cell r="J896">
            <v>1.6079174702707199E-5</v>
          </cell>
        </row>
        <row r="897">
          <cell r="A897" t="str">
            <v>SCOM-SHBIOBR</v>
          </cell>
          <cell r="B897" t="str">
            <v>VAR_cap</v>
          </cell>
          <cell r="C897" t="str">
            <v>-</v>
          </cell>
          <cell r="H897">
            <v>2.7333588917870185E-2</v>
          </cell>
          <cell r="I897">
            <v>5.6801092437779958E-5</v>
          </cell>
          <cell r="J897">
            <v>4.970349244933868E-5</v>
          </cell>
        </row>
        <row r="898">
          <cell r="A898" t="str">
            <v>RHES-SHDEM</v>
          </cell>
          <cell r="B898" t="str">
            <v>VAR_fout</v>
          </cell>
          <cell r="C898" t="str">
            <v>RHES-SHD</v>
          </cell>
          <cell r="H898">
            <v>54.724150938296845</v>
          </cell>
          <cell r="I898">
            <v>54.043355936489689</v>
          </cell>
          <cell r="J898">
            <v>53.233963286014351</v>
          </cell>
        </row>
        <row r="899">
          <cell r="A899" t="str">
            <v>RHES-SHDEM</v>
          </cell>
          <cell r="B899" t="str">
            <v>VAR_fin</v>
          </cell>
          <cell r="C899" t="str">
            <v>RHES-SHPLT</v>
          </cell>
          <cell r="H899">
            <v>8.0277127011628091E-2</v>
          </cell>
          <cell r="I899">
            <v>9.4067106709668932E-2</v>
          </cell>
          <cell r="J899">
            <v>0.11799553445801736</v>
          </cell>
        </row>
        <row r="900">
          <cell r="A900" t="str">
            <v>RHES-SHDEM</v>
          </cell>
          <cell r="B900" t="str">
            <v>VAR_fin</v>
          </cell>
          <cell r="C900" t="str">
            <v>RHES-SHLTHC-NGA</v>
          </cell>
        </row>
        <row r="901">
          <cell r="A901" t="str">
            <v>RHES-SHDEM</v>
          </cell>
          <cell r="B901" t="str">
            <v>VAR_fin</v>
          </cell>
          <cell r="C901" t="str">
            <v>RHES-SHSOL</v>
          </cell>
          <cell r="H901">
            <v>2.5498703600693187E-2</v>
          </cell>
          <cell r="I901">
            <v>2.5957244478165005E-2</v>
          </cell>
          <cell r="J901">
            <v>2.6892097280359985E-2</v>
          </cell>
        </row>
        <row r="902">
          <cell r="A902" t="str">
            <v>RHES-SHDEM</v>
          </cell>
          <cell r="B902" t="str">
            <v>VAR_fin</v>
          </cell>
          <cell r="C902" t="str">
            <v>RHES-SHLTHC-WOD</v>
          </cell>
        </row>
        <row r="903">
          <cell r="A903" t="str">
            <v>RHES-SHDEM</v>
          </cell>
          <cell r="B903" t="str">
            <v>VAR_fin</v>
          </cell>
          <cell r="C903" t="str">
            <v>RHES-SHNGA</v>
          </cell>
          <cell r="H903">
            <v>7.1637931928114575</v>
          </cell>
          <cell r="I903">
            <v>5.5349272041199065</v>
          </cell>
          <cell r="J903">
            <v>2.7338442638938996</v>
          </cell>
        </row>
        <row r="904">
          <cell r="A904" t="str">
            <v>RHES-SHDEM</v>
          </cell>
          <cell r="B904" t="str">
            <v>VAR_fin</v>
          </cell>
          <cell r="C904" t="str">
            <v>RHES-SHNGAH</v>
          </cell>
          <cell r="H904">
            <v>4.8863489809418859</v>
          </cell>
          <cell r="I904">
            <v>5.7433241774809307</v>
          </cell>
          <cell r="J904">
            <v>7.2986073656077997</v>
          </cell>
        </row>
        <row r="905">
          <cell r="A905" t="str">
            <v>RHES-SHDEM</v>
          </cell>
          <cell r="B905" t="str">
            <v>VAR_fin</v>
          </cell>
          <cell r="C905" t="str">
            <v>RHES-SHCOA</v>
          </cell>
          <cell r="H905">
            <v>1.0477379308992175E-3</v>
          </cell>
        </row>
        <row r="906">
          <cell r="A906" t="str">
            <v>RHES-SHDEM</v>
          </cell>
          <cell r="B906" t="str">
            <v>VAR_fin</v>
          </cell>
          <cell r="C906" t="str">
            <v>RHES-SHLFO</v>
          </cell>
          <cell r="H906">
            <v>6.8389927199559795</v>
          </cell>
          <cell r="I906">
            <v>4.9187600337056274</v>
          </cell>
          <cell r="J906">
            <v>1.6082108887425774</v>
          </cell>
        </row>
        <row r="907">
          <cell r="A907" t="str">
            <v>RHES-SHDEM</v>
          </cell>
          <cell r="B907" t="str">
            <v>VAR_fin</v>
          </cell>
          <cell r="C907" t="str">
            <v>RHES-SHCON</v>
          </cell>
          <cell r="H907">
            <v>5.8874490583009251</v>
          </cell>
          <cell r="I907">
            <v>7.5899891859171467</v>
          </cell>
          <cell r="J907">
            <v>10.803875557216099</v>
          </cell>
        </row>
        <row r="908">
          <cell r="A908" t="str">
            <v>RHES-SHDEM</v>
          </cell>
          <cell r="B908" t="str">
            <v>VAR_fin</v>
          </cell>
          <cell r="C908" t="str">
            <v>RHES-SHWOD</v>
          </cell>
          <cell r="H908">
            <v>3.9855912426377014</v>
          </cell>
          <cell r="I908">
            <v>3.3714157348011349</v>
          </cell>
          <cell r="J908">
            <v>2.2161112418585831</v>
          </cell>
        </row>
        <row r="909">
          <cell r="A909" t="str">
            <v>RHES-SHDEM</v>
          </cell>
          <cell r="B909" t="str">
            <v>VAR_fin</v>
          </cell>
          <cell r="C909" t="str">
            <v>RHES-SHLTHD</v>
          </cell>
          <cell r="H909">
            <v>1.6558328089372054</v>
          </cell>
          <cell r="I909">
            <v>1.6776589179471131</v>
          </cell>
          <cell r="J909">
            <v>1.7168486596132715</v>
          </cell>
        </row>
        <row r="910">
          <cell r="A910" t="str">
            <v>RHES-SHDEM</v>
          </cell>
          <cell r="B910" t="str">
            <v>VAR_fin</v>
          </cell>
          <cell r="C910" t="str">
            <v>RHES-SHELCB</v>
          </cell>
          <cell r="H910">
            <v>3.1233933171519786E-2</v>
          </cell>
          <cell r="I910">
            <v>4.4977995105390947E-3</v>
          </cell>
          <cell r="J910">
            <v>2.3385830412823235E-3</v>
          </cell>
        </row>
        <row r="911">
          <cell r="A911" t="str">
            <v>RHES-SHDEM</v>
          </cell>
          <cell r="B911" t="str">
            <v>VAR_fin</v>
          </cell>
          <cell r="C911" t="str">
            <v>RHES-SHELCH</v>
          </cell>
          <cell r="H911">
            <v>24.168293051556713</v>
          </cell>
          <cell r="I911">
            <v>25.08293998927601</v>
          </cell>
          <cell r="J911">
            <v>26.709389590018954</v>
          </cell>
        </row>
        <row r="912">
          <cell r="A912" t="str">
            <v>RHES-SHDEM</v>
          </cell>
          <cell r="B912" t="str">
            <v>VAR_fin</v>
          </cell>
          <cell r="C912" t="str">
            <v>RHES-SHNST</v>
          </cell>
        </row>
        <row r="913">
          <cell r="A913" t="str">
            <v>D-RHEM_LTH_CHPNGA</v>
          </cell>
          <cell r="B913" t="str">
            <v>VAR_fout</v>
          </cell>
          <cell r="C913" t="str">
            <v>RHSA_LTH</v>
          </cell>
          <cell r="H913">
            <v>0.48709764950701939</v>
          </cell>
          <cell r="I913">
            <v>1.3283720076758894</v>
          </cell>
          <cell r="J913">
            <v>1.444707189621236</v>
          </cell>
        </row>
        <row r="914">
          <cell r="A914" t="str">
            <v>D-RHEM_LTH_CHPNGA</v>
          </cell>
          <cell r="B914" t="str">
            <v>VAR_fout</v>
          </cell>
          <cell r="C914" t="str">
            <v>RHEM_LTH_CHPNGA_ON</v>
          </cell>
          <cell r="H914">
            <v>0.55913207237769591</v>
          </cell>
          <cell r="J914">
            <v>6.7656275665965299E-3</v>
          </cell>
        </row>
        <row r="915">
          <cell r="A915" t="str">
            <v>D-RHEM_LTH_CHPNGA</v>
          </cell>
          <cell r="B915" t="str">
            <v>VAR_fout</v>
          </cell>
          <cell r="C915" t="str">
            <v>LTH</v>
          </cell>
          <cell r="H915">
            <v>1.755810212093401E-3</v>
          </cell>
          <cell r="I915">
            <v>3.2336835297585853E-3</v>
          </cell>
          <cell r="J915">
            <v>5.368225281075301E-3</v>
          </cell>
        </row>
        <row r="916">
          <cell r="A916" t="str">
            <v>D-RHEM_LTH_CHPNGA</v>
          </cell>
          <cell r="B916" t="str">
            <v>VAR_fin</v>
          </cell>
          <cell r="C916" t="str">
            <v>RHEM_LTH_CHPNGA</v>
          </cell>
          <cell r="H916">
            <v>1.047985532096809</v>
          </cell>
          <cell r="I916">
            <v>1.3316056912056478</v>
          </cell>
          <cell r="J916">
            <v>1.4568410424689058</v>
          </cell>
        </row>
        <row r="917">
          <cell r="A917" t="str">
            <v>RHEM-SHLTHCHPNGA</v>
          </cell>
          <cell r="B917" t="str">
            <v>VAR_fout</v>
          </cell>
          <cell r="C917" t="str">
            <v>RHEM-SHLTHC-NGA</v>
          </cell>
        </row>
        <row r="918">
          <cell r="A918" t="str">
            <v>RHEM-SHLTHCHPNGA</v>
          </cell>
          <cell r="B918" t="str">
            <v>VAR_fin</v>
          </cell>
          <cell r="C918" t="str">
            <v>RHEM_LTH_CHPNGA_ON</v>
          </cell>
        </row>
        <row r="919">
          <cell r="A919" t="str">
            <v>RHEM-SHLTHCHPNGA</v>
          </cell>
          <cell r="B919" t="str">
            <v>VAR_fin</v>
          </cell>
          <cell r="C919" t="str">
            <v>RHEMLTHCHPC</v>
          </cell>
        </row>
        <row r="920">
          <cell r="A920" t="str">
            <v>RHEM-SHLTHCHPNGA</v>
          </cell>
          <cell r="B920" t="str">
            <v>VAR_ncap</v>
          </cell>
          <cell r="C920" t="str">
            <v>-</v>
          </cell>
          <cell r="H920">
            <v>2.5943647071587798E-2</v>
          </cell>
          <cell r="I920">
            <v>1.9481016254258601E-2</v>
          </cell>
          <cell r="J920">
            <v>1.3811515453070499E-2</v>
          </cell>
        </row>
        <row r="921">
          <cell r="A921" t="str">
            <v>RHEM-SHLTHCHPNGA</v>
          </cell>
          <cell r="B921" t="str">
            <v>VAR_cap</v>
          </cell>
          <cell r="C921" t="str">
            <v>-</v>
          </cell>
          <cell r="H921">
            <v>4.4245915027602285E-2</v>
          </cell>
          <cell r="I921">
            <v>4.4461992763444598E-2</v>
          </cell>
          <cell r="J921">
            <v>2.5995476705819E-2</v>
          </cell>
        </row>
        <row r="922">
          <cell r="A922" t="str">
            <v>D-RHES_SOLELC</v>
          </cell>
          <cell r="B922" t="str">
            <v>VAR_fout</v>
          </cell>
          <cell r="C922" t="str">
            <v>RHES_ELC</v>
          </cell>
          <cell r="H922">
            <v>4.6100623653855166</v>
          </cell>
          <cell r="I922">
            <v>4.8937362546875907</v>
          </cell>
          <cell r="J922">
            <v>5.5140160584811557</v>
          </cell>
        </row>
        <row r="923">
          <cell r="A923" t="str">
            <v>D-RHES_SOLELC</v>
          </cell>
          <cell r="B923" t="str">
            <v>VAR_fout</v>
          </cell>
          <cell r="C923" t="str">
            <v>ELC5</v>
          </cell>
          <cell r="H923">
            <v>7.7662256141522467E-4</v>
          </cell>
          <cell r="I923">
            <v>5.9084253344784748E-4</v>
          </cell>
          <cell r="J923">
            <v>3.4818314982436809E-4</v>
          </cell>
        </row>
        <row r="924">
          <cell r="A924" t="str">
            <v>D-RHES_SOLELC</v>
          </cell>
          <cell r="B924" t="str">
            <v>VAR_fin</v>
          </cell>
          <cell r="C924" t="str">
            <v>RHES_SOL_ELC</v>
          </cell>
          <cell r="H924">
            <v>4.6108389879469289</v>
          </cell>
          <cell r="I924">
            <v>4.8943270972210406</v>
          </cell>
          <cell r="J924">
            <v>5.5143642416309797</v>
          </cell>
        </row>
        <row r="925">
          <cell r="A925" t="str">
            <v>D-DH2</v>
          </cell>
          <cell r="B925" t="str">
            <v>VAR_fout</v>
          </cell>
          <cell r="C925" t="str">
            <v>H2</v>
          </cell>
          <cell r="H925">
            <v>2.6231949624228343E-5</v>
          </cell>
          <cell r="I925">
            <v>8.0819187915997159E-4</v>
          </cell>
          <cell r="J925">
            <v>8.5720731741051488E-4</v>
          </cell>
        </row>
        <row r="926">
          <cell r="A926" t="str">
            <v>D-DH2</v>
          </cell>
          <cell r="B926" t="str">
            <v>VAR_fin</v>
          </cell>
          <cell r="C926" t="str">
            <v>H2_E</v>
          </cell>
          <cell r="H926">
            <v>2.6496918812351871E-5</v>
          </cell>
          <cell r="I926">
            <v>8.1635543349492079E-4</v>
          </cell>
          <cell r="J926">
            <v>8.6586597718233771E-4</v>
          </cell>
        </row>
        <row r="927">
          <cell r="A927" t="str">
            <v>D-DH2</v>
          </cell>
          <cell r="B927" t="str">
            <v>VAR_ncap</v>
          </cell>
          <cell r="C927" t="str">
            <v>-</v>
          </cell>
          <cell r="H927">
            <v>3.3440003263567901E-5</v>
          </cell>
          <cell r="I927">
            <v>1.4540774769116699E-4</v>
          </cell>
          <cell r="J927">
            <v>4.3829151773493701E-6</v>
          </cell>
        </row>
        <row r="928">
          <cell r="A928" t="str">
            <v>D-DH2</v>
          </cell>
          <cell r="B928" t="str">
            <v>VAR_cap</v>
          </cell>
          <cell r="C928" t="str">
            <v>-</v>
          </cell>
          <cell r="H928">
            <v>6.1441387326461794E-5</v>
          </cell>
          <cell r="I928">
            <v>2.0684913501762899E-4</v>
          </cell>
          <cell r="J928">
            <v>2.11232050194978E-4</v>
          </cell>
        </row>
        <row r="929">
          <cell r="A929" t="str">
            <v>ITOT-SWHHFOBR</v>
          </cell>
          <cell r="B929" t="str">
            <v>VAR_fout</v>
          </cell>
          <cell r="C929" t="str">
            <v>ITOT-SWH</v>
          </cell>
          <cell r="H929">
            <v>7.4152316565190832E-4</v>
          </cell>
          <cell r="I929">
            <v>5.2374075616018598E-4</v>
          </cell>
        </row>
        <row r="930">
          <cell r="A930" t="str">
            <v>ITOT-SWHHFOBR</v>
          </cell>
          <cell r="B930" t="str">
            <v>VAR_fout</v>
          </cell>
          <cell r="C930" t="str">
            <v>CO2_I</v>
          </cell>
          <cell r="H930">
            <v>8.1793942168784203E-2</v>
          </cell>
          <cell r="I930">
            <v>5.71724802046207E-2</v>
          </cell>
        </row>
        <row r="931">
          <cell r="A931" t="str">
            <v>ITOT-SWHHFOBR</v>
          </cell>
          <cell r="B931" t="str">
            <v>VAR_fin</v>
          </cell>
          <cell r="C931" t="str">
            <v>IHFO</v>
          </cell>
          <cell r="H931">
            <v>1.0622589892049896E-3</v>
          </cell>
          <cell r="I931">
            <v>7.424997429171515E-4</v>
          </cell>
        </row>
        <row r="932">
          <cell r="A932" t="str">
            <v>ITOT-SWHHFOBR</v>
          </cell>
          <cell r="B932" t="str">
            <v>VAR_ncap</v>
          </cell>
          <cell r="C932" t="str">
            <v>-</v>
          </cell>
          <cell r="H932">
            <v>5.2325308616684398E-5</v>
          </cell>
          <cell r="I932">
            <v>9.8658829185335705E-6</v>
          </cell>
          <cell r="J932">
            <v>8.4570631563864002E-7</v>
          </cell>
        </row>
        <row r="933">
          <cell r="A933" t="str">
            <v>ITOT-SWHHFOBR</v>
          </cell>
          <cell r="B933" t="str">
            <v>VAR_cap</v>
          </cell>
          <cell r="C933" t="str">
            <v>-</v>
          </cell>
          <cell r="H933">
            <v>7.0067926973008815E-5</v>
          </cell>
          <cell r="I933">
            <v>4.96772183071229E-5</v>
          </cell>
          <cell r="J933">
            <v>-1.5048910816686994E-6</v>
          </cell>
        </row>
        <row r="934">
          <cell r="A934" t="str">
            <v>RHSA-WHSTG-ELCHP</v>
          </cell>
          <cell r="B934" t="str">
            <v>VAR_fout</v>
          </cell>
          <cell r="C934" t="str">
            <v>AUX_RHSA-WHSTG-ELCHP_OUT</v>
          </cell>
          <cell r="H934">
            <v>1.5078829559305291</v>
          </cell>
          <cell r="I934">
            <v>1.9840138241001093</v>
          </cell>
          <cell r="J934">
            <v>2.7077681830443092</v>
          </cell>
        </row>
        <row r="935">
          <cell r="A935" t="str">
            <v>RHSA-WHSTG-ELCHP</v>
          </cell>
          <cell r="B935" t="str">
            <v>VAR_fout</v>
          </cell>
          <cell r="C935" t="str">
            <v>RHSA-WHAELCH</v>
          </cell>
          <cell r="H935">
            <v>1.5063765793511787</v>
          </cell>
          <cell r="I935">
            <v>1.9820317923078032</v>
          </cell>
          <cell r="J935">
            <v>2.7050631199243864</v>
          </cell>
        </row>
        <row r="936">
          <cell r="A936" t="str">
            <v>RHSA-WHSTG-ELCHP</v>
          </cell>
          <cell r="B936" t="str">
            <v>VAR_fin</v>
          </cell>
          <cell r="C936" t="str">
            <v>RHSA-WHAELCH</v>
          </cell>
          <cell r="H936">
            <v>1.5063775757852467</v>
          </cell>
          <cell r="I936">
            <v>1.9820330970760585</v>
          </cell>
          <cell r="J936">
            <v>2.7050647268675978</v>
          </cell>
        </row>
        <row r="937">
          <cell r="A937" t="str">
            <v>RHSA-WHSTG-ELCHP</v>
          </cell>
          <cell r="B937" t="str">
            <v>VAR_ncap</v>
          </cell>
          <cell r="C937" t="str">
            <v>-</v>
          </cell>
          <cell r="H937">
            <v>7.15322271567784E-2</v>
          </cell>
          <cell r="I937">
            <v>6.4007814291819495E-2</v>
          </cell>
          <cell r="J937">
            <v>0.13910694475364899</v>
          </cell>
        </row>
        <row r="938">
          <cell r="A938" t="str">
            <v>RHSA-WHSTG-ELCHP</v>
          </cell>
          <cell r="B938" t="str">
            <v>VAR_cap</v>
          </cell>
          <cell r="C938" t="str">
            <v>-</v>
          </cell>
          <cell r="H938">
            <v>0.13798304967494973</v>
          </cell>
          <cell r="I938">
            <v>0.16259764566245677</v>
          </cell>
          <cell r="J938">
            <v>0.2157774658574112</v>
          </cell>
        </row>
        <row r="939">
          <cell r="A939" t="str">
            <v>RES-ELCSPECADV</v>
          </cell>
          <cell r="B939" t="str">
            <v>VAR_ncap</v>
          </cell>
          <cell r="C939" t="str">
            <v>-</v>
          </cell>
          <cell r="H939">
            <v>1.12167638978223E-7</v>
          </cell>
          <cell r="I939">
            <v>4.61952116419062E-8</v>
          </cell>
          <cell r="J939">
            <v>7.3403889731956197E-8</v>
          </cell>
        </row>
        <row r="940">
          <cell r="A940" t="str">
            <v>RES-ELCSPECADV</v>
          </cell>
          <cell r="B940" t="str">
            <v>VAR_cap</v>
          </cell>
          <cell r="C940" t="str">
            <v>-</v>
          </cell>
          <cell r="H940">
            <v>2.1522928499431991E-8</v>
          </cell>
          <cell r="I940">
            <v>-1.4238924644112402E-7</v>
          </cell>
          <cell r="J940">
            <v>-7.7216070971866E-8</v>
          </cell>
        </row>
        <row r="941">
          <cell r="A941" t="str">
            <v>ITOT-SWHSTG-ELCHP</v>
          </cell>
          <cell r="B941" t="str">
            <v>VAR_fout</v>
          </cell>
          <cell r="C941" t="str">
            <v>ITOT-SWHAELCH</v>
          </cell>
          <cell r="H941">
            <v>1.8695520285878771E-3</v>
          </cell>
          <cell r="I941">
            <v>1.5244948071252503E-3</v>
          </cell>
          <cell r="J941">
            <v>1.4753160111677956E-3</v>
          </cell>
        </row>
        <row r="942">
          <cell r="A942" t="str">
            <v>ITOT-SWHSTG-ELCHP</v>
          </cell>
          <cell r="B942" t="str">
            <v>VAR_fin</v>
          </cell>
          <cell r="C942" t="str">
            <v>ITOT-SWHAELCH</v>
          </cell>
          <cell r="H942">
            <v>2.2921515035758109E-3</v>
          </cell>
          <cell r="I942">
            <v>1.8188924160361011E-3</v>
          </cell>
          <cell r="J942">
            <v>1.6703982860264124E-3</v>
          </cell>
        </row>
        <row r="943">
          <cell r="A943" t="str">
            <v>ITOT-SWHSTG-ELCHP</v>
          </cell>
          <cell r="B943" t="str">
            <v>VAR_ncap</v>
          </cell>
          <cell r="C943" t="str">
            <v>-</v>
          </cell>
          <cell r="H943">
            <v>4.3796903813019199E-2</v>
          </cell>
          <cell r="I943">
            <v>1.5755596752494602E-2</v>
          </cell>
          <cell r="J943">
            <v>0.141292780583543</v>
          </cell>
        </row>
        <row r="944">
          <cell r="A944" t="str">
            <v>ITOT-SWHSTG-ELCHP</v>
          </cell>
          <cell r="B944" t="str">
            <v>VAR_cap</v>
          </cell>
          <cell r="C944" t="str">
            <v>-</v>
          </cell>
          <cell r="H944">
            <v>8.0043316047607629E-2</v>
          </cell>
          <cell r="I944">
            <v>8.0632046468743127E-2</v>
          </cell>
          <cell r="J944">
            <v>0.17121472596522708</v>
          </cell>
        </row>
        <row r="945">
          <cell r="A945" t="str">
            <v>D-RHNS_LTH_CHPWOD</v>
          </cell>
          <cell r="B945" t="str">
            <v>VAR_fout</v>
          </cell>
          <cell r="C945" t="str">
            <v>RHNS_LTH_CHPWOD_ON</v>
          </cell>
          <cell r="H945">
            <v>9.386615410958112E-4</v>
          </cell>
          <cell r="I945">
            <v>2.0939351915371659E-4</v>
          </cell>
        </row>
        <row r="946">
          <cell r="A946" t="str">
            <v>D-RHNS_LTH_CHPWOD</v>
          </cell>
          <cell r="B946" t="str">
            <v>VAR_fout</v>
          </cell>
          <cell r="C946" t="str">
            <v>RHSA_LTH</v>
          </cell>
          <cell r="H946">
            <v>2.2840415629556289E-4</v>
          </cell>
          <cell r="I946">
            <v>5.1867759846927993E-4</v>
          </cell>
          <cell r="J946">
            <v>4.1433599630177518E-4</v>
          </cell>
        </row>
        <row r="947">
          <cell r="A947" t="str">
            <v>D-RHNS_LTH_CHPWOD</v>
          </cell>
          <cell r="B947" t="str">
            <v>VAR_fin</v>
          </cell>
          <cell r="C947" t="str">
            <v>RHNS_LTH_CHPWOD</v>
          </cell>
          <cell r="H947">
            <v>1.1682108130572602E-3</v>
          </cell>
          <cell r="I947">
            <v>7.2903587008367454E-4</v>
          </cell>
          <cell r="J947">
            <v>4.151687433233832E-4</v>
          </cell>
        </row>
        <row r="948">
          <cell r="A948" t="str">
            <v>D-SBIO</v>
          </cell>
          <cell r="B948" t="str">
            <v>VAR_fout</v>
          </cell>
          <cell r="C948" t="str">
            <v>SBIO</v>
          </cell>
          <cell r="H948">
            <v>2.9905996273823137</v>
          </cell>
          <cell r="I948">
            <v>2.9497597107819153</v>
          </cell>
          <cell r="J948">
            <v>2.8714323122977481</v>
          </cell>
        </row>
        <row r="949">
          <cell r="A949" t="str">
            <v>D-SBIO</v>
          </cell>
          <cell r="B949" t="str">
            <v>VAR_fin</v>
          </cell>
          <cell r="C949" t="str">
            <v>BIO</v>
          </cell>
          <cell r="H949">
            <v>2.9905996273823137</v>
          </cell>
          <cell r="I949">
            <v>2.9497597107819153</v>
          </cell>
          <cell r="J949">
            <v>2.8714323122977481</v>
          </cell>
        </row>
        <row r="950">
          <cell r="A950" t="str">
            <v>RHEM-SHDEM</v>
          </cell>
          <cell r="B950" t="str">
            <v>VAR_fout</v>
          </cell>
          <cell r="C950" t="str">
            <v>RHEM-SHD</v>
          </cell>
          <cell r="H950">
            <v>63.749456903392712</v>
          </cell>
          <cell r="I950">
            <v>62.524076411985789</v>
          </cell>
          <cell r="J950">
            <v>60.742174737363626</v>
          </cell>
        </row>
        <row r="951">
          <cell r="A951" t="str">
            <v>RHEM-SHDEM</v>
          </cell>
          <cell r="B951" t="str">
            <v>VAR_fin</v>
          </cell>
          <cell r="C951" t="str">
            <v>RHEM-SHNST</v>
          </cell>
        </row>
        <row r="952">
          <cell r="A952" t="str">
            <v>RHEM-SHDEM</v>
          </cell>
          <cell r="B952" t="str">
            <v>VAR_fin</v>
          </cell>
          <cell r="C952" t="str">
            <v>RHEM-SHPLT</v>
          </cell>
          <cell r="H952">
            <v>0.54089461325883748</v>
          </cell>
          <cell r="I952">
            <v>0.60564316536399254</v>
          </cell>
          <cell r="J952">
            <v>0.71101642974256074</v>
          </cell>
        </row>
        <row r="953">
          <cell r="A953" t="str">
            <v>RHEM-SHDEM</v>
          </cell>
          <cell r="B953" t="str">
            <v>VAR_fin</v>
          </cell>
          <cell r="C953" t="str">
            <v>RHEM-SHNGAH</v>
          </cell>
          <cell r="H953">
            <v>5.2366034289051262</v>
          </cell>
          <cell r="I953">
            <v>6.3222825057056813</v>
          </cell>
          <cell r="J953">
            <v>8.6797845407798775</v>
          </cell>
        </row>
        <row r="954">
          <cell r="A954" t="str">
            <v>RHEM-SHDEM</v>
          </cell>
          <cell r="B954" t="str">
            <v>VAR_fin</v>
          </cell>
          <cell r="C954" t="str">
            <v>RHEM-SHLTHC-WOD</v>
          </cell>
        </row>
        <row r="955">
          <cell r="A955" t="str">
            <v>RHEM-SHDEM</v>
          </cell>
          <cell r="B955" t="str">
            <v>VAR_fin</v>
          </cell>
          <cell r="C955" t="str">
            <v>RHEM-SHSOL</v>
          </cell>
          <cell r="H955">
            <v>1.2291342231694643E-2</v>
          </cell>
          <cell r="I955">
            <v>1.2919218746015251E-2</v>
          </cell>
          <cell r="J955">
            <v>1.3098955660420904E-2</v>
          </cell>
        </row>
        <row r="956">
          <cell r="A956" t="str">
            <v>RHEM-SHDEM</v>
          </cell>
          <cell r="B956" t="str">
            <v>VAR_fin</v>
          </cell>
          <cell r="C956" t="str">
            <v>RHEM-SHLTHD</v>
          </cell>
          <cell r="H956">
            <v>4.9896238789500611</v>
          </cell>
          <cell r="I956">
            <v>5.0196938626313301</v>
          </cell>
          <cell r="J956">
            <v>5.1019404311023484</v>
          </cell>
        </row>
        <row r="957">
          <cell r="A957" t="str">
            <v>RHEM-SHDEM</v>
          </cell>
          <cell r="B957" t="str">
            <v>VAR_fin</v>
          </cell>
          <cell r="C957" t="str">
            <v>RHEM-SHNGA</v>
          </cell>
          <cell r="H957">
            <v>15.159489398529319</v>
          </cell>
          <cell r="I957">
            <v>11.777045199523847</v>
          </cell>
          <cell r="J957">
            <v>5.4793837062999318</v>
          </cell>
        </row>
        <row r="958">
          <cell r="A958" t="str">
            <v>RHEM-SHDEM</v>
          </cell>
          <cell r="B958" t="str">
            <v>VAR_fin</v>
          </cell>
          <cell r="C958" t="str">
            <v>RHEM-SHELCB</v>
          </cell>
          <cell r="H958">
            <v>5.7764212567955947E-3</v>
          </cell>
          <cell r="I958">
            <v>4.194558952298537E-3</v>
          </cell>
          <cell r="J958">
            <v>3.4555987605288719E-3</v>
          </cell>
        </row>
        <row r="959">
          <cell r="A959" t="str">
            <v>RHEM-SHDEM</v>
          </cell>
          <cell r="B959" t="str">
            <v>VAR_fin</v>
          </cell>
          <cell r="C959" t="str">
            <v>RHEM-SHELCH</v>
          </cell>
          <cell r="H959">
            <v>15.044674495341107</v>
          </cell>
          <cell r="I959">
            <v>16.74438926767159</v>
          </cell>
          <cell r="J959">
            <v>20.739167040466626</v>
          </cell>
        </row>
        <row r="960">
          <cell r="A960" t="str">
            <v>RHEM-SHDEM</v>
          </cell>
          <cell r="B960" t="str">
            <v>VAR_fin</v>
          </cell>
          <cell r="C960" t="str">
            <v>RHEM-SHLFO</v>
          </cell>
          <cell r="H960">
            <v>10.654284524262955</v>
          </cell>
          <cell r="I960">
            <v>8.2180594850752016</v>
          </cell>
          <cell r="J960">
            <v>3.1351856984231175</v>
          </cell>
        </row>
        <row r="961">
          <cell r="A961" t="str">
            <v>RHEM-SHDEM</v>
          </cell>
          <cell r="B961" t="str">
            <v>VAR_fin</v>
          </cell>
          <cell r="C961" t="str">
            <v>RHEM-SHCON</v>
          </cell>
          <cell r="H961">
            <v>7.2928782603396751</v>
          </cell>
          <cell r="I961">
            <v>9.3520903240620648</v>
          </cell>
          <cell r="J961">
            <v>13.165130907865022</v>
          </cell>
        </row>
        <row r="962">
          <cell r="A962" t="str">
            <v>RHEM-SHDEM</v>
          </cell>
          <cell r="B962" t="str">
            <v>VAR_fin</v>
          </cell>
          <cell r="C962" t="str">
            <v>RHEM-SHWOD</v>
          </cell>
          <cell r="H962">
            <v>4.8131460416257115</v>
          </cell>
          <cell r="I962">
            <v>4.4679454103767275</v>
          </cell>
          <cell r="J962">
            <v>3.7141678120338439</v>
          </cell>
        </row>
        <row r="963">
          <cell r="A963" t="str">
            <v>RHEM-SHDEM</v>
          </cell>
          <cell r="B963" t="str">
            <v>VAR_fin</v>
          </cell>
          <cell r="C963" t="str">
            <v>RHEM-SHLTHC-NGA</v>
          </cell>
        </row>
        <row r="964">
          <cell r="A964" t="str">
            <v>ITOT-SWHH2BR</v>
          </cell>
          <cell r="B964" t="str">
            <v>VAR_fout</v>
          </cell>
          <cell r="C964" t="str">
            <v>ITOT-SWH</v>
          </cell>
          <cell r="H964">
            <v>8.6631023720245767E-3</v>
          </cell>
          <cell r="I964">
            <v>9.3208362125146247E-3</v>
          </cell>
          <cell r="J964">
            <v>9.1629767881009017E-2</v>
          </cell>
        </row>
        <row r="965">
          <cell r="A965" t="str">
            <v>ITOT-SWHH2BR</v>
          </cell>
          <cell r="B965" t="str">
            <v>VAR_fin</v>
          </cell>
          <cell r="C965" t="str">
            <v>IH2</v>
          </cell>
          <cell r="H965">
            <v>1.0738075582102066E-2</v>
          </cell>
          <cell r="I965">
            <v>1.1528177231286392E-2</v>
          </cell>
          <cell r="J965">
            <v>0.11283765348241764</v>
          </cell>
        </row>
        <row r="966">
          <cell r="A966" t="str">
            <v>ITOT-SWHH2BR</v>
          </cell>
          <cell r="B966" t="str">
            <v>VAR_ncap</v>
          </cell>
          <cell r="C966" t="str">
            <v>-</v>
          </cell>
          <cell r="H966">
            <v>4.5745529859781E-4</v>
          </cell>
          <cell r="I966">
            <v>1.90521984496584E-4</v>
          </cell>
          <cell r="J966">
            <v>6.3954194168219904E-3</v>
          </cell>
        </row>
        <row r="967">
          <cell r="A967" t="str">
            <v>ITOT-SWHH2BR</v>
          </cell>
          <cell r="B967" t="str">
            <v>VAR_cap</v>
          </cell>
          <cell r="C967" t="str">
            <v>-</v>
          </cell>
          <cell r="H967">
            <v>8.2035793818722568E-4</v>
          </cell>
          <cell r="I967">
            <v>8.8445266650247537E-4</v>
          </cell>
          <cell r="J967">
            <v>6.7184293051332847E-3</v>
          </cell>
        </row>
        <row r="968">
          <cell r="A968" t="str">
            <v>RHNS-SHSTG-ELC</v>
          </cell>
          <cell r="B968" t="str">
            <v>VAR_fout</v>
          </cell>
          <cell r="C968" t="str">
            <v>RHNS-SHAELCB</v>
          </cell>
          <cell r="H968">
            <v>2.9135253413634021E-3</v>
          </cell>
          <cell r="I968">
            <v>4.3668461282439838E-3</v>
          </cell>
          <cell r="J968">
            <v>4.045526086204879E-3</v>
          </cell>
        </row>
        <row r="969">
          <cell r="A969" t="str">
            <v>RHNS-SHSTG-ELC</v>
          </cell>
          <cell r="B969" t="str">
            <v>VAR_fout</v>
          </cell>
          <cell r="C969" t="str">
            <v>AUX_RHNS-SHSTG-ELC_OUT</v>
          </cell>
          <cell r="H969">
            <v>2.916438866704766E-3</v>
          </cell>
          <cell r="I969">
            <v>4.3712129743722289E-3</v>
          </cell>
          <cell r="J969">
            <v>4.0495716122910842E-3</v>
          </cell>
        </row>
        <row r="970">
          <cell r="A970" t="str">
            <v>RHNS-SHSTG-ELC</v>
          </cell>
          <cell r="B970" t="str">
            <v>VAR_fin</v>
          </cell>
          <cell r="C970" t="str">
            <v>RHNS-SHAELCB</v>
          </cell>
          <cell r="H970">
            <v>2.9124678626168423E-3</v>
          </cell>
          <cell r="I970">
            <v>4.365941873578208E-3</v>
          </cell>
          <cell r="J970">
            <v>4.0455289968124699E-3</v>
          </cell>
        </row>
        <row r="971">
          <cell r="A971" t="str">
            <v>RHNS-SHSTG-ELC</v>
          </cell>
          <cell r="B971" t="str">
            <v>VAR_ncap</v>
          </cell>
          <cell r="C971" t="str">
            <v>-</v>
          </cell>
          <cell r="H971">
            <v>6.2056285382884005E-4</v>
          </cell>
          <cell r="I971">
            <v>2.6383090199115798E-4</v>
          </cell>
          <cell r="J971">
            <v>1.7947797669022901E-5</v>
          </cell>
        </row>
        <row r="972">
          <cell r="A972" t="str">
            <v>RHNS-SHSTG-ELC</v>
          </cell>
          <cell r="B972" t="str">
            <v>VAR_cap</v>
          </cell>
          <cell r="C972" t="str">
            <v>-</v>
          </cell>
          <cell r="H972">
            <v>1.4791376540264801E-3</v>
          </cell>
          <cell r="I972">
            <v>1.0198275817786587E-3</v>
          </cell>
          <cell r="J972">
            <v>4.3169382261983025E-4</v>
          </cell>
        </row>
        <row r="973">
          <cell r="A973" t="str">
            <v>RHES-SHCOABR</v>
          </cell>
          <cell r="B973" t="str">
            <v>VAR_fout</v>
          </cell>
          <cell r="C973" t="str">
            <v>CO2_R</v>
          </cell>
          <cell r="H973">
            <v>0.120771358129107</v>
          </cell>
        </row>
        <row r="974">
          <cell r="A974" t="str">
            <v>RHES-SHCOABR</v>
          </cell>
          <cell r="B974" t="str">
            <v>VAR_fout</v>
          </cell>
          <cell r="C974" t="str">
            <v>RHES-SHCOA</v>
          </cell>
          <cell r="H974">
            <v>1.0422555178348E-3</v>
          </cell>
        </row>
        <row r="975">
          <cell r="A975" t="str">
            <v>RHES-SHCOABR</v>
          </cell>
          <cell r="B975" t="str">
            <v>VAR_fin</v>
          </cell>
          <cell r="C975" t="str">
            <v>RCOA</v>
          </cell>
          <cell r="H975">
            <v>1.3028193972934993E-3</v>
          </cell>
        </row>
        <row r="976">
          <cell r="A976" t="str">
            <v>RHES-SHCOABR</v>
          </cell>
          <cell r="B976" t="str">
            <v>VAR_cap</v>
          </cell>
          <cell r="C976" t="str">
            <v>-</v>
          </cell>
          <cell r="H976">
            <v>1.4537968701158993E-4</v>
          </cell>
        </row>
        <row r="977">
          <cell r="A977" t="str">
            <v>D-INGA</v>
          </cell>
          <cell r="B977" t="str">
            <v>VAR_fout</v>
          </cell>
          <cell r="C977" t="str">
            <v>CO2</v>
          </cell>
          <cell r="H977">
            <v>1608.9666301341399</v>
          </cell>
          <cell r="I977">
            <v>1439.0916660007599</v>
          </cell>
          <cell r="J977">
            <v>663.48436560028995</v>
          </cell>
        </row>
        <row r="978">
          <cell r="A978" t="str">
            <v>D-INGA</v>
          </cell>
          <cell r="B978" t="str">
            <v>VAR_fout</v>
          </cell>
          <cell r="C978" t="str">
            <v>IH2</v>
          </cell>
          <cell r="H978">
            <v>7.1948835866762545E-3</v>
          </cell>
          <cell r="I978">
            <v>9.1077197665686109E-3</v>
          </cell>
          <cell r="J978">
            <v>8.8665826148253413E-2</v>
          </cell>
        </row>
        <row r="979">
          <cell r="A979" t="str">
            <v>D-INGA</v>
          </cell>
          <cell r="B979" t="str">
            <v>VAR_fout</v>
          </cell>
          <cell r="C979" t="str">
            <v>INGA</v>
          </cell>
          <cell r="H979">
            <v>31.504957890967265</v>
          </cell>
          <cell r="I979">
            <v>28.502574510294782</v>
          </cell>
          <cell r="J979">
            <v>14.794211126107061</v>
          </cell>
        </row>
        <row r="980">
          <cell r="A980" t="str">
            <v>D-INGA</v>
          </cell>
          <cell r="B980" t="str">
            <v>VAR_fin</v>
          </cell>
          <cell r="C980" t="str">
            <v>NGA</v>
          </cell>
          <cell r="H980">
            <v>28.52777713003789</v>
          </cell>
          <cell r="I980">
            <v>25.515809680864546</v>
          </cell>
          <cell r="J980">
            <v>11.763907191494505</v>
          </cell>
        </row>
        <row r="981">
          <cell r="A981" t="str">
            <v>D-INGA</v>
          </cell>
          <cell r="B981" t="str">
            <v>VAR_fin</v>
          </cell>
          <cell r="C981" t="str">
            <v>BNGA</v>
          </cell>
          <cell r="H981">
            <v>3.0778510344482357</v>
          </cell>
          <cell r="I981">
            <v>3.0778519196892207</v>
          </cell>
          <cell r="J981">
            <v>3.0778545240923814</v>
          </cell>
        </row>
        <row r="982">
          <cell r="A982" t="str">
            <v>D-INGA</v>
          </cell>
          <cell r="B982" t="str">
            <v>VAR_fin</v>
          </cell>
          <cell r="C982" t="str">
            <v>H2</v>
          </cell>
          <cell r="H982">
            <v>7.1944550866658808E-3</v>
          </cell>
          <cell r="I982">
            <v>9.1049839029395604E-3</v>
          </cell>
          <cell r="J982">
            <v>8.8663090284627669E-2</v>
          </cell>
        </row>
        <row r="983">
          <cell r="A983" t="str">
            <v>D-INGA</v>
          </cell>
          <cell r="B983" t="str">
            <v>VAR_ncap</v>
          </cell>
          <cell r="C983" t="str">
            <v>-</v>
          </cell>
          <cell r="H983">
            <v>6.3513937675760604E-7</v>
          </cell>
          <cell r="I983">
            <v>8.5804156936670597E-7</v>
          </cell>
          <cell r="J983">
            <v>1.5463487661727699E-6</v>
          </cell>
        </row>
        <row r="984">
          <cell r="A984" t="str">
            <v>D-INGA</v>
          </cell>
          <cell r="B984" t="str">
            <v>VAR_cap</v>
          </cell>
          <cell r="C984" t="str">
            <v>-</v>
          </cell>
          <cell r="H984">
            <v>1.9844853232077575</v>
          </cell>
          <cell r="I984">
            <v>1.9844861812493269</v>
          </cell>
          <cell r="J984">
            <v>1.0954637947779129</v>
          </cell>
        </row>
        <row r="985">
          <cell r="A985" t="str">
            <v>RHEM-SHNGAHP</v>
          </cell>
          <cell r="B985" t="str">
            <v>VAR_fout</v>
          </cell>
          <cell r="C985" t="str">
            <v>CO2_R</v>
          </cell>
          <cell r="H985">
            <v>150.98121623225799</v>
          </cell>
          <cell r="I985">
            <v>180.16377861064399</v>
          </cell>
          <cell r="J985">
            <v>241.50206154239399</v>
          </cell>
        </row>
        <row r="986">
          <cell r="A986" t="str">
            <v>RHEM-SHNGAHP</v>
          </cell>
          <cell r="B986" t="str">
            <v>VAR_fout</v>
          </cell>
          <cell r="C986" t="str">
            <v>RHEM-SHANGAH</v>
          </cell>
          <cell r="H986">
            <v>5.2366076040870029</v>
          </cell>
          <cell r="I986">
            <v>6.3222868465998889</v>
          </cell>
          <cell r="J986">
            <v>8.6797891043685294</v>
          </cell>
        </row>
        <row r="987">
          <cell r="A987" t="str">
            <v>RHEM-SHNGAHP</v>
          </cell>
          <cell r="B987" t="str">
            <v>VAR_fin</v>
          </cell>
          <cell r="C987" t="str">
            <v>RHEMELCHPC</v>
          </cell>
          <cell r="H987">
            <v>5.2366076040870029</v>
          </cell>
          <cell r="I987">
            <v>6.3222868465998889</v>
          </cell>
          <cell r="J987">
            <v>8.6797891043685294</v>
          </cell>
        </row>
        <row r="988">
          <cell r="A988" t="str">
            <v>RHEM-SHNGAHP</v>
          </cell>
          <cell r="B988" t="str">
            <v>VAR_fin</v>
          </cell>
          <cell r="C988" t="str">
            <v>RNGA</v>
          </cell>
          <cell r="H988">
            <v>2.6769719190116716</v>
          </cell>
          <cell r="I988">
            <v>3.1943932377773785</v>
          </cell>
          <cell r="J988">
            <v>4.2819514457871337</v>
          </cell>
        </row>
        <row r="989">
          <cell r="A989" t="str">
            <v>RHEM-SHNGAHP</v>
          </cell>
          <cell r="B989" t="str">
            <v>VAR_ncap</v>
          </cell>
          <cell r="C989" t="str">
            <v>-</v>
          </cell>
          <cell r="H989">
            <v>7.2645963425630497E-2</v>
          </cell>
          <cell r="I989">
            <v>0.24179777214034001</v>
          </cell>
          <cell r="J989">
            <v>0.406710504810886</v>
          </cell>
        </row>
        <row r="990">
          <cell r="A990" t="str">
            <v>RHEM-SHNGAHP</v>
          </cell>
          <cell r="B990" t="str">
            <v>VAR_cap</v>
          </cell>
          <cell r="C990" t="str">
            <v>-</v>
          </cell>
          <cell r="H990">
            <v>0.36979577934698971</v>
          </cell>
          <cell r="I990">
            <v>0.44645580023241122</v>
          </cell>
          <cell r="J990">
            <v>0.6129200144661181</v>
          </cell>
        </row>
        <row r="991">
          <cell r="A991" t="str">
            <v>D-SPLT</v>
          </cell>
          <cell r="B991" t="str">
            <v>VAR_fout</v>
          </cell>
          <cell r="C991" t="str">
            <v>SPLT</v>
          </cell>
          <cell r="H991">
            <v>1.4352269518453395</v>
          </cell>
          <cell r="I991">
            <v>1.6106717418440355</v>
          </cell>
          <cell r="J991">
            <v>2.0383148014094492</v>
          </cell>
        </row>
        <row r="992">
          <cell r="A992" t="str">
            <v>D-SPLT</v>
          </cell>
          <cell r="B992" t="str">
            <v>VAR_fin</v>
          </cell>
          <cell r="C992" t="str">
            <v>PLT</v>
          </cell>
          <cell r="H992">
            <v>1.4352269518453395</v>
          </cell>
          <cell r="I992">
            <v>1.6106717418440355</v>
          </cell>
          <cell r="J992">
            <v>2.0383148014094492</v>
          </cell>
        </row>
        <row r="993">
          <cell r="A993" t="str">
            <v>RHES-SHCONBR</v>
          </cell>
          <cell r="B993" t="str">
            <v>VAR_fout</v>
          </cell>
          <cell r="C993" t="str">
            <v>RHES-SHCON</v>
          </cell>
          <cell r="H993">
            <v>9.4610576624627594E-5</v>
          </cell>
          <cell r="I993">
            <v>9.7307703172230684E-5</v>
          </cell>
          <cell r="J993">
            <v>9.4843197843453913E-5</v>
          </cell>
        </row>
        <row r="994">
          <cell r="A994" t="str">
            <v>RHES-SHCONBR</v>
          </cell>
          <cell r="B994" t="str">
            <v>VAR_fin</v>
          </cell>
          <cell r="C994" t="str">
            <v>CON</v>
          </cell>
          <cell r="H994">
            <v>9.4610576624627594E-5</v>
          </cell>
          <cell r="I994">
            <v>9.7307703172230684E-5</v>
          </cell>
          <cell r="J994">
            <v>9.4843197843453913E-5</v>
          </cell>
        </row>
        <row r="995">
          <cell r="A995" t="str">
            <v>RHES-SHCONBR</v>
          </cell>
          <cell r="B995" t="str">
            <v>VAR_ncap</v>
          </cell>
          <cell r="C995" t="str">
            <v>-</v>
          </cell>
          <cell r="H995">
            <v>1.5900647613166899E-6</v>
          </cell>
          <cell r="I995">
            <v>1.4607537115766101E-7</v>
          </cell>
          <cell r="J995">
            <v>6.2846853285402805E-8</v>
          </cell>
        </row>
        <row r="996">
          <cell r="A996" t="str">
            <v>RHES-SHCONBR</v>
          </cell>
          <cell r="B996" t="str">
            <v>VAR_cap</v>
          </cell>
          <cell r="C996" t="str">
            <v>-</v>
          </cell>
          <cell r="H996">
            <v>7.002755751864942E-6</v>
          </cell>
          <cell r="I996">
            <v>7.1414940929622145E-6</v>
          </cell>
          <cell r="J996">
            <v>7.2520397555935004E-6</v>
          </cell>
        </row>
        <row r="997">
          <cell r="A997" t="str">
            <v>RHSA-WHSOLBR</v>
          </cell>
          <cell r="B997" t="str">
            <v>VAR_fout</v>
          </cell>
          <cell r="C997" t="str">
            <v>RHSA-WHASOL</v>
          </cell>
          <cell r="H997">
            <v>1.1588549026720483</v>
          </cell>
          <cell r="I997">
            <v>1.2431923390269859</v>
          </cell>
          <cell r="J997">
            <v>1.431967735054956</v>
          </cell>
        </row>
        <row r="998">
          <cell r="A998" t="str">
            <v>RHSA-WHSOLBR</v>
          </cell>
          <cell r="B998" t="str">
            <v>VAR_fin</v>
          </cell>
          <cell r="C998" t="str">
            <v>SOL</v>
          </cell>
          <cell r="H998">
            <v>1.1588549026720483</v>
          </cell>
          <cell r="I998">
            <v>1.2431923390269859</v>
          </cell>
          <cell r="J998">
            <v>1.431967735054956</v>
          </cell>
        </row>
        <row r="999">
          <cell r="A999" t="str">
            <v>RHSA-WHSOLBR</v>
          </cell>
          <cell r="B999" t="str">
            <v>VAR_fin</v>
          </cell>
          <cell r="C999" t="str">
            <v>RHSASOLBRC</v>
          </cell>
          <cell r="H999">
            <v>1.1588549026720483</v>
          </cell>
          <cell r="I999">
            <v>1.2431923390269859</v>
          </cell>
          <cell r="J999">
            <v>1.431967735054956</v>
          </cell>
        </row>
        <row r="1000">
          <cell r="A1000" t="str">
            <v>RHSA-WHSOLBR</v>
          </cell>
          <cell r="B1000" t="str">
            <v>VAR_ncap</v>
          </cell>
          <cell r="C1000" t="str">
            <v>-</v>
          </cell>
          <cell r="H1000">
            <v>0.15136914036698701</v>
          </cell>
          <cell r="I1000">
            <v>0.13366345120631101</v>
          </cell>
          <cell r="J1000">
            <v>0.167470298374223</v>
          </cell>
        </row>
        <row r="1001">
          <cell r="A1001" t="str">
            <v>RHSA-WHSOLBR</v>
          </cell>
          <cell r="B1001" t="str">
            <v>VAR_cap</v>
          </cell>
          <cell r="C1001" t="str">
            <v>-</v>
          </cell>
          <cell r="H1001">
            <v>0.25848327050490533</v>
          </cell>
          <cell r="I1001">
            <v>0.28503259717206469</v>
          </cell>
          <cell r="J1001">
            <v>0.32850247281841072</v>
          </cell>
        </row>
        <row r="1002">
          <cell r="A1002" t="str">
            <v>SCOM-SHCONBR</v>
          </cell>
          <cell r="B1002" t="str">
            <v>VAR_ncap</v>
          </cell>
          <cell r="C1002" t="str">
            <v>-</v>
          </cell>
          <cell r="H1002">
            <v>1.70754326619259E-7</v>
          </cell>
          <cell r="I1002">
            <v>4.9846121357380999E-8</v>
          </cell>
          <cell r="J1002">
            <v>5.68857056962819E-8</v>
          </cell>
        </row>
        <row r="1003">
          <cell r="A1003" t="str">
            <v>SCOM-SHCONBR</v>
          </cell>
          <cell r="B1003" t="str">
            <v>VAR_cap</v>
          </cell>
          <cell r="C1003" t="str">
            <v>-</v>
          </cell>
          <cell r="H1003">
            <v>2.4070541309193799E-7</v>
          </cell>
          <cell r="I1003">
            <v>2.9055153444931897E-7</v>
          </cell>
          <cell r="J1003">
            <v>3.4743724014560098E-7</v>
          </cell>
        </row>
        <row r="1004">
          <cell r="A1004" t="str">
            <v>RHNM-SHNGABR</v>
          </cell>
          <cell r="B1004" t="str">
            <v>VAR_fout</v>
          </cell>
          <cell r="C1004" t="str">
            <v>CO2_R</v>
          </cell>
          <cell r="H1004">
            <v>19.212460724271399</v>
          </cell>
          <cell r="I1004">
            <v>21.128940792756001</v>
          </cell>
          <cell r="J1004">
            <v>19.276310931323899</v>
          </cell>
        </row>
        <row r="1005">
          <cell r="A1005" t="str">
            <v>RHNM-SHNGABR</v>
          </cell>
          <cell r="B1005" t="str">
            <v>VAR_fout</v>
          </cell>
          <cell r="C1005" t="str">
            <v>RHNM-SHNGA</v>
          </cell>
          <cell r="H1005">
            <v>0.32695300137230621</v>
          </cell>
          <cell r="I1005">
            <v>0.35957148474496159</v>
          </cell>
          <cell r="J1005">
            <v>0.3280435025099811</v>
          </cell>
        </row>
        <row r="1006">
          <cell r="A1006" t="str">
            <v>RHNM-SHNGABR</v>
          </cell>
          <cell r="B1006" t="str">
            <v>VAR_fin</v>
          </cell>
          <cell r="C1006" t="str">
            <v>RNGA</v>
          </cell>
          <cell r="H1006">
            <v>0.34064646674240162</v>
          </cell>
          <cell r="I1006">
            <v>0.37462660980063794</v>
          </cell>
          <cell r="J1006">
            <v>0.3417785626121268</v>
          </cell>
        </row>
        <row r="1007">
          <cell r="A1007" t="str">
            <v>RHNM-SHNGABR</v>
          </cell>
          <cell r="B1007" t="str">
            <v>VAR_ncap</v>
          </cell>
          <cell r="C1007" t="str">
            <v>-</v>
          </cell>
          <cell r="H1007">
            <v>5.3137083499904002E-6</v>
          </cell>
          <cell r="I1007">
            <v>2.7971114898859999E-2</v>
          </cell>
          <cell r="J1007">
            <v>5.3340775902539902E-3</v>
          </cell>
        </row>
        <row r="1008">
          <cell r="A1008" t="str">
            <v>RHNM-SHNGABR</v>
          </cell>
          <cell r="B1008" t="str">
            <v>VAR_cap</v>
          </cell>
          <cell r="C1008" t="str">
            <v>-</v>
          </cell>
          <cell r="H1008">
            <v>2.580171115515055E-2</v>
          </cell>
          <cell r="I1008">
            <v>2.7976303208730652E-2</v>
          </cell>
          <cell r="J1008">
            <v>2.5635514811896659E-2</v>
          </cell>
        </row>
        <row r="1009">
          <cell r="A1009" t="str">
            <v>RHES-SHSOLBR</v>
          </cell>
          <cell r="B1009" t="str">
            <v>VAR_fout</v>
          </cell>
          <cell r="C1009" t="str">
            <v>RHES-SHASOL</v>
          </cell>
          <cell r="H1009">
            <v>2.5495941003748607E-2</v>
          </cell>
          <cell r="I1009">
            <v>2.5955666131321355E-2</v>
          </cell>
          <cell r="J1009">
            <v>2.6890834354532923E-2</v>
          </cell>
        </row>
        <row r="1010">
          <cell r="A1010" t="str">
            <v>RHES-SHSOLBR</v>
          </cell>
          <cell r="B1010" t="str">
            <v>VAR_fin</v>
          </cell>
          <cell r="C1010" t="str">
            <v>SOL</v>
          </cell>
          <cell r="H1010">
            <v>2.5495941003748607E-2</v>
          </cell>
          <cell r="I1010">
            <v>2.5955666131321355E-2</v>
          </cell>
          <cell r="J1010">
            <v>2.6890834354532923E-2</v>
          </cell>
        </row>
        <row r="1011">
          <cell r="A1011" t="str">
            <v>RHES-SHSOLBR</v>
          </cell>
          <cell r="B1011" t="str">
            <v>VAR_ncap</v>
          </cell>
          <cell r="C1011" t="str">
            <v>-</v>
          </cell>
          <cell r="H1011">
            <v>5.9784213879115396E-7</v>
          </cell>
          <cell r="I1011">
            <v>3.7906070224332099E-3</v>
          </cell>
          <cell r="J1011">
            <v>1.1666563009694001E-3</v>
          </cell>
        </row>
        <row r="1012">
          <cell r="A1012" t="str">
            <v>RHES-SHSOLBR</v>
          </cell>
          <cell r="B1012" t="str">
            <v>VAR_cap</v>
          </cell>
          <cell r="C1012" t="str">
            <v>-</v>
          </cell>
          <cell r="H1012">
            <v>1.8460447948558837E-2</v>
          </cell>
          <cell r="I1012">
            <v>3.7911136353086859E-3</v>
          </cell>
          <cell r="J1012">
            <v>3.917782854988258E-3</v>
          </cell>
        </row>
        <row r="1013">
          <cell r="A1013" t="str">
            <v>SCOM-SHSOLBR</v>
          </cell>
          <cell r="B1013" t="str">
            <v>VAR_fout</v>
          </cell>
          <cell r="C1013" t="str">
            <v>SCOM-SHASOL</v>
          </cell>
          <cell r="H1013">
            <v>0.67911886533849009</v>
          </cell>
          <cell r="I1013">
            <v>0.73654642754952071</v>
          </cell>
          <cell r="J1013">
            <v>0.85947812305284821</v>
          </cell>
        </row>
        <row r="1014">
          <cell r="A1014" t="str">
            <v>SCOM-SHSOLBR</v>
          </cell>
          <cell r="B1014" t="str">
            <v>VAR_fin</v>
          </cell>
          <cell r="C1014" t="str">
            <v>SOL</v>
          </cell>
          <cell r="H1014">
            <v>0.67911886533849009</v>
          </cell>
          <cell r="I1014">
            <v>0.73654642754952071</v>
          </cell>
          <cell r="J1014">
            <v>0.85947812305284821</v>
          </cell>
        </row>
        <row r="1015">
          <cell r="A1015" t="str">
            <v>SCOM-SHSOLBR</v>
          </cell>
          <cell r="B1015" t="str">
            <v>VAR_ncap</v>
          </cell>
          <cell r="C1015" t="str">
            <v>-</v>
          </cell>
          <cell r="H1015">
            <v>7.0558104050571099E-2</v>
          </cell>
          <cell r="I1015">
            <v>3.6440271727493499E-2</v>
          </cell>
          <cell r="J1015">
            <v>6.8795191540270306E-2</v>
          </cell>
        </row>
        <row r="1016">
          <cell r="A1016" t="str">
            <v>SCOM-SHSOLBR</v>
          </cell>
          <cell r="B1016" t="str">
            <v>VAR_cap</v>
          </cell>
          <cell r="C1016" t="str">
            <v>-</v>
          </cell>
          <cell r="H1016">
            <v>9.8662465599354238E-2</v>
          </cell>
          <cell r="I1016">
            <v>0.10699847454803736</v>
          </cell>
          <cell r="J1016">
            <v>0.12508661236643856</v>
          </cell>
        </row>
        <row r="1017">
          <cell r="A1017" t="str">
            <v>RHEM-SHSTG-ELCHP</v>
          </cell>
          <cell r="B1017" t="str">
            <v>VAR_fout</v>
          </cell>
          <cell r="C1017" t="str">
            <v>RHEM-SHAELCH</v>
          </cell>
          <cell r="H1017">
            <v>2.1824243115700801</v>
          </cell>
          <cell r="I1017">
            <v>2.8538283730159582</v>
          </cell>
          <cell r="J1017">
            <v>3.5851275450871145</v>
          </cell>
        </row>
        <row r="1018">
          <cell r="A1018" t="str">
            <v>RHEM-SHSTG-ELCHP</v>
          </cell>
          <cell r="B1018" t="str">
            <v>VAR_fout</v>
          </cell>
          <cell r="C1018" t="str">
            <v>AUX_RHEM-SHSTG-ELCHP_OUT</v>
          </cell>
          <cell r="H1018">
            <v>2.1846067358816494</v>
          </cell>
          <cell r="I1018">
            <v>2.8566822013889732</v>
          </cell>
          <cell r="J1018">
            <v>3.5887126726322034</v>
          </cell>
        </row>
        <row r="1019">
          <cell r="A1019" t="str">
            <v>RHEM-SHSTG-ELCHP</v>
          </cell>
          <cell r="B1019" t="str">
            <v>VAR_fin</v>
          </cell>
          <cell r="C1019" t="str">
            <v>RHEM-SHAELCH</v>
          </cell>
          <cell r="H1019">
            <v>2.1824262300591171</v>
          </cell>
          <cell r="I1019">
            <v>2.8538307981538735</v>
          </cell>
          <cell r="J1019">
            <v>3.5851301075691273</v>
          </cell>
        </row>
        <row r="1020">
          <cell r="A1020" t="str">
            <v>RHEM-SHSTG-ELCHP</v>
          </cell>
          <cell r="B1020" t="str">
            <v>VAR_ncap</v>
          </cell>
          <cell r="C1020" t="str">
            <v>-</v>
          </cell>
          <cell r="H1020">
            <v>0.173593667142796</v>
          </cell>
          <cell r="I1020">
            <v>8.6815811821993202E-2</v>
          </cell>
          <cell r="J1020">
            <v>0.20819449319938399</v>
          </cell>
        </row>
        <row r="1021">
          <cell r="A1021" t="str">
            <v>RHEM-SHSTG-ELCHP</v>
          </cell>
          <cell r="B1021" t="str">
            <v>VAR_cap</v>
          </cell>
          <cell r="C1021" t="str">
            <v>-</v>
          </cell>
          <cell r="H1021">
            <v>0.24997100461053454</v>
          </cell>
          <cell r="I1021">
            <v>0.27821062529965213</v>
          </cell>
          <cell r="J1021">
            <v>0.34458230746232149</v>
          </cell>
        </row>
        <row r="1022">
          <cell r="A1022" t="str">
            <v>ITOT-SWHELCBR</v>
          </cell>
          <cell r="B1022" t="str">
            <v>VAR_fout</v>
          </cell>
          <cell r="C1022" t="str">
            <v>ITOT-SWHAELC</v>
          </cell>
          <cell r="H1022">
            <v>11.194188272756749</v>
          </cell>
          <cell r="I1022">
            <v>11.194189501244585</v>
          </cell>
          <cell r="J1022">
            <v>11.256160108731796</v>
          </cell>
        </row>
        <row r="1023">
          <cell r="A1023" t="str">
            <v>ITOT-SWHELCBR</v>
          </cell>
          <cell r="B1023" t="str">
            <v>VAR_fin</v>
          </cell>
          <cell r="C1023" t="str">
            <v>ITOT_ELC</v>
          </cell>
          <cell r="H1023">
            <v>13.232410192208352</v>
          </cell>
          <cell r="I1023">
            <v>13.214957554758801</v>
          </cell>
          <cell r="J1023">
            <v>13.253152162948673</v>
          </cell>
        </row>
        <row r="1024">
          <cell r="A1024" t="str">
            <v>ITOT-SWHELCBR</v>
          </cell>
          <cell r="B1024" t="str">
            <v>VAR_ncap</v>
          </cell>
          <cell r="C1024" t="str">
            <v>-</v>
          </cell>
          <cell r="H1024">
            <v>0.49424604559560698</v>
          </cell>
          <cell r="I1024">
            <v>0.30674506242345101</v>
          </cell>
          <cell r="J1024">
            <v>0.42716534151476399</v>
          </cell>
        </row>
        <row r="1025">
          <cell r="A1025" t="str">
            <v>ITOT-SWHELCBR</v>
          </cell>
          <cell r="B1025" t="str">
            <v>VAR_cap</v>
          </cell>
          <cell r="C1025" t="str">
            <v>-</v>
          </cell>
          <cell r="H1025">
            <v>0.83970577572719096</v>
          </cell>
          <cell r="I1025">
            <v>0.84703428720298934</v>
          </cell>
          <cell r="J1025">
            <v>0.85883280533582806</v>
          </cell>
        </row>
        <row r="1026">
          <cell r="A1026"/>
          <cell r="B1026"/>
          <cell r="C1026"/>
        </row>
        <row r="1027">
          <cell r="A1027"/>
          <cell r="B1027"/>
          <cell r="C1027"/>
        </row>
        <row r="1028">
          <cell r="A1028"/>
          <cell r="B1028"/>
          <cell r="C1028"/>
        </row>
        <row r="1029">
          <cell r="A1029"/>
          <cell r="B1029"/>
          <cell r="C1029"/>
        </row>
        <row r="1030">
          <cell r="A1030"/>
          <cell r="B1030"/>
          <cell r="C1030"/>
        </row>
        <row r="1031">
          <cell r="A1031"/>
          <cell r="B1031"/>
          <cell r="C1031"/>
        </row>
        <row r="1032">
          <cell r="A1032"/>
          <cell r="B1032"/>
          <cell r="C1032"/>
        </row>
        <row r="1033">
          <cell r="A1033"/>
          <cell r="B1033"/>
          <cell r="C1033"/>
        </row>
        <row r="1034">
          <cell r="A1034"/>
          <cell r="B1034"/>
          <cell r="C1034"/>
        </row>
        <row r="1035">
          <cell r="A1035"/>
          <cell r="B1035"/>
          <cell r="C1035"/>
        </row>
        <row r="1036">
          <cell r="A1036"/>
          <cell r="B1036"/>
          <cell r="C1036"/>
        </row>
        <row r="1037">
          <cell r="A1037"/>
          <cell r="B1037"/>
          <cell r="C1037"/>
        </row>
        <row r="1038">
          <cell r="A1038"/>
          <cell r="B1038"/>
          <cell r="C1038"/>
        </row>
        <row r="1039">
          <cell r="A1039"/>
          <cell r="B1039"/>
          <cell r="C1039"/>
        </row>
        <row r="1040">
          <cell r="A1040"/>
          <cell r="B1040"/>
          <cell r="C1040"/>
        </row>
        <row r="1041">
          <cell r="A1041"/>
          <cell r="B1041"/>
          <cell r="C1041"/>
        </row>
        <row r="1042">
          <cell r="A1042"/>
          <cell r="B1042"/>
          <cell r="C1042"/>
        </row>
        <row r="1043">
          <cell r="A1043"/>
          <cell r="B1043"/>
          <cell r="C1043"/>
        </row>
        <row r="1044">
          <cell r="A1044"/>
          <cell r="B1044"/>
          <cell r="C1044"/>
        </row>
        <row r="1045">
          <cell r="A1045"/>
          <cell r="B1045"/>
          <cell r="C1045"/>
        </row>
        <row r="1046">
          <cell r="A1046"/>
          <cell r="B1046"/>
          <cell r="C1046"/>
        </row>
        <row r="1047">
          <cell r="A1047"/>
          <cell r="B1047"/>
          <cell r="C1047"/>
        </row>
        <row r="1048">
          <cell r="A1048"/>
          <cell r="B1048"/>
          <cell r="C1048"/>
        </row>
        <row r="1049">
          <cell r="A1049"/>
          <cell r="B1049"/>
          <cell r="C1049"/>
        </row>
        <row r="1050">
          <cell r="A1050"/>
          <cell r="B1050"/>
          <cell r="C1050"/>
        </row>
        <row r="1051">
          <cell r="A1051"/>
          <cell r="B1051"/>
          <cell r="C1051"/>
        </row>
        <row r="1052">
          <cell r="A1052"/>
          <cell r="B1052"/>
          <cell r="C1052"/>
        </row>
        <row r="1053">
          <cell r="A1053"/>
          <cell r="B1053"/>
          <cell r="C1053"/>
        </row>
        <row r="1054">
          <cell r="A1054"/>
          <cell r="B1054"/>
          <cell r="C1054"/>
        </row>
        <row r="1055">
          <cell r="A1055"/>
          <cell r="B1055"/>
          <cell r="C1055"/>
        </row>
        <row r="1056">
          <cell r="A1056"/>
          <cell r="B1056"/>
          <cell r="C1056"/>
        </row>
        <row r="1057">
          <cell r="A1057"/>
          <cell r="B1057"/>
          <cell r="C1057"/>
        </row>
        <row r="1058">
          <cell r="A1058"/>
          <cell r="B1058"/>
          <cell r="C1058"/>
        </row>
        <row r="1059">
          <cell r="A1059"/>
          <cell r="B1059"/>
          <cell r="C1059"/>
        </row>
        <row r="1060">
          <cell r="A1060"/>
          <cell r="B1060"/>
          <cell r="C1060"/>
        </row>
        <row r="1061">
          <cell r="A1061"/>
          <cell r="B1061"/>
          <cell r="C1061"/>
        </row>
        <row r="1062">
          <cell r="A1062"/>
          <cell r="B1062"/>
          <cell r="C1062"/>
        </row>
        <row r="1063">
          <cell r="A1063"/>
          <cell r="B1063"/>
          <cell r="C1063"/>
        </row>
        <row r="1064">
          <cell r="A1064"/>
          <cell r="B1064"/>
          <cell r="C1064"/>
        </row>
        <row r="1065">
          <cell r="A1065"/>
          <cell r="B1065"/>
          <cell r="C1065"/>
        </row>
        <row r="1066">
          <cell r="A1066"/>
          <cell r="B1066"/>
          <cell r="C1066"/>
        </row>
        <row r="1067">
          <cell r="A1067"/>
          <cell r="B1067"/>
          <cell r="C1067"/>
        </row>
        <row r="1068">
          <cell r="A1068"/>
          <cell r="B1068"/>
          <cell r="C1068"/>
        </row>
        <row r="1069">
          <cell r="A1069"/>
          <cell r="B1069"/>
          <cell r="C1069"/>
        </row>
        <row r="1070">
          <cell r="A1070"/>
          <cell r="B1070"/>
          <cell r="C1070"/>
        </row>
        <row r="1071">
          <cell r="A1071"/>
          <cell r="B1071"/>
          <cell r="C1071"/>
        </row>
        <row r="1072">
          <cell r="A1072"/>
          <cell r="B1072"/>
          <cell r="C1072"/>
        </row>
        <row r="1073">
          <cell r="A1073"/>
          <cell r="B1073"/>
          <cell r="C1073"/>
        </row>
        <row r="1074">
          <cell r="A1074"/>
          <cell r="B1074"/>
          <cell r="C1074"/>
        </row>
        <row r="1075">
          <cell r="A1075"/>
          <cell r="B1075"/>
          <cell r="C1075"/>
        </row>
        <row r="1076">
          <cell r="A1076"/>
          <cell r="B1076"/>
          <cell r="C1076"/>
        </row>
        <row r="1077">
          <cell r="A1077"/>
          <cell r="B1077"/>
          <cell r="C1077"/>
        </row>
        <row r="1078">
          <cell r="A1078"/>
          <cell r="B1078"/>
          <cell r="C1078"/>
        </row>
        <row r="1079">
          <cell r="A1079"/>
          <cell r="B1079"/>
          <cell r="C1079"/>
        </row>
        <row r="1080">
          <cell r="A1080"/>
          <cell r="B1080"/>
          <cell r="C1080"/>
        </row>
        <row r="1081">
          <cell r="A1081"/>
          <cell r="B1081"/>
          <cell r="C1081"/>
        </row>
        <row r="1082">
          <cell r="A1082"/>
          <cell r="B1082"/>
          <cell r="C1082"/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CO2_R</v>
          </cell>
          <cell r="C4" t="str">
            <v>VAR_fout</v>
          </cell>
          <cell r="D4" t="str">
            <v>RHNM-SHLFOBR</v>
          </cell>
          <cell r="I4">
            <v>12.7187228748239</v>
          </cell>
          <cell r="J4">
            <v>12.6068775049346</v>
          </cell>
        </row>
        <row r="5">
          <cell r="B5" t="str">
            <v>CO2_R</v>
          </cell>
          <cell r="C5" t="str">
            <v>VAR_fout</v>
          </cell>
          <cell r="D5" t="str">
            <v>RHNS-SHNGAHP</v>
          </cell>
          <cell r="I5">
            <v>21.949912693724201</v>
          </cell>
          <cell r="J5">
            <v>27.283684679960299</v>
          </cell>
          <cell r="K5">
            <v>35.936503710244899</v>
          </cell>
        </row>
        <row r="6">
          <cell r="B6" t="str">
            <v>CO2_R</v>
          </cell>
          <cell r="C6" t="str">
            <v>VAR_fout</v>
          </cell>
          <cell r="D6" t="str">
            <v>RHNS-CHPGFC</v>
          </cell>
          <cell r="I6">
            <v>4.40746442112167E-2</v>
          </cell>
          <cell r="J6">
            <v>4.3443655693795998E-2</v>
          </cell>
          <cell r="K6">
            <v>4.0197989948440899E-2</v>
          </cell>
        </row>
        <row r="7">
          <cell r="B7" t="str">
            <v>CO2_R</v>
          </cell>
          <cell r="C7" t="str">
            <v>VAR_fout</v>
          </cell>
          <cell r="D7" t="str">
            <v>RHES-CHPNGA</v>
          </cell>
          <cell r="I7">
            <v>1.1364131333384599</v>
          </cell>
          <cell r="J7">
            <v>0.52743018987574897</v>
          </cell>
          <cell r="K7">
            <v>0.24905966931298601</v>
          </cell>
        </row>
        <row r="8">
          <cell r="B8" t="str">
            <v>CO2_R</v>
          </cell>
          <cell r="C8" t="str">
            <v>VAR_fout</v>
          </cell>
          <cell r="D8" t="str">
            <v>RHEM-CHPGFC</v>
          </cell>
          <cell r="I8">
            <v>0.25920873610051398</v>
          </cell>
          <cell r="J8">
            <v>0.35816074245804502</v>
          </cell>
          <cell r="K8">
            <v>83.001027357341897</v>
          </cell>
        </row>
        <row r="9">
          <cell r="B9" t="str">
            <v>CO2_R</v>
          </cell>
          <cell r="C9" t="str">
            <v>VAR_fout</v>
          </cell>
          <cell r="D9" t="str">
            <v>RHEM-SHNGABR</v>
          </cell>
          <cell r="I9">
            <v>898.64843995726403</v>
          </cell>
          <cell r="J9">
            <v>698.13843445945997</v>
          </cell>
          <cell r="K9">
            <v>324.81552499210301</v>
          </cell>
        </row>
        <row r="10">
          <cell r="B10" t="str">
            <v>CO2_R</v>
          </cell>
          <cell r="C10" t="str">
            <v>VAR_fout</v>
          </cell>
          <cell r="D10" t="str">
            <v>RHSA-WHNGAHP</v>
          </cell>
          <cell r="I10">
            <v>77.427529739466706</v>
          </cell>
          <cell r="J10">
            <v>96.057313898134097</v>
          </cell>
          <cell r="K10">
            <v>131.413738260679</v>
          </cell>
        </row>
        <row r="11">
          <cell r="B11" t="str">
            <v>CO2_R</v>
          </cell>
          <cell r="C11" t="str">
            <v>VAR_fout</v>
          </cell>
          <cell r="D11" t="str">
            <v>RHEM-SHLFOBR</v>
          </cell>
          <cell r="I11">
            <v>890.87445049484302</v>
          </cell>
          <cell r="J11">
            <v>684.26476819840605</v>
          </cell>
          <cell r="K11">
            <v>260.10951054864398</v>
          </cell>
        </row>
        <row r="12">
          <cell r="B12" t="str">
            <v>CO2_R</v>
          </cell>
          <cell r="C12" t="str">
            <v>VAR_fout</v>
          </cell>
          <cell r="D12" t="str">
            <v>RHES-SHNGAHP</v>
          </cell>
          <cell r="I12">
            <v>145.24676257352701</v>
          </cell>
          <cell r="J12">
            <v>168.25425582474699</v>
          </cell>
          <cell r="K12">
            <v>208.25195029870599</v>
          </cell>
        </row>
        <row r="13">
          <cell r="B13" t="str">
            <v>CO2_R</v>
          </cell>
          <cell r="C13" t="str">
            <v>VAR_fout</v>
          </cell>
          <cell r="D13" t="str">
            <v>RHNS-SHNGABR</v>
          </cell>
          <cell r="I13">
            <v>8.6094409491525195</v>
          </cell>
          <cell r="J13">
            <v>9.9939453907896905</v>
          </cell>
          <cell r="K13">
            <v>11.1805697825951</v>
          </cell>
        </row>
        <row r="14">
          <cell r="B14" t="str">
            <v>CO2_R</v>
          </cell>
          <cell r="C14" t="str">
            <v>VAR_fout</v>
          </cell>
          <cell r="D14" t="str">
            <v>RHNS-SHLFOBR</v>
          </cell>
          <cell r="I14">
            <v>5.65375550515152</v>
          </cell>
          <cell r="J14">
            <v>5.6380847475876399</v>
          </cell>
        </row>
        <row r="15">
          <cell r="B15" t="str">
            <v>CO2_R</v>
          </cell>
          <cell r="C15" t="str">
            <v>VAR_fout</v>
          </cell>
          <cell r="D15" t="str">
            <v>RHES-CHPGFC</v>
          </cell>
          <cell r="I15">
            <v>4.2866700776307498E-2</v>
          </cell>
          <cell r="J15">
            <v>4.22962103096923E-2</v>
          </cell>
          <cell r="K15">
            <v>4.0468706328437E-2</v>
          </cell>
        </row>
        <row r="16">
          <cell r="B16" t="str">
            <v>CO2_R</v>
          </cell>
          <cell r="C16" t="str">
            <v>VAR_fout</v>
          </cell>
          <cell r="D16" t="str">
            <v>RHNM-CHPNGA</v>
          </cell>
          <cell r="I16">
            <v>111.658234455925</v>
          </cell>
          <cell r="J16">
            <v>359.64656784503501</v>
          </cell>
          <cell r="K16">
            <v>280.39292575675898</v>
          </cell>
        </row>
        <row r="17">
          <cell r="B17" t="str">
            <v>CO2_R</v>
          </cell>
          <cell r="C17" t="str">
            <v>VAR_fout</v>
          </cell>
          <cell r="D17" t="str">
            <v>RHNM-SHNGAHP</v>
          </cell>
          <cell r="I17">
            <v>28.751755052345299</v>
          </cell>
          <cell r="J17">
            <v>35.840846866865398</v>
          </cell>
          <cell r="K17">
            <v>48.322013716292702</v>
          </cell>
        </row>
        <row r="18">
          <cell r="B18" t="str">
            <v>CO2_R</v>
          </cell>
          <cell r="C18" t="str">
            <v>VAR_fout</v>
          </cell>
          <cell r="D18" t="str">
            <v>RHES-SHNGABR</v>
          </cell>
          <cell r="I18">
            <v>434.75370528167002</v>
          </cell>
          <cell r="J18">
            <v>334.08071352550797</v>
          </cell>
          <cell r="K18">
            <v>163.026558278869</v>
          </cell>
        </row>
        <row r="19">
          <cell r="B19" t="str">
            <v>CO2_R</v>
          </cell>
          <cell r="C19" t="str">
            <v>VAR_fout</v>
          </cell>
          <cell r="D19" t="str">
            <v>RHSA-WHNGABR</v>
          </cell>
          <cell r="I19">
            <v>372.677198186797</v>
          </cell>
          <cell r="J19">
            <v>309.86403424414499</v>
          </cell>
          <cell r="K19">
            <v>200.14026288425401</v>
          </cell>
        </row>
        <row r="20">
          <cell r="B20" t="str">
            <v>CO2_R</v>
          </cell>
          <cell r="C20" t="str">
            <v>VAR_fout</v>
          </cell>
          <cell r="D20" t="str">
            <v>RHSA-WHLFOBR</v>
          </cell>
          <cell r="I20">
            <v>313.45871840748202</v>
          </cell>
          <cell r="J20">
            <v>243.267215527514</v>
          </cell>
          <cell r="K20">
            <v>119.576315014664</v>
          </cell>
        </row>
        <row r="21">
          <cell r="B21" t="str">
            <v>CO2_R</v>
          </cell>
          <cell r="C21" t="str">
            <v>VAR_fout</v>
          </cell>
          <cell r="D21" t="str">
            <v>RHES-SHLFOBR</v>
          </cell>
          <cell r="I21">
            <v>578.21516261713396</v>
          </cell>
          <cell r="J21">
            <v>413.407923030684</v>
          </cell>
          <cell r="K21">
            <v>134.56590555345201</v>
          </cell>
        </row>
        <row r="22">
          <cell r="B22" t="str">
            <v>CO2_R</v>
          </cell>
          <cell r="C22" t="str">
            <v>VAR_fout</v>
          </cell>
          <cell r="D22" t="str">
            <v>RHNS-CHPNGA</v>
          </cell>
          <cell r="I22">
            <v>0.50836087599205604</v>
          </cell>
          <cell r="J22">
            <v>0.44668334400922699</v>
          </cell>
          <cell r="K22">
            <v>0.25113317407087699</v>
          </cell>
        </row>
        <row r="23">
          <cell r="B23" t="str">
            <v>CO2_R</v>
          </cell>
          <cell r="C23" t="str">
            <v>VAR_fout</v>
          </cell>
          <cell r="D23" t="str">
            <v>RHNM-CHPGFC</v>
          </cell>
          <cell r="I23">
            <v>0.25920466354035898</v>
          </cell>
          <cell r="J23">
            <v>0.35817410690967699</v>
          </cell>
          <cell r="K23">
            <v>82.649825939322099</v>
          </cell>
        </row>
        <row r="24">
          <cell r="B24" t="str">
            <v>CO2_R</v>
          </cell>
          <cell r="C24" t="str">
            <v>VAR_fout</v>
          </cell>
          <cell r="D24" t="str">
            <v>RHEM-CHPNGA</v>
          </cell>
          <cell r="I24">
            <v>111.789105656988</v>
          </cell>
          <cell r="J24">
            <v>358.312982334254</v>
          </cell>
          <cell r="K24">
            <v>281.70461381689398</v>
          </cell>
        </row>
        <row r="25">
          <cell r="B25" t="str">
            <v>CO2_R</v>
          </cell>
          <cell r="C25" t="str">
            <v>VAR_fout</v>
          </cell>
          <cell r="D25" t="str">
            <v>RHES-SHCOABR</v>
          </cell>
          <cell r="I25">
            <v>0.120771358129107</v>
          </cell>
        </row>
        <row r="26">
          <cell r="B26" t="str">
            <v>CO2_R</v>
          </cell>
          <cell r="C26" t="str">
            <v>VAR_fout</v>
          </cell>
          <cell r="D26" t="str">
            <v>RHEM-SHNGAHP</v>
          </cell>
          <cell r="I26">
            <v>150.98121623225799</v>
          </cell>
          <cell r="J26">
            <v>180.16377861064399</v>
          </cell>
          <cell r="K26">
            <v>241.50206154239399</v>
          </cell>
        </row>
        <row r="27">
          <cell r="B27" t="str">
            <v>CO2_R</v>
          </cell>
          <cell r="C27" t="str">
            <v>VAR_fout</v>
          </cell>
          <cell r="D27" t="str">
            <v>RHNM-SHNGABR</v>
          </cell>
          <cell r="I27">
            <v>19.212460724271399</v>
          </cell>
          <cell r="J27">
            <v>21.128940792756001</v>
          </cell>
          <cell r="K27">
            <v>19.276310931323899</v>
          </cell>
        </row>
        <row r="28">
          <cell r="B28" t="str">
            <v>CO2_R</v>
          </cell>
          <cell r="C28" t="str">
            <v>VAR_comnet</v>
          </cell>
          <cell r="D28" t="str">
            <v>-</v>
          </cell>
          <cell r="I28">
            <v>4184.9974715149101</v>
          </cell>
          <cell r="J28">
            <v>3959.72655573068</v>
          </cell>
          <cell r="K28">
            <v>2626.4464779241998</v>
          </cell>
        </row>
        <row r="29">
          <cell r="B29" t="str">
            <v>CO2_S</v>
          </cell>
          <cell r="C29" t="str">
            <v>VAR_fout</v>
          </cell>
          <cell r="D29" t="str">
            <v>SCOM-SHNGAHP</v>
          </cell>
          <cell r="I29">
            <v>130.27824845294401</v>
          </cell>
          <cell r="J29">
            <v>158.07532882819399</v>
          </cell>
          <cell r="K29">
            <v>220.3482441527</v>
          </cell>
        </row>
        <row r="30">
          <cell r="B30" t="str">
            <v>CO2_S</v>
          </cell>
          <cell r="C30" t="str">
            <v>VAR_fout</v>
          </cell>
          <cell r="D30" t="str">
            <v>SCOM-CHPNGA</v>
          </cell>
          <cell r="I30">
            <v>868.95585715297204</v>
          </cell>
          <cell r="J30">
            <v>829.02453756663704</v>
          </cell>
          <cell r="K30">
            <v>0.154544855243995</v>
          </cell>
        </row>
        <row r="31">
          <cell r="B31" t="str">
            <v>CO2_S</v>
          </cell>
          <cell r="C31" t="str">
            <v>VAR_fout</v>
          </cell>
          <cell r="D31" t="str">
            <v>SCOM-SHNGABR</v>
          </cell>
          <cell r="I31">
            <v>970.30479235217103</v>
          </cell>
          <cell r="J31">
            <v>801.91932651514503</v>
          </cell>
          <cell r="K31">
            <v>476.702885390978</v>
          </cell>
        </row>
        <row r="32">
          <cell r="B32" t="str">
            <v>CO2_S</v>
          </cell>
          <cell r="C32" t="str">
            <v>VAR_fout</v>
          </cell>
          <cell r="D32" t="str">
            <v>SCOM-CHPGFC</v>
          </cell>
          <cell r="I32">
            <v>0.165700449138595</v>
          </cell>
          <cell r="J32">
            <v>0.61762755542813996</v>
          </cell>
          <cell r="K32">
            <v>676.60022425925501</v>
          </cell>
        </row>
        <row r="33">
          <cell r="B33" t="str">
            <v>CO2_S</v>
          </cell>
          <cell r="C33" t="str">
            <v>VAR_fout</v>
          </cell>
          <cell r="D33" t="str">
            <v>SCOM-SHLFOBR</v>
          </cell>
          <cell r="I33">
            <v>1111.91052683623</v>
          </cell>
          <cell r="J33">
            <v>894.73973788495505</v>
          </cell>
          <cell r="K33">
            <v>425.83906379606498</v>
          </cell>
        </row>
        <row r="34">
          <cell r="B34" t="str">
            <v>CO2_S</v>
          </cell>
          <cell r="C34" t="str">
            <v>VAR_comnet</v>
          </cell>
          <cell r="D34" t="str">
            <v>-</v>
          </cell>
          <cell r="I34">
            <v>3081.6151252434602</v>
          </cell>
          <cell r="J34">
            <v>2684.37655835036</v>
          </cell>
          <cell r="K34">
            <v>1799.6449624542399</v>
          </cell>
        </row>
        <row r="35">
          <cell r="B35" t="str">
            <v>CO2_T</v>
          </cell>
          <cell r="C35" t="str">
            <v>VAR_fout</v>
          </cell>
          <cell r="D35" t="str">
            <v>T_B_u-ICENGAEXT</v>
          </cell>
        </row>
        <row r="36">
          <cell r="B36" t="str">
            <v>CO2_T</v>
          </cell>
          <cell r="C36" t="str">
            <v>VAR_fout</v>
          </cell>
          <cell r="D36" t="str">
            <v>TFHGV-ICENGA</v>
          </cell>
          <cell r="I36">
            <v>0.16095667781245718</v>
          </cell>
          <cell r="J36">
            <v>0.15612240600274341</v>
          </cell>
          <cell r="K36">
            <v>0.14611516129285348</v>
          </cell>
        </row>
        <row r="37">
          <cell r="B37" t="str">
            <v>CO2_T</v>
          </cell>
          <cell r="C37" t="str">
            <v>VAR_fout</v>
          </cell>
          <cell r="D37" t="str">
            <v>T-Plg-GSL-mix_S1</v>
          </cell>
          <cell r="I37">
            <v>7.7851933266017762E-2</v>
          </cell>
          <cell r="J37">
            <v>5.8425352055495407E-2</v>
          </cell>
          <cell r="K37">
            <v>2.5155267417655572E-2</v>
          </cell>
        </row>
        <row r="38">
          <cell r="B38" t="str">
            <v>CO2_T</v>
          </cell>
          <cell r="C38" t="str">
            <v>VAR_fout</v>
          </cell>
          <cell r="D38" t="str">
            <v>T-Plg-GSL-mix_S2</v>
          </cell>
          <cell r="I38">
            <v>1.0467333729619051</v>
          </cell>
          <cell r="J38">
            <v>0.268294401163788</v>
          </cell>
          <cell r="K38">
            <v>9.9607348226671111E-2</v>
          </cell>
        </row>
        <row r="39">
          <cell r="B39" t="str">
            <v>CO2_T</v>
          </cell>
          <cell r="C39" t="str">
            <v>VAR_fout</v>
          </cell>
          <cell r="D39" t="str">
            <v>T-Plg-GSL-mix_S3</v>
          </cell>
          <cell r="I39">
            <v>411.86261939676046</v>
          </cell>
          <cell r="J39">
            <v>284.42036765508504</v>
          </cell>
          <cell r="K39">
            <v>139.8230973837552</v>
          </cell>
        </row>
        <row r="40">
          <cell r="B40" t="str">
            <v>CO2_T</v>
          </cell>
          <cell r="C40" t="str">
            <v>VAR_fout</v>
          </cell>
          <cell r="D40" t="str">
            <v>T-Plg-GSL-mix_S4</v>
          </cell>
          <cell r="I40">
            <v>1.9345911397322562</v>
          </cell>
          <cell r="J40">
            <v>0.30388345586675258</v>
          </cell>
          <cell r="K40">
            <v>0.10660711553389601</v>
          </cell>
        </row>
        <row r="41">
          <cell r="B41" t="str">
            <v>CO2_T</v>
          </cell>
          <cell r="C41" t="str">
            <v>VAR_fout</v>
          </cell>
          <cell r="D41" t="str">
            <v>TFLGV-HYBDSL</v>
          </cell>
          <cell r="I41">
            <v>334.33459946670439</v>
          </cell>
          <cell r="J41">
            <v>221.5897302385317</v>
          </cell>
          <cell r="K41">
            <v>250.81079870021387</v>
          </cell>
        </row>
        <row r="42">
          <cell r="B42" t="str">
            <v>CO2_T</v>
          </cell>
          <cell r="C42" t="str">
            <v>VAR_fout</v>
          </cell>
          <cell r="D42" t="str">
            <v>TFLGV-ICEGSLExt</v>
          </cell>
        </row>
        <row r="43">
          <cell r="B43" t="str">
            <v>CO2_T</v>
          </cell>
          <cell r="C43" t="str">
            <v>VAR_fout</v>
          </cell>
          <cell r="D43" t="str">
            <v>TFLGV-ICEDSLExt</v>
          </cell>
        </row>
        <row r="44">
          <cell r="B44" t="str">
            <v>CO2_T</v>
          </cell>
          <cell r="C44" t="str">
            <v>VAR_fout</v>
          </cell>
          <cell r="D44" t="str">
            <v>T_C-ICE-NGA-S1</v>
          </cell>
          <cell r="I44">
            <v>6.0915671584873144E-3</v>
          </cell>
          <cell r="J44">
            <v>4.3911076318505571E-3</v>
          </cell>
          <cell r="K44">
            <v>2.9747074863191022E-3</v>
          </cell>
        </row>
        <row r="45">
          <cell r="B45" t="str">
            <v>CO2_T</v>
          </cell>
          <cell r="C45" t="str">
            <v>VAR_fout</v>
          </cell>
          <cell r="D45" t="str">
            <v>T_C-ICE-NGA-S2</v>
          </cell>
          <cell r="I45">
            <v>1.1097523262955161E-2</v>
          </cell>
          <cell r="J45">
            <v>1.050703807579545E-2</v>
          </cell>
          <cell r="K45">
            <v>6.8643053460432906E-3</v>
          </cell>
        </row>
        <row r="46">
          <cell r="B46" t="str">
            <v>CO2_T</v>
          </cell>
          <cell r="C46" t="str">
            <v>VAR_fout</v>
          </cell>
          <cell r="D46" t="str">
            <v>TFLGV-ICEDSL</v>
          </cell>
          <cell r="I46">
            <v>0.45487051358516417</v>
          </cell>
          <cell r="J46">
            <v>0.33466563073966582</v>
          </cell>
          <cell r="K46">
            <v>0.12492535928137799</v>
          </cell>
        </row>
        <row r="47">
          <cell r="B47" t="str">
            <v>CO2_T</v>
          </cell>
          <cell r="C47" t="str">
            <v>VAR_fout</v>
          </cell>
          <cell r="D47" t="str">
            <v>T_C-ICE-NGA-S3</v>
          </cell>
          <cell r="I47">
            <v>1.6539392523901263E-2</v>
          </cell>
          <cell r="J47">
            <v>1.4688246584296665E-2</v>
          </cell>
          <cell r="K47">
            <v>1.122231254437858E-2</v>
          </cell>
        </row>
        <row r="48">
          <cell r="B48" t="str">
            <v>CO2_T</v>
          </cell>
          <cell r="C48" t="str">
            <v>VAR_fout</v>
          </cell>
          <cell r="D48" t="str">
            <v>T_C-ICE-NGA-S4</v>
          </cell>
          <cell r="I48">
            <v>1.2194797434156386E-2</v>
          </cell>
          <cell r="J48">
            <v>1.3030727533820521E-2</v>
          </cell>
          <cell r="K48">
            <v>1.1370783265725291E-2</v>
          </cell>
        </row>
        <row r="49">
          <cell r="B49" t="str">
            <v>CO2_T</v>
          </cell>
          <cell r="C49" t="str">
            <v>VAR_fout</v>
          </cell>
          <cell r="D49" t="str">
            <v>T_C-MHY-GSL-S1</v>
          </cell>
          <cell r="I49">
            <v>22.88868960171105</v>
          </cell>
          <cell r="J49">
            <v>11.383071895008378</v>
          </cell>
          <cell r="K49">
            <v>3.8869254487557459E-2</v>
          </cell>
        </row>
        <row r="50">
          <cell r="B50" t="str">
            <v>CO2_T</v>
          </cell>
          <cell r="C50" t="str">
            <v>VAR_fout</v>
          </cell>
          <cell r="D50" t="str">
            <v>T_C-MHY-GSL-S2</v>
          </cell>
          <cell r="I50">
            <v>0.23064222669107676</v>
          </cell>
          <cell r="J50">
            <v>0.18116044311937907</v>
          </cell>
          <cell r="K50">
            <v>5.9443159203255699E-2</v>
          </cell>
        </row>
        <row r="51">
          <cell r="B51" t="str">
            <v>CO2_T</v>
          </cell>
          <cell r="C51" t="str">
            <v>VAR_fout</v>
          </cell>
          <cell r="D51" t="str">
            <v>T_C-MHY-DSL-S1</v>
          </cell>
          <cell r="I51">
            <v>18.502855390536112</v>
          </cell>
          <cell r="J51">
            <v>10.526641843586221</v>
          </cell>
          <cell r="K51">
            <v>0.92912522646161189</v>
          </cell>
        </row>
        <row r="52">
          <cell r="B52" t="str">
            <v>CO2_T</v>
          </cell>
          <cell r="C52" t="str">
            <v>VAR_fout</v>
          </cell>
          <cell r="D52" t="str">
            <v>T_C-MHY-GSL-S3</v>
          </cell>
          <cell r="I52">
            <v>0.22536587839688149</v>
          </cell>
          <cell r="J52">
            <v>0.191682777466606</v>
          </cell>
          <cell r="K52">
            <v>7.0990029150208203E-2</v>
          </cell>
        </row>
        <row r="53">
          <cell r="B53" t="str">
            <v>CO2_T</v>
          </cell>
          <cell r="C53" t="str">
            <v>VAR_fout</v>
          </cell>
          <cell r="D53" t="str">
            <v>T_C-MHY-DSL-S2</v>
          </cell>
          <cell r="I53">
            <v>0.28934142971745835</v>
          </cell>
          <cell r="J53">
            <v>0.33291730174697115</v>
          </cell>
          <cell r="K53">
            <v>0.12086684401237222</v>
          </cell>
        </row>
        <row r="54">
          <cell r="B54" t="str">
            <v>CO2_T</v>
          </cell>
          <cell r="C54" t="str">
            <v>VAR_fout</v>
          </cell>
          <cell r="D54" t="str">
            <v>T_C-MHY-GSL-S4</v>
          </cell>
          <cell r="I54">
            <v>7.4276613612088731</v>
          </cell>
          <cell r="J54">
            <v>27.348286828843385</v>
          </cell>
          <cell r="K54">
            <v>40.917495742461938</v>
          </cell>
        </row>
        <row r="55">
          <cell r="B55" t="str">
            <v>CO2_T</v>
          </cell>
          <cell r="C55" t="str">
            <v>VAR_fout</v>
          </cell>
          <cell r="D55" t="str">
            <v>T_C-MHY-DSL-S3</v>
          </cell>
          <cell r="I55">
            <v>0.33652188488008972</v>
          </cell>
          <cell r="J55">
            <v>14.280760739455081</v>
          </cell>
          <cell r="K55">
            <v>26.733206999011681</v>
          </cell>
        </row>
        <row r="56">
          <cell r="B56" t="str">
            <v>CO2_T</v>
          </cell>
          <cell r="C56" t="str">
            <v>VAR_fout</v>
          </cell>
          <cell r="D56" t="str">
            <v>T_B_c-HYBDSL-S1</v>
          </cell>
          <cell r="I56">
            <v>2.1851590789496576</v>
          </cell>
          <cell r="J56">
            <v>6.3642603541794207</v>
          </cell>
          <cell r="K56">
            <v>11.590877396861956</v>
          </cell>
        </row>
        <row r="57">
          <cell r="B57" t="str">
            <v>CO2_T</v>
          </cell>
          <cell r="C57" t="str">
            <v>VAR_fout</v>
          </cell>
          <cell r="D57" t="str">
            <v>T_C-MHY-DSL-S4</v>
          </cell>
          <cell r="I57">
            <v>9.848407356204833E-2</v>
          </cell>
          <cell r="J57">
            <v>0.11329566591442758</v>
          </cell>
          <cell r="K57">
            <v>6.9341063060202796E-2</v>
          </cell>
        </row>
        <row r="58">
          <cell r="B58" t="str">
            <v>CO2_T</v>
          </cell>
          <cell r="C58" t="str">
            <v>VAR_fout</v>
          </cell>
          <cell r="D58" t="str">
            <v>T_B_c-HYBDSL-S2</v>
          </cell>
          <cell r="I58">
            <v>18.214238039992352</v>
          </cell>
          <cell r="J58">
            <v>10.892269922156778</v>
          </cell>
          <cell r="K58">
            <v>4.048228571665053</v>
          </cell>
        </row>
        <row r="59">
          <cell r="B59" t="str">
            <v>CO2_T</v>
          </cell>
          <cell r="C59" t="str">
            <v>VAR_fout</v>
          </cell>
          <cell r="D59" t="str">
            <v>T_B_c-HYBDSL-S3</v>
          </cell>
          <cell r="I59">
            <v>9.3347474448668102</v>
          </cell>
          <cell r="J59">
            <v>8.2812566781091803</v>
          </cell>
          <cell r="K59">
            <v>3.3861202768500096</v>
          </cell>
        </row>
        <row r="60">
          <cell r="B60" t="str">
            <v>CO2_T</v>
          </cell>
          <cell r="C60" t="str">
            <v>VAR_fout</v>
          </cell>
          <cell r="D60" t="str">
            <v>T_B_c-HYBDSL-S4</v>
          </cell>
          <cell r="I60">
            <v>3.8601516819607509E-3</v>
          </cell>
          <cell r="J60">
            <v>5.5719366160855797E-3</v>
          </cell>
          <cell r="K60">
            <v>9.0622969042561093E-4</v>
          </cell>
        </row>
        <row r="61">
          <cell r="B61" t="str">
            <v>CO2_T</v>
          </cell>
          <cell r="C61" t="str">
            <v>VAR_fout</v>
          </cell>
          <cell r="D61" t="str">
            <v>TFHGV-ICEDSLExt</v>
          </cell>
        </row>
        <row r="62">
          <cell r="B62" t="str">
            <v>CO2_T</v>
          </cell>
          <cell r="C62" t="str">
            <v>VAR_fout</v>
          </cell>
          <cell r="D62" t="str">
            <v>TPSHPGSLEXT</v>
          </cell>
          <cell r="I62">
            <v>2.67665942662185E-2</v>
          </cell>
          <cell r="J62">
            <v>1.03211191845243E-2</v>
          </cell>
        </row>
        <row r="63">
          <cell r="B63" t="str">
            <v>CO2_T</v>
          </cell>
          <cell r="C63" t="str">
            <v>VAR_fout</v>
          </cell>
          <cell r="D63" t="str">
            <v>T_TW-ICEGSL-S1</v>
          </cell>
          <cell r="I63">
            <v>62.70371410597204</v>
          </cell>
          <cell r="J63">
            <v>65.833866039592237</v>
          </cell>
          <cell r="K63">
            <v>64.880360680276482</v>
          </cell>
        </row>
        <row r="64">
          <cell r="B64" t="str">
            <v>CO2_T</v>
          </cell>
          <cell r="C64" t="str">
            <v>VAR_fout</v>
          </cell>
          <cell r="D64" t="str">
            <v>TPSHPDSLEXT</v>
          </cell>
          <cell r="I64">
            <v>1191.2938967743501</v>
          </cell>
          <cell r="J64">
            <v>1191.30962611789</v>
          </cell>
          <cell r="K64">
            <v>1191.29903669535</v>
          </cell>
        </row>
        <row r="65">
          <cell r="B65" t="str">
            <v>CO2_T</v>
          </cell>
          <cell r="C65" t="str">
            <v>VAR_fout</v>
          </cell>
          <cell r="D65" t="str">
            <v>T_TW-ICEGSL-S2</v>
          </cell>
          <cell r="I65">
            <v>0.74637121250953997</v>
          </cell>
          <cell r="J65">
            <v>3.6815163395410563E-2</v>
          </cell>
          <cell r="K65">
            <v>2.1893131132409531E-2</v>
          </cell>
        </row>
        <row r="66">
          <cell r="B66" t="str">
            <v>CO2_T</v>
          </cell>
          <cell r="C66" t="str">
            <v>VAR_fout</v>
          </cell>
          <cell r="D66" t="str">
            <v>T_TW-ICEGSL-S3</v>
          </cell>
          <cell r="I66">
            <v>13.914007318598774</v>
          </cell>
          <cell r="J66">
            <v>3.3974295609689187</v>
          </cell>
          <cell r="K66">
            <v>2.122105376025115E-2</v>
          </cell>
        </row>
        <row r="67">
          <cell r="B67" t="str">
            <v>CO2_T</v>
          </cell>
          <cell r="C67" t="str">
            <v>VAR_fout</v>
          </cell>
          <cell r="D67" t="str">
            <v>T_C-ICEGSLEXT</v>
          </cell>
        </row>
        <row r="68">
          <cell r="B68" t="str">
            <v>CO2_T</v>
          </cell>
          <cell r="C68" t="str">
            <v>VAR_fout</v>
          </cell>
          <cell r="D68" t="str">
            <v>T_TW-ICEGSL-S4</v>
          </cell>
          <cell r="I68">
            <v>9.3226686600072792</v>
          </cell>
          <cell r="J68">
            <v>8.4410992059224323</v>
          </cell>
          <cell r="K68">
            <v>0.52150252930535135</v>
          </cell>
        </row>
        <row r="69">
          <cell r="B69" t="str">
            <v>CO2_T</v>
          </cell>
          <cell r="C69" t="str">
            <v>VAR_fout</v>
          </cell>
          <cell r="D69" t="str">
            <v>T_C-ICEDSLEXT</v>
          </cell>
        </row>
        <row r="70">
          <cell r="B70" t="str">
            <v>CO2_T</v>
          </cell>
          <cell r="C70" t="str">
            <v>VAR_fout</v>
          </cell>
          <cell r="D70" t="str">
            <v>T_TW-ICEGSLEXT</v>
          </cell>
        </row>
        <row r="71">
          <cell r="B71" t="str">
            <v>CO2_T</v>
          </cell>
          <cell r="C71" t="str">
            <v>VAR_fout</v>
          </cell>
          <cell r="D71" t="str">
            <v>TFLGV-ICENGA</v>
          </cell>
          <cell r="I71">
            <v>8.2957057650567198E-3</v>
          </cell>
          <cell r="J71">
            <v>8.006371453425816E-3</v>
          </cell>
          <cell r="K71">
            <v>6.9305330764687072E-3</v>
          </cell>
        </row>
        <row r="72">
          <cell r="B72" t="str">
            <v>CO2_T</v>
          </cell>
          <cell r="C72" t="str">
            <v>VAR_fout</v>
          </cell>
          <cell r="D72" t="str">
            <v>T_B_c-ICENGA-S1</v>
          </cell>
        </row>
        <row r="73">
          <cell r="B73" t="str">
            <v>CO2_T</v>
          </cell>
          <cell r="C73" t="str">
            <v>VAR_fout</v>
          </cell>
          <cell r="D73" t="str">
            <v>T_B_c-ICENGA-S2</v>
          </cell>
        </row>
        <row r="74">
          <cell r="B74" t="str">
            <v>CO2_T</v>
          </cell>
          <cell r="C74" t="str">
            <v>VAR_fout</v>
          </cell>
          <cell r="D74" t="str">
            <v>T_B_u-ICEDSL-S1</v>
          </cell>
        </row>
        <row r="75">
          <cell r="B75" t="str">
            <v>CO2_T</v>
          </cell>
          <cell r="C75" t="str">
            <v>VAR_fout</v>
          </cell>
          <cell r="D75" t="str">
            <v>T_B_c-ICENGA-S3</v>
          </cell>
        </row>
        <row r="76">
          <cell r="B76" t="str">
            <v>CO2_T</v>
          </cell>
          <cell r="C76" t="str">
            <v>VAR_fout</v>
          </cell>
          <cell r="D76" t="str">
            <v>T_B_u-ICEDSL-S2</v>
          </cell>
        </row>
        <row r="77">
          <cell r="B77" t="str">
            <v>CO2_T</v>
          </cell>
          <cell r="C77" t="str">
            <v>VAR_fout</v>
          </cell>
          <cell r="D77" t="str">
            <v>T_B_c-ICENGA-S4</v>
          </cell>
        </row>
        <row r="78">
          <cell r="B78" t="str">
            <v>CO2_T</v>
          </cell>
          <cell r="C78" t="str">
            <v>VAR_fout</v>
          </cell>
          <cell r="D78" t="str">
            <v>T_B_u-ICEDSL-S3</v>
          </cell>
        </row>
        <row r="79">
          <cell r="B79" t="str">
            <v>CO2_T</v>
          </cell>
          <cell r="C79" t="str">
            <v>VAR_fout</v>
          </cell>
          <cell r="D79" t="str">
            <v>T_B_u-ICEDSL-S4</v>
          </cell>
        </row>
        <row r="80">
          <cell r="B80" t="str">
            <v>CO2_T</v>
          </cell>
          <cell r="C80" t="str">
            <v>VAR_fout</v>
          </cell>
          <cell r="D80" t="str">
            <v>T_B_c-ICENGAEXT</v>
          </cell>
        </row>
        <row r="81">
          <cell r="B81" t="str">
            <v>CO2_T</v>
          </cell>
          <cell r="C81" t="str">
            <v>VAR_fout</v>
          </cell>
          <cell r="D81" t="str">
            <v>T_B_u-ICEDSLEXT</v>
          </cell>
        </row>
        <row r="82">
          <cell r="B82" t="str">
            <v>CO2_T</v>
          </cell>
          <cell r="C82" t="str">
            <v>VAR_fout</v>
          </cell>
          <cell r="D82" t="str">
            <v>T_C-HYBGSLEXT</v>
          </cell>
        </row>
        <row r="83">
          <cell r="B83" t="str">
            <v>CO2_T</v>
          </cell>
          <cell r="C83" t="str">
            <v>VAR_fout</v>
          </cell>
          <cell r="D83" t="str">
            <v>TPAVDKEREXT</v>
          </cell>
          <cell r="I83">
            <v>185.675788544743</v>
          </cell>
          <cell r="J83">
            <v>154.38211110512901</v>
          </cell>
          <cell r="K83">
            <v>123.088433665514</v>
          </cell>
        </row>
        <row r="84">
          <cell r="B84" t="str">
            <v>CO2_T</v>
          </cell>
          <cell r="C84" t="str">
            <v>VAR_fout</v>
          </cell>
          <cell r="D84" t="str">
            <v>T_C-ICE-GSL-S1</v>
          </cell>
          <cell r="I84">
            <v>101.98247522471827</v>
          </cell>
          <cell r="J84">
            <v>33.538604637504037</v>
          </cell>
          <cell r="K84">
            <v>3.5614605952710876E-2</v>
          </cell>
        </row>
        <row r="85">
          <cell r="B85" t="str">
            <v>CO2_T</v>
          </cell>
          <cell r="C85" t="str">
            <v>VAR_fout</v>
          </cell>
          <cell r="D85" t="str">
            <v>TFLGV-ICEGSL</v>
          </cell>
          <cell r="I85">
            <v>146.40720451795511</v>
          </cell>
          <cell r="J85">
            <v>85.306498158078824</v>
          </cell>
          <cell r="K85">
            <v>85.901955304408489</v>
          </cell>
        </row>
        <row r="86">
          <cell r="B86" t="str">
            <v>CO2_T</v>
          </cell>
          <cell r="C86" t="str">
            <v>VAR_fout</v>
          </cell>
          <cell r="D86" t="str">
            <v>T_C-ICE-GSL-S2</v>
          </cell>
          <cell r="I86">
            <v>55.630550189457047</v>
          </cell>
          <cell r="J86">
            <v>6.1420105960326383</v>
          </cell>
          <cell r="K86">
            <v>7.6805319549481596E-2</v>
          </cell>
        </row>
        <row r="87">
          <cell r="B87" t="str">
            <v>CO2_T</v>
          </cell>
          <cell r="C87" t="str">
            <v>VAR_fout</v>
          </cell>
          <cell r="D87" t="str">
            <v>T_C-ICE-DSL-S1</v>
          </cell>
          <cell r="I87">
            <v>0.10876346626261603</v>
          </cell>
          <cell r="J87">
            <v>6.5847088122899411E-2</v>
          </cell>
          <cell r="K87">
            <v>2.1121361476897599E-2</v>
          </cell>
        </row>
        <row r="88">
          <cell r="B88" t="str">
            <v>CO2_T</v>
          </cell>
          <cell r="C88" t="str">
            <v>VAR_fout</v>
          </cell>
          <cell r="D88" t="str">
            <v>T_C-ICE-GSL-S3</v>
          </cell>
          <cell r="I88">
            <v>72.800651294083849</v>
          </cell>
          <cell r="J88">
            <v>7.5182098355558127</v>
          </cell>
          <cell r="K88">
            <v>0.10668752167270999</v>
          </cell>
        </row>
        <row r="89">
          <cell r="B89" t="str">
            <v>CO2_T</v>
          </cell>
          <cell r="C89" t="str">
            <v>VAR_fout</v>
          </cell>
          <cell r="D89" t="str">
            <v>T_C-ICE-DSL-S2</v>
          </cell>
          <cell r="I89">
            <v>1.6231414555890247</v>
          </cell>
          <cell r="J89">
            <v>9.5989745518688899E-2</v>
          </cell>
          <cell r="K89">
            <v>3.5554159201593216E-2</v>
          </cell>
        </row>
        <row r="90">
          <cell r="B90" t="str">
            <v>CO2_T</v>
          </cell>
          <cell r="C90" t="str">
            <v>VAR_fout</v>
          </cell>
          <cell r="D90" t="str">
            <v>T_C-ICE-GSL-S4</v>
          </cell>
          <cell r="I90">
            <v>975.05155933261926</v>
          </cell>
          <cell r="J90">
            <v>1287.2318241234957</v>
          </cell>
          <cell r="K90">
            <v>1076.2969167801812</v>
          </cell>
        </row>
        <row r="91">
          <cell r="B91" t="str">
            <v>CO2_T</v>
          </cell>
          <cell r="C91" t="str">
            <v>VAR_fout</v>
          </cell>
          <cell r="D91" t="str">
            <v>T_C-ICE-DSL-S3</v>
          </cell>
          <cell r="I91">
            <v>10.219682239081934</v>
          </cell>
          <cell r="J91">
            <v>0.10648942121782529</v>
          </cell>
          <cell r="K91">
            <v>4.4859248508588398E-2</v>
          </cell>
        </row>
        <row r="92">
          <cell r="B92" t="str">
            <v>CO2_T</v>
          </cell>
          <cell r="C92" t="str">
            <v>VAR_fout</v>
          </cell>
          <cell r="D92" t="str">
            <v>T_C-ICE-DSL-S4</v>
          </cell>
          <cell r="I92">
            <v>5.7272953505646598</v>
          </cell>
          <cell r="J92">
            <v>6.4178631633009436E-2</v>
          </cell>
          <cell r="K92">
            <v>3.0394175196881278E-2</v>
          </cell>
        </row>
        <row r="93">
          <cell r="B93" t="str">
            <v>CO2_T</v>
          </cell>
          <cell r="C93" t="str">
            <v>VAR_fout</v>
          </cell>
          <cell r="D93" t="str">
            <v>TFLGV-ICENGAExt</v>
          </cell>
        </row>
        <row r="94">
          <cell r="B94" t="str">
            <v>CO2_T</v>
          </cell>
          <cell r="C94" t="str">
            <v>VAR_fout</v>
          </cell>
          <cell r="D94" t="str">
            <v>T_B_u-HYBDSL-S1</v>
          </cell>
          <cell r="I94">
            <v>6.7928643328252575E-2</v>
          </cell>
          <cell r="J94">
            <v>8.5721940635249058E-2</v>
          </cell>
          <cell r="K94">
            <v>9.3432648717177366E-2</v>
          </cell>
        </row>
        <row r="95">
          <cell r="B95" t="str">
            <v>CO2_T</v>
          </cell>
          <cell r="C95" t="str">
            <v>VAR_fout</v>
          </cell>
          <cell r="D95" t="str">
            <v>T_B_u-HYBDSL-S2</v>
          </cell>
          <cell r="I95">
            <v>7.0963171384859094E-2</v>
          </cell>
          <cell r="J95">
            <v>7.7627399207554237E-2</v>
          </cell>
          <cell r="K95">
            <v>5.7000243624347163E-2</v>
          </cell>
        </row>
        <row r="96">
          <cell r="B96" t="str">
            <v>CO2_T</v>
          </cell>
          <cell r="C96" t="str">
            <v>VAR_fout</v>
          </cell>
          <cell r="D96" t="str">
            <v>T_B_u-HYBDSL-S3</v>
          </cell>
          <cell r="I96">
            <v>82.612949051923593</v>
          </cell>
          <cell r="J96">
            <v>93.055137651160493</v>
          </cell>
          <cell r="K96">
            <v>107.47898780192611</v>
          </cell>
        </row>
        <row r="97">
          <cell r="B97" t="str">
            <v>CO2_T</v>
          </cell>
          <cell r="C97" t="str">
            <v>VAR_fout</v>
          </cell>
          <cell r="D97" t="str">
            <v>T_C-HY-GSL-S1</v>
          </cell>
          <cell r="I97">
            <v>69.389369339537566</v>
          </cell>
          <cell r="J97">
            <v>121.41049150980669</v>
          </cell>
          <cell r="K97">
            <v>49.910549979044383</v>
          </cell>
        </row>
        <row r="98">
          <cell r="B98" t="str">
            <v>CO2_T</v>
          </cell>
          <cell r="C98" t="str">
            <v>VAR_fout</v>
          </cell>
          <cell r="D98" t="str">
            <v>T_B_u-HYBDSL-S4</v>
          </cell>
          <cell r="I98">
            <v>3.2164903374622199E-3</v>
          </cell>
          <cell r="J98">
            <v>3.6725997087406603E-3</v>
          </cell>
          <cell r="K98">
            <v>4.8503581401081251E-4</v>
          </cell>
        </row>
        <row r="99">
          <cell r="B99" t="str">
            <v>CO2_T</v>
          </cell>
          <cell r="C99" t="str">
            <v>VAR_fout</v>
          </cell>
          <cell r="D99" t="str">
            <v>TFRLFDSLEXT</v>
          </cell>
          <cell r="I99">
            <v>2.78592501485844E-2</v>
          </cell>
          <cell r="J99">
            <v>2.84141161613858E-2</v>
          </cell>
          <cell r="K99">
            <v>2.2546577063012399E-3</v>
          </cell>
        </row>
        <row r="100">
          <cell r="B100" t="str">
            <v>CO2_T</v>
          </cell>
          <cell r="C100" t="str">
            <v>VAR_fout</v>
          </cell>
          <cell r="D100" t="str">
            <v>T_C-HY-GSL-S2</v>
          </cell>
          <cell r="I100">
            <v>60.940557508531185</v>
          </cell>
          <cell r="J100">
            <v>32.991959340307481</v>
          </cell>
          <cell r="K100">
            <v>138.00033243952254</v>
          </cell>
        </row>
        <row r="101">
          <cell r="B101" t="str">
            <v>CO2_T</v>
          </cell>
          <cell r="C101" t="str">
            <v>VAR_fout</v>
          </cell>
          <cell r="D101" t="str">
            <v>T_C-HY-DSL-S1</v>
          </cell>
          <cell r="I101">
            <v>21.582897266782645</v>
          </cell>
          <cell r="J101">
            <v>20.111746631439683</v>
          </cell>
          <cell r="K101">
            <v>6.2465218342379201</v>
          </cell>
        </row>
        <row r="102">
          <cell r="B102" t="str">
            <v>CO2_T</v>
          </cell>
          <cell r="C102" t="str">
            <v>VAR_fout</v>
          </cell>
          <cell r="D102" t="str">
            <v>T_C-HY-GSL-S3</v>
          </cell>
          <cell r="I102">
            <v>22.275582174475801</v>
          </cell>
          <cell r="J102">
            <v>9.6437431837838206E-2</v>
          </cell>
          <cell r="K102">
            <v>5.83206154231454E-2</v>
          </cell>
        </row>
        <row r="103">
          <cell r="B103" t="str">
            <v>CO2_T</v>
          </cell>
          <cell r="C103" t="str">
            <v>VAR_fout</v>
          </cell>
          <cell r="D103" t="str">
            <v>T_C-HY-DSL-S2</v>
          </cell>
          <cell r="I103">
            <v>107.7321712567894</v>
          </cell>
          <cell r="J103">
            <v>113.05189172373711</v>
          </cell>
          <cell r="K103">
            <v>130.76092626955381</v>
          </cell>
        </row>
        <row r="104">
          <cell r="B104" t="str">
            <v>CO2_T</v>
          </cell>
          <cell r="C104" t="str">
            <v>VAR_fout</v>
          </cell>
          <cell r="D104" t="str">
            <v>T_C-HY-GSL-S4</v>
          </cell>
          <cell r="I104">
            <v>1.2357001553654701</v>
          </cell>
          <cell r="J104">
            <v>0.12744891773487677</v>
          </cell>
          <cell r="K104">
            <v>0.17975711415827028</v>
          </cell>
        </row>
        <row r="105">
          <cell r="B105" t="str">
            <v>CO2_T</v>
          </cell>
          <cell r="C105" t="str">
            <v>VAR_fout</v>
          </cell>
          <cell r="D105" t="str">
            <v>T_C-HY-DSL-S3</v>
          </cell>
          <cell r="I105">
            <v>0.52631225798699832</v>
          </cell>
          <cell r="J105">
            <v>9.6917060114638881E-2</v>
          </cell>
          <cell r="K105">
            <v>6.0123415630815698E-2</v>
          </cell>
        </row>
        <row r="106">
          <cell r="B106" t="str">
            <v>CO2_T</v>
          </cell>
          <cell r="C106" t="str">
            <v>VAR_fout</v>
          </cell>
          <cell r="D106" t="str">
            <v>T_C-HY-DSL-S4</v>
          </cell>
          <cell r="I106">
            <v>0.98067294937154048</v>
          </cell>
          <cell r="J106">
            <v>0.12931384297936094</v>
          </cell>
          <cell r="K106">
            <v>0.18804716429949161</v>
          </cell>
        </row>
        <row r="107">
          <cell r="B107" t="str">
            <v>CO2_T</v>
          </cell>
          <cell r="C107" t="str">
            <v>VAR_fout</v>
          </cell>
          <cell r="D107" t="str">
            <v>TFHGV-HYBDSL</v>
          </cell>
          <cell r="I107">
            <v>1077.772024836946</v>
          </cell>
          <cell r="J107">
            <v>1122.965957071968</v>
          </cell>
          <cell r="K107">
            <v>1214.2866017406459</v>
          </cell>
        </row>
        <row r="108">
          <cell r="B108" t="str">
            <v>CO2_T</v>
          </cell>
          <cell r="C108" t="str">
            <v>VAR_fout</v>
          </cell>
          <cell r="D108" t="str">
            <v>TFHGV-ICEDSL</v>
          </cell>
          <cell r="I108">
            <v>0.10313654048157919</v>
          </cell>
          <cell r="J108">
            <v>0.1481014750128164</v>
          </cell>
          <cell r="K108">
            <v>4.8287899013275702E-2</v>
          </cell>
        </row>
        <row r="109">
          <cell r="B109" t="str">
            <v>CO2_T</v>
          </cell>
          <cell r="C109" t="str">
            <v>VAR_fout</v>
          </cell>
          <cell r="D109" t="str">
            <v>T-Plg-DSL-mix_S1</v>
          </cell>
          <cell r="I109">
            <v>7.8973543228726267E-2</v>
          </cell>
          <cell r="J109">
            <v>5.7214802231677499E-2</v>
          </cell>
          <cell r="K109">
            <v>2.427420278532345E-2</v>
          </cell>
        </row>
        <row r="110">
          <cell r="B110" t="str">
            <v>CO2_T</v>
          </cell>
          <cell r="C110" t="str">
            <v>VAR_fout</v>
          </cell>
          <cell r="D110" t="str">
            <v>T-Plg-DSL-mix_S2</v>
          </cell>
          <cell r="I110">
            <v>0.34867704782668585</v>
          </cell>
          <cell r="J110">
            <v>0.29137062699907651</v>
          </cell>
          <cell r="K110">
            <v>0.10281812753557179</v>
          </cell>
        </row>
        <row r="111">
          <cell r="B111" t="str">
            <v>CO2_T</v>
          </cell>
          <cell r="C111" t="str">
            <v>VAR_fout</v>
          </cell>
          <cell r="D111" t="str">
            <v>T-Plg-DSL-mix_S3</v>
          </cell>
          <cell r="I111">
            <v>716.14270568834684</v>
          </cell>
          <cell r="J111">
            <v>588.46499622676856</v>
          </cell>
          <cell r="K111">
            <v>296.48723330499769</v>
          </cell>
        </row>
        <row r="112">
          <cell r="B112" t="str">
            <v>CO2_T</v>
          </cell>
          <cell r="C112" t="str">
            <v>VAR_fout</v>
          </cell>
          <cell r="D112" t="str">
            <v>T_B_c-ICEDSL-S1</v>
          </cell>
        </row>
        <row r="113">
          <cell r="B113" t="str">
            <v>CO2_T</v>
          </cell>
          <cell r="C113" t="str">
            <v>VAR_fout</v>
          </cell>
          <cell r="D113" t="str">
            <v>T-Plg-DSL-mix_S4</v>
          </cell>
          <cell r="I113">
            <v>0.53981235260131122</v>
          </cell>
          <cell r="J113">
            <v>0.3209323156695682</v>
          </cell>
          <cell r="K113">
            <v>0.1060126846424153</v>
          </cell>
        </row>
        <row r="114">
          <cell r="B114" t="str">
            <v>CO2_T</v>
          </cell>
          <cell r="C114" t="str">
            <v>VAR_fout</v>
          </cell>
          <cell r="D114" t="str">
            <v>T_B_c-ICEDSL-S2</v>
          </cell>
        </row>
        <row r="115">
          <cell r="B115" t="str">
            <v>CO2_T</v>
          </cell>
          <cell r="C115" t="str">
            <v>VAR_fout</v>
          </cell>
          <cell r="D115" t="str">
            <v>T_B_c-ICEDSL-S3</v>
          </cell>
        </row>
        <row r="116">
          <cell r="B116" t="str">
            <v>CO2_T</v>
          </cell>
          <cell r="C116" t="str">
            <v>VAR_fout</v>
          </cell>
          <cell r="D116" t="str">
            <v>T_B_c-ICEDSL-S4</v>
          </cell>
        </row>
        <row r="117">
          <cell r="B117" t="str">
            <v>CO2_T</v>
          </cell>
          <cell r="C117" t="str">
            <v>VAR_fout</v>
          </cell>
          <cell r="D117" t="str">
            <v>T_B_u-ICENGA-S1</v>
          </cell>
          <cell r="I117">
            <v>3.32459678022826E-5</v>
          </cell>
          <cell r="J117">
            <v>5.2252274938265501E-5</v>
          </cell>
        </row>
        <row r="118">
          <cell r="B118" t="str">
            <v>CO2_T</v>
          </cell>
          <cell r="C118" t="str">
            <v>VAR_fout</v>
          </cell>
          <cell r="D118" t="str">
            <v>T_B_u-ICENGA-S2</v>
          </cell>
        </row>
        <row r="119">
          <cell r="B119" t="str">
            <v>CO2_T</v>
          </cell>
          <cell r="C119" t="str">
            <v>VAR_fout</v>
          </cell>
          <cell r="D119" t="str">
            <v>T_B_c-ICEDSLEXT</v>
          </cell>
        </row>
        <row r="120">
          <cell r="B120" t="str">
            <v>CO2_T</v>
          </cell>
          <cell r="C120" t="str">
            <v>VAR_fout</v>
          </cell>
          <cell r="D120" t="str">
            <v>T_B_u-ICENGA-S3</v>
          </cell>
        </row>
        <row r="121">
          <cell r="B121" t="str">
            <v>CO2_T</v>
          </cell>
          <cell r="C121" t="str">
            <v>VAR_fout</v>
          </cell>
          <cell r="D121" t="str">
            <v>T_B_u-ICENGA-S4</v>
          </cell>
        </row>
        <row r="122">
          <cell r="B122" t="str">
            <v>CO2_T</v>
          </cell>
          <cell r="C122" t="str">
            <v>VAR_comnet</v>
          </cell>
          <cell r="D122" t="str">
            <v>-</v>
          </cell>
          <cell r="I122">
            <v>5825.3300871012998</v>
          </cell>
          <cell r="J122">
            <v>5534.0796145019203</v>
          </cell>
          <cell r="K122">
            <v>4965.6154631811296</v>
          </cell>
        </row>
        <row r="123">
          <cell r="B123" t="str">
            <v>CO2</v>
          </cell>
          <cell r="C123" t="str">
            <v>VAR_fout</v>
          </cell>
          <cell r="D123" t="str">
            <v>othGHG</v>
          </cell>
          <cell r="I123">
            <v>7329.0334946912399</v>
          </cell>
          <cell r="J123">
            <v>7454.2739917099698</v>
          </cell>
          <cell r="K123">
            <v>7761.4154756314902</v>
          </cell>
        </row>
        <row r="124">
          <cell r="B124" t="str">
            <v>CO2</v>
          </cell>
          <cell r="C124" t="str">
            <v>VAR_fout</v>
          </cell>
          <cell r="D124" t="str">
            <v>D-ICOA</v>
          </cell>
          <cell r="I124">
            <v>9.6631108630347198E-2</v>
          </cell>
          <cell r="J124">
            <v>6.4736380861236897E-2</v>
          </cell>
          <cell r="K124">
            <v>3.42800395494266E-2</v>
          </cell>
        </row>
        <row r="125">
          <cell r="B125" t="str">
            <v>CO2</v>
          </cell>
          <cell r="C125" t="str">
            <v>VAR_fout</v>
          </cell>
          <cell r="D125" t="str">
            <v>D-ENGA</v>
          </cell>
          <cell r="I125">
            <v>120.877153496796</v>
          </cell>
          <cell r="J125">
            <v>327.38826234757602</v>
          </cell>
          <cell r="K125">
            <v>1430.4482903313401</v>
          </cell>
        </row>
        <row r="126">
          <cell r="B126" t="str">
            <v>CO2</v>
          </cell>
          <cell r="C126" t="str">
            <v>VAR_fout</v>
          </cell>
          <cell r="D126" t="str">
            <v>D-ILFO</v>
          </cell>
          <cell r="I126">
            <v>336.11815433155903</v>
          </cell>
          <cell r="J126">
            <v>165.32919551461401</v>
          </cell>
          <cell r="K126">
            <v>1.51892527982068E-2</v>
          </cell>
        </row>
        <row r="127">
          <cell r="B127" t="str">
            <v>CO2</v>
          </cell>
          <cell r="C127" t="str">
            <v>VAR_fout</v>
          </cell>
          <cell r="D127" t="str">
            <v>D-TDSL</v>
          </cell>
          <cell r="I127">
            <v>3504.79706592805</v>
          </cell>
          <cell r="J127">
            <v>3311.8840128905899</v>
          </cell>
          <cell r="K127">
            <v>3155.79608056698</v>
          </cell>
        </row>
        <row r="128">
          <cell r="B128" t="str">
            <v>CO2</v>
          </cell>
          <cell r="C128" t="str">
            <v>VAR_fout</v>
          </cell>
          <cell r="D128" t="str">
            <v>ITOT-PROCESSCO2</v>
          </cell>
          <cell r="I128">
            <v>2085.53495476948</v>
          </cell>
          <cell r="J128">
            <v>2077.4128471263102</v>
          </cell>
          <cell r="K128">
            <v>2063.74855625499</v>
          </cell>
        </row>
        <row r="129">
          <cell r="B129" t="str">
            <v>CO2</v>
          </cell>
          <cell r="C129" t="str">
            <v>VAR_fout</v>
          </cell>
          <cell r="D129" t="str">
            <v>D-ELFO</v>
          </cell>
          <cell r="I129">
            <v>0.82037837779437695</v>
          </cell>
          <cell r="J129">
            <v>0.86473726202077805</v>
          </cell>
          <cell r="K129">
            <v>0.912171011621566</v>
          </cell>
        </row>
        <row r="130">
          <cell r="B130" t="str">
            <v>CO2</v>
          </cell>
          <cell r="C130" t="str">
            <v>VAR_fout</v>
          </cell>
          <cell r="D130" t="str">
            <v>D-TNGA</v>
          </cell>
          <cell r="I130">
            <v>0.17789380701414101</v>
          </cell>
          <cell r="J130">
            <v>0.20404900214830601</v>
          </cell>
          <cell r="K130">
            <v>0.183256671942885</v>
          </cell>
        </row>
        <row r="131">
          <cell r="B131" t="str">
            <v>CO2</v>
          </cell>
          <cell r="C131" t="str">
            <v>VAR_fout</v>
          </cell>
          <cell r="D131" t="str">
            <v>D-SNGA</v>
          </cell>
          <cell r="I131">
            <v>1975.0113913134601</v>
          </cell>
          <cell r="J131">
            <v>1795.34584558084</v>
          </cell>
          <cell r="K131">
            <v>1378.18987894527</v>
          </cell>
        </row>
        <row r="132">
          <cell r="B132" t="str">
            <v>CO2</v>
          </cell>
          <cell r="C132" t="str">
            <v>VAR_fout</v>
          </cell>
          <cell r="D132" t="str">
            <v>CO2compabroad</v>
          </cell>
        </row>
        <row r="133">
          <cell r="B133" t="str">
            <v>CO2</v>
          </cell>
          <cell r="C133" t="str">
            <v>VAR_fout</v>
          </cell>
          <cell r="D133" t="str">
            <v>D-RNGA</v>
          </cell>
          <cell r="I133">
            <v>2390.5649900968001</v>
          </cell>
          <cell r="J133">
            <v>2608.8395193321799</v>
          </cell>
          <cell r="K133">
            <v>2118.93573711519</v>
          </cell>
        </row>
        <row r="134">
          <cell r="B134" t="str">
            <v>CO2</v>
          </cell>
          <cell r="C134" t="str">
            <v>VAR_fout</v>
          </cell>
          <cell r="D134" t="str">
            <v>D-IHFO</v>
          </cell>
          <cell r="I134">
            <v>8.3183198525477606E-2</v>
          </cell>
          <cell r="J134">
            <v>5.8143545169166602E-2</v>
          </cell>
        </row>
        <row r="135">
          <cell r="B135" t="str">
            <v>CO2</v>
          </cell>
          <cell r="C135" t="str">
            <v>VAR_fout</v>
          </cell>
          <cell r="D135" t="str">
            <v>D-SLFO</v>
          </cell>
          <cell r="I135">
            <v>1130.77525983033</v>
          </cell>
          <cell r="J135">
            <v>909.92246796191898</v>
          </cell>
          <cell r="K135">
            <v>433.06208736555402</v>
          </cell>
        </row>
        <row r="136">
          <cell r="B136" t="str">
            <v>CO2</v>
          </cell>
          <cell r="C136" t="str">
            <v>VAR_fout</v>
          </cell>
          <cell r="D136" t="str">
            <v>D-RCOA</v>
          </cell>
          <cell r="I136">
            <v>0.120771358129107</v>
          </cell>
        </row>
        <row r="137">
          <cell r="B137" t="str">
            <v>CO2</v>
          </cell>
          <cell r="C137" t="str">
            <v>VAR_fout</v>
          </cell>
          <cell r="D137" t="str">
            <v>D-RLFO</v>
          </cell>
          <cell r="I137">
            <v>1831.4873678617</v>
          </cell>
          <cell r="J137">
            <v>1382.2556419749801</v>
          </cell>
          <cell r="K137">
            <v>522.97592503736996</v>
          </cell>
        </row>
        <row r="138">
          <cell r="B138" t="str">
            <v>CO2</v>
          </cell>
          <cell r="C138" t="str">
            <v>VAR_fout</v>
          </cell>
          <cell r="D138" t="str">
            <v>D-TGSL</v>
          </cell>
          <cell r="I138">
            <v>1955.1976536617599</v>
          </cell>
          <cell r="J138">
            <v>1895.8760921227699</v>
          </cell>
          <cell r="K138">
            <v>1532.20539527497</v>
          </cell>
        </row>
        <row r="139">
          <cell r="B139" t="str">
            <v>CO2</v>
          </cell>
          <cell r="C139" t="str">
            <v>VAR_fout</v>
          </cell>
          <cell r="D139" t="str">
            <v>D-IWST</v>
          </cell>
          <cell r="I139">
            <v>1001.7549214565</v>
          </cell>
          <cell r="J139">
            <v>996.69833120078704</v>
          </cell>
          <cell r="K139">
            <v>986.58514923599296</v>
          </cell>
        </row>
        <row r="140">
          <cell r="B140" t="str">
            <v>CO2</v>
          </cell>
          <cell r="C140" t="str">
            <v>VAR_fout</v>
          </cell>
          <cell r="D140" t="str">
            <v>D-TKER</v>
          </cell>
          <cell r="I140">
            <v>118.774025547294</v>
          </cell>
          <cell r="J140">
            <v>78.398281772614595</v>
          </cell>
          <cell r="K140">
            <v>42.2458994291772</v>
          </cell>
        </row>
        <row r="141">
          <cell r="B141" t="str">
            <v>CO2</v>
          </cell>
          <cell r="C141" t="str">
            <v>VAR_fout</v>
          </cell>
          <cell r="D141" t="str">
            <v>D-INGA</v>
          </cell>
          <cell r="I141">
            <v>1608.9666301341399</v>
          </cell>
          <cell r="J141">
            <v>1439.0916660007599</v>
          </cell>
          <cell r="K141">
            <v>663.48436560028995</v>
          </cell>
        </row>
        <row r="142">
          <cell r="B142" t="str">
            <v>CO2</v>
          </cell>
          <cell r="C142" t="str">
            <v>VAR_fout</v>
          </cell>
          <cell r="D142" t="str">
            <v>D-EWST</v>
          </cell>
          <cell r="I142">
            <v>2240.4530311283002</v>
          </cell>
          <cell r="J142">
            <v>2266.09861011673</v>
          </cell>
          <cell r="K142">
            <v>2317.3896475493698</v>
          </cell>
        </row>
        <row r="143">
          <cell r="B143" t="str">
            <v>CO2</v>
          </cell>
          <cell r="C143" t="str">
            <v>VAR_comnet</v>
          </cell>
          <cell r="D143" t="str">
            <v>-</v>
          </cell>
        </row>
        <row r="144">
          <cell r="B144" t="str">
            <v>CO2</v>
          </cell>
          <cell r="C144" t="str">
            <v>EQ_combalM</v>
          </cell>
          <cell r="D144" t="str">
            <v>-</v>
          </cell>
        </row>
        <row r="145">
          <cell r="B145" t="str">
            <v>CO2_SECTOR</v>
          </cell>
          <cell r="C145" t="str">
            <v>VAR_fout</v>
          </cell>
          <cell r="D145" t="str">
            <v>CO2_IND</v>
          </cell>
          <cell r="I145">
            <v>5032.5544749988294</v>
          </cell>
          <cell r="J145">
            <v>4678.6549197684972</v>
          </cell>
          <cell r="K145">
            <v>3713.8675403836232</v>
          </cell>
        </row>
        <row r="146">
          <cell r="B146" t="str">
            <v>CO2_SECTOR</v>
          </cell>
          <cell r="C146" t="str">
            <v>VAR_fout</v>
          </cell>
          <cell r="D146" t="str">
            <v>CO2_RES</v>
          </cell>
          <cell r="I146">
            <v>4222.1731293166195</v>
          </cell>
          <cell r="J146">
            <v>3991.0951613071661</v>
          </cell>
          <cell r="K146">
            <v>2641.9116621525613</v>
          </cell>
        </row>
        <row r="147">
          <cell r="B147" t="str">
            <v>CO2_SECTOR</v>
          </cell>
          <cell r="C147" t="str">
            <v>VAR_fout</v>
          </cell>
          <cell r="D147" t="str">
            <v>CO2_TRA</v>
          </cell>
          <cell r="I147">
            <v>5577.2011255941607</v>
          </cell>
          <cell r="J147">
            <v>5285.2102901903154</v>
          </cell>
          <cell r="K147">
            <v>4729.8097879675124</v>
          </cell>
        </row>
        <row r="148">
          <cell r="B148" t="str">
            <v>CO2_SECTOR</v>
          </cell>
          <cell r="C148" t="str">
            <v>VAR_fout</v>
          </cell>
          <cell r="D148" t="str">
            <v>CO2_ELC</v>
          </cell>
          <cell r="I148">
            <v>2362.1505630028955</v>
          </cell>
          <cell r="J148">
            <v>2594.3516097263259</v>
          </cell>
          <cell r="K148">
            <v>3748.7501088923314</v>
          </cell>
        </row>
        <row r="149">
          <cell r="B149" t="str">
            <v>CO2_SECTOR</v>
          </cell>
          <cell r="C149" t="str">
            <v>VAR_fout</v>
          </cell>
          <cell r="D149" t="str">
            <v>CO2_SER</v>
          </cell>
          <cell r="I149">
            <v>3105.7866511437846</v>
          </cell>
          <cell r="J149">
            <v>2705.2683135427615</v>
          </cell>
          <cell r="K149">
            <v>1811.2519663108224</v>
          </cell>
        </row>
        <row r="150">
          <cell r="B150" t="str">
            <v>CO2_SECTOR</v>
          </cell>
          <cell r="C150" t="str">
            <v>VAR_fout</v>
          </cell>
          <cell r="D150" t="str">
            <v>CO2_ELCCCS</v>
          </cell>
          <cell r="I150">
            <v>2362.1505630028955</v>
          </cell>
          <cell r="J150">
            <v>2594.3516097263259</v>
          </cell>
          <cell r="K150">
            <v>3748.7501088923314</v>
          </cell>
        </row>
        <row r="151">
          <cell r="B151" t="str">
            <v>CO2_SECTOR</v>
          </cell>
          <cell r="C151" t="str">
            <v>VAR_fout</v>
          </cell>
          <cell r="D151" t="str">
            <v>CO2_INDCCS</v>
          </cell>
          <cell r="I151">
            <v>5032.5544749988294</v>
          </cell>
          <cell r="J151">
            <v>4678.6549197684972</v>
          </cell>
          <cell r="K151">
            <v>3713.8675403836232</v>
          </cell>
        </row>
        <row r="152">
          <cell r="B152" t="str">
            <v>CO2_SECTOR</v>
          </cell>
          <cell r="C152" t="str">
            <v>VAR_comnet</v>
          </cell>
          <cell r="D152" t="str">
            <v>-</v>
          </cell>
          <cell r="I152">
            <v>27694.570982058012</v>
          </cell>
          <cell r="J152">
            <v>26527.586824029881</v>
          </cell>
          <cell r="K152">
            <v>24108.208714982797</v>
          </cell>
        </row>
        <row r="153">
          <cell r="B153" t="str">
            <v>CO2SC</v>
          </cell>
          <cell r="C153" t="str">
            <v>VAR_fout</v>
          </cell>
          <cell r="D153" t="str">
            <v>CO2S1</v>
          </cell>
          <cell r="I153">
            <v>6307.1990227535098</v>
          </cell>
          <cell r="J153">
            <v>6307.1990227535098</v>
          </cell>
          <cell r="K153">
            <v>6307.1990227535098</v>
          </cell>
        </row>
        <row r="154">
          <cell r="B154" t="str">
            <v>CO2P</v>
          </cell>
          <cell r="C154" t="str">
            <v>VAR_fout</v>
          </cell>
          <cell r="D154" t="str">
            <v>ITOT-PROCESSCO2</v>
          </cell>
          <cell r="I154">
            <v>2085.53495476948</v>
          </cell>
          <cell r="J154">
            <v>2077.4128471263102</v>
          </cell>
          <cell r="K154">
            <v>2063.74855625499</v>
          </cell>
        </row>
        <row r="155">
          <cell r="B155" t="str">
            <v>CO2P</v>
          </cell>
          <cell r="C155" t="str">
            <v>VAR_comnet</v>
          </cell>
          <cell r="D155" t="str">
            <v>-</v>
          </cell>
          <cell r="I155">
            <v>2085.53495476948</v>
          </cell>
          <cell r="J155">
            <v>2077.4128471263102</v>
          </cell>
          <cell r="K155">
            <v>2063.74855625499</v>
          </cell>
        </row>
        <row r="156">
          <cell r="B156" t="str">
            <v>CO2_E</v>
          </cell>
          <cell r="C156" t="str">
            <v>VAR_fout</v>
          </cell>
          <cell r="D156" t="str">
            <v>ENGA-CCS</v>
          </cell>
          <cell r="J156">
            <v>9.9439913109234095E-3</v>
          </cell>
          <cell r="K156">
            <v>5.5195313913848701E-3</v>
          </cell>
        </row>
        <row r="157">
          <cell r="B157" t="str">
            <v>CO2_E</v>
          </cell>
          <cell r="C157" t="str">
            <v>VAR_fout</v>
          </cell>
          <cell r="D157" t="str">
            <v>HPLNGA</v>
          </cell>
          <cell r="I157">
            <v>121.885231103682</v>
          </cell>
          <cell r="J157">
            <v>121.88239317828901</v>
          </cell>
          <cell r="K157">
            <v>8.9716802312541795</v>
          </cell>
        </row>
        <row r="158">
          <cell r="B158" t="str">
            <v>CO2_E</v>
          </cell>
          <cell r="C158" t="str">
            <v>VAR_fout</v>
          </cell>
          <cell r="D158" t="str">
            <v>CHPWST</v>
          </cell>
          <cell r="I158">
            <v>2535.9317076427501</v>
          </cell>
          <cell r="J158">
            <v>2541.4880012779799</v>
          </cell>
          <cell r="K158">
            <v>2549.24665291274</v>
          </cell>
        </row>
        <row r="159">
          <cell r="B159" t="str">
            <v>CO2_E</v>
          </cell>
          <cell r="C159" t="str">
            <v>VAR_fout</v>
          </cell>
          <cell r="D159" t="str">
            <v>CHPNGA</v>
          </cell>
          <cell r="I159">
            <v>3.45790399301944</v>
          </cell>
          <cell r="J159">
            <v>65.024439911306004</v>
          </cell>
          <cell r="K159">
            <v>41.295457605222602</v>
          </cell>
        </row>
        <row r="160">
          <cell r="B160" t="str">
            <v>CO2_E</v>
          </cell>
          <cell r="C160" t="str">
            <v>VAR_fout</v>
          </cell>
          <cell r="D160" t="str">
            <v>EWSTINC</v>
          </cell>
          <cell r="I160">
            <v>1944.9748114654601</v>
          </cell>
          <cell r="J160">
            <v>1990.7094739486199</v>
          </cell>
          <cell r="K160">
            <v>2085.5328123552699</v>
          </cell>
        </row>
        <row r="161">
          <cell r="B161" t="str">
            <v>CO2_E</v>
          </cell>
          <cell r="C161" t="str">
            <v>VAR_fout</v>
          </cell>
          <cell r="D161" t="str">
            <v>ENGA-GTCC</v>
          </cell>
          <cell r="J161">
            <v>97.934033626397493</v>
          </cell>
          <cell r="K161">
            <v>1137.9522898960399</v>
          </cell>
        </row>
        <row r="162">
          <cell r="B162" t="str">
            <v>CO2_E</v>
          </cell>
          <cell r="C162" t="str">
            <v>VAR_fout</v>
          </cell>
          <cell r="D162" t="str">
            <v>HPLOIL</v>
          </cell>
          <cell r="I162">
            <v>2.59641438123231E-2</v>
          </cell>
          <cell r="J162">
            <v>2.74115804442981E-2</v>
          </cell>
          <cell r="K162">
            <v>1.5409605801905601E-2</v>
          </cell>
        </row>
        <row r="163">
          <cell r="B163" t="str">
            <v>CO2_E</v>
          </cell>
          <cell r="C163" t="str">
            <v>VAR_fout</v>
          </cell>
          <cell r="D163" t="str">
            <v>CHPGFC</v>
          </cell>
          <cell r="J163">
            <v>46.291466588196798</v>
          </cell>
          <cell r="K163">
            <v>242.43390720489199</v>
          </cell>
        </row>
        <row r="164">
          <cell r="B164" t="str">
            <v>CO2_E</v>
          </cell>
          <cell r="C164" t="str">
            <v>VAR_fout</v>
          </cell>
          <cell r="D164" t="str">
            <v>EOIL-ENG</v>
          </cell>
          <cell r="I164">
            <v>0.30962938179835497</v>
          </cell>
          <cell r="J164">
            <v>0.39802344554544</v>
          </cell>
          <cell r="K164">
            <v>0.648569036027563</v>
          </cell>
        </row>
        <row r="165">
          <cell r="B165" t="str">
            <v>CO2_E</v>
          </cell>
          <cell r="C165" t="str">
            <v>VAR_fout</v>
          </cell>
          <cell r="D165" t="str">
            <v>ENGA-GTOC</v>
          </cell>
          <cell r="I165">
            <v>0.47912293806633</v>
          </cell>
          <cell r="J165">
            <v>0.53372702131437599</v>
          </cell>
          <cell r="K165">
            <v>0.56467429317862705</v>
          </cell>
        </row>
        <row r="166">
          <cell r="B166" t="str">
            <v>CO2_E</v>
          </cell>
          <cell r="C166" t="str">
            <v>VAR_fout</v>
          </cell>
          <cell r="D166" t="str">
            <v>CHPOIL</v>
          </cell>
          <cell r="I166">
            <v>0.47283873311624303</v>
          </cell>
          <cell r="J166">
            <v>0.42604969505210799</v>
          </cell>
          <cell r="K166">
            <v>0.233946674482822</v>
          </cell>
        </row>
        <row r="167">
          <cell r="B167" t="str">
            <v>CO2_E</v>
          </cell>
          <cell r="C167" t="str">
            <v>VAR_comnet</v>
          </cell>
          <cell r="D167" t="str">
            <v>-</v>
          </cell>
          <cell r="I167">
            <v>4607.5372094017002</v>
          </cell>
          <cell r="J167">
            <v>4864.7249642644501</v>
          </cell>
          <cell r="K167">
            <v>6066.9009193462998</v>
          </cell>
        </row>
        <row r="168">
          <cell r="B168" t="str">
            <v>CO2_I</v>
          </cell>
          <cell r="C168" t="str">
            <v>VAR_fout</v>
          </cell>
          <cell r="D168" t="str">
            <v>ITOT-CHPNGA</v>
          </cell>
          <cell r="I168">
            <v>160.12747659421899</v>
          </cell>
          <cell r="J168">
            <v>32.079427492696503</v>
          </cell>
          <cell r="K168">
            <v>7.0582000733128103</v>
          </cell>
        </row>
        <row r="169">
          <cell r="B169" t="str">
            <v>CO2_I</v>
          </cell>
          <cell r="C169" t="str">
            <v>VAR_fout</v>
          </cell>
          <cell r="D169" t="str">
            <v>ITOT-SWHNGABR</v>
          </cell>
          <cell r="I169">
            <v>1615.77747388169</v>
          </cell>
          <cell r="J169">
            <v>1569.07048328102</v>
          </cell>
          <cell r="K169">
            <v>822.03048391787399</v>
          </cell>
        </row>
        <row r="170">
          <cell r="B170" t="str">
            <v>CO2_I</v>
          </cell>
          <cell r="C170" t="str">
            <v>VAR_fout</v>
          </cell>
          <cell r="D170" t="str">
            <v>ITOT-SWHLFOBR</v>
          </cell>
          <cell r="I170">
            <v>376.41178541182302</v>
          </cell>
          <cell r="J170">
            <v>251.58158747438799</v>
          </cell>
          <cell r="K170">
            <v>50.578119122843297</v>
          </cell>
        </row>
        <row r="171">
          <cell r="B171" t="str">
            <v>CO2_I</v>
          </cell>
          <cell r="C171" t="str">
            <v>VAR_fout</v>
          </cell>
          <cell r="D171" t="str">
            <v>ITOT-CHPNGACCS</v>
          </cell>
          <cell r="J171">
            <v>8.6614539125815897E-3</v>
          </cell>
          <cell r="K171">
            <v>4.8515888331434002E-3</v>
          </cell>
        </row>
        <row r="172">
          <cell r="B172" t="str">
            <v>CO2_I</v>
          </cell>
          <cell r="C172" t="str">
            <v>VAR_fout</v>
          </cell>
          <cell r="D172" t="str">
            <v>ITOT-CHPGFC</v>
          </cell>
          <cell r="I172">
            <v>0.13134408728698499</v>
          </cell>
          <cell r="J172">
            <v>0.32097979246370101</v>
          </cell>
          <cell r="K172">
            <v>0.176681295683805</v>
          </cell>
        </row>
        <row r="173">
          <cell r="B173" t="str">
            <v>CO2_I</v>
          </cell>
          <cell r="C173" t="str">
            <v>VAR_fout</v>
          </cell>
          <cell r="D173" t="str">
            <v>ITOT-SWHCOABR</v>
          </cell>
          <cell r="I173">
            <v>9.6631108630347198E-2</v>
          </cell>
          <cell r="J173">
            <v>6.4736380861236897E-2</v>
          </cell>
          <cell r="K173">
            <v>3.42800395494266E-2</v>
          </cell>
        </row>
        <row r="174">
          <cell r="B174" t="str">
            <v>CO2_I</v>
          </cell>
          <cell r="C174" t="str">
            <v>VAR_fout</v>
          </cell>
          <cell r="D174" t="str">
            <v>ITOT-CHPOIL</v>
          </cell>
          <cell r="I174">
            <v>47.536192727231203</v>
          </cell>
          <cell r="J174">
            <v>4.4318880522539397</v>
          </cell>
          <cell r="K174">
            <v>42.882192370059997</v>
          </cell>
        </row>
        <row r="175">
          <cell r="B175" t="str">
            <v>CO2_I</v>
          </cell>
          <cell r="C175" t="str">
            <v>VAR_fout</v>
          </cell>
          <cell r="D175" t="str">
            <v>ITOT-SWHWSTBR</v>
          </cell>
          <cell r="I175">
            <v>999.55821025858302</v>
          </cell>
          <cell r="J175">
            <v>995.43064430468598</v>
          </cell>
          <cell r="K175">
            <v>986.152231828504</v>
          </cell>
        </row>
        <row r="176">
          <cell r="B176" t="str">
            <v>CO2_I</v>
          </cell>
          <cell r="C176" t="str">
            <v>VAR_fout</v>
          </cell>
          <cell r="D176" t="str">
            <v>ITOT-SWHNGAHP</v>
          </cell>
          <cell r="I176">
            <v>0.84401718334885401</v>
          </cell>
          <cell r="J176">
            <v>6.0666493326381099</v>
          </cell>
          <cell r="K176">
            <v>5.1242951665777197</v>
          </cell>
        </row>
        <row r="177">
          <cell r="B177" t="str">
            <v>CO2_I</v>
          </cell>
          <cell r="C177" t="str">
            <v>VAR_fout</v>
          </cell>
          <cell r="D177" t="str">
            <v>ITOT-CHPWST</v>
          </cell>
          <cell r="I177">
            <v>2.1989001205748502</v>
          </cell>
          <cell r="J177">
            <v>1.2698778508951201</v>
          </cell>
          <cell r="K177">
            <v>0.43613360402393397</v>
          </cell>
        </row>
        <row r="178">
          <cell r="B178" t="str">
            <v>CO2_I</v>
          </cell>
          <cell r="C178" t="str">
            <v>VAR_fout</v>
          </cell>
          <cell r="D178" t="str">
            <v>ITOT-SWHHFOBR</v>
          </cell>
          <cell r="I178">
            <v>8.1793942168784203E-2</v>
          </cell>
          <cell r="J178">
            <v>5.71724802046207E-2</v>
          </cell>
        </row>
        <row r="179">
          <cell r="B179" t="str">
            <v>CO2_I</v>
          </cell>
          <cell r="C179" t="str">
            <v>VAR_comnet</v>
          </cell>
          <cell r="D179" t="str">
            <v>-</v>
          </cell>
          <cell r="I179">
            <v>3202.7638253155601</v>
          </cell>
          <cell r="J179">
            <v>2860.38210789602</v>
          </cell>
          <cell r="K179">
            <v>1914.47746900726</v>
          </cell>
        </row>
        <row r="180">
          <cell r="B180"/>
          <cell r="C180"/>
          <cell r="D180"/>
        </row>
        <row r="181">
          <cell r="B181"/>
          <cell r="C181"/>
          <cell r="D181"/>
        </row>
        <row r="182">
          <cell r="B182"/>
          <cell r="C182"/>
          <cell r="D182"/>
        </row>
        <row r="183">
          <cell r="B183"/>
          <cell r="C183"/>
          <cell r="D183"/>
        </row>
        <row r="184">
          <cell r="B184"/>
          <cell r="C184"/>
          <cell r="D184"/>
        </row>
        <row r="185">
          <cell r="B185"/>
          <cell r="C185"/>
          <cell r="D185"/>
        </row>
        <row r="186">
          <cell r="B186"/>
          <cell r="C186"/>
          <cell r="D186"/>
        </row>
        <row r="187">
          <cell r="B187"/>
          <cell r="C187"/>
          <cell r="D187"/>
        </row>
        <row r="188">
          <cell r="B188"/>
          <cell r="C188"/>
          <cell r="D188"/>
        </row>
        <row r="189">
          <cell r="B189"/>
          <cell r="C189"/>
          <cell r="D189"/>
        </row>
        <row r="190">
          <cell r="B190"/>
          <cell r="C190"/>
          <cell r="D190"/>
        </row>
        <row r="191">
          <cell r="B191"/>
          <cell r="C191"/>
          <cell r="D191"/>
        </row>
        <row r="192">
          <cell r="B192"/>
          <cell r="C192"/>
          <cell r="D192"/>
        </row>
        <row r="193">
          <cell r="B193"/>
          <cell r="C193"/>
          <cell r="D193"/>
        </row>
        <row r="194">
          <cell r="B194"/>
          <cell r="C194"/>
          <cell r="D194"/>
        </row>
        <row r="195">
          <cell r="B195"/>
          <cell r="C195"/>
          <cell r="D195"/>
        </row>
        <row r="196">
          <cell r="B196"/>
          <cell r="C196"/>
          <cell r="D196"/>
        </row>
        <row r="197">
          <cell r="B197"/>
          <cell r="C197"/>
          <cell r="D197"/>
        </row>
        <row r="198">
          <cell r="B198"/>
          <cell r="C198"/>
          <cell r="D198"/>
        </row>
        <row r="199">
          <cell r="B199"/>
          <cell r="C199"/>
          <cell r="D199"/>
        </row>
        <row r="200">
          <cell r="B200"/>
          <cell r="C200"/>
          <cell r="D200"/>
        </row>
        <row r="201">
          <cell r="B201"/>
          <cell r="C201"/>
          <cell r="D201"/>
        </row>
        <row r="202">
          <cell r="B202"/>
          <cell r="C202"/>
          <cell r="D202"/>
        </row>
        <row r="203">
          <cell r="B203"/>
          <cell r="C203"/>
          <cell r="D203"/>
        </row>
        <row r="204">
          <cell r="B204"/>
          <cell r="C204"/>
          <cell r="D204"/>
        </row>
        <row r="205">
          <cell r="B205"/>
          <cell r="C205"/>
          <cell r="D205"/>
        </row>
        <row r="206">
          <cell r="B206"/>
          <cell r="C206"/>
          <cell r="D206"/>
        </row>
        <row r="207">
          <cell r="B207"/>
          <cell r="C207"/>
          <cell r="D207"/>
        </row>
        <row r="208">
          <cell r="B208"/>
          <cell r="C208"/>
          <cell r="D208"/>
        </row>
        <row r="209">
          <cell r="B209"/>
          <cell r="C209"/>
          <cell r="D209"/>
        </row>
        <row r="210">
          <cell r="B210"/>
          <cell r="C210"/>
          <cell r="D210"/>
        </row>
        <row r="211">
          <cell r="B211"/>
          <cell r="C211"/>
          <cell r="D211"/>
        </row>
        <row r="212">
          <cell r="B212"/>
          <cell r="C212"/>
          <cell r="D212"/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I3" t="str">
            <v>2035</v>
          </cell>
          <cell r="J3" t="str">
            <v>2040</v>
          </cell>
          <cell r="K3" t="str">
            <v>2050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I4">
            <v>6.8417122994639603E-7</v>
          </cell>
          <cell r="J4">
            <v>7.5133015077525401E-7</v>
          </cell>
          <cell r="K4">
            <v>8.5601392332648705E-5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  <cell r="J5">
            <v>1.5076658944081199E-5</v>
          </cell>
          <cell r="K5">
            <v>1.00004743610122E-7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I6">
            <v>2.7211543115050102E-6</v>
          </cell>
          <cell r="J6">
            <v>1.2715727205024201E-6</v>
          </cell>
          <cell r="K6">
            <v>1.11918037189873E-4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I7">
            <v>7.3345052797436799E-7</v>
          </cell>
          <cell r="J7">
            <v>5.48172696370093E-7</v>
          </cell>
          <cell r="K7">
            <v>3.9110325765282302E-7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I8">
            <v>1.2305857463791699E-6</v>
          </cell>
          <cell r="J8">
            <v>2.3076060758339E-6</v>
          </cell>
          <cell r="K8">
            <v>0.36075813722730299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  <cell r="J9">
            <v>5.1420821899713298E-4</v>
          </cell>
          <cell r="K9">
            <v>9.1916072540884E-7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I10">
            <v>0.11685345767303</v>
          </cell>
          <cell r="J10">
            <v>2.5326948749127599E-2</v>
          </cell>
          <cell r="K10">
            <v>7.8857192760380002E-2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I11">
            <v>5.9341625586316003E-7</v>
          </cell>
          <cell r="J11">
            <v>1.0859586611079299E-6</v>
          </cell>
          <cell r="K11">
            <v>2.6271357899050298E-4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I12">
            <v>5.6406832554674203E-3</v>
          </cell>
          <cell r="J12">
            <v>5.0086621519529299E-2</v>
          </cell>
          <cell r="K12">
            <v>4.9152718734540801E-2</v>
          </cell>
        </row>
        <row r="13">
          <cell r="A13" t="str">
            <v>-</v>
          </cell>
          <cell r="B13" t="str">
            <v>VAR_ncap</v>
          </cell>
          <cell r="C13" t="str">
            <v>ESOL-PV_A</v>
          </cell>
          <cell r="I13">
            <v>6.5112274444129699E-7</v>
          </cell>
          <cell r="J13">
            <v>3.44803498368719E-7</v>
          </cell>
          <cell r="K13">
            <v>2.7883750857876999</v>
          </cell>
        </row>
        <row r="14">
          <cell r="A14" t="str">
            <v>-</v>
          </cell>
          <cell r="B14" t="str">
            <v>VAR_ncap</v>
          </cell>
          <cell r="C14" t="str">
            <v>D-TNGA</v>
          </cell>
          <cell r="I14">
            <v>9.4667459698062901E-8</v>
          </cell>
          <cell r="J14">
            <v>1.08270682448472E-7</v>
          </cell>
          <cell r="K14">
            <v>1.92045769347096E-7</v>
          </cell>
        </row>
        <row r="15">
          <cell r="A15" t="str">
            <v>-</v>
          </cell>
          <cell r="B15" t="str">
            <v>VAR_ncap</v>
          </cell>
          <cell r="C15" t="str">
            <v>SUP_ELCH2_D</v>
          </cell>
          <cell r="I15">
            <v>7.9499441320464194E-6</v>
          </cell>
          <cell r="J15">
            <v>1.0011960983858901E-4</v>
          </cell>
          <cell r="K15">
            <v>1.0542058891852E-5</v>
          </cell>
        </row>
        <row r="16">
          <cell r="A16" t="str">
            <v>-</v>
          </cell>
          <cell r="B16" t="str">
            <v>VAR_ncap</v>
          </cell>
          <cell r="C16" t="str">
            <v>SUP_H2GSL</v>
          </cell>
          <cell r="I16">
            <v>1.0779527309833601E-6</v>
          </cell>
          <cell r="J16">
            <v>6.8684940631857703E-7</v>
          </cell>
          <cell r="K16">
            <v>5.33074964114724E-7</v>
          </cell>
        </row>
        <row r="17">
          <cell r="A17" t="str">
            <v>-</v>
          </cell>
          <cell r="B17" t="str">
            <v>VAR_ncap</v>
          </cell>
          <cell r="C17" t="str">
            <v>ESOL-PV_E</v>
          </cell>
          <cell r="I17">
            <v>9.5192110567427206E-6</v>
          </cell>
          <cell r="J17">
            <v>2.9344740395601898E-4</v>
          </cell>
          <cell r="K17">
            <v>9.857011603344081E-7</v>
          </cell>
        </row>
        <row r="18">
          <cell r="A18" t="str">
            <v>-</v>
          </cell>
          <cell r="B18" t="str">
            <v>VAR_ncap</v>
          </cell>
          <cell r="C18" t="str">
            <v>D-SNGA</v>
          </cell>
          <cell r="I18">
            <v>3.5555263477503499E-7</v>
          </cell>
          <cell r="J18">
            <v>5.7107263787436297E-7</v>
          </cell>
          <cell r="K18">
            <v>0.13337770430770701</v>
          </cell>
        </row>
        <row r="19">
          <cell r="A19" t="str">
            <v>-</v>
          </cell>
          <cell r="B19" t="str">
            <v>VAR_ncap</v>
          </cell>
          <cell r="C19" t="str">
            <v>SUP_MNRBIO</v>
          </cell>
          <cell r="I19">
            <v>4.7112272790350903E-6</v>
          </cell>
          <cell r="J19">
            <v>7.6810341084368405E-2</v>
          </cell>
          <cell r="K19">
            <v>0.15158163290455801</v>
          </cell>
        </row>
        <row r="20">
          <cell r="A20" t="str">
            <v>-</v>
          </cell>
          <cell r="B20" t="str">
            <v>VAR_ncap</v>
          </cell>
          <cell r="C20" t="str">
            <v>D-RNGA</v>
          </cell>
          <cell r="I20">
            <v>1.67884706984988E-7</v>
          </cell>
          <cell r="J20">
            <v>2.8712518828055999E-7</v>
          </cell>
          <cell r="K20">
            <v>0.39114984773553901</v>
          </cell>
        </row>
        <row r="21">
          <cell r="A21" t="str">
            <v>-</v>
          </cell>
          <cell r="B21" t="str">
            <v>VAR_ncap</v>
          </cell>
          <cell r="C21" t="str">
            <v>SUP_WODBIO</v>
          </cell>
          <cell r="I21">
            <v>7.9916558791724201E-6</v>
          </cell>
          <cell r="J21">
            <v>5.3957576110363696E-6</v>
          </cell>
          <cell r="K21">
            <v>5.5066929042474004E-6</v>
          </cell>
        </row>
        <row r="22">
          <cell r="A22" t="str">
            <v>-</v>
          </cell>
          <cell r="B22" t="str">
            <v>VAR_ncap</v>
          </cell>
          <cell r="C22" t="str">
            <v>SUP_ELCH2_SOEC</v>
          </cell>
          <cell r="J22">
            <v>1.9721955437619599E-4</v>
          </cell>
          <cell r="K22">
            <v>1.07106795130353E-4</v>
          </cell>
        </row>
        <row r="23">
          <cell r="A23" t="str">
            <v>-</v>
          </cell>
          <cell r="B23" t="str">
            <v>VAR_ncap</v>
          </cell>
          <cell r="C23" t="str">
            <v>SUP_ELCH2</v>
          </cell>
          <cell r="I23">
            <v>4.51972671660967E-4</v>
          </cell>
          <cell r="J23">
            <v>5.6956253975850202E-4</v>
          </cell>
          <cell r="K23">
            <v>1.6400768498067701E-2</v>
          </cell>
        </row>
        <row r="24">
          <cell r="A24" t="str">
            <v>-</v>
          </cell>
          <cell r="B24" t="str">
            <v>VAR_ncap</v>
          </cell>
          <cell r="C24" t="str">
            <v>CT_CWODBDS</v>
          </cell>
          <cell r="I24">
            <v>8.2875100372306104E-7</v>
          </cell>
          <cell r="J24">
            <v>9.9444875514783403E-7</v>
          </cell>
          <cell r="K24">
            <v>1.27051528259277E-5</v>
          </cell>
        </row>
        <row r="25">
          <cell r="A25" t="str">
            <v>-</v>
          </cell>
          <cell r="B25" t="str">
            <v>VAR_ncap</v>
          </cell>
          <cell r="C25" t="str">
            <v>CT_CWODPLT</v>
          </cell>
          <cell r="I25">
            <v>4.9792341481186798E-6</v>
          </cell>
          <cell r="J25">
            <v>0.13067687251274701</v>
          </cell>
          <cell r="K25">
            <v>0.118880532327481</v>
          </cell>
        </row>
        <row r="26">
          <cell r="A26" t="str">
            <v>-</v>
          </cell>
          <cell r="B26" t="str">
            <v>VAR_ncap</v>
          </cell>
          <cell r="C26" t="str">
            <v>D-DH2</v>
          </cell>
          <cell r="I26">
            <v>3.3440003263567901E-5</v>
          </cell>
          <cell r="J26">
            <v>1.4540774769116699E-4</v>
          </cell>
          <cell r="K26">
            <v>4.3829151773493701E-6</v>
          </cell>
        </row>
        <row r="27">
          <cell r="A27" t="str">
            <v>-</v>
          </cell>
          <cell r="B27" t="str">
            <v>VAR_ncap</v>
          </cell>
          <cell r="C27" t="str">
            <v>CT_CWODETH</v>
          </cell>
          <cell r="I27">
            <v>6.3589919622458302E-7</v>
          </cell>
          <cell r="J27">
            <v>4.8092338082269001E-6</v>
          </cell>
          <cell r="K27">
            <v>5.5614253920809599E-6</v>
          </cell>
        </row>
        <row r="28">
          <cell r="A28" t="str">
            <v>-</v>
          </cell>
          <cell r="B28" t="str">
            <v>VAR_ncap</v>
          </cell>
          <cell r="C28" t="str">
            <v>D-INGA</v>
          </cell>
          <cell r="I28">
            <v>6.3513937675760604E-7</v>
          </cell>
          <cell r="J28">
            <v>8.5804156936670597E-7</v>
          </cell>
          <cell r="K28">
            <v>1.5463487661727699E-6</v>
          </cell>
        </row>
        <row r="29">
          <cell r="A29" t="str">
            <v>-</v>
          </cell>
          <cell r="B29" t="str">
            <v>VAR_ncap</v>
          </cell>
          <cell r="C29" t="str">
            <v>SUP_H2DSL</v>
          </cell>
          <cell r="I29">
            <v>1.2050186213619899E-6</v>
          </cell>
          <cell r="J29">
            <v>6.5753602103865399E-7</v>
          </cell>
          <cell r="K29">
            <v>5.9794684978082804E-7</v>
          </cell>
        </row>
        <row r="30">
          <cell r="A30" t="str">
            <v>-</v>
          </cell>
          <cell r="B30" t="str">
            <v>VAR_cap</v>
          </cell>
          <cell r="C30" t="str">
            <v>SUP_NGAH2</v>
          </cell>
          <cell r="I30">
            <v>8.8769598958725498E-7</v>
          </cell>
          <cell r="J30">
            <v>1.2222699100135132E-6</v>
          </cell>
          <cell r="K30">
            <v>8.6650952185144065E-5</v>
          </cell>
        </row>
        <row r="31">
          <cell r="A31" t="str">
            <v>-</v>
          </cell>
          <cell r="B31" t="str">
            <v>VAR_cap</v>
          </cell>
          <cell r="C31" t="str">
            <v>SUP_WSTHTGBIO</v>
          </cell>
          <cell r="J31">
            <v>1.5076658944081199E-5</v>
          </cell>
          <cell r="K31">
            <v>1.5134271282938614E-5</v>
          </cell>
        </row>
        <row r="32">
          <cell r="A32" t="str">
            <v>-</v>
          </cell>
          <cell r="B32" t="str">
            <v>VAR_cap</v>
          </cell>
          <cell r="C32" t="str">
            <v>STG-H2</v>
          </cell>
          <cell r="I32">
            <v>4.1164277326899857E-6</v>
          </cell>
          <cell r="J32">
            <v>5.1384162947081456E-6</v>
          </cell>
          <cell r="K32">
            <v>1.1534615480914264E-4</v>
          </cell>
        </row>
        <row r="33">
          <cell r="A33" t="str">
            <v>-</v>
          </cell>
          <cell r="B33" t="str">
            <v>VAR_cap</v>
          </cell>
          <cell r="C33" t="str">
            <v>SUP_H2NGA</v>
          </cell>
          <cell r="I33">
            <v>8.9914138321361195E-7</v>
          </cell>
          <cell r="J33">
            <v>8.4936307595760904E-7</v>
          </cell>
          <cell r="K33">
            <v>6.3122680793014015E-7</v>
          </cell>
        </row>
        <row r="34">
          <cell r="A34" t="str">
            <v>-</v>
          </cell>
          <cell r="B34" t="str">
            <v>VAR_cap</v>
          </cell>
          <cell r="C34" t="str">
            <v>D-ENGA</v>
          </cell>
          <cell r="I34">
            <v>1.0275151387821442</v>
          </cell>
          <cell r="J34">
            <v>1.02751744638822</v>
          </cell>
          <cell r="K34">
            <v>1.0854402703893031</v>
          </cell>
        </row>
        <row r="35">
          <cell r="A35" t="str">
            <v>-</v>
          </cell>
          <cell r="B35" t="str">
            <v>VAR_cap</v>
          </cell>
          <cell r="C35" t="str">
            <v>D-CHEAT</v>
          </cell>
          <cell r="J35">
            <v>5.1420821899713298E-4</v>
          </cell>
          <cell r="K35">
            <v>5.1512737972254203E-4</v>
          </cell>
        </row>
        <row r="36">
          <cell r="A36" t="str">
            <v>-</v>
          </cell>
          <cell r="B36" t="str">
            <v>VAR_cap</v>
          </cell>
          <cell r="C36" t="str">
            <v>SUP_WSTBIO</v>
          </cell>
          <cell r="I36">
            <v>0.23446887480544226</v>
          </cell>
          <cell r="J36">
            <v>0.22838749041565193</v>
          </cell>
          <cell r="K36">
            <v>0.21624323061363199</v>
          </cell>
        </row>
        <row r="37">
          <cell r="A37" t="str">
            <v>-</v>
          </cell>
          <cell r="B37" t="str">
            <v>VAR_cap</v>
          </cell>
          <cell r="C37" t="str">
            <v>D-CNGA</v>
          </cell>
          <cell r="I37">
            <v>1.6325189717929699E-6</v>
          </cell>
          <cell r="J37">
            <v>2.7184776329009098E-6</v>
          </cell>
          <cell r="K37">
            <v>2.6543205662340401E-4</v>
          </cell>
        </row>
        <row r="38">
          <cell r="A38" t="str">
            <v>-</v>
          </cell>
          <cell r="B38" t="str">
            <v>VAR_cap</v>
          </cell>
          <cell r="C38" t="str">
            <v>SUP_BIONGA</v>
          </cell>
          <cell r="I38">
            <v>0.10485889408908344</v>
          </cell>
          <cell r="J38">
            <v>0.10369491707880066</v>
          </cell>
          <cell r="K38">
            <v>0.10373394252011635</v>
          </cell>
        </row>
        <row r="39">
          <cell r="A39" t="str">
            <v>-</v>
          </cell>
          <cell r="B39" t="str">
            <v>VAR_cap</v>
          </cell>
          <cell r="C39" t="str">
            <v>ESOL-PV_A</v>
          </cell>
          <cell r="I39">
            <v>7.5741960110984399E-2</v>
          </cell>
          <cell r="J39">
            <v>7.5742549884593294E-2</v>
          </cell>
          <cell r="K39">
            <v>1.6692644143953701</v>
          </cell>
        </row>
        <row r="40">
          <cell r="A40" t="str">
            <v>-</v>
          </cell>
          <cell r="B40" t="str">
            <v>VAR_cap</v>
          </cell>
          <cell r="C40" t="str">
            <v>D-TNGA</v>
          </cell>
          <cell r="I40">
            <v>0.95961805043538639</v>
          </cell>
          <cell r="J40">
            <v>0.95961815870606892</v>
          </cell>
          <cell r="K40">
            <v>0.48125400710578226</v>
          </cell>
        </row>
        <row r="41">
          <cell r="A41" t="str">
            <v>-</v>
          </cell>
          <cell r="B41" t="str">
            <v>VAR_cap</v>
          </cell>
          <cell r="C41" t="str">
            <v>SUP_ELCH2_D</v>
          </cell>
          <cell r="I41">
            <v>1.27459829173278E-5</v>
          </cell>
          <cell r="J41">
            <v>1.1286559275591699E-4</v>
          </cell>
          <cell r="K41">
            <v>1.18243806272949E-4</v>
          </cell>
        </row>
        <row r="42">
          <cell r="A42" t="str">
            <v>-</v>
          </cell>
          <cell r="B42" t="str">
            <v>VAR_cap</v>
          </cell>
          <cell r="C42" t="str">
            <v>SUP_H2GSL</v>
          </cell>
          <cell r="I42">
            <v>1.4270694960550251E-6</v>
          </cell>
          <cell r="J42">
            <v>1.5528811409422642E-6</v>
          </cell>
          <cell r="K42">
            <v>1.0626291105351399E-6</v>
          </cell>
        </row>
        <row r="43">
          <cell r="A43" t="str">
            <v>-</v>
          </cell>
          <cell r="B43" t="str">
            <v>VAR_cap</v>
          </cell>
          <cell r="C43" t="str">
            <v>ESOL-PV_E</v>
          </cell>
          <cell r="I43">
            <v>1.0206096257672501E-5</v>
          </cell>
          <cell r="J43">
            <v>3.03653500213692E-4</v>
          </cell>
          <cell r="K43">
            <v>3.0463920137402601E-4</v>
          </cell>
        </row>
        <row r="44">
          <cell r="A44" t="str">
            <v>-</v>
          </cell>
          <cell r="B44" t="str">
            <v>VAR_cap</v>
          </cell>
          <cell r="C44" t="str">
            <v>D-SNGA</v>
          </cell>
          <cell r="I44">
            <v>2.2350531519849044</v>
          </cell>
          <cell r="J44">
            <v>2.235053723057542</v>
          </cell>
          <cell r="K44">
            <v>1.254269728228969</v>
          </cell>
        </row>
        <row r="45">
          <cell r="A45" t="str">
            <v>-</v>
          </cell>
          <cell r="B45" t="str">
            <v>VAR_cap</v>
          </cell>
          <cell r="C45" t="str">
            <v>SUP_MNRBIO</v>
          </cell>
          <cell r="I45">
            <v>0.16240190990067177</v>
          </cell>
          <cell r="J45">
            <v>0.16371094020941029</v>
          </cell>
          <cell r="K45">
            <v>0.22839591390813155</v>
          </cell>
        </row>
        <row r="46">
          <cell r="A46" t="str">
            <v>-</v>
          </cell>
          <cell r="B46" t="str">
            <v>VAR_cap</v>
          </cell>
          <cell r="C46" t="str">
            <v>D-RNGA</v>
          </cell>
          <cell r="I46">
            <v>3.097240654571467</v>
          </cell>
          <cell r="J46">
            <v>3.0972409416966555</v>
          </cell>
          <cell r="K46">
            <v>1.944433030072495</v>
          </cell>
        </row>
        <row r="47">
          <cell r="A47" t="str">
            <v>-</v>
          </cell>
          <cell r="B47" t="str">
            <v>VAR_cap</v>
          </cell>
          <cell r="C47" t="str">
            <v>SUP_WODBIO</v>
          </cell>
          <cell r="I47">
            <v>2.9956702712554347E-5</v>
          </cell>
          <cell r="J47">
            <v>2.4987000739870628E-5</v>
          </cell>
          <cell r="K47">
            <v>1.7126773576232119E-5</v>
          </cell>
        </row>
        <row r="48">
          <cell r="A48" t="str">
            <v>-</v>
          </cell>
          <cell r="B48" t="str">
            <v>VAR_cap</v>
          </cell>
          <cell r="C48" t="str">
            <v>SUP_ELCH2_SOEC</v>
          </cell>
          <cell r="J48">
            <v>1.9721955437619599E-4</v>
          </cell>
          <cell r="K48">
            <v>1.7454829209148794E-4</v>
          </cell>
        </row>
        <row r="49">
          <cell r="A49" t="str">
            <v>-</v>
          </cell>
          <cell r="B49" t="str">
            <v>VAR_cap</v>
          </cell>
          <cell r="C49" t="str">
            <v>SUP_ELCH2</v>
          </cell>
          <cell r="I49">
            <v>8.0049006718999592E-4</v>
          </cell>
          <cell r="J49">
            <v>1.1656348732929909E-3</v>
          </cell>
          <cell r="K49">
            <v>1.7333393329574884E-2</v>
          </cell>
        </row>
        <row r="50">
          <cell r="A50" t="str">
            <v>-</v>
          </cell>
          <cell r="B50" t="str">
            <v>VAR_cap</v>
          </cell>
          <cell r="C50" t="str">
            <v>CT_CWODBDS</v>
          </cell>
          <cell r="I50">
            <v>3.2301276854211636E-5</v>
          </cell>
          <cell r="J50">
            <v>3.0798042838811355E-5</v>
          </cell>
          <cell r="K50">
            <v>1.4211722946873966E-5</v>
          </cell>
        </row>
        <row r="51">
          <cell r="A51" t="str">
            <v>-</v>
          </cell>
          <cell r="B51" t="str">
            <v>VAR_cap</v>
          </cell>
          <cell r="C51" t="str">
            <v>CT_CWODPLT</v>
          </cell>
          <cell r="I51">
            <v>0.18363574317888059</v>
          </cell>
          <cell r="J51">
            <v>0.20412245674264917</v>
          </cell>
          <cell r="K51">
            <v>0.24956064287275487</v>
          </cell>
        </row>
        <row r="52">
          <cell r="A52" t="str">
            <v>-</v>
          </cell>
          <cell r="B52" t="str">
            <v>VAR_cap</v>
          </cell>
          <cell r="C52" t="str">
            <v>D-DH2</v>
          </cell>
          <cell r="I52">
            <v>6.1441387326461794E-5</v>
          </cell>
          <cell r="J52">
            <v>2.0684913501762899E-4</v>
          </cell>
          <cell r="K52">
            <v>2.11232050194978E-4</v>
          </cell>
        </row>
        <row r="53">
          <cell r="A53" t="str">
            <v>-</v>
          </cell>
          <cell r="B53" t="str">
            <v>VAR_cap</v>
          </cell>
          <cell r="C53" t="str">
            <v>CT_CWODETH</v>
          </cell>
          <cell r="I53">
            <v>2.631408583789966E-5</v>
          </cell>
          <cell r="J53">
            <v>1.4388145267660041E-5</v>
          </cell>
          <cell r="K53">
            <v>1.0708540962826878E-5</v>
          </cell>
        </row>
        <row r="54">
          <cell r="A54" t="str">
            <v>-</v>
          </cell>
          <cell r="B54" t="str">
            <v>VAR_cap</v>
          </cell>
          <cell r="C54" t="str">
            <v>D-INGA</v>
          </cell>
          <cell r="I54">
            <v>1.9844853232077575</v>
          </cell>
          <cell r="J54">
            <v>1.9844861812493269</v>
          </cell>
          <cell r="K54">
            <v>1.0954637947779129</v>
          </cell>
        </row>
        <row r="55">
          <cell r="A55" t="str">
            <v>-</v>
          </cell>
          <cell r="B55" t="str">
            <v>VAR_cap</v>
          </cell>
          <cell r="C55" t="str">
            <v>SUP_H2DSL</v>
          </cell>
          <cell r="I55">
            <v>1.3435068902594631E-6</v>
          </cell>
          <cell r="J55">
            <v>1.2111329531008401E-6</v>
          </cell>
          <cell r="K55">
            <v>9.8057198585977984E-7</v>
          </cell>
        </row>
        <row r="56">
          <cell r="A56" t="str">
            <v>ELC35</v>
          </cell>
          <cell r="B56" t="str">
            <v>VAR_fout</v>
          </cell>
          <cell r="C56" t="str">
            <v>SUP_WSTBIO</v>
          </cell>
          <cell r="I56">
            <v>0.12413046100470115</v>
          </cell>
          <cell r="J56">
            <v>0.12091100142259859</v>
          </cell>
          <cell r="K56">
            <v>0.11448172296752822</v>
          </cell>
        </row>
        <row r="57">
          <cell r="A57" t="str">
            <v>ELC35</v>
          </cell>
          <cell r="B57" t="str">
            <v>VAR_fout</v>
          </cell>
          <cell r="C57" t="str">
            <v>ESOL-PV_A</v>
          </cell>
          <cell r="I57">
            <v>0.4900405307757828</v>
          </cell>
          <cell r="J57">
            <v>0.49004211533408415</v>
          </cell>
          <cell r="K57">
            <v>10.799959880789693</v>
          </cell>
        </row>
        <row r="58">
          <cell r="A58" t="str">
            <v>ELC35</v>
          </cell>
          <cell r="B58" t="str">
            <v>VAR_fout</v>
          </cell>
          <cell r="C58" t="str">
            <v>SUP_WODBIO</v>
          </cell>
          <cell r="I58">
            <v>8.5504385062510936E-6</v>
          </cell>
          <cell r="J58">
            <v>8.7357260473423142E-6</v>
          </cell>
          <cell r="K58">
            <v>9.1179786373100777E-6</v>
          </cell>
        </row>
        <row r="59">
          <cell r="A59" t="str">
            <v>ELC35</v>
          </cell>
          <cell r="B59" t="str">
            <v>VAR_fin</v>
          </cell>
          <cell r="C59" t="str">
            <v>D-CELC</v>
          </cell>
          <cell r="I59">
            <v>1.5015130765030422E-2</v>
          </cell>
          <cell r="J59">
            <v>1.3935169861291669E-2</v>
          </cell>
          <cell r="K59">
            <v>0.13573594861109073</v>
          </cell>
        </row>
        <row r="60">
          <cell r="A60" t="str">
            <v>SCH2S</v>
          </cell>
          <cell r="B60" t="str">
            <v>VAR_fin</v>
          </cell>
          <cell r="C60" t="str">
            <v>SUP_NGAH2</v>
          </cell>
          <cell r="K60">
            <v>9.8403396989546151E-4</v>
          </cell>
        </row>
        <row r="61">
          <cell r="A61" t="str">
            <v>CWST</v>
          </cell>
          <cell r="B61" t="str">
            <v>VAR_fout</v>
          </cell>
          <cell r="C61" t="str">
            <v>D-CWST</v>
          </cell>
          <cell r="I61">
            <v>10.671673061804158</v>
          </cell>
          <cell r="J61">
            <v>10.395330839448347</v>
          </cell>
          <cell r="K61">
            <v>9.842640194527517</v>
          </cell>
        </row>
        <row r="62">
          <cell r="A62" t="str">
            <v>CWST</v>
          </cell>
          <cell r="B62" t="str">
            <v>VAR_fin</v>
          </cell>
          <cell r="C62" t="str">
            <v>SUP_WSTHTGBIO</v>
          </cell>
          <cell r="J62">
            <v>4.4621584462525572E-4</v>
          </cell>
          <cell r="K62">
            <v>4.8997751867715673E-4</v>
          </cell>
        </row>
        <row r="63">
          <cell r="A63" t="str">
            <v>CWST</v>
          </cell>
          <cell r="B63" t="str">
            <v>VAR_fin</v>
          </cell>
          <cell r="C63" t="str">
            <v>SUP_WSTBIO</v>
          </cell>
          <cell r="I63">
            <v>10.671673061804158</v>
          </cell>
          <cell r="J63">
            <v>10.39489152230283</v>
          </cell>
          <cell r="K63">
            <v>9.8421572688369139</v>
          </cell>
        </row>
        <row r="64">
          <cell r="A64" t="str">
            <v>NGA</v>
          </cell>
          <cell r="B64" t="str">
            <v>VAR_fout</v>
          </cell>
          <cell r="C64" t="str">
            <v>D-LNGA</v>
          </cell>
          <cell r="I64">
            <v>1.0530274478779025E-3</v>
          </cell>
          <cell r="J64">
            <v>5.1156603563341969E-4</v>
          </cell>
          <cell r="K64">
            <v>2.8570459897278182E-4</v>
          </cell>
        </row>
        <row r="65">
          <cell r="A65" t="str">
            <v>NGA</v>
          </cell>
          <cell r="B65" t="str">
            <v>VAR_fin</v>
          </cell>
          <cell r="C65" t="str">
            <v>D-ENGA</v>
          </cell>
          <cell r="I65">
            <v>2.1432119414325452</v>
          </cell>
          <cell r="J65">
            <v>5.8047564246024237</v>
          </cell>
          <cell r="K65">
            <v>25.362558339208196</v>
          </cell>
        </row>
        <row r="66">
          <cell r="A66" t="str">
            <v>NGA</v>
          </cell>
          <cell r="B66" t="str">
            <v>VAR_fin</v>
          </cell>
          <cell r="C66" t="str">
            <v>D-TNGA</v>
          </cell>
          <cell r="I66">
            <v>3.1541455144351235E-3</v>
          </cell>
          <cell r="J66">
            <v>3.6178901090125229E-3</v>
          </cell>
          <cell r="K66">
            <v>3.2492317720369587E-3</v>
          </cell>
        </row>
        <row r="67">
          <cell r="A67" t="str">
            <v>NGA</v>
          </cell>
          <cell r="B67" t="str">
            <v>VAR_fin</v>
          </cell>
          <cell r="C67" t="str">
            <v>D-SNGA</v>
          </cell>
          <cell r="I67">
            <v>35.017932470096738</v>
          </cell>
          <cell r="J67">
            <v>31.832373148596524</v>
          </cell>
          <cell r="K67">
            <v>24.435990761440909</v>
          </cell>
        </row>
        <row r="68">
          <cell r="A68" t="str">
            <v>NGA</v>
          </cell>
          <cell r="B68" t="str">
            <v>VAR_fin</v>
          </cell>
          <cell r="C68" t="str">
            <v>D-RNGA</v>
          </cell>
          <cell r="I68">
            <v>42.38590407973043</v>
          </cell>
          <cell r="J68">
            <v>46.256019846315354</v>
          </cell>
          <cell r="K68">
            <v>37.569782572964428</v>
          </cell>
        </row>
        <row r="69">
          <cell r="A69" t="str">
            <v>NGA</v>
          </cell>
          <cell r="B69" t="str">
            <v>VAR_fin</v>
          </cell>
          <cell r="C69" t="str">
            <v>D-INGA</v>
          </cell>
          <cell r="I69">
            <v>28.52777713003789</v>
          </cell>
          <cell r="J69">
            <v>25.515809680864546</v>
          </cell>
          <cell r="K69">
            <v>11.763907191494505</v>
          </cell>
        </row>
        <row r="70">
          <cell r="A70" t="str">
            <v>CO2</v>
          </cell>
          <cell r="B70" t="str">
            <v>VAR_fout</v>
          </cell>
          <cell r="C70" t="str">
            <v>D-ENGA</v>
          </cell>
          <cell r="I70">
            <v>120.877153496796</v>
          </cell>
          <cell r="J70">
            <v>327.38826234757602</v>
          </cell>
          <cell r="K70">
            <v>1430.4482903313401</v>
          </cell>
        </row>
        <row r="71">
          <cell r="A71" t="str">
            <v>CO2</v>
          </cell>
          <cell r="B71" t="str">
            <v>VAR_fout</v>
          </cell>
          <cell r="C71" t="str">
            <v>D-ILFO</v>
          </cell>
          <cell r="I71">
            <v>336.11815433155903</v>
          </cell>
          <cell r="J71">
            <v>165.32919551461401</v>
          </cell>
          <cell r="K71">
            <v>1.51892527982068E-2</v>
          </cell>
        </row>
        <row r="72">
          <cell r="A72" t="str">
            <v>CO2</v>
          </cell>
          <cell r="B72" t="str">
            <v>VAR_fout</v>
          </cell>
          <cell r="C72" t="str">
            <v>D-TNGA</v>
          </cell>
          <cell r="I72">
            <v>0.17789380701414101</v>
          </cell>
          <cell r="J72">
            <v>0.20404900214830601</v>
          </cell>
          <cell r="K72">
            <v>0.183256671942885</v>
          </cell>
        </row>
        <row r="73">
          <cell r="A73" t="str">
            <v>CO2</v>
          </cell>
          <cell r="B73" t="str">
            <v>VAR_fout</v>
          </cell>
          <cell r="C73" t="str">
            <v>D-SNGA</v>
          </cell>
          <cell r="I73">
            <v>1975.0113913134601</v>
          </cell>
          <cell r="J73">
            <v>1795.34584558084</v>
          </cell>
          <cell r="K73">
            <v>1378.18987894527</v>
          </cell>
        </row>
        <row r="74">
          <cell r="A74" t="str">
            <v>CO2</v>
          </cell>
          <cell r="B74" t="str">
            <v>VAR_fout</v>
          </cell>
          <cell r="C74" t="str">
            <v>D-RNGA</v>
          </cell>
          <cell r="I74">
            <v>2390.5649900968001</v>
          </cell>
          <cell r="J74">
            <v>2608.8395193321799</v>
          </cell>
          <cell r="K74">
            <v>2118.93573711519</v>
          </cell>
        </row>
        <row r="75">
          <cell r="A75" t="str">
            <v>CO2</v>
          </cell>
          <cell r="B75" t="str">
            <v>VAR_fout</v>
          </cell>
          <cell r="C75" t="str">
            <v>D-SLFO</v>
          </cell>
          <cell r="I75">
            <v>1130.77525983033</v>
          </cell>
          <cell r="J75">
            <v>909.92246796191898</v>
          </cell>
          <cell r="K75">
            <v>433.06208736555402</v>
          </cell>
        </row>
        <row r="76">
          <cell r="A76" t="str">
            <v>CO2</v>
          </cell>
          <cell r="B76" t="str">
            <v>VAR_fout</v>
          </cell>
          <cell r="C76" t="str">
            <v>D-RLFO</v>
          </cell>
          <cell r="I76">
            <v>1831.4873678617</v>
          </cell>
          <cell r="J76">
            <v>1382.2556419749801</v>
          </cell>
          <cell r="K76">
            <v>522.97592503736996</v>
          </cell>
        </row>
        <row r="77">
          <cell r="A77" t="str">
            <v>CO2</v>
          </cell>
          <cell r="B77" t="str">
            <v>VAR_fout</v>
          </cell>
          <cell r="C77" t="str">
            <v>D-TGSL</v>
          </cell>
          <cell r="I77">
            <v>1955.1976536617599</v>
          </cell>
          <cell r="J77">
            <v>1895.8760921227699</v>
          </cell>
          <cell r="K77">
            <v>1532.20539527497</v>
          </cell>
        </row>
        <row r="78">
          <cell r="A78" t="str">
            <v>CO2</v>
          </cell>
          <cell r="B78" t="str">
            <v>VAR_fout</v>
          </cell>
          <cell r="C78" t="str">
            <v>D-INGA</v>
          </cell>
          <cell r="I78">
            <v>1608.9666301341399</v>
          </cell>
          <cell r="J78">
            <v>1439.0916660007599</v>
          </cell>
          <cell r="K78">
            <v>663.48436560028995</v>
          </cell>
        </row>
        <row r="79">
          <cell r="A79" t="str">
            <v>ENGA</v>
          </cell>
          <cell r="B79" t="str">
            <v>VAR_fout</v>
          </cell>
          <cell r="C79" t="str">
            <v>D-ENGA</v>
          </cell>
          <cell r="I79">
            <v>2.2308827979365868</v>
          </cell>
          <cell r="J79">
            <v>5.8807687149915866</v>
          </cell>
          <cell r="K79">
            <v>25.376291872732736</v>
          </cell>
        </row>
        <row r="80">
          <cell r="A80" t="str">
            <v>ILFO</v>
          </cell>
          <cell r="B80" t="str">
            <v>VAR_fout</v>
          </cell>
          <cell r="C80" t="str">
            <v>D-ILFO</v>
          </cell>
          <cell r="I80">
            <v>5.7523399237269981</v>
          </cell>
          <cell r="J80">
            <v>3.4737140933230042</v>
          </cell>
          <cell r="K80">
            <v>1.2681147701843245</v>
          </cell>
        </row>
        <row r="81">
          <cell r="A81" t="str">
            <v>CHEAT</v>
          </cell>
          <cell r="B81" t="str">
            <v>VAR_fout</v>
          </cell>
          <cell r="C81" t="str">
            <v>D-CHEAT</v>
          </cell>
          <cell r="J81">
            <v>3.2379950677427656E-4</v>
          </cell>
          <cell r="K81">
            <v>1.9828471556946809E-4</v>
          </cell>
        </row>
        <row r="82">
          <cell r="A82" t="str">
            <v>CHEAT</v>
          </cell>
          <cell r="B82" t="str">
            <v>VAR_fin</v>
          </cell>
          <cell r="C82" t="str">
            <v>SUP_ELCH2_SOEC</v>
          </cell>
          <cell r="J82">
            <v>3.2379950677427656E-4</v>
          </cell>
          <cell r="K82">
            <v>1.9828471556946809E-4</v>
          </cell>
        </row>
        <row r="83">
          <cell r="A83" t="str">
            <v>TDSL</v>
          </cell>
          <cell r="B83" t="str">
            <v>VAR_fout</v>
          </cell>
          <cell r="C83" t="str">
            <v>D-TBDS1</v>
          </cell>
          <cell r="I83">
            <v>2.0288130249777936</v>
          </cell>
          <cell r="J83">
            <v>1.9121885111990318</v>
          </cell>
          <cell r="K83">
            <v>1.8525270023827873</v>
          </cell>
        </row>
        <row r="84">
          <cell r="A84" t="str">
            <v>CNGA</v>
          </cell>
          <cell r="B84" t="str">
            <v>VAR_fout</v>
          </cell>
          <cell r="C84" t="str">
            <v>D-CNGA</v>
          </cell>
          <cell r="K84">
            <v>1.2947815393361359E-3</v>
          </cell>
        </row>
        <row r="85">
          <cell r="A85" t="str">
            <v>CNGA</v>
          </cell>
          <cell r="B85" t="str">
            <v>VAR_fin</v>
          </cell>
          <cell r="C85" t="str">
            <v>SUP_NGAH2</v>
          </cell>
          <cell r="K85">
            <v>1.2947815393361359E-3</v>
          </cell>
        </row>
        <row r="86">
          <cell r="A86" t="str">
            <v>LBIO</v>
          </cell>
          <cell r="B86" t="str">
            <v>VAR_fin</v>
          </cell>
          <cell r="C86" t="str">
            <v>D-LBIO</v>
          </cell>
          <cell r="I86">
            <v>2.134188955134543</v>
          </cell>
          <cell r="J86">
            <v>2.134806815885224</v>
          </cell>
          <cell r="K86">
            <v>2.1351640514324859</v>
          </cell>
        </row>
        <row r="87">
          <cell r="A87" t="str">
            <v>H2_E</v>
          </cell>
          <cell r="B87" t="str">
            <v>VAR_fout</v>
          </cell>
          <cell r="C87" t="str">
            <v>SUP_ELCH2_D</v>
          </cell>
          <cell r="I87">
            <v>2.6496918812351871E-5</v>
          </cell>
          <cell r="J87">
            <v>8.1635543349492079E-4</v>
          </cell>
          <cell r="K87">
            <v>8.6586597718233771E-4</v>
          </cell>
        </row>
        <row r="88">
          <cell r="A88" t="str">
            <v>H2_E</v>
          </cell>
          <cell r="B88" t="str">
            <v>VAR_fin</v>
          </cell>
          <cell r="C88" t="str">
            <v>D-DH2</v>
          </cell>
          <cell r="I88">
            <v>2.6496918812351871E-5</v>
          </cell>
          <cell r="J88">
            <v>8.1635543349492079E-4</v>
          </cell>
          <cell r="K88">
            <v>8.6586597718233771E-4</v>
          </cell>
        </row>
        <row r="89">
          <cell r="A89" t="str">
            <v>BNGA</v>
          </cell>
          <cell r="B89" t="str">
            <v>VAR_fout</v>
          </cell>
          <cell r="C89" t="str">
            <v>SUP_BIONGA</v>
          </cell>
          <cell r="I89">
            <v>3.2086591139646741</v>
          </cell>
          <cell r="J89">
            <v>3.1730469221523037</v>
          </cell>
          <cell r="K89">
            <v>3.17424882122666</v>
          </cell>
        </row>
        <row r="90">
          <cell r="A90" t="str">
            <v>BNGA</v>
          </cell>
          <cell r="B90" t="str">
            <v>VAR_fin</v>
          </cell>
          <cell r="C90" t="str">
            <v>D-ENGA</v>
          </cell>
          <cell r="I90">
            <v>9.4799759526988436E-2</v>
          </cell>
          <cell r="J90">
            <v>9.4801190456926004E-2</v>
          </cell>
          <cell r="K90">
            <v>9.4803213751551887E-2</v>
          </cell>
        </row>
        <row r="91">
          <cell r="A91" t="str">
            <v>BNGA</v>
          </cell>
          <cell r="B91" t="str">
            <v>VAR_fin</v>
          </cell>
          <cell r="C91" t="str">
            <v>D-CNGA</v>
          </cell>
          <cell r="K91">
            <v>1.2989178738039592E-3</v>
          </cell>
        </row>
        <row r="92">
          <cell r="A92" t="str">
            <v>BNGA</v>
          </cell>
          <cell r="B92" t="str">
            <v>VAR_fin</v>
          </cell>
          <cell r="C92" t="str">
            <v>D-TNGA</v>
          </cell>
          <cell r="I92">
            <v>6.910328888842048E-4</v>
          </cell>
          <cell r="J92">
            <v>8.3049974692250736E-5</v>
          </cell>
          <cell r="K92">
            <v>5.7746341347019863E-5</v>
          </cell>
        </row>
        <row r="93">
          <cell r="A93" t="str">
            <v>BNGA</v>
          </cell>
          <cell r="B93" t="str">
            <v>VAR_fin</v>
          </cell>
          <cell r="C93" t="str">
            <v>D-SNGA</v>
          </cell>
          <cell r="I93">
            <v>1.7468202322165588E-2</v>
          </cell>
          <cell r="J93">
            <v>1.3944778134743845E-4</v>
          </cell>
          <cell r="K93">
            <v>8.0824685270349455E-5</v>
          </cell>
        </row>
        <row r="94">
          <cell r="A94" t="str">
            <v>BNGA</v>
          </cell>
          <cell r="B94" t="str">
            <v>VAR_fin</v>
          </cell>
          <cell r="C94" t="str">
            <v>D-RNGA</v>
          </cell>
          <cell r="I94">
            <v>1.7804007122231021E-2</v>
          </cell>
          <cell r="J94">
            <v>1.396381732578832E-4</v>
          </cell>
          <cell r="K94">
            <v>8.0830370276488314E-5</v>
          </cell>
        </row>
        <row r="95">
          <cell r="A95" t="str">
            <v>BNGA</v>
          </cell>
          <cell r="B95" t="str">
            <v>VAR_fin</v>
          </cell>
          <cell r="C95" t="str">
            <v>D-INGA</v>
          </cell>
          <cell r="I95">
            <v>3.0778510344482357</v>
          </cell>
          <cell r="J95">
            <v>3.0778519196892207</v>
          </cell>
          <cell r="K95">
            <v>3.0778545240923814</v>
          </cell>
        </row>
        <row r="96">
          <cell r="A96" t="str">
            <v>LFO</v>
          </cell>
          <cell r="B96" t="str">
            <v>VAR_fin</v>
          </cell>
          <cell r="C96" t="str">
            <v>D-ILFO</v>
          </cell>
          <cell r="I96">
            <v>4.5606262460184368</v>
          </cell>
          <cell r="J96">
            <v>2.243272666412679</v>
          </cell>
          <cell r="K96">
            <v>2.0609569604079756E-4</v>
          </cell>
        </row>
        <row r="97">
          <cell r="A97" t="str">
            <v>LFO</v>
          </cell>
          <cell r="B97" t="str">
            <v>VAR_fin</v>
          </cell>
          <cell r="C97" t="str">
            <v>D-SLFO</v>
          </cell>
          <cell r="I97">
            <v>15.342947894577049</v>
          </cell>
          <cell r="J97">
            <v>12.34630214330962</v>
          </cell>
          <cell r="K97">
            <v>5.8760120402381757</v>
          </cell>
        </row>
        <row r="98">
          <cell r="A98" t="str">
            <v>LFO</v>
          </cell>
          <cell r="B98" t="str">
            <v>VAR_fin</v>
          </cell>
          <cell r="C98" t="str">
            <v>D-RLFO</v>
          </cell>
          <cell r="I98">
            <v>24.850574869222459</v>
          </cell>
          <cell r="J98">
            <v>18.755164748642869</v>
          </cell>
          <cell r="K98">
            <v>7.0960098376848073</v>
          </cell>
        </row>
        <row r="99">
          <cell r="A99" t="str">
            <v>MNR</v>
          </cell>
          <cell r="B99" t="str">
            <v>VAR_fin</v>
          </cell>
          <cell r="C99" t="str">
            <v>SUP_MNRBIO</v>
          </cell>
          <cell r="I99">
            <v>12.54042684227449</v>
          </cell>
          <cell r="J99">
            <v>12.641669574355806</v>
          </cell>
          <cell r="K99">
            <v>17.636690575994574</v>
          </cell>
        </row>
        <row r="100">
          <cell r="A100" t="str">
            <v>TNGA</v>
          </cell>
          <cell r="B100" t="str">
            <v>VAR_fout</v>
          </cell>
          <cell r="C100" t="str">
            <v>D-TNGA</v>
          </cell>
          <cell r="I100">
            <v>3.868890378863898E-3</v>
          </cell>
          <cell r="J100">
            <v>3.7180865298420888E-3</v>
          </cell>
          <cell r="K100">
            <v>3.3229127544696915E-3</v>
          </cell>
        </row>
        <row r="101">
          <cell r="A101" t="str">
            <v>WOD</v>
          </cell>
          <cell r="B101" t="str">
            <v>VAR_fin</v>
          </cell>
          <cell r="C101" t="str">
            <v>D-CWOD</v>
          </cell>
          <cell r="I101">
            <v>4.1848570903486095</v>
          </cell>
          <cell r="J101">
            <v>4.6415423908838518</v>
          </cell>
          <cell r="K101">
            <v>5.5887211301811934</v>
          </cell>
        </row>
        <row r="102">
          <cell r="A102" t="str">
            <v>GSL</v>
          </cell>
          <cell r="B102" t="str">
            <v>VAR_fin</v>
          </cell>
          <cell r="C102" t="str">
            <v>D-TGSL</v>
          </cell>
          <cell r="I102">
            <v>26.493193139048255</v>
          </cell>
          <cell r="J102">
            <v>25.689377942042903</v>
          </cell>
          <cell r="K102">
            <v>20.761590721883039</v>
          </cell>
        </row>
        <row r="103">
          <cell r="A103" t="str">
            <v>IBIO</v>
          </cell>
          <cell r="B103" t="str">
            <v>VAR_fout</v>
          </cell>
          <cell r="C103" t="str">
            <v>D-IBIO</v>
          </cell>
          <cell r="I103">
            <v>6.4057050216898999</v>
          </cell>
          <cell r="J103">
            <v>6.4080867792525931</v>
          </cell>
          <cell r="K103">
            <v>8.1961416190642638</v>
          </cell>
        </row>
        <row r="104">
          <cell r="A104" t="str">
            <v>SNGA</v>
          </cell>
          <cell r="B104" t="str">
            <v>VAR_fout</v>
          </cell>
          <cell r="C104" t="str">
            <v>D-SNGA</v>
          </cell>
          <cell r="I104">
            <v>34.923832313619577</v>
          </cell>
          <cell r="J104">
            <v>31.731143663279529</v>
          </cell>
          <cell r="K104">
            <v>24.358253628062332</v>
          </cell>
        </row>
        <row r="105">
          <cell r="A105" t="str">
            <v>AUX_H2STG_IN</v>
          </cell>
          <cell r="B105" t="str">
            <v>VAR_fin</v>
          </cell>
          <cell r="C105" t="str">
            <v>STG-H2</v>
          </cell>
          <cell r="I105">
            <v>8.254264634264637E-6</v>
          </cell>
          <cell r="J105">
            <v>9.8593454575230528E-6</v>
          </cell>
          <cell r="K105">
            <v>2.7259444600302874E-5</v>
          </cell>
        </row>
        <row r="106">
          <cell r="A106" t="str">
            <v>AUX_H2STG_IN</v>
          </cell>
          <cell r="B106" t="str">
            <v>VAR_fin</v>
          </cell>
          <cell r="C106" t="str">
            <v>STG-H2</v>
          </cell>
          <cell r="I106">
            <v>3.5545000101745272E-5</v>
          </cell>
          <cell r="J106">
            <v>4.54973851089046E-5</v>
          </cell>
          <cell r="K106">
            <v>4.8705707143853889E-4</v>
          </cell>
        </row>
        <row r="107">
          <cell r="A107" t="str">
            <v>AUX_H2STG_IN</v>
          </cell>
          <cell r="B107" t="str">
            <v>VAR_fin</v>
          </cell>
          <cell r="C107" t="str">
            <v>STG-H2</v>
          </cell>
          <cell r="I107">
            <v>6.7353896628936002E-6</v>
          </cell>
          <cell r="J107">
            <v>8.3137329750395399E-6</v>
          </cell>
          <cell r="K107">
            <v>1.8036436133556493E-5</v>
          </cell>
        </row>
        <row r="108">
          <cell r="A108" t="str">
            <v>AUX_H2STG_IN</v>
          </cell>
          <cell r="B108" t="str">
            <v>VAR_fin</v>
          </cell>
          <cell r="C108" t="str">
            <v>STG-H2</v>
          </cell>
          <cell r="I108">
            <v>8.1870991968850029E-6</v>
          </cell>
          <cell r="J108">
            <v>9.4724524762293803E-6</v>
          </cell>
          <cell r="K108">
            <v>2.1195753461811927E-5</v>
          </cell>
        </row>
        <row r="109">
          <cell r="A109" t="str">
            <v>AUX_H2STG_IN</v>
          </cell>
          <cell r="B109" t="str">
            <v>VAR_fin</v>
          </cell>
          <cell r="C109" t="str">
            <v>STG-H2</v>
          </cell>
          <cell r="I109">
            <v>1.236824660770206E-5</v>
          </cell>
          <cell r="J109">
            <v>1.7851854200112579E-5</v>
          </cell>
          <cell r="K109">
            <v>4.2056543724286807E-4</v>
          </cell>
        </row>
        <row r="110">
          <cell r="A110" t="str">
            <v>H2</v>
          </cell>
          <cell r="B110" t="str">
            <v>VAR_fout</v>
          </cell>
          <cell r="C110" t="str">
            <v>SUP_NGAH2</v>
          </cell>
          <cell r="K110">
            <v>9.8403396989546151E-4</v>
          </cell>
        </row>
        <row r="111">
          <cell r="A111" t="str">
            <v>H2</v>
          </cell>
          <cell r="B111" t="str">
            <v>VAR_fout</v>
          </cell>
          <cell r="C111" t="str">
            <v>STG-H2</v>
          </cell>
          <cell r="I111">
            <v>7.9322760970345863E-6</v>
          </cell>
          <cell r="J111">
            <v>1.075399548879784E-5</v>
          </cell>
          <cell r="K111">
            <v>5.9705926303748967E-5</v>
          </cell>
        </row>
        <row r="112">
          <cell r="A112" t="str">
            <v>H2</v>
          </cell>
          <cell r="B112" t="str">
            <v>VAR_fout</v>
          </cell>
          <cell r="C112" t="str">
            <v>STG-H2</v>
          </cell>
          <cell r="I112">
            <v>3.5202047104426228E-5</v>
          </cell>
          <cell r="J112">
            <v>4.5091872560672742E-5</v>
          </cell>
          <cell r="K112">
            <v>4.8218576794354019E-4</v>
          </cell>
        </row>
        <row r="113">
          <cell r="A113" t="str">
            <v>H2</v>
          </cell>
          <cell r="B113" t="str">
            <v>VAR_fout</v>
          </cell>
          <cell r="C113" t="str">
            <v>STG-H2</v>
          </cell>
          <cell r="I113">
            <v>1.2431515833244742E-5</v>
          </cell>
          <cell r="J113">
            <v>1.6070089171799078E-5</v>
          </cell>
          <cell r="K113">
            <v>2.5147558906082548E-4</v>
          </cell>
        </row>
        <row r="114">
          <cell r="A114" t="str">
            <v>H2</v>
          </cell>
          <cell r="B114" t="str">
            <v>VAR_fout</v>
          </cell>
          <cell r="C114" t="str">
            <v>STG-H2</v>
          </cell>
          <cell r="I114">
            <v>7.8577045413743746E-6</v>
          </cell>
          <cell r="J114">
            <v>1.1084767767555686E-5</v>
          </cell>
          <cell r="K114">
            <v>1.1461817706397993E-4</v>
          </cell>
        </row>
        <row r="115">
          <cell r="A115" t="str">
            <v>H2</v>
          </cell>
          <cell r="B115" t="str">
            <v>VAR_fout</v>
          </cell>
          <cell r="C115" t="str">
            <v>STG-H2</v>
          </cell>
          <cell r="I115">
            <v>6.9805506327725341E-6</v>
          </cell>
          <cell r="J115">
            <v>7.1830201325201463E-6</v>
          </cell>
          <cell r="K115">
            <v>5.6386075514987098E-5</v>
          </cell>
        </row>
        <row r="116">
          <cell r="A116" t="str">
            <v>H2</v>
          </cell>
          <cell r="B116" t="str">
            <v>VAR_fout</v>
          </cell>
          <cell r="C116" t="str">
            <v>IMPH2</v>
          </cell>
          <cell r="J116">
            <v>3.8475246849480662E-4</v>
          </cell>
          <cell r="K116">
            <v>3.8753382085759464E-4</v>
          </cell>
        </row>
        <row r="117">
          <cell r="A117" t="str">
            <v>H2</v>
          </cell>
          <cell r="B117" t="str">
            <v>VAR_fout</v>
          </cell>
          <cell r="C117" t="str">
            <v>SUP_ELCH2_SOEC</v>
          </cell>
          <cell r="J117">
            <v>2.166965929950923E-3</v>
          </cell>
          <cell r="K117">
            <v>1.7845624401252149E-3</v>
          </cell>
        </row>
        <row r="118">
          <cell r="A118" t="str">
            <v>H2</v>
          </cell>
          <cell r="B118" t="str">
            <v>VAR_fout</v>
          </cell>
          <cell r="C118" t="str">
            <v>SUP_ELCH2</v>
          </cell>
          <cell r="I118">
            <v>1.1193302787270088E-2</v>
          </cell>
          <cell r="J118">
            <v>9.0623319123783776E-3</v>
          </cell>
          <cell r="K118">
            <v>0.10978116861105483</v>
          </cell>
        </row>
        <row r="119">
          <cell r="A119" t="str">
            <v>H2</v>
          </cell>
          <cell r="B119" t="str">
            <v>VAR_fout</v>
          </cell>
          <cell r="C119" t="str">
            <v>D-DH2</v>
          </cell>
          <cell r="I119">
            <v>2.6231949624228343E-5</v>
          </cell>
          <cell r="J119">
            <v>8.0819187915997159E-4</v>
          </cell>
          <cell r="K119">
            <v>8.5720731741051488E-4</v>
          </cell>
        </row>
        <row r="120">
          <cell r="A120" t="str">
            <v>H2</v>
          </cell>
          <cell r="B120" t="str">
            <v>VAR_fin</v>
          </cell>
          <cell r="C120" t="str">
            <v>STG-H2</v>
          </cell>
          <cell r="I120">
            <v>8.254264634264637E-6</v>
          </cell>
          <cell r="J120">
            <v>9.8593454575230528E-6</v>
          </cell>
          <cell r="K120">
            <v>2.7259444600302874E-5</v>
          </cell>
        </row>
        <row r="121">
          <cell r="A121" t="str">
            <v>H2</v>
          </cell>
          <cell r="B121" t="str">
            <v>VAR_fin</v>
          </cell>
          <cell r="C121" t="str">
            <v>STG-H2</v>
          </cell>
          <cell r="I121">
            <v>3.5545000101745272E-5</v>
          </cell>
          <cell r="J121">
            <v>4.54973851089046E-5</v>
          </cell>
          <cell r="K121">
            <v>4.8705707143853889E-4</v>
          </cell>
        </row>
        <row r="122">
          <cell r="A122" t="str">
            <v>H2</v>
          </cell>
          <cell r="B122" t="str">
            <v>VAR_fin</v>
          </cell>
          <cell r="C122" t="str">
            <v>STG-H2</v>
          </cell>
          <cell r="I122">
            <v>6.7353896628936002E-6</v>
          </cell>
          <cell r="J122">
            <v>8.3137329750395399E-6</v>
          </cell>
          <cell r="K122">
            <v>1.8036436133556493E-5</v>
          </cell>
        </row>
        <row r="123">
          <cell r="A123" t="str">
            <v>H2</v>
          </cell>
          <cell r="B123" t="str">
            <v>VAR_fin</v>
          </cell>
          <cell r="C123" t="str">
            <v>STG-H2</v>
          </cell>
          <cell r="I123">
            <v>8.1870991968850029E-6</v>
          </cell>
          <cell r="J123">
            <v>9.4724524762293803E-6</v>
          </cell>
          <cell r="K123">
            <v>2.1195753461811927E-5</v>
          </cell>
        </row>
        <row r="124">
          <cell r="A124" t="str">
            <v>H2</v>
          </cell>
          <cell r="B124" t="str">
            <v>VAR_fin</v>
          </cell>
          <cell r="C124" t="str">
            <v>STG-H2</v>
          </cell>
          <cell r="I124">
            <v>1.236824660770206E-5</v>
          </cell>
          <cell r="J124">
            <v>1.7851854200112579E-5</v>
          </cell>
          <cell r="K124">
            <v>4.2056543724286807E-4</v>
          </cell>
        </row>
        <row r="125">
          <cell r="A125" t="str">
            <v>H2</v>
          </cell>
          <cell r="B125" t="str">
            <v>VAR_fin</v>
          </cell>
          <cell r="C125" t="str">
            <v>D-TNGA</v>
          </cell>
          <cell r="I125">
            <v>3.866610484158621E-5</v>
          </cell>
          <cell r="J125">
            <v>3.1355894882102015E-5</v>
          </cell>
          <cell r="K125">
            <v>2.9105371145209245E-5</v>
          </cell>
        </row>
        <row r="126">
          <cell r="A126" t="str">
            <v>H2</v>
          </cell>
          <cell r="B126" t="str">
            <v>VAR_fin</v>
          </cell>
          <cell r="C126" t="str">
            <v>D-INGA</v>
          </cell>
          <cell r="I126">
            <v>7.1944550866658808E-3</v>
          </cell>
          <cell r="J126">
            <v>9.1049839029395604E-3</v>
          </cell>
          <cell r="K126">
            <v>8.8663090284627669E-2</v>
          </cell>
        </row>
        <row r="127">
          <cell r="A127" t="str">
            <v>AUX_H2STG_OUT</v>
          </cell>
          <cell r="B127" t="str">
            <v>VAR_fout</v>
          </cell>
          <cell r="C127" t="str">
            <v>STG-H2</v>
          </cell>
          <cell r="I127">
            <v>7.9322760970345914E-6</v>
          </cell>
          <cell r="J127">
            <v>1.075399548879784E-5</v>
          </cell>
          <cell r="K127">
            <v>5.9705926303748974E-5</v>
          </cell>
        </row>
        <row r="128">
          <cell r="A128" t="str">
            <v>AUX_H2STG_OUT</v>
          </cell>
          <cell r="B128" t="str">
            <v>VAR_fout</v>
          </cell>
          <cell r="C128" t="str">
            <v>STG-H2</v>
          </cell>
          <cell r="I128">
            <v>3.5202047104426228E-5</v>
          </cell>
          <cell r="J128">
            <v>4.5091872560672742E-5</v>
          </cell>
          <cell r="K128">
            <v>4.8218576794354029E-4</v>
          </cell>
        </row>
        <row r="129">
          <cell r="A129" t="str">
            <v>AUX_H2STG_OUT</v>
          </cell>
          <cell r="B129" t="str">
            <v>VAR_fout</v>
          </cell>
          <cell r="C129" t="str">
            <v>STG-H2</v>
          </cell>
          <cell r="I129">
            <v>1.2431515833244742E-5</v>
          </cell>
          <cell r="J129">
            <v>1.6070089171799078E-5</v>
          </cell>
          <cell r="K129">
            <v>2.5147558906082548E-4</v>
          </cell>
        </row>
        <row r="130">
          <cell r="A130" t="str">
            <v>AUX_H2STG_OUT</v>
          </cell>
          <cell r="B130" t="str">
            <v>VAR_fout</v>
          </cell>
          <cell r="C130" t="str">
            <v>STG-H2</v>
          </cell>
          <cell r="I130">
            <v>7.8577045413743746E-6</v>
          </cell>
          <cell r="J130">
            <v>1.1084767767555689E-5</v>
          </cell>
          <cell r="K130">
            <v>1.1461817706398013E-4</v>
          </cell>
        </row>
        <row r="131">
          <cell r="A131" t="str">
            <v>AUX_H2STG_OUT</v>
          </cell>
          <cell r="B131" t="str">
            <v>VAR_fout</v>
          </cell>
          <cell r="C131" t="str">
            <v>STG-H2</v>
          </cell>
          <cell r="I131">
            <v>6.9805506327725341E-6</v>
          </cell>
          <cell r="J131">
            <v>7.1830201325201463E-6</v>
          </cell>
          <cell r="K131">
            <v>5.6386075514987098E-5</v>
          </cell>
        </row>
        <row r="132">
          <cell r="A132" t="str">
            <v>RNGA</v>
          </cell>
          <cell r="B132" t="str">
            <v>VAR_fout</v>
          </cell>
          <cell r="C132" t="str">
            <v>D-RNGA</v>
          </cell>
          <cell r="I132">
            <v>42.268675747348773</v>
          </cell>
          <cell r="J132">
            <v>46.108859219642312</v>
          </cell>
          <cell r="K132">
            <v>37.450224183580488</v>
          </cell>
        </row>
        <row r="133">
          <cell r="A133" t="str">
            <v>CWOD</v>
          </cell>
          <cell r="B133" t="str">
            <v>VAR_fout</v>
          </cell>
          <cell r="C133" t="str">
            <v>D-CWOD</v>
          </cell>
          <cell r="I133">
            <v>4.1848570903486095</v>
          </cell>
          <cell r="J133">
            <v>4.6415423908838518</v>
          </cell>
          <cell r="K133">
            <v>5.5887211301811934</v>
          </cell>
        </row>
        <row r="134">
          <cell r="A134" t="str">
            <v>CWOD</v>
          </cell>
          <cell r="B134" t="str">
            <v>VAR_fin</v>
          </cell>
          <cell r="C134" t="str">
            <v>SUP_WODBIO</v>
          </cell>
          <cell r="I134">
            <v>2.8857729958597407E-4</v>
          </cell>
          <cell r="J134">
            <v>2.9483075409780286E-4</v>
          </cell>
          <cell r="K134">
            <v>3.0773177900921466E-4</v>
          </cell>
        </row>
        <row r="135">
          <cell r="A135" t="str">
            <v>CWOD</v>
          </cell>
          <cell r="B135" t="str">
            <v>VAR_fin</v>
          </cell>
          <cell r="C135" t="str">
            <v>CT_CWODBDS</v>
          </cell>
          <cell r="I135">
            <v>3.2962551745234188E-4</v>
          </cell>
          <cell r="J135">
            <v>2.6840925716905715E-4</v>
          </cell>
          <cell r="K135">
            <v>1.8899424772364349E-4</v>
          </cell>
        </row>
        <row r="136">
          <cell r="A136" t="str">
            <v>CWOD</v>
          </cell>
          <cell r="B136" t="str">
            <v>VAR_fin</v>
          </cell>
          <cell r="C136" t="str">
            <v>CT_CWODPLT</v>
          </cell>
          <cell r="I136">
            <v>4.1840703237575037</v>
          </cell>
          <cell r="J136">
            <v>4.6408920770577744</v>
          </cell>
          <cell r="K136">
            <v>5.5881491381495678</v>
          </cell>
        </row>
        <row r="137">
          <cell r="A137" t="str">
            <v>CWOD</v>
          </cell>
          <cell r="B137" t="str">
            <v>VAR_fin</v>
          </cell>
          <cell r="C137" t="str">
            <v>CT_CWODETH</v>
          </cell>
          <cell r="I137">
            <v>1.6856377406704673E-4</v>
          </cell>
          <cell r="J137">
            <v>8.7073814805951075E-5</v>
          </cell>
          <cell r="K137">
            <v>8.5769826845092393E-5</v>
          </cell>
        </row>
        <row r="138">
          <cell r="A138" t="str">
            <v>BDS</v>
          </cell>
          <cell r="B138" t="str">
            <v>VAR_fout</v>
          </cell>
          <cell r="C138" t="str">
            <v>IMPBDS</v>
          </cell>
          <cell r="I138">
            <v>4.30596218199776</v>
          </cell>
          <cell r="J138">
            <v>4.3058086928015209</v>
          </cell>
          <cell r="K138">
            <v>4.3054971497838475</v>
          </cell>
        </row>
        <row r="139">
          <cell r="A139" t="str">
            <v>BDS</v>
          </cell>
          <cell r="B139" t="str">
            <v>VAR_fout</v>
          </cell>
          <cell r="C139" t="str">
            <v>CT_CWODBDS</v>
          </cell>
          <cell r="I139">
            <v>1.1567837075007621E-4</v>
          </cell>
          <cell r="J139">
            <v>9.4195212201809945E-5</v>
          </cell>
          <cell r="K139">
            <v>6.632540716744814E-5</v>
          </cell>
        </row>
        <row r="140">
          <cell r="A140" t="str">
            <v>BDS</v>
          </cell>
          <cell r="B140" t="str">
            <v>VAR_fin</v>
          </cell>
          <cell r="C140" t="str">
            <v>D-ILFO</v>
          </cell>
          <cell r="I140">
            <v>1.289416438954319</v>
          </cell>
          <cell r="J140">
            <v>1.289442111504971</v>
          </cell>
          <cell r="K140">
            <v>1.289447570996652</v>
          </cell>
        </row>
        <row r="141">
          <cell r="A141" t="str">
            <v>BDS</v>
          </cell>
          <cell r="B141" t="str">
            <v>VAR_fin</v>
          </cell>
          <cell r="C141" t="str">
            <v>D-SLFO</v>
          </cell>
          <cell r="I141">
            <v>2.8335022185394573E-4</v>
          </cell>
          <cell r="J141">
            <v>1.9367637793888106E-4</v>
          </cell>
          <cell r="K141">
            <v>1.326383289646197E-4</v>
          </cell>
        </row>
        <row r="142">
          <cell r="A142" t="str">
            <v>BDS</v>
          </cell>
          <cell r="B142" t="str">
            <v>VAR_fin</v>
          </cell>
          <cell r="C142" t="str">
            <v>D-RLFO</v>
          </cell>
          <cell r="I142">
            <v>2.8360717131431892E-4</v>
          </cell>
          <cell r="J142">
            <v>1.944408216351341E-4</v>
          </cell>
          <cell r="K142">
            <v>1.3288245416225695E-4</v>
          </cell>
        </row>
        <row r="143">
          <cell r="A143" t="str">
            <v>BDS</v>
          </cell>
          <cell r="B143" t="str">
            <v>VAR_fin</v>
          </cell>
          <cell r="C143" t="str">
            <v>D-TBDS1</v>
          </cell>
          <cell r="I143">
            <v>3.0160953250504683</v>
          </cell>
          <cell r="J143">
            <v>3.0160733374785402</v>
          </cell>
          <cell r="K143">
            <v>3.0158509308161525</v>
          </cell>
        </row>
        <row r="144">
          <cell r="A144" t="str">
            <v>BIO</v>
          </cell>
          <cell r="B144" t="str">
            <v>VAR_fout</v>
          </cell>
          <cell r="C144" t="str">
            <v>SUP_WSTHTGBIO</v>
          </cell>
          <cell r="J144">
            <v>3.1235109123767892E-4</v>
          </cell>
          <cell r="K144">
            <v>3.4298426307400952E-4</v>
          </cell>
        </row>
        <row r="145">
          <cell r="A145" t="str">
            <v>BIO</v>
          </cell>
          <cell r="B145" t="str">
            <v>VAR_fout</v>
          </cell>
          <cell r="C145" t="str">
            <v>SUP_WSTBIO</v>
          </cell>
          <cell r="I145">
            <v>6.2065230502350595</v>
          </cell>
          <cell r="J145">
            <v>6.0455500711299361</v>
          </cell>
          <cell r="K145">
            <v>5.7240861483764052</v>
          </cell>
        </row>
        <row r="146">
          <cell r="A146" t="str">
            <v>BIO</v>
          </cell>
          <cell r="B146" t="str">
            <v>VAR_fout</v>
          </cell>
          <cell r="C146" t="str">
            <v>D-LBIO</v>
          </cell>
          <cell r="I146">
            <v>2.134188955134543</v>
          </cell>
          <cell r="J146">
            <v>2.134806815885224</v>
          </cell>
          <cell r="K146">
            <v>2.1351640514324859</v>
          </cell>
        </row>
        <row r="147">
          <cell r="A147" t="str">
            <v>BIO</v>
          </cell>
          <cell r="B147" t="str">
            <v>VAR_fout</v>
          </cell>
          <cell r="C147" t="str">
            <v>SUP_MNRBIO</v>
          </cell>
          <cell r="I147">
            <v>4.3847646301659085</v>
          </cell>
          <cell r="J147">
            <v>4.4201641868376962</v>
          </cell>
          <cell r="K147">
            <v>6.1666750265715349</v>
          </cell>
        </row>
        <row r="148">
          <cell r="A148" t="str">
            <v>BIO</v>
          </cell>
          <cell r="B148" t="str">
            <v>VAR_fout</v>
          </cell>
          <cell r="C148" t="str">
            <v>SUP_WODBIO</v>
          </cell>
          <cell r="I148">
            <v>2.1376096265627708E-4</v>
          </cell>
          <cell r="J148">
            <v>2.1839315118355764E-4</v>
          </cell>
          <cell r="K148">
            <v>2.2794946593275171E-4</v>
          </cell>
        </row>
        <row r="149">
          <cell r="A149" t="str">
            <v>BIO</v>
          </cell>
          <cell r="B149" t="str">
            <v>VAR_fin</v>
          </cell>
          <cell r="C149" t="str">
            <v>D-IBIO</v>
          </cell>
          <cell r="I149">
            <v>6.4057050216898999</v>
          </cell>
          <cell r="J149">
            <v>6.4080867792525931</v>
          </cell>
          <cell r="K149">
            <v>8.1961416190642638</v>
          </cell>
        </row>
        <row r="150">
          <cell r="A150" t="str">
            <v>BIO</v>
          </cell>
          <cell r="B150" t="str">
            <v>VAR_fin</v>
          </cell>
          <cell r="C150" t="str">
            <v>D-EBIO</v>
          </cell>
          <cell r="I150">
            <v>1.1839534668490257</v>
          </cell>
          <cell r="J150">
            <v>1.1839540625823495</v>
          </cell>
          <cell r="K150">
            <v>1.1839565397586005</v>
          </cell>
        </row>
        <row r="151">
          <cell r="A151" t="str">
            <v>BIO</v>
          </cell>
          <cell r="B151" t="str">
            <v>VAR_fin</v>
          </cell>
          <cell r="C151" t="str">
            <v>D-CBIO</v>
          </cell>
          <cell r="I151">
            <v>3.5157587079385992</v>
          </cell>
          <cell r="J151">
            <v>3.4767380862314776</v>
          </cell>
          <cell r="K151">
            <v>3.4780550186280514</v>
          </cell>
        </row>
        <row r="152">
          <cell r="A152" t="str">
            <v>BIO</v>
          </cell>
          <cell r="B152" t="str">
            <v>VAR_fin</v>
          </cell>
          <cell r="C152" t="str">
            <v>D-SBIO</v>
          </cell>
          <cell r="I152">
            <v>2.9905996273823137</v>
          </cell>
          <cell r="J152">
            <v>2.9497597107819153</v>
          </cell>
          <cell r="K152">
            <v>2.8714323122977481</v>
          </cell>
        </row>
        <row r="153">
          <cell r="A153" t="str">
            <v>TKERintl_SAF</v>
          </cell>
          <cell r="B153" t="str">
            <v>VAR_fout</v>
          </cell>
          <cell r="C153" t="str">
            <v>D-TBDS1intl</v>
          </cell>
          <cell r="I153">
            <v>5.0269376218682202</v>
          </cell>
          <cell r="J153">
            <v>5.0269377506904496</v>
          </cell>
          <cell r="K153">
            <v>5.0269379822126297</v>
          </cell>
        </row>
        <row r="154">
          <cell r="A154" t="str">
            <v>EBIO</v>
          </cell>
          <cell r="B154" t="str">
            <v>VAR_fout</v>
          </cell>
          <cell r="C154" t="str">
            <v>D-EBIO</v>
          </cell>
          <cell r="I154">
            <v>1.1839534668490257</v>
          </cell>
          <cell r="J154">
            <v>1.1839540625823495</v>
          </cell>
          <cell r="K154">
            <v>1.1839565397586005</v>
          </cell>
        </row>
        <row r="155">
          <cell r="A155" t="str">
            <v>PLT</v>
          </cell>
          <cell r="B155" t="str">
            <v>VAR_fout</v>
          </cell>
          <cell r="C155" t="str">
            <v>CT_CWODPLT</v>
          </cell>
          <cell r="I155">
            <v>3.5146190719563051</v>
          </cell>
          <cell r="J155">
            <v>3.8983493447285316</v>
          </cell>
          <cell r="K155">
            <v>4.6940452760456379</v>
          </cell>
        </row>
        <row r="156">
          <cell r="A156" t="str">
            <v>SLFO</v>
          </cell>
          <cell r="B156" t="str">
            <v>VAR_fout</v>
          </cell>
          <cell r="C156" t="str">
            <v>D-SLFO</v>
          </cell>
          <cell r="I156">
            <v>15.086981368198499</v>
          </cell>
          <cell r="J156">
            <v>12.140294950949196</v>
          </cell>
          <cell r="K156">
            <v>5.7780062930266558</v>
          </cell>
        </row>
        <row r="157">
          <cell r="A157" t="str">
            <v>ETH</v>
          </cell>
          <cell r="B157" t="str">
            <v>VAR_fout</v>
          </cell>
          <cell r="C157" t="str">
            <v>IMPETH</v>
          </cell>
          <cell r="I157">
            <v>1.5351869352503935</v>
          </cell>
          <cell r="J157">
            <v>1.4881817584291834</v>
          </cell>
          <cell r="K157">
            <v>1.2027939036571993</v>
          </cell>
        </row>
        <row r="158">
          <cell r="A158" t="str">
            <v>ETH</v>
          </cell>
          <cell r="B158" t="str">
            <v>VAR_fout</v>
          </cell>
          <cell r="C158" t="str">
            <v>CT_CWODETH</v>
          </cell>
          <cell r="I158">
            <v>8.0652523477055865E-5</v>
          </cell>
          <cell r="J158">
            <v>4.1662112347345059E-5</v>
          </cell>
          <cell r="K158">
            <v>4.1038194662723633E-5</v>
          </cell>
        </row>
        <row r="159">
          <cell r="A159" t="str">
            <v>ETH</v>
          </cell>
          <cell r="B159" t="str">
            <v>VAR_fin</v>
          </cell>
          <cell r="C159" t="str">
            <v>D-TGSL</v>
          </cell>
          <cell r="I159">
            <v>1.5352675877738722</v>
          </cell>
          <cell r="J159">
            <v>1.4882234205415303</v>
          </cell>
          <cell r="K159">
            <v>1.2028349418518607</v>
          </cell>
        </row>
        <row r="160">
          <cell r="A160" t="str">
            <v>TGSL</v>
          </cell>
          <cell r="B160" t="str">
            <v>VAR_fout</v>
          </cell>
          <cell r="C160" t="str">
            <v>D-TGSL</v>
          </cell>
          <cell r="I160">
            <v>27.616551532565481</v>
          </cell>
          <cell r="J160">
            <v>26.778196731374873</v>
          </cell>
          <cell r="K160">
            <v>21.641633822608718</v>
          </cell>
        </row>
        <row r="161">
          <cell r="A161" t="str">
            <v>RLFO</v>
          </cell>
          <cell r="B161" t="str">
            <v>VAR_fout</v>
          </cell>
          <cell r="C161" t="str">
            <v>D-RLFO</v>
          </cell>
          <cell r="I161">
            <v>24.435820200822029</v>
          </cell>
          <cell r="J161">
            <v>18.442122833590908</v>
          </cell>
          <cell r="K161">
            <v>6.977628698054664</v>
          </cell>
        </row>
        <row r="162">
          <cell r="A162" t="str">
            <v>CELC_E</v>
          </cell>
          <cell r="B162" t="str">
            <v>VAR_fout</v>
          </cell>
          <cell r="C162" t="str">
            <v>ESOL-PV_E</v>
          </cell>
          <cell r="I162">
            <v>3.5301903947924834E-5</v>
          </cell>
          <cell r="J162">
            <v>1.0533618496708645E-3</v>
          </cell>
          <cell r="K162">
            <v>1.055934118515046E-3</v>
          </cell>
        </row>
        <row r="163">
          <cell r="A163" t="str">
            <v>CELC_E</v>
          </cell>
          <cell r="B163" t="str">
            <v>VAR_fin</v>
          </cell>
          <cell r="C163" t="str">
            <v>SUP_ELCH2_D</v>
          </cell>
          <cell r="I163">
            <v>3.5211852242328052E-5</v>
          </cell>
          <cell r="J163">
            <v>1.0533618496708645E-3</v>
          </cell>
          <cell r="K163">
            <v>1.055934118515046E-3</v>
          </cell>
        </row>
        <row r="164">
          <cell r="A164" t="str">
            <v>CBIO</v>
          </cell>
          <cell r="B164" t="str">
            <v>VAR_fout</v>
          </cell>
          <cell r="C164" t="str">
            <v>D-CBIO</v>
          </cell>
          <cell r="I164">
            <v>3.5157587079385992</v>
          </cell>
          <cell r="J164">
            <v>3.4767380862314776</v>
          </cell>
          <cell r="K164">
            <v>3.4780550186280514</v>
          </cell>
        </row>
        <row r="165">
          <cell r="A165" t="str">
            <v>CBIO</v>
          </cell>
          <cell r="B165" t="str">
            <v>VAR_fin</v>
          </cell>
          <cell r="C165" t="str">
            <v>SUP_BIONGA</v>
          </cell>
          <cell r="I165">
            <v>3.5157587079385992</v>
          </cell>
          <cell r="J165">
            <v>3.4767380862314776</v>
          </cell>
          <cell r="K165">
            <v>3.4780550186280514</v>
          </cell>
        </row>
        <row r="166">
          <cell r="A166" t="str">
            <v>LTH</v>
          </cell>
          <cell r="B166" t="str">
            <v>VAR_fout</v>
          </cell>
          <cell r="C166" t="str">
            <v>SUP_WODBIO</v>
          </cell>
          <cell r="I166">
            <v>2.5651315518753278E-5</v>
          </cell>
          <cell r="J166">
            <v>2.6207178142026956E-5</v>
          </cell>
          <cell r="K166">
            <v>2.7353935911930187E-5</v>
          </cell>
        </row>
        <row r="167">
          <cell r="A167" t="str">
            <v>LTH</v>
          </cell>
          <cell r="B167" t="str">
            <v>VAR_fout</v>
          </cell>
          <cell r="C167" t="str">
            <v>CT_CWODBDS</v>
          </cell>
          <cell r="I167">
            <v>4.5114564592529658E-5</v>
          </cell>
          <cell r="J167">
            <v>3.6736132758705845E-5</v>
          </cell>
          <cell r="K167">
            <v>2.5866908795304747E-5</v>
          </cell>
        </row>
        <row r="168">
          <cell r="A168" t="str">
            <v>LTH</v>
          </cell>
          <cell r="B168" t="str">
            <v>VAR_fin</v>
          </cell>
          <cell r="C168" t="str">
            <v>D-CHEAT</v>
          </cell>
          <cell r="J168">
            <v>7.9557289136392262E-5</v>
          </cell>
          <cell r="K168">
            <v>4.871089564695966E-5</v>
          </cell>
        </row>
        <row r="169">
          <cell r="A169" t="str">
            <v>LNGA</v>
          </cell>
          <cell r="B169" t="str">
            <v>VAR_fin</v>
          </cell>
          <cell r="C169" t="str">
            <v>D-LNGA</v>
          </cell>
          <cell r="I169">
            <v>1.0530274478779025E-3</v>
          </cell>
          <cell r="J169">
            <v>5.1156603563341969E-4</v>
          </cell>
          <cell r="K169">
            <v>2.8570459897278182E-4</v>
          </cell>
        </row>
        <row r="170">
          <cell r="A170" t="str">
            <v>IH2</v>
          </cell>
          <cell r="B170" t="str">
            <v>VAR_fout</v>
          </cell>
          <cell r="C170" t="str">
            <v>D-INGA</v>
          </cell>
          <cell r="I170">
            <v>7.1948835866762545E-3</v>
          </cell>
          <cell r="J170">
            <v>9.1077197665686109E-3</v>
          </cell>
          <cell r="K170">
            <v>8.8665826148253413E-2</v>
          </cell>
        </row>
        <row r="171">
          <cell r="A171" t="str">
            <v>WHEAT</v>
          </cell>
          <cell r="B171" t="str">
            <v>VAR_fin</v>
          </cell>
          <cell r="C171" t="str">
            <v>D-CHEAT</v>
          </cell>
          <cell r="J171">
            <v>2.4669268545751471E-4</v>
          </cell>
          <cell r="K171">
            <v>1.5102107450103754E-4</v>
          </cell>
        </row>
        <row r="172">
          <cell r="A172" t="str">
            <v>SOL</v>
          </cell>
          <cell r="B172" t="str">
            <v>VAR_fin</v>
          </cell>
          <cell r="C172" t="str">
            <v>ESOL-PV_A</v>
          </cell>
          <cell r="I172">
            <v>0.4900405307757828</v>
          </cell>
          <cell r="J172">
            <v>0.49004211533408415</v>
          </cell>
          <cell r="K172">
            <v>10.799959880789693</v>
          </cell>
        </row>
        <row r="173">
          <cell r="A173" t="str">
            <v>SOL</v>
          </cell>
          <cell r="B173" t="str">
            <v>VAR_fin</v>
          </cell>
          <cell r="C173" t="str">
            <v>ESOL-PV_E</v>
          </cell>
          <cell r="I173">
            <v>3.5301903947924834E-5</v>
          </cell>
          <cell r="J173">
            <v>1.0533618496708645E-3</v>
          </cell>
          <cell r="K173">
            <v>1.055934118515046E-3</v>
          </cell>
        </row>
        <row r="174">
          <cell r="A174" t="str">
            <v>TKER</v>
          </cell>
          <cell r="B174" t="str">
            <v>VAR_fout</v>
          </cell>
          <cell r="C174" t="str">
            <v>D-TBDS1</v>
          </cell>
          <cell r="I174">
            <v>0.94295730815335699</v>
          </cell>
          <cell r="J174">
            <v>1.0595606578079599</v>
          </cell>
          <cell r="K174">
            <v>1.11900281007971</v>
          </cell>
        </row>
        <row r="175">
          <cell r="A175" t="str">
            <v>BDS1</v>
          </cell>
          <cell r="B175" t="str">
            <v>VAR_fout</v>
          </cell>
          <cell r="C175" t="str">
            <v>IMPBDS1</v>
          </cell>
          <cell r="I175">
            <v>5.0269376218682202</v>
          </cell>
          <cell r="J175">
            <v>5.0269377506904496</v>
          </cell>
          <cell r="K175">
            <v>5.0269379822126297</v>
          </cell>
        </row>
        <row r="176">
          <cell r="A176" t="str">
            <v>BDS1</v>
          </cell>
          <cell r="B176" t="str">
            <v>VAR_fin</v>
          </cell>
          <cell r="C176" t="str">
            <v>D-TBDS1intl</v>
          </cell>
          <cell r="I176">
            <v>5.0269376218682202</v>
          </cell>
          <cell r="J176">
            <v>5.0269377506904496</v>
          </cell>
          <cell r="K176">
            <v>5.0269379822126297</v>
          </cell>
        </row>
        <row r="177">
          <cell r="A177" t="str">
            <v>CELC</v>
          </cell>
          <cell r="B177" t="str">
            <v>VAR_fout</v>
          </cell>
          <cell r="C177" t="str">
            <v>D-CELC</v>
          </cell>
          <cell r="I177">
            <v>1.5015130765030422E-2</v>
          </cell>
          <cell r="J177">
            <v>1.3935169861291669E-2</v>
          </cell>
          <cell r="K177">
            <v>0.13573594861109073</v>
          </cell>
        </row>
        <row r="178">
          <cell r="A178" t="str">
            <v>CELC</v>
          </cell>
          <cell r="B178" t="str">
            <v>VAR_fin</v>
          </cell>
          <cell r="C178" t="str">
            <v>SUP_ELCH2_SOEC</v>
          </cell>
          <cell r="J178">
            <v>2.166965929950923E-3</v>
          </cell>
          <cell r="K178">
            <v>1.7845624401252149E-3</v>
          </cell>
        </row>
        <row r="179">
          <cell r="A179" t="str">
            <v>CELC</v>
          </cell>
          <cell r="B179" t="str">
            <v>VAR_fin</v>
          </cell>
          <cell r="C179" t="str">
            <v>SUP_ELCH2</v>
          </cell>
          <cell r="I179">
            <v>1.487482097976092E-2</v>
          </cell>
          <cell r="J179">
            <v>1.1693331499843064E-2</v>
          </cell>
          <cell r="K179">
            <v>0.13387947391592059</v>
          </cell>
        </row>
        <row r="180">
          <cell r="A180" t="str">
            <v>CELC</v>
          </cell>
          <cell r="B180" t="str">
            <v>VAR_fin</v>
          </cell>
          <cell r="C180" t="str">
            <v>CT_CWODBDS</v>
          </cell>
          <cell r="I180">
            <v>8.0396467671302991E-6</v>
          </cell>
          <cell r="J180">
            <v>6.5465672480257878E-6</v>
          </cell>
          <cell r="K180">
            <v>4.6096157981376469E-6</v>
          </cell>
        </row>
        <row r="181">
          <cell r="A181" t="str">
            <v>CELC</v>
          </cell>
          <cell r="B181" t="str">
            <v>VAR_fin</v>
          </cell>
          <cell r="C181" t="str">
            <v>CT_CWODETH</v>
          </cell>
          <cell r="I181">
            <v>1.3227013850237174E-4</v>
          </cell>
          <cell r="J181">
            <v>6.8325864249645855E-5</v>
          </cell>
          <cell r="K181">
            <v>6.7302639246866758E-5</v>
          </cell>
        </row>
        <row r="182">
          <cell r="A182" t="str">
            <v>SBIO</v>
          </cell>
          <cell r="B182" t="str">
            <v>VAR_fout</v>
          </cell>
          <cell r="C182" t="str">
            <v>D-SBIO</v>
          </cell>
          <cell r="I182">
            <v>2.9905996273823137</v>
          </cell>
          <cell r="J182">
            <v>2.9497597107819153</v>
          </cell>
          <cell r="K182">
            <v>2.8714323122977481</v>
          </cell>
        </row>
        <row r="183">
          <cell r="A183" t="str">
            <v>INGA</v>
          </cell>
          <cell r="B183" t="str">
            <v>VAR_fout</v>
          </cell>
          <cell r="C183" t="str">
            <v>D-INGA</v>
          </cell>
          <cell r="I183">
            <v>31.504957890967265</v>
          </cell>
          <cell r="J183">
            <v>28.502574510294782</v>
          </cell>
          <cell r="K183">
            <v>14.794211126107061</v>
          </cell>
        </row>
        <row r="184">
          <cell r="A184" t="str">
            <v>WSTREN</v>
          </cell>
          <cell r="B184" t="str">
            <v>VAR_fin</v>
          </cell>
          <cell r="C184" t="str">
            <v>D-CWST</v>
          </cell>
          <cell r="I184">
            <v>10.671673061804158</v>
          </cell>
          <cell r="J184">
            <v>10.395330839448347</v>
          </cell>
          <cell r="K184">
            <v>9.842640194527517</v>
          </cell>
        </row>
        <row r="185">
          <cell r="A185" t="str">
            <v>SOLPVC</v>
          </cell>
          <cell r="B185" t="str">
            <v>VAR_fin</v>
          </cell>
          <cell r="C185" t="str">
            <v>ESOL-PV_A</v>
          </cell>
          <cell r="I185">
            <v>0.49004053077578202</v>
          </cell>
          <cell r="J185">
            <v>0.49004211533408398</v>
          </cell>
          <cell r="K185">
            <v>10.7999598807897</v>
          </cell>
        </row>
        <row r="186">
          <cell r="A186" t="str">
            <v>SOLPVC</v>
          </cell>
          <cell r="B186" t="str">
            <v>VAR_fin</v>
          </cell>
          <cell r="C186" t="str">
            <v>ESOL-PV_E</v>
          </cell>
          <cell r="I186">
            <v>3.5301903947924901E-5</v>
          </cell>
          <cell r="J186">
            <v>1.05336184967086E-3</v>
          </cell>
          <cell r="K186">
            <v>1.0559341185150499E-3</v>
          </cell>
        </row>
        <row r="187">
          <cell r="A187"/>
          <cell r="B187"/>
          <cell r="C187"/>
        </row>
        <row r="188">
          <cell r="A188"/>
          <cell r="B188"/>
          <cell r="C188"/>
        </row>
        <row r="189">
          <cell r="A189"/>
          <cell r="B189"/>
          <cell r="C189"/>
        </row>
        <row r="190">
          <cell r="A190"/>
          <cell r="B190"/>
          <cell r="C190"/>
        </row>
        <row r="191">
          <cell r="A191"/>
          <cell r="B191"/>
          <cell r="C191"/>
        </row>
        <row r="192">
          <cell r="A192"/>
          <cell r="B192"/>
          <cell r="C192"/>
        </row>
        <row r="193">
          <cell r="A193"/>
          <cell r="B193"/>
          <cell r="C193"/>
        </row>
        <row r="194">
          <cell r="A194"/>
          <cell r="B194"/>
          <cell r="C194"/>
        </row>
        <row r="195">
          <cell r="A195"/>
          <cell r="B195"/>
          <cell r="C195"/>
        </row>
        <row r="196">
          <cell r="A196"/>
          <cell r="B196"/>
          <cell r="C196"/>
        </row>
        <row r="197">
          <cell r="A197"/>
          <cell r="B197"/>
          <cell r="C197"/>
        </row>
        <row r="198">
          <cell r="A198"/>
          <cell r="B198"/>
          <cell r="C198"/>
        </row>
        <row r="199">
          <cell r="A199"/>
          <cell r="B199"/>
          <cell r="C199"/>
        </row>
        <row r="200">
          <cell r="A200"/>
          <cell r="B200"/>
          <cell r="C200"/>
        </row>
        <row r="201">
          <cell r="A201"/>
          <cell r="B201"/>
          <cell r="C201"/>
        </row>
        <row r="202">
          <cell r="A202"/>
          <cell r="B202"/>
          <cell r="C202"/>
        </row>
        <row r="203">
          <cell r="A203"/>
          <cell r="B203"/>
          <cell r="C203"/>
        </row>
        <row r="204">
          <cell r="A204"/>
          <cell r="B204"/>
          <cell r="C204"/>
        </row>
        <row r="205">
          <cell r="A205"/>
          <cell r="B205"/>
          <cell r="C205"/>
        </row>
        <row r="206">
          <cell r="A206"/>
          <cell r="B206"/>
          <cell r="C206"/>
        </row>
        <row r="207">
          <cell r="A207"/>
          <cell r="B207"/>
          <cell r="C207"/>
        </row>
        <row r="208">
          <cell r="A208"/>
          <cell r="B208"/>
          <cell r="C208"/>
        </row>
        <row r="209">
          <cell r="A209"/>
          <cell r="B209"/>
          <cell r="C209"/>
        </row>
        <row r="210">
          <cell r="A210"/>
          <cell r="B210"/>
          <cell r="C210"/>
        </row>
        <row r="211">
          <cell r="A211"/>
          <cell r="B211"/>
          <cell r="C211"/>
        </row>
        <row r="212">
          <cell r="A212"/>
          <cell r="B212"/>
          <cell r="C212"/>
        </row>
        <row r="213">
          <cell r="A213"/>
          <cell r="B213"/>
          <cell r="C213"/>
        </row>
        <row r="214">
          <cell r="A214"/>
          <cell r="B214"/>
          <cell r="C214"/>
        </row>
        <row r="215">
          <cell r="A215"/>
          <cell r="B215"/>
          <cell r="C215"/>
        </row>
        <row r="216">
          <cell r="A216"/>
          <cell r="B216"/>
          <cell r="C216"/>
        </row>
        <row r="217">
          <cell r="A217"/>
          <cell r="B217"/>
          <cell r="C217"/>
        </row>
        <row r="218">
          <cell r="A218"/>
          <cell r="B218"/>
          <cell r="C218"/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H8">
            <v>0.16095667781245718</v>
          </cell>
          <cell r="I8">
            <v>0.15612240600274341</v>
          </cell>
          <cell r="J8">
            <v>0.14611516129285348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H9">
            <v>3.2923551843469761E-4</v>
          </cell>
          <cell r="I9">
            <v>3.2768725560921935E-4</v>
          </cell>
          <cell r="J9">
            <v>3.3352410621725057E-4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H10">
            <v>2.8538418051854055E-3</v>
          </cell>
          <cell r="I10">
            <v>2.7681277660060915E-3</v>
          </cell>
          <cell r="J10">
            <v>2.5906943491640689E-3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H11">
            <v>5.26572475628231E-6</v>
          </cell>
          <cell r="I11">
            <v>2.9494907266798298E-6</v>
          </cell>
          <cell r="J11">
            <v>6.0251968263380302E-6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H12">
            <v>6.5382983643032998E-6</v>
          </cell>
          <cell r="I12">
            <v>6.5459086456361101E-6</v>
          </cell>
          <cell r="J12">
            <v>6.5427989318117404E-6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H13">
            <v>1.0366466654973296E-3</v>
          </cell>
          <cell r="I13">
            <v>9.1887450102061624E-4</v>
          </cell>
          <cell r="J13">
            <v>5.7870977388453464E-4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H14">
            <v>1.0366466654973296E-3</v>
          </cell>
          <cell r="I14">
            <v>9.1887450102061624E-4</v>
          </cell>
          <cell r="J14">
            <v>5.7870977388453464E-4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H15">
            <v>6.6362927223151001E-5</v>
          </cell>
          <cell r="I15">
            <v>5.9144715061046997E-5</v>
          </cell>
          <cell r="J15">
            <v>4.6055072254379799E-5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H16">
            <v>1.5062037029095097E-4</v>
          </cell>
          <cell r="I16">
            <v>1.3439693344436239E-4</v>
          </cell>
          <cell r="J16">
            <v>8.5777002581102028E-5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H17">
            <v>2.6662049553907702E-4</v>
          </cell>
          <cell r="I17">
            <v>4.0014484059495623E-4</v>
          </cell>
          <cell r="J17">
            <v>2.1587834917657274E-4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H18">
            <v>8.811542610651531E-4</v>
          </cell>
          <cell r="I18">
            <v>1.2794593724487285E-3</v>
          </cell>
          <cell r="J18">
            <v>6.4500944988092493E-4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H19">
            <v>4.3657403554179196E-6</v>
          </cell>
          <cell r="I19">
            <v>5.30885733686749E-6</v>
          </cell>
          <cell r="J19">
            <v>3.5123855049201598E-6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H20">
            <v>5.4162660273081199E-6</v>
          </cell>
          <cell r="I20">
            <v>8.2905982311296493E-6</v>
          </cell>
          <cell r="J20">
            <v>4.44402963940278E-6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H21">
            <v>1.22234675208383E-2</v>
          </cell>
          <cell r="I21">
            <v>3.7976460336512112E-3</v>
          </cell>
          <cell r="J21">
            <v>2.2254488302775894E-3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H22">
            <v>1.22234675208383E-2</v>
          </cell>
          <cell r="I22">
            <v>3.7976460336512112E-3</v>
          </cell>
          <cell r="J22">
            <v>2.2254488302775894E-3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H23">
            <v>2.0323744483101701E-4</v>
          </cell>
          <cell r="I23">
            <v>1.5431969620671301E-4</v>
          </cell>
          <cell r="J23">
            <v>1.15596846971697E-4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H24">
            <v>1.2362576213062375E-3</v>
          </cell>
          <cell r="I24">
            <v>3.624110376481089E-4</v>
          </cell>
          <cell r="J24">
            <v>2.2742971016559576E-4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H25">
            <v>44.958180266608743</v>
          </cell>
          <cell r="I25">
            <v>47.399886997298907</v>
          </cell>
          <cell r="J25">
            <v>46.973266893018362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  <cell r="H26">
            <v>1.5361052105104E-4</v>
          </cell>
          <cell r="I26">
            <v>1.7948977087832601E-4</v>
          </cell>
          <cell r="J26">
            <v>0.281517720129144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H27">
            <v>8.4930330363545004</v>
          </cell>
          <cell r="I27">
            <v>8.1233466355291934</v>
          </cell>
          <cell r="J27">
            <v>8.8976455125720175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H28">
            <v>2.4967153041312944E-3</v>
          </cell>
          <cell r="I28">
            <v>1.9038517850638666E-3</v>
          </cell>
          <cell r="J28">
            <v>9.6928474803225609E-4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H29">
            <v>1.3110155172716825E-2</v>
          </cell>
          <cell r="I29">
            <v>1.6061849864369225E-2</v>
          </cell>
          <cell r="J29">
            <v>4.9928419157875756E-2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H30">
            <v>36.449698927021309</v>
          </cell>
          <cell r="I30">
            <v>39.25876664742411</v>
          </cell>
          <cell r="J30">
            <v>38.306251517757573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H31">
            <v>5.0807660046482299</v>
          </cell>
          <cell r="I31">
            <v>4.5202604060896681</v>
          </cell>
          <cell r="J31">
            <v>3.8336952797980297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H32">
            <v>5.0807660046482299</v>
          </cell>
          <cell r="I32">
            <v>4.5202604060896681</v>
          </cell>
          <cell r="J32">
            <v>3.8336952797980297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H33">
            <v>9.4124205337870595E-2</v>
          </cell>
          <cell r="I33">
            <v>0.12313479161332</v>
          </cell>
          <cell r="J33">
            <v>0.20838116271688201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H34">
            <v>0.34937186176062274</v>
          </cell>
          <cell r="I34">
            <v>0.31081569612506627</v>
          </cell>
          <cell r="J34">
            <v>0.26361263165994936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H35">
            <v>1.0797098518627406E-3</v>
          </cell>
          <cell r="I35">
            <v>9.2286240371595247E-4</v>
          </cell>
          <cell r="J35">
            <v>5.6856243812829698E-4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H36">
            <v>1.0797098518627406E-3</v>
          </cell>
          <cell r="I36">
            <v>9.2286240371595247E-4</v>
          </cell>
          <cell r="J36">
            <v>5.6856243812829698E-4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H37">
            <v>6.91777465803032E-5</v>
          </cell>
          <cell r="I37">
            <v>5.6387064726075303E-5</v>
          </cell>
          <cell r="J37">
            <v>4.5052159281592698E-5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H38">
            <v>1.5723963967423699E-4</v>
          </cell>
          <cell r="I38">
            <v>1.3495081235969343E-4</v>
          </cell>
          <cell r="J38">
            <v>8.4229117724145112E-5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H39">
            <v>2.1334263017942844E-2</v>
          </cell>
          <cell r="I39">
            <v>4.1733831691875417E-3</v>
          </cell>
          <cell r="J39">
            <v>2.3989956773185443E-3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H40">
            <v>2.1334263017942844E-2</v>
          </cell>
          <cell r="I40">
            <v>4.1733831691875417E-3</v>
          </cell>
          <cell r="J40">
            <v>2.3989956773185443E-3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H41">
            <v>1.70617826428598E-4</v>
          </cell>
          <cell r="I41">
            <v>1.4515258977582099E-4</v>
          </cell>
          <cell r="J41">
            <v>1.33959710467115E-4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H42">
            <v>2.155880514010655E-3</v>
          </cell>
          <cell r="I42">
            <v>3.4680899054344403E-4</v>
          </cell>
          <cell r="J42">
            <v>2.3032358643383638E-4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H43">
            <v>4.1255359252277803E-3</v>
          </cell>
          <cell r="I43">
            <v>4.2064463919850945E-3</v>
          </cell>
          <cell r="J43">
            <v>2.2573771461595099E-3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H44">
            <v>4.1255359252277803E-3</v>
          </cell>
          <cell r="I44">
            <v>4.2064463919850945E-3</v>
          </cell>
          <cell r="J44">
            <v>2.2573771461595099E-3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H45">
            <v>2.5257409073065903E-4</v>
          </cell>
          <cell r="I45">
            <v>1.4271951263099801E-4</v>
          </cell>
          <cell r="J45">
            <v>1.1179224537982899E-4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H46">
            <v>4.0280198997621531E-4</v>
          </cell>
          <cell r="I46">
            <v>4.0097295422596158E-4</v>
          </cell>
          <cell r="J46">
            <v>2.3063257295223241E-4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H47">
            <v>0.23259804492562927</v>
          </cell>
          <cell r="I47">
            <v>0.24502209480175866</v>
          </cell>
          <cell r="J47">
            <v>0.2633967756800723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H48">
            <v>9.2102053769306007</v>
          </cell>
          <cell r="I48">
            <v>9.709181617434183</v>
          </cell>
          <cell r="J48">
            <v>10.452417706014934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H49">
            <v>1.3344085393162999E-4</v>
          </cell>
          <cell r="I49">
            <v>1.3344134582260901E-4</v>
          </cell>
          <cell r="J49">
            <v>1.28032255604395E-3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H50">
            <v>2.4975236979751471E-3</v>
          </cell>
          <cell r="I50">
            <v>2.6309650437977561E-3</v>
          </cell>
          <cell r="J50">
            <v>2.8282531307733099E-3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H51">
            <v>8.7482642191781217</v>
          </cell>
          <cell r="I51">
            <v>9.1800488946479817</v>
          </cell>
          <cell r="J51">
            <v>8.2889748042129714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H52">
            <v>8.7482642191781217</v>
          </cell>
          <cell r="I52">
            <v>9.1800488946479817</v>
          </cell>
          <cell r="J52">
            <v>8.2889748042129714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H53">
            <v>0.41983841220651502</v>
          </cell>
          <cell r="I53">
            <v>0.201832181248052</v>
          </cell>
          <cell r="J53">
            <v>0.42540622105027898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H54">
            <v>0.60153195789238445</v>
          </cell>
          <cell r="I54">
            <v>0.63120815129577246</v>
          </cell>
          <cell r="J54">
            <v>0.56994383297417195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H55">
            <v>6.0423464440396745E-3</v>
          </cell>
          <cell r="I55">
            <v>4.4879164862989098E-3</v>
          </cell>
          <cell r="J55">
            <v>2.4211878038499965E-3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H56">
            <v>6.0423464440396745E-3</v>
          </cell>
          <cell r="I56">
            <v>4.4879164862989098E-3</v>
          </cell>
          <cell r="J56">
            <v>2.4211878038499965E-3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H57">
            <v>1.9644463557706699E-4</v>
          </cell>
          <cell r="I57">
            <v>1.39464234909985E-4</v>
          </cell>
          <cell r="J57">
            <v>1.28883540016709E-4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H58">
            <v>5.6784878689446119E-4</v>
          </cell>
          <cell r="I58">
            <v>3.7144224287658146E-4</v>
          </cell>
          <cell r="J58">
            <v>2.2956192396572964E-4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H62">
            <v>5.239009342752702E-9</v>
          </cell>
          <cell r="I62">
            <v>3.11822230750244E-9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H63">
            <v>7.7432349748950331E-4</v>
          </cell>
          <cell r="I63">
            <v>5.997222284672717E-4</v>
          </cell>
          <cell r="J63">
            <v>2.8103230262364036E-4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H64">
            <v>7.7851933266017762E-2</v>
          </cell>
          <cell r="I64">
            <v>5.8425352055495407E-2</v>
          </cell>
          <cell r="J64">
            <v>2.5155267417655572E-2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H65">
            <v>1.0549042447969891E-3</v>
          </cell>
          <cell r="I65">
            <v>7.9167143706633286E-4</v>
          </cell>
          <cell r="J65">
            <v>3.4085728208205359E-4</v>
          </cell>
        </row>
        <row r="66">
          <cell r="A66" t="str">
            <v>T_B_u-FCLH2O-S2</v>
          </cell>
          <cell r="B66" t="str">
            <v>VAR_ncap</v>
          </cell>
          <cell r="C66" t="str">
            <v>-</v>
          </cell>
        </row>
        <row r="67">
          <cell r="A67" t="str">
            <v>T_B_u-FCLH2O-S2</v>
          </cell>
          <cell r="B67" t="str">
            <v>VAR_cap</v>
          </cell>
          <cell r="C67" t="str">
            <v>-</v>
          </cell>
          <cell r="H67">
            <v>1.01958345510272E-8</v>
          </cell>
          <cell r="I67">
            <v>1.80590582492961E-9</v>
          </cell>
        </row>
        <row r="68">
          <cell r="A68" t="str">
            <v>T-Plg-GSL-mix_S2</v>
          </cell>
          <cell r="B68" t="str">
            <v>VAR_fout</v>
          </cell>
          <cell r="C68" t="str">
            <v>CO2_T</v>
          </cell>
          <cell r="H68">
            <v>1.0467333729619051</v>
          </cell>
          <cell r="I68">
            <v>0.268294401163788</v>
          </cell>
          <cell r="J68">
            <v>9.9607348226671111E-2</v>
          </cell>
        </row>
        <row r="69">
          <cell r="A69" t="str">
            <v>T-Plg-GSL-mix_S2</v>
          </cell>
          <cell r="B69" t="str">
            <v>VAR_fout</v>
          </cell>
          <cell r="C69" t="str">
            <v>T-PEVmix-ELC_GSL_S2</v>
          </cell>
          <cell r="H69">
            <v>8.6228525414638064E-3</v>
          </cell>
          <cell r="I69">
            <v>2.2890450993717716E-3</v>
          </cell>
          <cell r="J69">
            <v>9.49335679676738E-4</v>
          </cell>
        </row>
        <row r="70">
          <cell r="A70" t="str">
            <v>T-Plg-GSL-mix_S2</v>
          </cell>
          <cell r="B70" t="str">
            <v>VAR_fin</v>
          </cell>
          <cell r="C70" t="str">
            <v>TGSL</v>
          </cell>
          <cell r="H70">
            <v>1.4183379037424195E-2</v>
          </cell>
          <cell r="I70">
            <v>3.6354254900242246E-3</v>
          </cell>
          <cell r="J70">
            <v>1.3496930654020467E-3</v>
          </cell>
        </row>
        <row r="71">
          <cell r="A71" t="str">
            <v>T-PHEV-STG_S1</v>
          </cell>
          <cell r="B71" t="str">
            <v>VAR_fout</v>
          </cell>
          <cell r="C71" t="str">
            <v>T-ELC-car-PlgSTGAUXout_S1</v>
          </cell>
          <cell r="H71">
            <v>1.1168328349555744E-3</v>
          </cell>
          <cell r="I71">
            <v>1.3611223895488105E-3</v>
          </cell>
          <cell r="J71">
            <v>1.2435052140089254E-3</v>
          </cell>
        </row>
        <row r="72">
          <cell r="A72" t="str">
            <v>T-PHEV-STG_S1</v>
          </cell>
          <cell r="B72" t="str">
            <v>VAR_fout</v>
          </cell>
          <cell r="C72" t="str">
            <v>T-ELC-car-PlgSTGOut_S1</v>
          </cell>
          <cell r="H72">
            <v>1.1168328349555742E-3</v>
          </cell>
          <cell r="I72">
            <v>1.3611223895488103E-3</v>
          </cell>
          <cell r="J72">
            <v>1.2435052140089254E-3</v>
          </cell>
        </row>
        <row r="73">
          <cell r="A73" t="str">
            <v>T-PHEV-STG_S1</v>
          </cell>
          <cell r="B73" t="str">
            <v>VAR_fin</v>
          </cell>
          <cell r="C73" t="str">
            <v>T-ELC-car-PlgSTGAUXin_S1</v>
          </cell>
          <cell r="H73">
            <v>1.1185377357086194E-3</v>
          </cell>
          <cell r="I73">
            <v>1.3614607196070899E-3</v>
          </cell>
          <cell r="J73">
            <v>1.2444221088910279E-3</v>
          </cell>
        </row>
        <row r="74">
          <cell r="A74" t="str">
            <v>T-PHEV-STG_S1</v>
          </cell>
          <cell r="B74" t="str">
            <v>VAR_fin</v>
          </cell>
          <cell r="C74" t="str">
            <v>T-ELC-car-PlgSTGin_S1</v>
          </cell>
          <cell r="H74">
            <v>1.1185377357086194E-3</v>
          </cell>
          <cell r="I74">
            <v>1.3614607196070899E-3</v>
          </cell>
          <cell r="J74">
            <v>1.2444221088910279E-3</v>
          </cell>
        </row>
        <row r="75">
          <cell r="A75" t="str">
            <v>T-PHEV-STG_S1</v>
          </cell>
          <cell r="B75" t="str">
            <v>VAR_ncap</v>
          </cell>
          <cell r="C75" t="str">
            <v>-</v>
          </cell>
          <cell r="H75">
            <v>5.9845004777956297E-3</v>
          </cell>
          <cell r="I75">
            <v>4.9830607705917702E-3</v>
          </cell>
          <cell r="J75">
            <v>3.76131739823356E-3</v>
          </cell>
        </row>
        <row r="76">
          <cell r="A76" t="str">
            <v>T-PHEV-STG_S1</v>
          </cell>
          <cell r="B76" t="str">
            <v>VAR_cap</v>
          </cell>
          <cell r="C76" t="str">
            <v>-</v>
          </cell>
          <cell r="H76">
            <v>1.7515490063944737E-2</v>
          </cell>
          <cell r="I76">
            <v>1.4424567812916723E-2</v>
          </cell>
          <cell r="J76">
            <v>9.9014132381472567E-3</v>
          </cell>
        </row>
        <row r="77">
          <cell r="A77" t="str">
            <v>T-Plg-GSL-mix_S3</v>
          </cell>
          <cell r="B77" t="str">
            <v>VAR_fout</v>
          </cell>
          <cell r="C77" t="str">
            <v>CO2_T</v>
          </cell>
          <cell r="H77">
            <v>411.86261939676046</v>
          </cell>
          <cell r="I77">
            <v>284.42036765508504</v>
          </cell>
          <cell r="J77">
            <v>139.8230973837552</v>
          </cell>
        </row>
        <row r="78">
          <cell r="A78" t="str">
            <v>T-Plg-GSL-mix_S3</v>
          </cell>
          <cell r="B78" t="str">
            <v>VAR_fout</v>
          </cell>
          <cell r="C78" t="str">
            <v>T-PEVmix-ELC_GSL_S3</v>
          </cell>
          <cell r="H78">
            <v>3.2255536311498951</v>
          </cell>
          <cell r="I78">
            <v>2.3527351535786298</v>
          </cell>
          <cell r="J78">
            <v>1.2970632235193487</v>
          </cell>
        </row>
        <row r="79">
          <cell r="A79" t="str">
            <v>T-Plg-GSL-mix_S3</v>
          </cell>
          <cell r="B79" t="str">
            <v>VAR_fin</v>
          </cell>
          <cell r="C79" t="str">
            <v>TGSL</v>
          </cell>
          <cell r="H79">
            <v>5.5807943007691199</v>
          </cell>
          <cell r="I79">
            <v>3.8539345210716069</v>
          </cell>
          <cell r="J79">
            <v>1.8946219157690349</v>
          </cell>
        </row>
        <row r="80">
          <cell r="A80" t="str">
            <v>T_B_u-FCLH2O-S4</v>
          </cell>
          <cell r="B80" t="str">
            <v>VAR_cap</v>
          </cell>
          <cell r="C80" t="str">
            <v>-</v>
          </cell>
          <cell r="J80">
            <v>-2.3114259667163401E-9</v>
          </cell>
        </row>
        <row r="81">
          <cell r="A81" t="str">
            <v>T-PHEV-STG_S2</v>
          </cell>
          <cell r="B81" t="str">
            <v>VAR_fout</v>
          </cell>
          <cell r="C81" t="str">
            <v>T-ELC-car-PlgSTGAUXout_S2</v>
          </cell>
          <cell r="H81">
            <v>3.4807290236015718E-3</v>
          </cell>
          <cell r="I81">
            <v>2.4590025058984452E-3</v>
          </cell>
          <cell r="J81">
            <v>1.8772193221123518E-3</v>
          </cell>
        </row>
        <row r="82">
          <cell r="A82" t="str">
            <v>T-PHEV-STG_S2</v>
          </cell>
          <cell r="B82" t="str">
            <v>VAR_fout</v>
          </cell>
          <cell r="C82" t="str">
            <v>T-ELC-car-PlgSTGOut_S2</v>
          </cell>
          <cell r="H82">
            <v>3.4807290236015709E-3</v>
          </cell>
          <cell r="I82">
            <v>2.4590025058984452E-3</v>
          </cell>
          <cell r="J82">
            <v>1.8772193221123512E-3</v>
          </cell>
        </row>
        <row r="83">
          <cell r="A83" t="str">
            <v>T-PHEV-STG_S2</v>
          </cell>
          <cell r="B83" t="str">
            <v>VAR_fin</v>
          </cell>
          <cell r="C83" t="str">
            <v>T-ELC-car-PlgSTGAUXin_S2</v>
          </cell>
          <cell r="H83">
            <v>3.4818018094784713E-3</v>
          </cell>
          <cell r="I83">
            <v>2.4596596245310869E-3</v>
          </cell>
          <cell r="J83">
            <v>1.8780950999516424E-3</v>
          </cell>
        </row>
        <row r="84">
          <cell r="A84" t="str">
            <v>T-PHEV-STG_S2</v>
          </cell>
          <cell r="B84" t="str">
            <v>VAR_fin</v>
          </cell>
          <cell r="C84" t="str">
            <v>T-ELC-car-PlgSTGin_S2</v>
          </cell>
          <cell r="H84">
            <v>3.4818018094784713E-3</v>
          </cell>
          <cell r="I84">
            <v>2.4596596245310869E-3</v>
          </cell>
          <cell r="J84">
            <v>1.8780950999516424E-3</v>
          </cell>
        </row>
        <row r="85">
          <cell r="A85" t="str">
            <v>T-PHEV-STG_S2</v>
          </cell>
          <cell r="B85" t="str">
            <v>VAR_ncap</v>
          </cell>
          <cell r="C85" t="str">
            <v>-</v>
          </cell>
          <cell r="H85">
            <v>1.6330776509569801E-2</v>
          </cell>
          <cell r="I85">
            <v>1.16341534326253E-2</v>
          </cell>
          <cell r="J85">
            <v>7.5966553859227199E-3</v>
          </cell>
        </row>
        <row r="86">
          <cell r="A86" t="str">
            <v>T-PHEV-STG_S2</v>
          </cell>
          <cell r="B86" t="str">
            <v>VAR_cap</v>
          </cell>
          <cell r="C86" t="str">
            <v>-</v>
          </cell>
          <cell r="H86">
            <v>7.1656757871474491E-2</v>
          </cell>
          <cell r="I86">
            <v>4.5439691606091265E-2</v>
          </cell>
          <cell r="J86">
            <v>2.293087118573077E-2</v>
          </cell>
        </row>
        <row r="87">
          <cell r="A87" t="str">
            <v>T-Plg-GSL-mix_S4</v>
          </cell>
          <cell r="B87" t="str">
            <v>VAR_fout</v>
          </cell>
          <cell r="C87" t="str">
            <v>CO2_T</v>
          </cell>
          <cell r="H87">
            <v>1.9345911397322562</v>
          </cell>
          <cell r="I87">
            <v>0.30388345586675258</v>
          </cell>
          <cell r="J87">
            <v>0.10660711553389601</v>
          </cell>
        </row>
        <row r="88">
          <cell r="A88" t="str">
            <v>T-Plg-GSL-mix_S4</v>
          </cell>
          <cell r="B88" t="str">
            <v>VAR_fout</v>
          </cell>
          <cell r="C88" t="str">
            <v>T-PEVmix-ELC_GSL_S4</v>
          </cell>
          <cell r="H88">
            <v>1.4027731794094686E-2</v>
          </cell>
          <cell r="I88">
            <v>2.2902100980582677E-3</v>
          </cell>
          <cell r="J88">
            <v>8.9114627575018657E-4</v>
          </cell>
        </row>
        <row r="89">
          <cell r="A89" t="str">
            <v>T-Plg-GSL-mix_S4</v>
          </cell>
          <cell r="B89" t="str">
            <v>VAR_fin</v>
          </cell>
          <cell r="C89" t="str">
            <v>TGSL</v>
          </cell>
          <cell r="H89">
            <v>2.6213972083092844E-2</v>
          </cell>
          <cell r="I89">
            <v>4.1176620036145299E-3</v>
          </cell>
          <cell r="J89">
            <v>1.4445408608928991E-3</v>
          </cell>
        </row>
        <row r="90">
          <cell r="A90" t="str">
            <v>T-PHEV-STG_S3</v>
          </cell>
          <cell r="B90" t="str">
            <v>VAR_fout</v>
          </cell>
          <cell r="C90" t="str">
            <v>T-ELC-car-PlgSTGAUXout_S3</v>
          </cell>
          <cell r="H90">
            <v>3.4346081371056068</v>
          </cell>
          <cell r="I90">
            <v>4.2698545598487225</v>
          </cell>
          <cell r="J90">
            <v>4.7555473176281167</v>
          </cell>
        </row>
        <row r="91">
          <cell r="A91" t="str">
            <v>T-PHEV-STG_S3</v>
          </cell>
          <cell r="B91" t="str">
            <v>VAR_fout</v>
          </cell>
          <cell r="C91" t="str">
            <v>T-ELC-car-PlgSTGOut_S3</v>
          </cell>
          <cell r="H91">
            <v>3.4346081371056068</v>
          </cell>
          <cell r="I91">
            <v>4.2698545598487216</v>
          </cell>
          <cell r="J91">
            <v>4.7555473176281167</v>
          </cell>
        </row>
        <row r="92">
          <cell r="A92" t="str">
            <v>T-PHEV-STG_S3</v>
          </cell>
          <cell r="B92" t="str">
            <v>VAR_fin</v>
          </cell>
          <cell r="C92" t="str">
            <v>T-ELC-car-PlgSTGAUXin_S3</v>
          </cell>
          <cell r="H92">
            <v>3.43495271792853</v>
          </cell>
          <cell r="I92">
            <v>4.2702817508551894</v>
          </cell>
          <cell r="J92">
            <v>4.7560232510462619</v>
          </cell>
        </row>
        <row r="93">
          <cell r="A93" t="str">
            <v>T-PHEV-STG_S3</v>
          </cell>
          <cell r="B93" t="str">
            <v>VAR_fin</v>
          </cell>
          <cell r="C93" t="str">
            <v>T-ELC-car-PlgSTGin_S3</v>
          </cell>
          <cell r="H93">
            <v>3.43495271792853</v>
          </cell>
          <cell r="I93">
            <v>4.2702817508551894</v>
          </cell>
          <cell r="J93">
            <v>4.7560232510462619</v>
          </cell>
        </row>
        <row r="94">
          <cell r="A94" t="str">
            <v>T-PHEV-STG_S3</v>
          </cell>
          <cell r="B94" t="str">
            <v>VAR_ncap</v>
          </cell>
          <cell r="C94" t="str">
            <v>-</v>
          </cell>
          <cell r="H94">
            <v>43.049937079109498</v>
          </cell>
          <cell r="I94">
            <v>26.5985542343338</v>
          </cell>
          <cell r="J94">
            <v>49.542991642984497</v>
          </cell>
        </row>
        <row r="95">
          <cell r="A95" t="str">
            <v>T-PHEV-STG_S3</v>
          </cell>
          <cell r="B95" t="str">
            <v>VAR_cap</v>
          </cell>
          <cell r="C95" t="str">
            <v>-</v>
          </cell>
          <cell r="H95">
            <v>67.305809494456597</v>
          </cell>
          <cell r="I95">
            <v>60.476888064422603</v>
          </cell>
          <cell r="J95">
            <v>63.806091573128299</v>
          </cell>
        </row>
        <row r="96">
          <cell r="A96" t="str">
            <v>TFLGV-HYBDSL</v>
          </cell>
          <cell r="B96" t="str">
            <v>VAR_fout</v>
          </cell>
          <cell r="C96" t="str">
            <v>CO2_T</v>
          </cell>
          <cell r="H96">
            <v>334.33459946670439</v>
          </cell>
          <cell r="I96">
            <v>221.5897302385317</v>
          </cell>
          <cell r="J96">
            <v>250.81079870021387</v>
          </cell>
        </row>
        <row r="97">
          <cell r="A97" t="str">
            <v>TFLGV-HYBDSL</v>
          </cell>
          <cell r="B97" t="str">
            <v>VAR_fout</v>
          </cell>
          <cell r="C97" t="str">
            <v>TFLGV</v>
          </cell>
          <cell r="H97">
            <v>2.1016445911965635</v>
          </cell>
          <cell r="I97">
            <v>1.3929245096479832</v>
          </cell>
          <cell r="J97">
            <v>1.576609657937863</v>
          </cell>
        </row>
        <row r="98">
          <cell r="A98" t="str">
            <v>TFLGV-HYBDSL</v>
          </cell>
          <cell r="B98" t="str">
            <v>VAR_fin</v>
          </cell>
          <cell r="C98" t="str">
            <v>TDSL</v>
          </cell>
          <cell r="H98">
            <v>4.561181438836349</v>
          </cell>
          <cell r="I98">
            <v>3.0230522542773737</v>
          </cell>
          <cell r="J98">
            <v>3.4217025743548932</v>
          </cell>
        </row>
        <row r="99">
          <cell r="A99" t="str">
            <v>TFLGV-HYBDSL</v>
          </cell>
          <cell r="B99" t="str">
            <v>VAR_ncap</v>
          </cell>
          <cell r="C99" t="str">
            <v>-</v>
          </cell>
          <cell r="H99">
            <v>9.1215469672821403E-2</v>
          </cell>
          <cell r="I99">
            <v>3.0677319912189199E-5</v>
          </cell>
          <cell r="J99">
            <v>0.10850388994144899</v>
          </cell>
        </row>
        <row r="100">
          <cell r="A100" t="str">
            <v>TFLGV-HYBDSL</v>
          </cell>
          <cell r="B100" t="str">
            <v>VAR_cap</v>
          </cell>
          <cell r="C100" t="str">
            <v>-</v>
          </cell>
          <cell r="H100">
            <v>0.20785586812370452</v>
          </cell>
          <cell r="I100">
            <v>0.10831732452465892</v>
          </cell>
          <cell r="J100">
            <v>0.12452654827556615</v>
          </cell>
        </row>
        <row r="101">
          <cell r="A101" t="str">
            <v>TFHGV-FCLH2O</v>
          </cell>
          <cell r="B101" t="str">
            <v>VAR_fout</v>
          </cell>
          <cell r="C101" t="str">
            <v>TFHGV</v>
          </cell>
          <cell r="H101">
            <v>1.9542623692184806E-5</v>
          </cell>
          <cell r="I101">
            <v>1.9274562805678992E-5</v>
          </cell>
          <cell r="J101">
            <v>1.8417155315076376E-5</v>
          </cell>
        </row>
        <row r="102">
          <cell r="A102" t="str">
            <v>TFHGV-FCLH2O</v>
          </cell>
          <cell r="B102" t="str">
            <v>VAR_fin</v>
          </cell>
          <cell r="C102" t="str">
            <v>TH2O</v>
          </cell>
          <cell r="H102">
            <v>1.0059284844851591E-4</v>
          </cell>
          <cell r="I102">
            <v>9.6681533734586982E-5</v>
          </cell>
          <cell r="J102">
            <v>8.4680575103465822E-5</v>
          </cell>
        </row>
        <row r="103">
          <cell r="A103" t="str">
            <v>TFHGV-FCLH2O</v>
          </cell>
          <cell r="B103" t="str">
            <v>VAR_ncap</v>
          </cell>
          <cell r="C103" t="str">
            <v>-</v>
          </cell>
          <cell r="H103">
            <v>3.95807862768293E-7</v>
          </cell>
          <cell r="I103">
            <v>2.27459934978508E-7</v>
          </cell>
          <cell r="J103">
            <v>3.66644895629158E-7</v>
          </cell>
        </row>
        <row r="104">
          <cell r="A104" t="str">
            <v>TFHGV-FCLH2O</v>
          </cell>
          <cell r="B104" t="str">
            <v>VAR_cap</v>
          </cell>
          <cell r="C104" t="str">
            <v>-</v>
          </cell>
          <cell r="H104">
            <v>4.26576452255326E-7</v>
          </cell>
          <cell r="I104">
            <v>4.1655909476509909E-7</v>
          </cell>
          <cell r="J104">
            <v>4.0656152943675702E-7</v>
          </cell>
        </row>
        <row r="105">
          <cell r="A105" t="str">
            <v>T-PHEV-STG_S4</v>
          </cell>
          <cell r="B105" t="str">
            <v>VAR_fout</v>
          </cell>
          <cell r="C105" t="str">
            <v>T-ELC-car-PlgSTGAUXout_S4</v>
          </cell>
          <cell r="H105">
            <v>7.4638948487224807E-3</v>
          </cell>
          <cell r="I105">
            <v>4.7121464317727655E-3</v>
          </cell>
          <cell r="J105">
            <v>4.7474437017689854E-3</v>
          </cell>
        </row>
        <row r="106">
          <cell r="A106" t="str">
            <v>T-PHEV-STG_S4</v>
          </cell>
          <cell r="B106" t="str">
            <v>VAR_fout</v>
          </cell>
          <cell r="C106" t="str">
            <v>T-ELC-car-PlgSTGOut_S4</v>
          </cell>
          <cell r="H106">
            <v>7.463894848722479E-3</v>
          </cell>
          <cell r="I106">
            <v>4.7121464317727655E-3</v>
          </cell>
          <cell r="J106">
            <v>4.7474437017689854E-3</v>
          </cell>
        </row>
        <row r="107">
          <cell r="A107" t="str">
            <v>T-PHEV-STG_S4</v>
          </cell>
          <cell r="B107" t="str">
            <v>VAR_fin</v>
          </cell>
          <cell r="C107" t="str">
            <v>T-ELC-car-PlgSTGAUXin_S4</v>
          </cell>
          <cell r="H107">
            <v>7.4657378296259461E-3</v>
          </cell>
          <cell r="I107">
            <v>4.7133993688648476E-3</v>
          </cell>
          <cell r="J107">
            <v>4.7482441916696155E-3</v>
          </cell>
        </row>
        <row r="108">
          <cell r="A108" t="str">
            <v>T-PHEV-STG_S4</v>
          </cell>
          <cell r="B108" t="str">
            <v>VAR_fin</v>
          </cell>
          <cell r="C108" t="str">
            <v>T-ELC-car-PlgSTGin_S4</v>
          </cell>
          <cell r="H108">
            <v>7.4657378296259461E-3</v>
          </cell>
          <cell r="I108">
            <v>4.7133993688648476E-3</v>
          </cell>
          <cell r="J108">
            <v>4.7482441916696155E-3</v>
          </cell>
        </row>
        <row r="109">
          <cell r="A109" t="str">
            <v>T-PHEV-STG_S4</v>
          </cell>
          <cell r="B109" t="str">
            <v>VAR_ncap</v>
          </cell>
          <cell r="C109" t="str">
            <v>-</v>
          </cell>
          <cell r="H109">
            <v>3.1231371182006799E-2</v>
          </cell>
          <cell r="I109">
            <v>2.3533765615312899E-2</v>
          </cell>
          <cell r="J109">
            <v>2.0755789773944301E-2</v>
          </cell>
        </row>
        <row r="110">
          <cell r="A110" t="str">
            <v>T-PHEV-STG_S4</v>
          </cell>
          <cell r="B110" t="str">
            <v>VAR_cap</v>
          </cell>
          <cell r="C110" t="str">
            <v>-</v>
          </cell>
          <cell r="H110">
            <v>9.6856169955354912E-2</v>
          </cell>
          <cell r="I110">
            <v>7.6158569756726274E-2</v>
          </cell>
          <cell r="J110">
            <v>5.0992207533506875E-2</v>
          </cell>
        </row>
        <row r="111">
          <cell r="A111" t="str">
            <v>TFLGV-ICEGSLExt</v>
          </cell>
          <cell r="B111" t="str">
            <v>VAR_fout</v>
          </cell>
          <cell r="C111" t="str">
            <v>CO2_T</v>
          </cell>
        </row>
        <row r="112">
          <cell r="A112" t="str">
            <v>TFLGV-ICEGSLExt</v>
          </cell>
          <cell r="B112" t="str">
            <v>VAR_fout</v>
          </cell>
          <cell r="C112" t="str">
            <v>TFLGV</v>
          </cell>
        </row>
        <row r="113">
          <cell r="A113" t="str">
            <v>TFLGV-ICEGSLExt</v>
          </cell>
          <cell r="B113" t="str">
            <v>VAR_fin</v>
          </cell>
          <cell r="C113" t="str">
            <v>TGSL</v>
          </cell>
        </row>
        <row r="114">
          <cell r="A114" t="str">
            <v>TFLGV-ICEGSLExt</v>
          </cell>
          <cell r="B114" t="str">
            <v>VAR_cap</v>
          </cell>
          <cell r="C114" t="str">
            <v>-</v>
          </cell>
        </row>
        <row r="115">
          <cell r="A115" t="str">
            <v>TFRLFELCEXT</v>
          </cell>
          <cell r="B115" t="str">
            <v>VAR_fout</v>
          </cell>
          <cell r="C115" t="str">
            <v>TFRLF</v>
          </cell>
          <cell r="H115">
            <v>3.3097173182455447E-2</v>
          </cell>
          <cell r="I115">
            <v>3.3878253510595348E-2</v>
          </cell>
          <cell r="J115">
            <v>3.6421771700777664E-2</v>
          </cell>
        </row>
        <row r="116">
          <cell r="A116" t="str">
            <v>TFRLFELCEXT</v>
          </cell>
          <cell r="B116" t="str">
            <v>VAR_fin</v>
          </cell>
          <cell r="C116" t="str">
            <v>TELC</v>
          </cell>
          <cell r="H116">
            <v>1.9813882509166827</v>
          </cell>
          <cell r="I116">
            <v>2.0281482378396412</v>
          </cell>
          <cell r="J116">
            <v>2.1804179507313637</v>
          </cell>
        </row>
        <row r="117">
          <cell r="A117" t="str">
            <v>TFRLFELCEXT</v>
          </cell>
          <cell r="B117" t="str">
            <v>VAR_ncap</v>
          </cell>
          <cell r="C117" t="str">
            <v>-</v>
          </cell>
          <cell r="H117">
            <v>1.3424535036613301E-4</v>
          </cell>
          <cell r="I117">
            <v>7.2101261487629502E-5</v>
          </cell>
          <cell r="J117">
            <v>1.4957968860901899E-3</v>
          </cell>
        </row>
        <row r="118">
          <cell r="A118" t="str">
            <v>TFRLFELCEXT</v>
          </cell>
          <cell r="B118" t="str">
            <v>VAR_cap</v>
          </cell>
          <cell r="C118" t="str">
            <v>-</v>
          </cell>
          <cell r="H118">
            <v>3.0554735696877197E-3</v>
          </cell>
          <cell r="I118">
            <v>3.1275748311753488E-3</v>
          </cell>
          <cell r="J118">
            <v>3.3623732487387597E-3</v>
          </cell>
        </row>
        <row r="119">
          <cell r="A119" t="str">
            <v>TFLGV-ICEDSLExt</v>
          </cell>
          <cell r="B119" t="str">
            <v>VAR_fout</v>
          </cell>
          <cell r="C119" t="str">
            <v>CO2_T</v>
          </cell>
        </row>
        <row r="120">
          <cell r="A120" t="str">
            <v>TFLGV-ICEDSLExt</v>
          </cell>
          <cell r="B120" t="str">
            <v>VAR_fout</v>
          </cell>
          <cell r="C120" t="str">
            <v>TFLGV</v>
          </cell>
        </row>
        <row r="121">
          <cell r="A121" t="str">
            <v>TFLGV-ICEDSLExt</v>
          </cell>
          <cell r="B121" t="str">
            <v>VAR_fin</v>
          </cell>
          <cell r="C121" t="str">
            <v>TDSL</v>
          </cell>
        </row>
        <row r="122">
          <cell r="A122" t="str">
            <v>TFLGV-ICEDSLExt</v>
          </cell>
          <cell r="B122" t="str">
            <v>VAR_cap</v>
          </cell>
          <cell r="C122" t="str">
            <v>-</v>
          </cell>
        </row>
        <row r="123">
          <cell r="A123" t="str">
            <v>T_C-ICE-NGA-S1</v>
          </cell>
          <cell r="B123" t="str">
            <v>VAR_fout</v>
          </cell>
          <cell r="C123" t="str">
            <v>CO2_T</v>
          </cell>
          <cell r="H123">
            <v>6.0915671584873144E-3</v>
          </cell>
          <cell r="I123">
            <v>4.3911076318505571E-3</v>
          </cell>
          <cell r="J123">
            <v>2.9747074863191022E-3</v>
          </cell>
        </row>
        <row r="124">
          <cell r="A124" t="str">
            <v>T_C-ICE-NGA-S1</v>
          </cell>
          <cell r="B124" t="str">
            <v>VAR_fout</v>
          </cell>
          <cell r="C124" t="str">
            <v>TPCAR</v>
          </cell>
          <cell r="H124">
            <v>6.5264670228880388E-5</v>
          </cell>
          <cell r="I124">
            <v>4.8977805848033487E-5</v>
          </cell>
          <cell r="J124">
            <v>3.7278259610347621E-5</v>
          </cell>
        </row>
        <row r="125">
          <cell r="A125" t="str">
            <v>T_C-ICE-NGA-S1</v>
          </cell>
          <cell r="B125" t="str">
            <v>VAR_fin</v>
          </cell>
          <cell r="C125" t="str">
            <v>TNGA</v>
          </cell>
          <cell r="H125">
            <v>1.0800650990225746E-4</v>
          </cell>
          <cell r="I125">
            <v>7.7856518295222571E-5</v>
          </cell>
          <cell r="J125">
            <v>5.2743040537572695E-5</v>
          </cell>
        </row>
        <row r="126">
          <cell r="A126" t="str">
            <v>T_C-ICE-NGA-S1</v>
          </cell>
          <cell r="B126" t="str">
            <v>VAR_ncap</v>
          </cell>
          <cell r="C126" t="str">
            <v>-</v>
          </cell>
          <cell r="H126">
            <v>5.0843461350881498E-6</v>
          </cell>
          <cell r="I126">
            <v>2.8066988242950598E-6</v>
          </cell>
          <cell r="J126">
            <v>3.0381714887872598E-6</v>
          </cell>
        </row>
        <row r="127">
          <cell r="A127" t="str">
            <v>T_C-ICE-NGA-S1</v>
          </cell>
          <cell r="B127" t="str">
            <v>VAR_cap</v>
          </cell>
          <cell r="C127" t="str">
            <v>-</v>
          </cell>
          <cell r="H127">
            <v>8.7826640501673403E-6</v>
          </cell>
          <cell r="I127">
            <v>6.5416566575329E-6</v>
          </cell>
          <cell r="J127">
            <v>5.0225841378619851E-6</v>
          </cell>
        </row>
        <row r="128">
          <cell r="A128" t="str">
            <v>D-T-ELC-car</v>
          </cell>
          <cell r="B128" t="str">
            <v>VAR_fout</v>
          </cell>
          <cell r="C128" t="str">
            <v>T-ELC-car</v>
          </cell>
          <cell r="H128">
            <v>28.618549286300244</v>
          </cell>
          <cell r="I128">
            <v>28.816735234249478</v>
          </cell>
          <cell r="J128">
            <v>27.248951195051376</v>
          </cell>
        </row>
        <row r="129">
          <cell r="A129" t="str">
            <v>D-T-ELC-car</v>
          </cell>
          <cell r="B129" t="str">
            <v>VAR_fin</v>
          </cell>
          <cell r="C129" t="str">
            <v>TELC</v>
          </cell>
          <cell r="H129">
            <v>28.618549286300244</v>
          </cell>
          <cell r="I129">
            <v>28.816735234249478</v>
          </cell>
          <cell r="J129">
            <v>27.248951195051376</v>
          </cell>
        </row>
        <row r="130">
          <cell r="A130" t="str">
            <v>D-T-ELC-car</v>
          </cell>
          <cell r="B130" t="str">
            <v>VAR_ncap</v>
          </cell>
          <cell r="C130" t="str">
            <v>-</v>
          </cell>
          <cell r="H130">
            <v>10.712827094656699</v>
          </cell>
          <cell r="I130">
            <v>6.6790976041895496</v>
          </cell>
          <cell r="J130">
            <v>16.3345534762265</v>
          </cell>
        </row>
        <row r="131">
          <cell r="A131" t="str">
            <v>D-T-ELC-car</v>
          </cell>
          <cell r="B131" t="str">
            <v>VAR_cap</v>
          </cell>
          <cell r="C131" t="str">
            <v>-</v>
          </cell>
          <cell r="H131">
            <v>20.687511727635908</v>
          </cell>
          <cell r="I131">
            <v>23.4806082479416</v>
          </cell>
          <cell r="J131">
            <v>25.713267078631301</v>
          </cell>
        </row>
        <row r="132">
          <cell r="A132" t="str">
            <v>T_C-ICE-NGA-S2</v>
          </cell>
          <cell r="B132" t="str">
            <v>VAR_fout</v>
          </cell>
          <cell r="C132" t="str">
            <v>CO2_T</v>
          </cell>
          <cell r="H132">
            <v>1.1097523262955161E-2</v>
          </cell>
          <cell r="I132">
            <v>1.050703807579545E-2</v>
          </cell>
          <cell r="J132">
            <v>6.8643053460432906E-3</v>
          </cell>
        </row>
        <row r="133">
          <cell r="A133" t="str">
            <v>T_C-ICE-NGA-S2</v>
          </cell>
          <cell r="B133" t="str">
            <v>VAR_fout</v>
          </cell>
          <cell r="C133" t="str">
            <v>TPCAR</v>
          </cell>
          <cell r="H133">
            <v>9.5247382315480358E-5</v>
          </cell>
          <cell r="I133">
            <v>9.357697469668232E-5</v>
          </cell>
          <cell r="J133">
            <v>6.8903612203285273E-5</v>
          </cell>
        </row>
        <row r="134">
          <cell r="A134" t="str">
            <v>T_C-ICE-NGA-S2</v>
          </cell>
          <cell r="B134" t="str">
            <v>VAR_fin</v>
          </cell>
          <cell r="C134" t="str">
            <v>TNGA</v>
          </cell>
          <cell r="H134">
            <v>1.967645968609071E-4</v>
          </cell>
          <cell r="I134">
            <v>1.8629500134389061E-4</v>
          </cell>
          <cell r="J134">
            <v>1.217075415965122E-4</v>
          </cell>
        </row>
        <row r="135">
          <cell r="A135" t="str">
            <v>T_C-ICE-NGA-S2</v>
          </cell>
          <cell r="B135" t="str">
            <v>VAR_ncap</v>
          </cell>
          <cell r="C135" t="str">
            <v>-</v>
          </cell>
          <cell r="H135">
            <v>5.2532900596247298E-6</v>
          </cell>
          <cell r="I135">
            <v>3.2383304678660002E-6</v>
          </cell>
          <cell r="J135">
            <v>3.6723084681279098E-6</v>
          </cell>
        </row>
        <row r="136">
          <cell r="A136" t="str">
            <v>T_C-ICE-NGA-S2</v>
          </cell>
          <cell r="B136" t="str">
            <v>VAR_cap</v>
          </cell>
          <cell r="C136" t="str">
            <v>-</v>
          </cell>
          <cell r="H136">
            <v>8.179789173063328E-6</v>
          </cell>
          <cell r="I136">
            <v>8.0337901986778799E-6</v>
          </cell>
          <cell r="J136">
            <v>6.080287604742235E-6</v>
          </cell>
        </row>
        <row r="137">
          <cell r="A137" t="str">
            <v>TFLGV-ICEDSL</v>
          </cell>
          <cell r="B137" t="str">
            <v>VAR_fout</v>
          </cell>
          <cell r="C137" t="str">
            <v>CO2_T</v>
          </cell>
          <cell r="H137">
            <v>0.45487051358516417</v>
          </cell>
          <cell r="I137">
            <v>0.33466563073966582</v>
          </cell>
          <cell r="J137">
            <v>0.12492535928137799</v>
          </cell>
        </row>
        <row r="138">
          <cell r="A138" t="str">
            <v>TFLGV-ICEDSL</v>
          </cell>
          <cell r="B138" t="str">
            <v>VAR_fout</v>
          </cell>
          <cell r="C138" t="str">
            <v>TFLGV</v>
          </cell>
          <cell r="H138">
            <v>2.1230259813034024E-3</v>
          </cell>
          <cell r="I138">
            <v>1.5619913973091042E-3</v>
          </cell>
          <cell r="J138">
            <v>5.8306655533162295E-4</v>
          </cell>
        </row>
        <row r="139">
          <cell r="A139" t="str">
            <v>TFLGV-ICEDSL</v>
          </cell>
          <cell r="B139" t="str">
            <v>VAR_fin</v>
          </cell>
          <cell r="C139" t="str">
            <v>TDSL</v>
          </cell>
          <cell r="H139">
            <v>6.2056004581877867E-3</v>
          </cell>
          <cell r="I139">
            <v>4.565697554429266E-3</v>
          </cell>
          <cell r="J139">
            <v>1.7043023094321702E-3</v>
          </cell>
        </row>
        <row r="140">
          <cell r="A140" t="str">
            <v>TFLGV-ICEDSL</v>
          </cell>
          <cell r="B140" t="str">
            <v>VAR_ncap</v>
          </cell>
          <cell r="C140" t="str">
            <v>-</v>
          </cell>
          <cell r="H140">
            <v>1.14722600737608E-4</v>
          </cell>
          <cell r="I140">
            <v>1.9555361599437E-5</v>
          </cell>
          <cell r="J140">
            <v>2.17800382633393E-5</v>
          </cell>
        </row>
        <row r="141">
          <cell r="A141" t="str">
            <v>TFLGV-ICEDSL</v>
          </cell>
          <cell r="B141" t="str">
            <v>VAR_cap</v>
          </cell>
          <cell r="C141" t="str">
            <v>-</v>
          </cell>
          <cell r="H141">
            <v>1.9516779716378371E-4</v>
          </cell>
          <cell r="I141">
            <v>1.4423112954280385E-4</v>
          </cell>
          <cell r="J141">
            <v>5.171480252618981E-5</v>
          </cell>
        </row>
        <row r="142">
          <cell r="A142" t="str">
            <v>T_C-ICE-NGA-S3</v>
          </cell>
          <cell r="B142" t="str">
            <v>VAR_fout</v>
          </cell>
          <cell r="C142" t="str">
            <v>CO2_T</v>
          </cell>
          <cell r="H142">
            <v>1.6539392523901263E-2</v>
          </cell>
          <cell r="I142">
            <v>1.4688246584296665E-2</v>
          </cell>
          <cell r="J142">
            <v>1.122231254437858E-2</v>
          </cell>
        </row>
        <row r="143">
          <cell r="A143" t="str">
            <v>T_C-ICE-NGA-S3</v>
          </cell>
          <cell r="B143" t="str">
            <v>VAR_fout</v>
          </cell>
          <cell r="C143" t="str">
            <v>TPCAR</v>
          </cell>
          <cell r="H143">
            <v>1.3916064878499086E-4</v>
          </cell>
          <cell r="I143">
            <v>1.2583711602961504E-4</v>
          </cell>
          <cell r="J143">
            <v>1.0996789687049776E-4</v>
          </cell>
        </row>
        <row r="144">
          <cell r="A144" t="str">
            <v>T_C-ICE-NGA-S3</v>
          </cell>
          <cell r="B144" t="str">
            <v>VAR_fin</v>
          </cell>
          <cell r="C144" t="str">
            <v>TNGA</v>
          </cell>
          <cell r="H144">
            <v>2.9325164049470308E-4</v>
          </cell>
          <cell r="I144">
            <v>2.6042990397689091E-4</v>
          </cell>
          <cell r="J144">
            <v>1.9897717277266984E-4</v>
          </cell>
        </row>
        <row r="145">
          <cell r="A145" t="str">
            <v>T_C-ICE-NGA-S3</v>
          </cell>
          <cell r="B145" t="str">
            <v>VAR_ncap</v>
          </cell>
          <cell r="C145" t="str">
            <v>-</v>
          </cell>
          <cell r="H145">
            <v>6.2718924043495697E-6</v>
          </cell>
          <cell r="I145">
            <v>3.9244351980767404E-6</v>
          </cell>
          <cell r="J145">
            <v>5.8264713860893698E-6</v>
          </cell>
        </row>
        <row r="146">
          <cell r="A146" t="str">
            <v>T_C-ICE-NGA-S3</v>
          </cell>
          <cell r="B146" t="str">
            <v>VAR_cap</v>
          </cell>
          <cell r="C146" t="str">
            <v>-</v>
          </cell>
          <cell r="H146">
            <v>1.0732385392006831E-5</v>
          </cell>
          <cell r="I146">
            <v>9.6546297394617332E-6</v>
          </cell>
          <cell r="J146">
            <v>8.5229829193455394E-6</v>
          </cell>
        </row>
        <row r="147">
          <cell r="A147" t="str">
            <v>T_C-ICE-NGA-S4</v>
          </cell>
          <cell r="B147" t="str">
            <v>VAR_fout</v>
          </cell>
          <cell r="C147" t="str">
            <v>CO2_T</v>
          </cell>
          <cell r="H147">
            <v>1.2194797434156386E-2</v>
          </cell>
          <cell r="I147">
            <v>1.3030727533820521E-2</v>
          </cell>
          <cell r="J147">
            <v>1.1370783265725291E-2</v>
          </cell>
        </row>
        <row r="148">
          <cell r="A148" t="str">
            <v>T_C-ICE-NGA-S4</v>
          </cell>
          <cell r="B148" t="str">
            <v>VAR_fout</v>
          </cell>
          <cell r="C148" t="str">
            <v>TPCAR</v>
          </cell>
          <cell r="H148">
            <v>1.0294194888495577E-4</v>
          </cell>
          <cell r="I148">
            <v>1.1256226887946636E-4</v>
          </cell>
          <cell r="J148">
            <v>1.1314128965215929E-4</v>
          </cell>
        </row>
        <row r="149">
          <cell r="A149" t="str">
            <v>T_C-ICE-NGA-S4</v>
          </cell>
          <cell r="B149" t="str">
            <v>VAR_fin</v>
          </cell>
          <cell r="C149" t="str">
            <v>TNGA</v>
          </cell>
          <cell r="H149">
            <v>2.1621981266234749E-4</v>
          </cell>
          <cell r="I149">
            <v>2.3104126833015096E-4</v>
          </cell>
          <cell r="J149">
            <v>2.0160963237101558E-4</v>
          </cell>
        </row>
        <row r="150">
          <cell r="A150" t="str">
            <v>T_C-ICE-NGA-S4</v>
          </cell>
          <cell r="B150" t="str">
            <v>VAR_ncap</v>
          </cell>
          <cell r="C150" t="str">
            <v>-</v>
          </cell>
          <cell r="H150">
            <v>6.5284551339470201E-6</v>
          </cell>
          <cell r="I150">
            <v>4.1821593360309297E-6</v>
          </cell>
          <cell r="J150">
            <v>7.6285669833940002E-6</v>
          </cell>
        </row>
        <row r="151">
          <cell r="A151" t="str">
            <v>T_C-ICE-NGA-S4</v>
          </cell>
          <cell r="B151" t="str">
            <v>VAR_cap</v>
          </cell>
          <cell r="C151" t="str">
            <v>-</v>
          </cell>
          <cell r="H151">
            <v>9.3064941164528272E-6</v>
          </cell>
          <cell r="I151">
            <v>1.0081982073357314E-5</v>
          </cell>
          <cell r="J151">
            <v>1.0252603003718501E-5</v>
          </cell>
        </row>
        <row r="152">
          <cell r="A152" t="str">
            <v>T_C-MHY-GSL-S1</v>
          </cell>
          <cell r="B152" t="str">
            <v>VAR_fout</v>
          </cell>
          <cell r="C152" t="str">
            <v>CO2_T</v>
          </cell>
          <cell r="H152">
            <v>22.88868960171105</v>
          </cell>
          <cell r="I152">
            <v>11.383071895008378</v>
          </cell>
          <cell r="J152">
            <v>3.8869254487557459E-2</v>
          </cell>
        </row>
        <row r="153">
          <cell r="A153" t="str">
            <v>T_C-MHY-GSL-S1</v>
          </cell>
          <cell r="B153" t="str">
            <v>VAR_fout</v>
          </cell>
          <cell r="C153" t="str">
            <v>TPCAR</v>
          </cell>
          <cell r="H153">
            <v>0.18906382144936407</v>
          </cell>
          <cell r="I153">
            <v>9.4116492202607815E-2</v>
          </cell>
          <cell r="J153">
            <v>3.9073974786237194E-4</v>
          </cell>
        </row>
        <row r="154">
          <cell r="A154" t="str">
            <v>T_C-MHY-GSL-S1</v>
          </cell>
          <cell r="B154" t="str">
            <v>VAR_fin</v>
          </cell>
          <cell r="C154" t="str">
            <v>TGSL</v>
          </cell>
          <cell r="H154">
            <v>0.31014484555163957</v>
          </cell>
          <cell r="I154">
            <v>0.1542421665990294</v>
          </cell>
          <cell r="J154">
            <v>5.2668366514305404E-4</v>
          </cell>
        </row>
        <row r="155">
          <cell r="A155" t="str">
            <v>T_C-MHY-GSL-S1</v>
          </cell>
          <cell r="B155" t="str">
            <v>VAR_ncap</v>
          </cell>
          <cell r="C155" t="str">
            <v>-</v>
          </cell>
          <cell r="H155">
            <v>1.0298402832917701E-4</v>
          </cell>
          <cell r="I155">
            <v>4.2358052390770199E-5</v>
          </cell>
          <cell r="J155">
            <v>1.2420200661496199E-5</v>
          </cell>
        </row>
        <row r="156">
          <cell r="A156" t="str">
            <v>T_C-MHY-GSL-S1</v>
          </cell>
          <cell r="B156" t="str">
            <v>VAR_cap</v>
          </cell>
          <cell r="C156" t="str">
            <v>-</v>
          </cell>
          <cell r="H156">
            <v>2.8726753074815599E-2</v>
          </cell>
          <cell r="I156">
            <v>1.4298258545137801E-2</v>
          </cell>
          <cell r="J156">
            <v>5.7729255267359702E-5</v>
          </cell>
        </row>
        <row r="157">
          <cell r="A157" t="str">
            <v>T_TRLY_ELC</v>
          </cell>
          <cell r="B157" t="str">
            <v>VAR_fout</v>
          </cell>
          <cell r="C157" t="str">
            <v>TPTRLY</v>
          </cell>
          <cell r="H157">
            <v>3.1140487340042711E-2</v>
          </cell>
          <cell r="I157">
            <v>3.2006602244411902E-2</v>
          </cell>
          <cell r="J157">
            <v>3.3071687199031169E-2</v>
          </cell>
        </row>
        <row r="158">
          <cell r="A158" t="str">
            <v>T_TRLY_ELC</v>
          </cell>
          <cell r="B158" t="str">
            <v>VAR_fin</v>
          </cell>
          <cell r="C158" t="str">
            <v>TELC</v>
          </cell>
          <cell r="H158">
            <v>0.45958965891661224</v>
          </cell>
          <cell r="I158">
            <v>0.47237229295618205</v>
          </cell>
          <cell r="J158">
            <v>0.48809144422268363</v>
          </cell>
        </row>
        <row r="159">
          <cell r="A159" t="str">
            <v>T_C-MHY-GSL-S2</v>
          </cell>
          <cell r="B159" t="str">
            <v>VAR_fout</v>
          </cell>
          <cell r="C159" t="str">
            <v>CO2_T</v>
          </cell>
          <cell r="H159">
            <v>0.23064222669107676</v>
          </cell>
          <cell r="I159">
            <v>0.18116044311937907</v>
          </cell>
          <cell r="J159">
            <v>5.9443159203255699E-2</v>
          </cell>
        </row>
        <row r="160">
          <cell r="A160" t="str">
            <v>T_C-MHY-GSL-S2</v>
          </cell>
          <cell r="B160" t="str">
            <v>VAR_fout</v>
          </cell>
          <cell r="C160" t="str">
            <v>TPCAR</v>
          </cell>
          <cell r="H160">
            <v>1.5970918449040425E-3</v>
          </cell>
          <cell r="I160">
            <v>1.3551605266809083E-3</v>
          </cell>
          <cell r="J160">
            <v>5.0009531793470416E-4</v>
          </cell>
        </row>
        <row r="161">
          <cell r="A161" t="str">
            <v>T_C-MHY-GSL-S2</v>
          </cell>
          <cell r="B161" t="str">
            <v>VAR_fin</v>
          </cell>
          <cell r="C161" t="str">
            <v>TGSL</v>
          </cell>
          <cell r="H161">
            <v>3.1252334239983306E-3</v>
          </cell>
          <cell r="I161">
            <v>2.454748551753106E-3</v>
          </cell>
          <cell r="J161">
            <v>8.0546286183273415E-4</v>
          </cell>
        </row>
        <row r="162">
          <cell r="A162" t="str">
            <v>T_C-MHY-GSL-S2</v>
          </cell>
          <cell r="B162" t="str">
            <v>VAR_ncap</v>
          </cell>
          <cell r="C162" t="str">
            <v>-</v>
          </cell>
          <cell r="H162">
            <v>7.4624753230081696E-5</v>
          </cell>
          <cell r="I162">
            <v>3.7274473334862898E-5</v>
          </cell>
          <cell r="J162">
            <v>1.39157905075268E-5</v>
          </cell>
        </row>
        <row r="163">
          <cell r="A163" t="str">
            <v>T_C-MHY-GSL-S2</v>
          </cell>
          <cell r="B163" t="str">
            <v>VAR_cap</v>
          </cell>
          <cell r="C163" t="str">
            <v>-</v>
          </cell>
          <cell r="H163">
            <v>1.53713840220244E-4</v>
          </cell>
          <cell r="I163">
            <v>1.3041875343898599E-4</v>
          </cell>
          <cell r="J163">
            <v>4.9355422256508802E-5</v>
          </cell>
        </row>
        <row r="164">
          <cell r="A164" t="str">
            <v>T_C-MHY-DSL-S1</v>
          </cell>
          <cell r="B164" t="str">
            <v>VAR_fout</v>
          </cell>
          <cell r="C164" t="str">
            <v>CO2_T</v>
          </cell>
          <cell r="H164">
            <v>18.502855390536112</v>
          </cell>
          <cell r="I164">
            <v>10.526641843586221</v>
          </cell>
          <cell r="J164">
            <v>0.92912522646161189</v>
          </cell>
        </row>
        <row r="165">
          <cell r="A165" t="str">
            <v>T_C-MHY-DSL-S1</v>
          </cell>
          <cell r="B165" t="str">
            <v>VAR_fout</v>
          </cell>
          <cell r="C165" t="str">
            <v>TPCAR</v>
          </cell>
          <cell r="H165">
            <v>0.1652408061541161</v>
          </cell>
          <cell r="I165">
            <v>9.5026500346742301E-2</v>
          </cell>
          <cell r="J165">
            <v>8.9990227830463194E-3</v>
          </cell>
        </row>
        <row r="166">
          <cell r="A166" t="str">
            <v>T_C-MHY-DSL-S1</v>
          </cell>
          <cell r="B166" t="str">
            <v>VAR_fin</v>
          </cell>
          <cell r="C166" t="str">
            <v>TDSL</v>
          </cell>
          <cell r="H166">
            <v>0.25242640369080571</v>
          </cell>
          <cell r="I166">
            <v>0.14361039350049401</v>
          </cell>
          <cell r="J166">
            <v>1.2675651111345325E-2</v>
          </cell>
        </row>
        <row r="167">
          <cell r="A167" t="str">
            <v>T_C-MHY-DSL-S1</v>
          </cell>
          <cell r="B167" t="str">
            <v>VAR_ncap</v>
          </cell>
          <cell r="C167" t="str">
            <v>-</v>
          </cell>
          <cell r="H167">
            <v>5.15254615201877E-3</v>
          </cell>
          <cell r="I167">
            <v>1.22429351546795E-4</v>
          </cell>
          <cell r="J167">
            <v>2.01978428585863E-5</v>
          </cell>
        </row>
        <row r="168">
          <cell r="A168" t="str">
            <v>T_C-MHY-DSL-S1</v>
          </cell>
          <cell r="B168" t="str">
            <v>VAR_cap</v>
          </cell>
          <cell r="C168" t="str">
            <v>-</v>
          </cell>
          <cell r="H168">
            <v>2.51057198275931E-2</v>
          </cell>
          <cell r="I168">
            <v>1.44354318129841E-2</v>
          </cell>
          <cell r="J168">
            <v>1.36541333394035E-3</v>
          </cell>
        </row>
        <row r="169">
          <cell r="A169" t="str">
            <v>T_C-MHY-GSL-S3</v>
          </cell>
          <cell r="B169" t="str">
            <v>VAR_fout</v>
          </cell>
          <cell r="C169" t="str">
            <v>CO2_T</v>
          </cell>
          <cell r="H169">
            <v>0.22536587839688149</v>
          </cell>
          <cell r="I169">
            <v>0.191682777466606</v>
          </cell>
          <cell r="J169">
            <v>7.0990029150208203E-2</v>
          </cell>
        </row>
        <row r="170">
          <cell r="A170" t="str">
            <v>T_C-MHY-GSL-S3</v>
          </cell>
          <cell r="B170" t="str">
            <v>VAR_fout</v>
          </cell>
          <cell r="C170" t="str">
            <v>TPCAR</v>
          </cell>
          <cell r="H170">
            <v>1.4495238458916712E-3</v>
          </cell>
          <cell r="I170">
            <v>1.3527614381024875E-3</v>
          </cell>
          <cell r="J170">
            <v>5.756504685873893E-4</v>
          </cell>
        </row>
        <row r="171">
          <cell r="A171" t="str">
            <v>T_C-MHY-GSL-S3</v>
          </cell>
          <cell r="B171" t="str">
            <v>VAR_fin</v>
          </cell>
          <cell r="C171" t="str">
            <v>TGSL</v>
          </cell>
          <cell r="H171">
            <v>3.053738189659642E-3</v>
          </cell>
          <cell r="I171">
            <v>2.5973276079485933E-3</v>
          </cell>
          <cell r="J171">
            <v>9.6192451423046308E-4</v>
          </cell>
        </row>
        <row r="172">
          <cell r="A172" t="str">
            <v>T_C-MHY-GSL-S3</v>
          </cell>
          <cell r="B172" t="str">
            <v>VAR_ncap</v>
          </cell>
          <cell r="C172" t="str">
            <v>-</v>
          </cell>
          <cell r="H172">
            <v>5.2582803201450302E-5</v>
          </cell>
          <cell r="I172">
            <v>3.7002437264000801E-5</v>
          </cell>
          <cell r="J172">
            <v>1.9024706301217199E-5</v>
          </cell>
        </row>
        <row r="173">
          <cell r="A173" t="str">
            <v>T_C-MHY-GSL-S3</v>
          </cell>
          <cell r="B173" t="str">
            <v>VAR_cap</v>
          </cell>
          <cell r="C173" t="str">
            <v>-</v>
          </cell>
          <cell r="H173">
            <v>1.10652587397047E-4</v>
          </cell>
          <cell r="I173">
            <v>1.0169148480351799E-4</v>
          </cell>
          <cell r="J173">
            <v>4.8075676350499102E-5</v>
          </cell>
        </row>
        <row r="174">
          <cell r="A174" t="str">
            <v>T_C-MHY-DSL-S2</v>
          </cell>
          <cell r="B174" t="str">
            <v>VAR_fout</v>
          </cell>
          <cell r="C174" t="str">
            <v>CO2_T</v>
          </cell>
          <cell r="H174">
            <v>0.28934142971745835</v>
          </cell>
          <cell r="I174">
            <v>0.33291730174697115</v>
          </cell>
          <cell r="J174">
            <v>0.12086684401237222</v>
          </cell>
        </row>
        <row r="175">
          <cell r="A175" t="str">
            <v>T_C-MHY-DSL-S2</v>
          </cell>
          <cell r="B175" t="str">
            <v>VAR_fout</v>
          </cell>
          <cell r="C175" t="str">
            <v>TPCAR</v>
          </cell>
          <cell r="H175">
            <v>2.164219322408394E-3</v>
          </cell>
          <cell r="I175">
            <v>2.664654273219083E-3</v>
          </cell>
          <cell r="J175">
            <v>1.0499048368089571E-3</v>
          </cell>
        </row>
        <row r="176">
          <cell r="A176" t="str">
            <v>T_C-MHY-DSL-S2</v>
          </cell>
          <cell r="B176" t="str">
            <v>VAR_fin</v>
          </cell>
          <cell r="C176" t="str">
            <v>TDSL</v>
          </cell>
          <cell r="H176">
            <v>3.9473592048766427E-3</v>
          </cell>
          <cell r="I176">
            <v>4.5418458628509123E-3</v>
          </cell>
          <cell r="J176">
            <v>1.6489337518741105E-3</v>
          </cell>
        </row>
        <row r="177">
          <cell r="A177" t="str">
            <v>T_C-MHY-DSL-S2</v>
          </cell>
          <cell r="B177" t="str">
            <v>VAR_ncap</v>
          </cell>
          <cell r="C177" t="str">
            <v>-</v>
          </cell>
          <cell r="H177">
            <v>1.36582729632338E-4</v>
          </cell>
          <cell r="I177">
            <v>9.1781018470368404E-5</v>
          </cell>
          <cell r="J177">
            <v>2.7467251747202999E-5</v>
          </cell>
        </row>
        <row r="178">
          <cell r="A178" t="str">
            <v>T_C-MHY-DSL-S2</v>
          </cell>
          <cell r="B178" t="str">
            <v>VAR_cap</v>
          </cell>
          <cell r="C178" t="str">
            <v>-</v>
          </cell>
          <cell r="H178">
            <v>2.0847578859768101E-4</v>
          </cell>
          <cell r="I178">
            <v>2.33895198675065E-4</v>
          </cell>
          <cell r="J178">
            <v>1.03952071365954E-4</v>
          </cell>
        </row>
        <row r="179">
          <cell r="A179" t="str">
            <v>T_C-MHY-GSL-S4</v>
          </cell>
          <cell r="B179" t="str">
            <v>VAR_fout</v>
          </cell>
          <cell r="C179" t="str">
            <v>CO2_T</v>
          </cell>
          <cell r="H179">
            <v>7.4276613612088731</v>
          </cell>
          <cell r="I179">
            <v>27.348286828843385</v>
          </cell>
          <cell r="J179">
            <v>40.917495742461938</v>
          </cell>
        </row>
        <row r="180">
          <cell r="A180" t="str">
            <v>T_C-MHY-GSL-S4</v>
          </cell>
          <cell r="B180" t="str">
            <v>VAR_fout</v>
          </cell>
          <cell r="C180" t="str">
            <v>TPCAR</v>
          </cell>
          <cell r="H180">
            <v>5.2037695370340573E-2</v>
          </cell>
          <cell r="I180">
            <v>0.20797656654570257</v>
          </cell>
          <cell r="J180">
            <v>0.36980475631947435</v>
          </cell>
        </row>
        <row r="181">
          <cell r="A181" t="str">
            <v>T_C-MHY-GSL-S4</v>
          </cell>
          <cell r="B181" t="str">
            <v>VAR_fin</v>
          </cell>
          <cell r="C181" t="str">
            <v>TGSL</v>
          </cell>
          <cell r="H181">
            <v>0.10064581790255939</v>
          </cell>
          <cell r="I181">
            <v>0.37057299226075119</v>
          </cell>
          <cell r="J181">
            <v>0.55443761168647654</v>
          </cell>
        </row>
        <row r="182">
          <cell r="A182" t="str">
            <v>T_C-MHY-GSL-S4</v>
          </cell>
          <cell r="B182" t="str">
            <v>VAR_ncap</v>
          </cell>
          <cell r="C182" t="str">
            <v>-</v>
          </cell>
          <cell r="H182">
            <v>5.78390850320695E-3</v>
          </cell>
          <cell r="I182">
            <v>1.89993898200853E-2</v>
          </cell>
          <cell r="J182">
            <v>3.5770729953695297E-2</v>
          </cell>
        </row>
        <row r="183">
          <cell r="A183" t="str">
            <v>T_C-MHY-GSL-S4</v>
          </cell>
          <cell r="B183" t="str">
            <v>VAR_cap</v>
          </cell>
          <cell r="C183" t="str">
            <v>-</v>
          </cell>
          <cell r="H183">
            <v>5.8162211688905898E-3</v>
          </cell>
          <cell r="I183">
            <v>2.3221187752570201E-2</v>
          </cell>
          <cell r="J183">
            <v>4.1581020755056201E-2</v>
          </cell>
        </row>
        <row r="184">
          <cell r="A184" t="str">
            <v>T_C-MHY-DSL-S3</v>
          </cell>
          <cell r="B184" t="str">
            <v>VAR_fout</v>
          </cell>
          <cell r="C184" t="str">
            <v>CO2_T</v>
          </cell>
          <cell r="H184">
            <v>0.33652188488008972</v>
          </cell>
          <cell r="I184">
            <v>14.280760739455081</v>
          </cell>
          <cell r="J184">
            <v>26.733206999011681</v>
          </cell>
        </row>
        <row r="185">
          <cell r="A185" t="str">
            <v>T_C-MHY-DSL-S3</v>
          </cell>
          <cell r="B185" t="str">
            <v>VAR_fout</v>
          </cell>
          <cell r="C185" t="str">
            <v>TPCAR</v>
          </cell>
          <cell r="H185">
            <v>2.3660765942653491E-3</v>
          </cell>
          <cell r="I185">
            <v>0.11423498225740016</v>
          </cell>
          <cell r="J185">
            <v>0.24850829578727351</v>
          </cell>
        </row>
        <row r="186">
          <cell r="A186" t="str">
            <v>T_C-MHY-DSL-S3</v>
          </cell>
          <cell r="B186" t="str">
            <v>VAR_fin</v>
          </cell>
          <cell r="C186" t="str">
            <v>TDSL</v>
          </cell>
          <cell r="H186">
            <v>4.5910216218293318E-3</v>
          </cell>
          <cell r="I186">
            <v>0.19482620381248336</v>
          </cell>
          <cell r="J186">
            <v>0.3647095088541833</v>
          </cell>
        </row>
        <row r="187">
          <cell r="A187" t="str">
            <v>T_C-MHY-DSL-S3</v>
          </cell>
          <cell r="B187" t="str">
            <v>VAR_ncap</v>
          </cell>
          <cell r="C187" t="str">
            <v>-</v>
          </cell>
          <cell r="H187">
            <v>1.2258883219050899E-4</v>
          </cell>
          <cell r="I187">
            <v>8.0646565020129901E-3</v>
          </cell>
          <cell r="J187">
            <v>1.52176762346562E-2</v>
          </cell>
        </row>
        <row r="188">
          <cell r="A188" t="str">
            <v>T_C-MHY-DSL-S3</v>
          </cell>
          <cell r="B188" t="str">
            <v>VAR_cap</v>
          </cell>
          <cell r="C188" t="str">
            <v>-</v>
          </cell>
          <cell r="H188">
            <v>1.7200798795235299E-4</v>
          </cell>
          <cell r="I188">
            <v>7.8616745616969901E-3</v>
          </cell>
          <cell r="J188">
            <v>1.7096691625601401E-2</v>
          </cell>
        </row>
        <row r="189">
          <cell r="A189" t="str">
            <v>T_B_c-HYBDSL-S1</v>
          </cell>
          <cell r="B189" t="str">
            <v>VAR_fout</v>
          </cell>
          <cell r="C189" t="str">
            <v>CO2_T</v>
          </cell>
          <cell r="H189">
            <v>2.1851590789496576</v>
          </cell>
          <cell r="I189">
            <v>6.3642603541794207</v>
          </cell>
          <cell r="J189">
            <v>11.590877396861956</v>
          </cell>
        </row>
        <row r="190">
          <cell r="A190" t="str">
            <v>T_B_c-HYBDSL-S1</v>
          </cell>
          <cell r="B190" t="str">
            <v>VAR_fout</v>
          </cell>
          <cell r="C190" t="str">
            <v>TPBSc</v>
          </cell>
          <cell r="H190">
            <v>5.7602142060942602E-3</v>
          </cell>
          <cell r="I190">
            <v>1.7450635454121063E-2</v>
          </cell>
          <cell r="J190">
            <v>3.5008299706472484E-2</v>
          </cell>
        </row>
        <row r="191">
          <cell r="A191" t="str">
            <v>T_B_c-HYBDSL-S1</v>
          </cell>
          <cell r="B191" t="str">
            <v>VAR_fin</v>
          </cell>
          <cell r="C191" t="str">
            <v>TDSL</v>
          </cell>
          <cell r="H191">
            <v>2.9811174337648801E-2</v>
          </cell>
          <cell r="I191">
            <v>8.6824834299855783E-2</v>
          </cell>
          <cell r="J191">
            <v>0.15812929600084505</v>
          </cell>
        </row>
        <row r="192">
          <cell r="A192" t="str">
            <v>T_B_c-HYBDSL-S1</v>
          </cell>
          <cell r="B192" t="str">
            <v>VAR_ncap</v>
          </cell>
          <cell r="C192" t="str">
            <v>-</v>
          </cell>
          <cell r="H192">
            <v>1.3001244916824E-4</v>
          </cell>
          <cell r="I192">
            <v>2.4866101667406302E-4</v>
          </cell>
          <cell r="J192">
            <v>7.1760625092974896E-4</v>
          </cell>
        </row>
        <row r="193">
          <cell r="A193" t="str">
            <v>T_B_c-HYBDSL-S1</v>
          </cell>
          <cell r="B193" t="str">
            <v>VAR_cap</v>
          </cell>
          <cell r="C193" t="str">
            <v>-</v>
          </cell>
          <cell r="H193">
            <v>1.4232227699819406E-4</v>
          </cell>
          <cell r="I193">
            <v>3.801762867274207E-4</v>
          </cell>
          <cell r="J193">
            <v>8.6512413110132413E-4</v>
          </cell>
        </row>
        <row r="194">
          <cell r="A194" t="str">
            <v>T_C-MHY-DSL-S4</v>
          </cell>
          <cell r="B194" t="str">
            <v>VAR_fout</v>
          </cell>
          <cell r="C194" t="str">
            <v>CO2_T</v>
          </cell>
          <cell r="H194">
            <v>9.848407356204833E-2</v>
          </cell>
          <cell r="I194">
            <v>0.11329566591442758</v>
          </cell>
          <cell r="J194">
            <v>6.9341063060202796E-2</v>
          </cell>
        </row>
        <row r="195">
          <cell r="A195" t="str">
            <v>T_C-MHY-DSL-S4</v>
          </cell>
          <cell r="B195" t="str">
            <v>VAR_fout</v>
          </cell>
          <cell r="C195" t="str">
            <v>TPCAR</v>
          </cell>
          <cell r="H195">
            <v>6.3737669800193711E-4</v>
          </cell>
          <cell r="I195">
            <v>8.0481590296625901E-4</v>
          </cell>
          <cell r="J195">
            <v>5.6556328178800996E-4</v>
          </cell>
        </row>
        <row r="196">
          <cell r="A196" t="str">
            <v>T_C-MHY-DSL-S4</v>
          </cell>
          <cell r="B196" t="str">
            <v>VAR_fin</v>
          </cell>
          <cell r="C196" t="str">
            <v>TDSL</v>
          </cell>
          <cell r="H196">
            <v>1.3435753555531844E-3</v>
          </cell>
          <cell r="I196">
            <v>1.5456434640440341E-3</v>
          </cell>
          <cell r="J196">
            <v>9.459899462510615E-4</v>
          </cell>
        </row>
        <row r="197">
          <cell r="A197" t="str">
            <v>T_C-MHY-DSL-S4</v>
          </cell>
          <cell r="B197" t="str">
            <v>VAR_ncap</v>
          </cell>
          <cell r="C197" t="str">
            <v>-</v>
          </cell>
          <cell r="H197">
            <v>3.2483284390481298E-5</v>
          </cell>
          <cell r="I197">
            <v>3.4558687013234601E-5</v>
          </cell>
          <cell r="J197">
            <v>2.8742414042510401E-5</v>
          </cell>
        </row>
        <row r="198">
          <cell r="A198" t="str">
            <v>T_C-MHY-DSL-S4</v>
          </cell>
          <cell r="B198" t="str">
            <v>VAR_cap</v>
          </cell>
          <cell r="C198" t="str">
            <v>-</v>
          </cell>
          <cell r="H198">
            <v>5.8856509749843898E-5</v>
          </cell>
          <cell r="I198">
            <v>6.9802855763916402E-5</v>
          </cell>
          <cell r="J198">
            <v>5.0116050447868802E-5</v>
          </cell>
        </row>
        <row r="199">
          <cell r="A199" t="str">
            <v>T_B_c-HYBDSL-S2</v>
          </cell>
          <cell r="B199" t="str">
            <v>VAR_fout</v>
          </cell>
          <cell r="C199" t="str">
            <v>CO2_T</v>
          </cell>
          <cell r="H199">
            <v>18.214238039992352</v>
          </cell>
          <cell r="I199">
            <v>10.892269922156778</v>
          </cell>
          <cell r="J199">
            <v>4.048228571665053</v>
          </cell>
        </row>
        <row r="200">
          <cell r="A200" t="str">
            <v>T_B_c-HYBDSL-S2</v>
          </cell>
          <cell r="B200" t="str">
            <v>VAR_fout</v>
          </cell>
          <cell r="C200" t="str">
            <v>TPBSc</v>
          </cell>
          <cell r="H200">
            <v>3.2574975446772028E-2</v>
          </cell>
          <cell r="I200">
            <v>2.1214868056454887E-2</v>
          </cell>
          <cell r="J200">
            <v>8.1108781646014264E-3</v>
          </cell>
        </row>
        <row r="201">
          <cell r="A201" t="str">
            <v>T_B_c-HYBDSL-S2</v>
          </cell>
          <cell r="B201" t="str">
            <v>VAR_fin</v>
          </cell>
          <cell r="C201" t="str">
            <v>TDSL</v>
          </cell>
          <cell r="H201">
            <v>0.24848892278297899</v>
          </cell>
          <cell r="I201">
            <v>0.14859849825589039</v>
          </cell>
          <cell r="J201">
            <v>5.5228220622988523E-2</v>
          </cell>
        </row>
        <row r="202">
          <cell r="A202" t="str">
            <v>T_B_c-HYBDSL-S2</v>
          </cell>
          <cell r="B202" t="str">
            <v>VAR_ncap</v>
          </cell>
          <cell r="C202" t="str">
            <v>-</v>
          </cell>
          <cell r="H202">
            <v>8.6788042999857205E-6</v>
          </cell>
          <cell r="I202">
            <v>3.4197430325533397E-4</v>
          </cell>
          <cell r="J202">
            <v>3.4275600764925099E-6</v>
          </cell>
        </row>
        <row r="203">
          <cell r="A203" t="str">
            <v>T_B_c-HYBDSL-S2</v>
          </cell>
          <cell r="B203" t="str">
            <v>VAR_cap</v>
          </cell>
          <cell r="C203" t="str">
            <v>-</v>
          </cell>
          <cell r="H203">
            <v>7.0839888450203732E-4</v>
          </cell>
          <cell r="I203">
            <v>4.6118909501845267E-4</v>
          </cell>
          <cell r="J203">
            <v>1.7645251372662801E-4</v>
          </cell>
        </row>
        <row r="204">
          <cell r="A204" t="str">
            <v>T_C-BATELCEXT</v>
          </cell>
          <cell r="B204" t="str">
            <v>VAR_fout</v>
          </cell>
          <cell r="C204" t="str">
            <v>TPCAR</v>
          </cell>
        </row>
        <row r="205">
          <cell r="A205" t="str">
            <v>T_C-BATELCEXT</v>
          </cell>
          <cell r="B205" t="str">
            <v>VAR_fin</v>
          </cell>
          <cell r="C205" t="str">
            <v>T-ELC-car</v>
          </cell>
        </row>
        <row r="206">
          <cell r="A206" t="str">
            <v>T_C-BATELCEXT</v>
          </cell>
          <cell r="B206" t="str">
            <v>VAR_cap</v>
          </cell>
          <cell r="C206" t="str">
            <v>-</v>
          </cell>
        </row>
        <row r="207">
          <cell r="A207" t="str">
            <v>D-TDSL</v>
          </cell>
          <cell r="B207" t="str">
            <v>VAR_fout</v>
          </cell>
          <cell r="C207" t="str">
            <v>CO2</v>
          </cell>
          <cell r="H207">
            <v>3504.79706592805</v>
          </cell>
          <cell r="I207">
            <v>3311.8840128905899</v>
          </cell>
          <cell r="J207">
            <v>3155.79608056698</v>
          </cell>
        </row>
        <row r="208">
          <cell r="A208" t="str">
            <v>D-TDSL</v>
          </cell>
          <cell r="B208" t="str">
            <v>VAR_fout</v>
          </cell>
          <cell r="C208" t="str">
            <v>TDSL</v>
          </cell>
          <cell r="H208">
            <v>47.111735350483599</v>
          </cell>
          <cell r="I208">
            <v>44.518584155309412</v>
          </cell>
          <cell r="J208">
            <v>42.420438893056613</v>
          </cell>
        </row>
        <row r="209">
          <cell r="A209" t="str">
            <v>D-TDSL</v>
          </cell>
          <cell r="B209" t="str">
            <v>VAR_fin</v>
          </cell>
          <cell r="C209" t="str">
            <v>DSL</v>
          </cell>
          <cell r="H209">
            <v>47.814421090423515</v>
          </cell>
          <cell r="I209">
            <v>45.182592263173177</v>
          </cell>
          <cell r="J209">
            <v>43.053152531609555</v>
          </cell>
        </row>
        <row r="210">
          <cell r="A210" t="str">
            <v>T_B_c-HYBDSL-S3</v>
          </cell>
          <cell r="B210" t="str">
            <v>VAR_fout</v>
          </cell>
          <cell r="C210" t="str">
            <v>CO2_T</v>
          </cell>
          <cell r="H210">
            <v>9.3347474448668102</v>
          </cell>
          <cell r="I210">
            <v>8.2812566781091803</v>
          </cell>
          <cell r="J210">
            <v>3.3861202768500096</v>
          </cell>
        </row>
        <row r="211">
          <cell r="A211" t="str">
            <v>T_B_c-HYBDSL-S3</v>
          </cell>
          <cell r="B211" t="str">
            <v>VAR_fout</v>
          </cell>
          <cell r="C211" t="str">
            <v>TPBSc</v>
          </cell>
          <cell r="H211">
            <v>1.1447187159206363E-2</v>
          </cell>
          <cell r="I211">
            <v>1.101774529286853E-2</v>
          </cell>
          <cell r="J211">
            <v>4.729095974723937E-3</v>
          </cell>
        </row>
        <row r="212">
          <cell r="A212" t="str">
            <v>T_B_c-HYBDSL-S3</v>
          </cell>
          <cell r="B212" t="str">
            <v>VAR_fin</v>
          </cell>
          <cell r="C212" t="str">
            <v>TDSL</v>
          </cell>
          <cell r="H212">
            <v>0.12734989692860593</v>
          </cell>
          <cell r="I212">
            <v>0.11297758087461357</v>
          </cell>
          <cell r="J212">
            <v>4.6195365304911418E-2</v>
          </cell>
        </row>
        <row r="213">
          <cell r="A213" t="str">
            <v>T_B_c-HYBDSL-S3</v>
          </cell>
          <cell r="B213" t="str">
            <v>VAR_ncap</v>
          </cell>
          <cell r="C213" t="str">
            <v>-</v>
          </cell>
          <cell r="H213">
            <v>5.62336717337649E-5</v>
          </cell>
          <cell r="I213">
            <v>1.8325553559138299E-4</v>
          </cell>
          <cell r="J213">
            <v>4.0058234382902099E-5</v>
          </cell>
        </row>
        <row r="214">
          <cell r="A214" t="str">
            <v>T_B_c-HYBDSL-S3</v>
          </cell>
          <cell r="B214" t="str">
            <v>VAR_cap</v>
          </cell>
          <cell r="C214" t="str">
            <v>-</v>
          </cell>
          <cell r="H214">
            <v>2.4887603347752499E-4</v>
          </cell>
          <cell r="I214">
            <v>2.39489207325148E-4</v>
          </cell>
          <cell r="J214">
            <v>1.02827148906465E-4</v>
          </cell>
        </row>
        <row r="215">
          <cell r="A215" t="str">
            <v>T-Bat-Car-STG_S1</v>
          </cell>
          <cell r="B215" t="str">
            <v>VAR_fout</v>
          </cell>
          <cell r="C215" t="str">
            <v>T-ELC-car-BatSTGAUXout_S1</v>
          </cell>
          <cell r="H215">
            <v>7.0455264416062723E-3</v>
          </cell>
          <cell r="I215">
            <v>7.0087611928794299E-2</v>
          </cell>
          <cell r="J215">
            <v>0.83542393420384531</v>
          </cell>
        </row>
        <row r="216">
          <cell r="A216" t="str">
            <v>T-Bat-Car-STG_S1</v>
          </cell>
          <cell r="B216" t="str">
            <v>VAR_fout</v>
          </cell>
          <cell r="C216" t="str">
            <v>T-ELC-car-BatSTGOut_S1</v>
          </cell>
          <cell r="H216">
            <v>7.0455264416062723E-3</v>
          </cell>
          <cell r="I216">
            <v>7.0087611928794286E-2</v>
          </cell>
          <cell r="J216">
            <v>0.83542393420384509</v>
          </cell>
        </row>
        <row r="217">
          <cell r="A217" t="str">
            <v>T-Bat-Car-STG_S1</v>
          </cell>
          <cell r="B217" t="str">
            <v>VAR_fin</v>
          </cell>
          <cell r="C217" t="str">
            <v>T-ELC-car-BatSTGAUXin_S1</v>
          </cell>
          <cell r="H217">
            <v>7.0531043113984445E-3</v>
          </cell>
          <cell r="I217">
            <v>7.0099939768813763E-2</v>
          </cell>
          <cell r="J217">
            <v>0.8355122421779887</v>
          </cell>
        </row>
        <row r="218">
          <cell r="A218" t="str">
            <v>T-Bat-Car-STG_S1</v>
          </cell>
          <cell r="B218" t="str">
            <v>VAR_fin</v>
          </cell>
          <cell r="C218" t="str">
            <v>T-ELC-car-BatSTGin_S1</v>
          </cell>
          <cell r="H218">
            <v>7.0531043113984445E-3</v>
          </cell>
          <cell r="I218">
            <v>7.0099939768813763E-2</v>
          </cell>
          <cell r="J218">
            <v>0.8355122421779887</v>
          </cell>
        </row>
        <row r="219">
          <cell r="A219" t="str">
            <v>T-Bat-Car-STG_S1</v>
          </cell>
          <cell r="B219" t="str">
            <v>VAR_ncap</v>
          </cell>
          <cell r="C219" t="str">
            <v>-</v>
          </cell>
          <cell r="H219">
            <v>4.7728031720697998E-2</v>
          </cell>
          <cell r="I219">
            <v>1.11342553022893</v>
          </cell>
          <cell r="J219">
            <v>20.132937265923101</v>
          </cell>
        </row>
        <row r="220">
          <cell r="A220" t="str">
            <v>T-Bat-Car-STG_S1</v>
          </cell>
          <cell r="B220" t="str">
            <v>VAR_cap</v>
          </cell>
          <cell r="C220" t="str">
            <v>-</v>
          </cell>
          <cell r="H220">
            <v>7.7399439595829705E-2</v>
          </cell>
          <cell r="I220">
            <v>1.1169226273134603</v>
          </cell>
          <cell r="J220">
            <v>17.757099881697989</v>
          </cell>
        </row>
        <row r="221">
          <cell r="A221" t="str">
            <v>T_B_c-HYBDSL-S4</v>
          </cell>
          <cell r="B221" t="str">
            <v>VAR_fout</v>
          </cell>
          <cell r="C221" t="str">
            <v>CO2_T</v>
          </cell>
          <cell r="H221">
            <v>3.8601516819607509E-3</v>
          </cell>
          <cell r="I221">
            <v>5.5719366160855797E-3</v>
          </cell>
          <cell r="J221">
            <v>9.0622969042561093E-4</v>
          </cell>
        </row>
        <row r="222">
          <cell r="A222" t="str">
            <v>T_B_c-HYBDSL-S4</v>
          </cell>
          <cell r="B222" t="str">
            <v>VAR_fout</v>
          </cell>
          <cell r="C222" t="str">
            <v>TPBSc</v>
          </cell>
          <cell r="H222">
            <v>3.3250943918438322E-6</v>
          </cell>
          <cell r="I222">
            <v>4.975611801137112E-6</v>
          </cell>
          <cell r="J222">
            <v>8.9305509617123685E-7</v>
          </cell>
        </row>
        <row r="223">
          <cell r="A223" t="str">
            <v>T_B_c-HYBDSL-S4</v>
          </cell>
          <cell r="B223" t="str">
            <v>VAR_fin</v>
          </cell>
          <cell r="C223" t="str">
            <v>TDSL</v>
          </cell>
          <cell r="H223">
            <v>5.2662369467404552E-5</v>
          </cell>
          <cell r="I223">
            <v>7.6015506358602654E-5</v>
          </cell>
          <cell r="J223">
            <v>1.2363297277293472E-5</v>
          </cell>
        </row>
        <row r="224">
          <cell r="A224" t="str">
            <v>T_B_c-HYBDSL-S4</v>
          </cell>
          <cell r="B224" t="str">
            <v>VAR_ncap</v>
          </cell>
          <cell r="C224" t="str">
            <v>-</v>
          </cell>
          <cell r="H224">
            <v>9.0395293557684203E-8</v>
          </cell>
          <cell r="I224">
            <v>9.4233301108141703E-8</v>
          </cell>
          <cell r="J224">
            <v>3.3326517798258103E-8</v>
          </cell>
        </row>
        <row r="225">
          <cell r="A225" t="str">
            <v>T_B_c-HYBDSL-S4</v>
          </cell>
          <cell r="B225" t="str">
            <v>VAR_cap</v>
          </cell>
          <cell r="C225" t="str">
            <v>-</v>
          </cell>
          <cell r="H225">
            <v>1.0643998233626501E-7</v>
          </cell>
          <cell r="I225">
            <v>1.55972049065354E-7</v>
          </cell>
          <cell r="J225">
            <v>4.9863391305982999E-8</v>
          </cell>
        </row>
        <row r="226">
          <cell r="A226" t="str">
            <v>TFHGV-ICEDSLExt</v>
          </cell>
          <cell r="B226" t="str">
            <v>VAR_fout</v>
          </cell>
          <cell r="C226" t="str">
            <v>CO2_T</v>
          </cell>
        </row>
        <row r="227">
          <cell r="A227" t="str">
            <v>TFHGV-ICEDSLExt</v>
          </cell>
          <cell r="B227" t="str">
            <v>VAR_fout</v>
          </cell>
          <cell r="C227" t="str">
            <v>TFHGV</v>
          </cell>
        </row>
        <row r="228">
          <cell r="A228" t="str">
            <v>TFHGV-ICEDSLExt</v>
          </cell>
          <cell r="B228" t="str">
            <v>VAR_fin</v>
          </cell>
          <cell r="C228" t="str">
            <v>TDSL</v>
          </cell>
        </row>
        <row r="229">
          <cell r="A229" t="str">
            <v>TFHGV-ICEDSLExt</v>
          </cell>
          <cell r="B229" t="str">
            <v>VAR_cap</v>
          </cell>
          <cell r="C229" t="str">
            <v>-</v>
          </cell>
        </row>
        <row r="230">
          <cell r="A230" t="str">
            <v>TPSHPGSLEXT</v>
          </cell>
          <cell r="B230" t="str">
            <v>VAR_fout</v>
          </cell>
          <cell r="C230" t="str">
            <v>TPSHP</v>
          </cell>
          <cell r="H230">
            <v>3.2874755343699399E-4</v>
          </cell>
          <cell r="I230">
            <v>1.2676407939303099E-4</v>
          </cell>
        </row>
        <row r="231">
          <cell r="A231" t="str">
            <v>TPSHPGSLEXT</v>
          </cell>
          <cell r="B231" t="str">
            <v>VAR_fout</v>
          </cell>
          <cell r="C231" t="str">
            <v>CO2_T</v>
          </cell>
          <cell r="H231">
            <v>2.67665942662185E-2</v>
          </cell>
          <cell r="I231">
            <v>1.03211191845243E-2</v>
          </cell>
        </row>
        <row r="232">
          <cell r="A232" t="str">
            <v>TPSHPGSLEXT</v>
          </cell>
          <cell r="B232" t="str">
            <v>VAR_fin</v>
          </cell>
          <cell r="C232" t="str">
            <v>TGSL</v>
          </cell>
          <cell r="H232">
            <v>3.6269097921705308E-4</v>
          </cell>
          <cell r="I232">
            <v>1.3985256347593775E-4</v>
          </cell>
        </row>
        <row r="233">
          <cell r="A233" t="str">
            <v>TPSHPGSLEXT</v>
          </cell>
          <cell r="B233" t="str">
            <v>VAR_ncap</v>
          </cell>
          <cell r="C233" t="str">
            <v>-</v>
          </cell>
          <cell r="H233">
            <v>8.1230290788466694E-6</v>
          </cell>
          <cell r="I233">
            <v>6.83105364694102E-6</v>
          </cell>
          <cell r="J233">
            <v>9.884294684410131E-7</v>
          </cell>
        </row>
        <row r="234">
          <cell r="A234" t="str">
            <v>TPSHPGSLEXT</v>
          </cell>
          <cell r="B234" t="str">
            <v>VAR_cap</v>
          </cell>
          <cell r="C234" t="str">
            <v>-</v>
          </cell>
          <cell r="H234">
            <v>3.2894471501898614E-4</v>
          </cell>
          <cell r="I234">
            <v>1.2610946331659267E-4</v>
          </cell>
          <cell r="J234">
            <v>3.4560571353875013E-6</v>
          </cell>
        </row>
        <row r="235">
          <cell r="A235" t="str">
            <v>T-Bat-Car-STG_S2</v>
          </cell>
          <cell r="B235" t="str">
            <v>VAR_fout</v>
          </cell>
          <cell r="C235" t="str">
            <v>T-ELC-car-BatSTGAUXout_S2</v>
          </cell>
          <cell r="H235">
            <v>9.9594949684757577</v>
          </cell>
          <cell r="I235">
            <v>10.680771715599935</v>
          </cell>
          <cell r="J235">
            <v>8.7134761501435438</v>
          </cell>
        </row>
        <row r="236">
          <cell r="A236" t="str">
            <v>T-Bat-Car-STG_S2</v>
          </cell>
          <cell r="B236" t="str">
            <v>VAR_fout</v>
          </cell>
          <cell r="C236" t="str">
            <v>T-ELC-car-BatSTGOut_S2</v>
          </cell>
          <cell r="H236">
            <v>9.9594949684757577</v>
          </cell>
          <cell r="I236">
            <v>10.680771715599935</v>
          </cell>
          <cell r="J236">
            <v>8.7134761501435403</v>
          </cell>
        </row>
        <row r="237">
          <cell r="A237" t="str">
            <v>T-Bat-Car-STG_S2</v>
          </cell>
          <cell r="B237" t="str">
            <v>VAR_fin</v>
          </cell>
          <cell r="C237" t="str">
            <v>T-ELC-car-BatSTGAUXin_S2</v>
          </cell>
          <cell r="H237">
            <v>9.9604971973577623</v>
          </cell>
          <cell r="I237">
            <v>10.6818454527453</v>
          </cell>
          <cell r="J237">
            <v>8.7143518006580418</v>
          </cell>
        </row>
        <row r="238">
          <cell r="A238" t="str">
            <v>T-Bat-Car-STG_S2</v>
          </cell>
          <cell r="B238" t="str">
            <v>VAR_fin</v>
          </cell>
          <cell r="C238" t="str">
            <v>T-ELC-car-BatSTGin_S2</v>
          </cell>
          <cell r="H238">
            <v>9.9604971973577623</v>
          </cell>
          <cell r="I238">
            <v>10.6818454527453</v>
          </cell>
          <cell r="J238">
            <v>8.7143518006580418</v>
          </cell>
        </row>
        <row r="239">
          <cell r="A239" t="str">
            <v>T-Bat-Car-STG_S2</v>
          </cell>
          <cell r="B239" t="str">
            <v>VAR_ncap</v>
          </cell>
          <cell r="C239" t="str">
            <v>-</v>
          </cell>
          <cell r="H239">
            <v>126.664000968701</v>
          </cell>
          <cell r="I239">
            <v>91.468370255002199</v>
          </cell>
          <cell r="J239">
            <v>136.747391069299</v>
          </cell>
        </row>
        <row r="240">
          <cell r="A240" t="str">
            <v>T-Bat-Car-STG_S2</v>
          </cell>
          <cell r="B240" t="str">
            <v>VAR_cap</v>
          </cell>
          <cell r="C240" t="str">
            <v>-</v>
          </cell>
          <cell r="H240">
            <v>152.9742834761073</v>
          </cell>
          <cell r="I240">
            <v>135.41103553546338</v>
          </cell>
          <cell r="J240">
            <v>143.8182243170628</v>
          </cell>
        </row>
        <row r="241">
          <cell r="A241" t="str">
            <v>T_TW-ICEGSL-S1</v>
          </cell>
          <cell r="B241" t="str">
            <v>VAR_fout</v>
          </cell>
          <cell r="C241" t="str">
            <v>CO2_T</v>
          </cell>
          <cell r="H241">
            <v>62.70371410597204</v>
          </cell>
          <cell r="I241">
            <v>65.833866039592237</v>
          </cell>
          <cell r="J241">
            <v>64.880360680276482</v>
          </cell>
        </row>
        <row r="242">
          <cell r="A242" t="str">
            <v>T_TW-ICEGSL-S1</v>
          </cell>
          <cell r="B242" t="str">
            <v>VAR_fout</v>
          </cell>
          <cell r="C242" t="str">
            <v>TPTWL</v>
          </cell>
          <cell r="H242">
            <v>1.7194873596068101</v>
          </cell>
          <cell r="I242">
            <v>1.84270210014624</v>
          </cell>
          <cell r="J242">
            <v>1.8988661402866782</v>
          </cell>
        </row>
        <row r="243">
          <cell r="A243" t="str">
            <v>T_TW-ICEGSL-S1</v>
          </cell>
          <cell r="B243" t="str">
            <v>VAR_fin</v>
          </cell>
          <cell r="C243" t="str">
            <v>TGSL</v>
          </cell>
          <cell r="H243">
            <v>0.84964382257414839</v>
          </cell>
          <cell r="I243">
            <v>0.89205780541452973</v>
          </cell>
          <cell r="J243">
            <v>0.87913767859453251</v>
          </cell>
        </row>
        <row r="244">
          <cell r="A244" t="str">
            <v>T_TW-ICEGSL-S1</v>
          </cell>
          <cell r="B244" t="str">
            <v>VAR_ncap</v>
          </cell>
          <cell r="C244" t="str">
            <v>-</v>
          </cell>
          <cell r="H244">
            <v>0.38727783787369702</v>
          </cell>
          <cell r="I244">
            <v>0.311414911183924</v>
          </cell>
          <cell r="J244">
            <v>0.57073209981873096</v>
          </cell>
        </row>
        <row r="245">
          <cell r="A245" t="str">
            <v>T_TW-ICEGSL-S1</v>
          </cell>
          <cell r="B245" t="str">
            <v>VAR_cap</v>
          </cell>
          <cell r="C245" t="str">
            <v>-</v>
          </cell>
          <cell r="H245">
            <v>0.68245152373503803</v>
          </cell>
          <cell r="I245">
            <v>0.74052119410384565</v>
          </cell>
          <cell r="J245">
            <v>0.79487103177042939</v>
          </cell>
        </row>
        <row r="246">
          <cell r="A246" t="str">
            <v>TPSHPDSLEXT</v>
          </cell>
          <cell r="B246" t="str">
            <v>VAR_fout</v>
          </cell>
          <cell r="C246" t="str">
            <v>TPSHP</v>
          </cell>
          <cell r="H246">
            <v>16.061661084047898</v>
          </cell>
          <cell r="I246">
            <v>16.061873155465101</v>
          </cell>
          <cell r="J246">
            <v>16.0617303832102</v>
          </cell>
        </row>
        <row r="247">
          <cell r="A247" t="str">
            <v>TPSHPDSLEXT</v>
          </cell>
          <cell r="B247" t="str">
            <v>VAR_fout</v>
          </cell>
          <cell r="C247" t="str">
            <v>CO2_T</v>
          </cell>
          <cell r="H247">
            <v>1191.2938967743501</v>
          </cell>
          <cell r="I247">
            <v>1191.30962611789</v>
          </cell>
          <cell r="J247">
            <v>1191.29903669535</v>
          </cell>
        </row>
        <row r="248">
          <cell r="A248" t="str">
            <v>TPSHPDSLEXT</v>
          </cell>
          <cell r="B248" t="str">
            <v>VAR_fin</v>
          </cell>
          <cell r="C248" t="str">
            <v>TDSL</v>
          </cell>
          <cell r="H248">
            <v>16.252304185188947</v>
          </cell>
          <cell r="I248">
            <v>16.252518773777496</v>
          </cell>
          <cell r="J248">
            <v>16.252374306894314</v>
          </cell>
        </row>
        <row r="249">
          <cell r="A249" t="str">
            <v>TPSHPDSLEXT</v>
          </cell>
          <cell r="B249" t="str">
            <v>VAR_ncap</v>
          </cell>
          <cell r="C249" t="str">
            <v>-</v>
          </cell>
          <cell r="H249">
            <v>1.13970152404386E-5</v>
          </cell>
          <cell r="I249">
            <v>10.4415095464975</v>
          </cell>
          <cell r="J249">
            <v>5.6202083669996101</v>
          </cell>
        </row>
        <row r="250">
          <cell r="A250" t="str">
            <v>TPSHPDSLEXT</v>
          </cell>
          <cell r="B250" t="str">
            <v>VAR_cap</v>
          </cell>
          <cell r="C250" t="str">
            <v>-</v>
          </cell>
          <cell r="H250">
            <v>16.061651866648972</v>
          </cell>
          <cell r="I250">
            <v>16.061867127915331</v>
          </cell>
          <cell r="J250">
            <v>16.061721678094099</v>
          </cell>
        </row>
        <row r="251">
          <cell r="A251" t="str">
            <v>T-Bat-Car-STG_S3</v>
          </cell>
          <cell r="B251" t="str">
            <v>VAR_fout</v>
          </cell>
          <cell r="C251" t="str">
            <v>T-ELC-car-BatSTGAUXout_S3</v>
          </cell>
          <cell r="H251">
            <v>3.0453436204071314</v>
          </cell>
          <cell r="I251">
            <v>3.4183414380019195</v>
          </cell>
          <cell r="J251">
            <v>3.0345070642554672</v>
          </cell>
        </row>
        <row r="252">
          <cell r="A252" t="str">
            <v>T-Bat-Car-STG_S3</v>
          </cell>
          <cell r="B252" t="str">
            <v>VAR_fout</v>
          </cell>
          <cell r="C252" t="str">
            <v>T-ELC-car-BatSTGOut_S3</v>
          </cell>
          <cell r="H252">
            <v>3.0453436204071309</v>
          </cell>
          <cell r="I252">
            <v>3.4183414380019195</v>
          </cell>
          <cell r="J252">
            <v>3.0345070642554672</v>
          </cell>
        </row>
        <row r="253">
          <cell r="A253" t="str">
            <v>T-Bat-Car-STG_S3</v>
          </cell>
          <cell r="B253" t="str">
            <v>VAR_fin</v>
          </cell>
          <cell r="C253" t="str">
            <v>T-ELC-car-BatSTGAUXin_S3</v>
          </cell>
          <cell r="H253">
            <v>3.0456542727289362</v>
          </cell>
          <cell r="I253">
            <v>3.4186888744017501</v>
          </cell>
          <cell r="J253">
            <v>3.0348147590278236</v>
          </cell>
        </row>
        <row r="254">
          <cell r="A254" t="str">
            <v>T-Bat-Car-STG_S3</v>
          </cell>
          <cell r="B254" t="str">
            <v>VAR_fin</v>
          </cell>
          <cell r="C254" t="str">
            <v>T-ELC-car-BatSTGin_S3</v>
          </cell>
          <cell r="H254">
            <v>3.0456542727289362</v>
          </cell>
          <cell r="I254">
            <v>3.4186888744017501</v>
          </cell>
          <cell r="J254">
            <v>3.0348147590278236</v>
          </cell>
        </row>
        <row r="255">
          <cell r="A255" t="str">
            <v>T-Bat-Car-STG_S3</v>
          </cell>
          <cell r="B255" t="str">
            <v>VAR_ncap</v>
          </cell>
          <cell r="C255" t="str">
            <v>-</v>
          </cell>
          <cell r="H255">
            <v>40.976484144876999</v>
          </cell>
          <cell r="I255">
            <v>14.1438759355092</v>
          </cell>
          <cell r="J255">
            <v>33.925882529419098</v>
          </cell>
        </row>
        <row r="256">
          <cell r="A256" t="str">
            <v>T-Bat-Car-STG_S3</v>
          </cell>
          <cell r="B256" t="str">
            <v>VAR_cap</v>
          </cell>
          <cell r="C256" t="str">
            <v>-</v>
          </cell>
          <cell r="H256">
            <v>44.76172961832313</v>
          </cell>
          <cell r="I256">
            <v>47.09505886236424</v>
          </cell>
          <cell r="J256">
            <v>45.23222509582817</v>
          </cell>
        </row>
        <row r="257">
          <cell r="A257" t="str">
            <v>T_TW-ICEGSL-S2</v>
          </cell>
          <cell r="B257" t="str">
            <v>VAR_fout</v>
          </cell>
          <cell r="C257" t="str">
            <v>CO2_T</v>
          </cell>
          <cell r="H257">
            <v>0.74637121250953997</v>
          </cell>
          <cell r="I257">
            <v>3.6815163395410563E-2</v>
          </cell>
          <cell r="J257">
            <v>2.1893131132409531E-2</v>
          </cell>
        </row>
        <row r="258">
          <cell r="A258" t="str">
            <v>T_TW-ICEGSL-S2</v>
          </cell>
          <cell r="B258" t="str">
            <v>VAR_fout</v>
          </cell>
          <cell r="C258" t="str">
            <v>TPTWL</v>
          </cell>
          <cell r="H258">
            <v>1.1231031659860426E-2</v>
          </cell>
          <cell r="I258">
            <v>5.8980562005483397E-4</v>
          </cell>
          <cell r="J258">
            <v>3.6097717438834389E-4</v>
          </cell>
        </row>
        <row r="259">
          <cell r="A259" t="str">
            <v>T_TW-ICEGSL-S2</v>
          </cell>
          <cell r="B259" t="str">
            <v>VAR_fin</v>
          </cell>
          <cell r="C259" t="str">
            <v>TGSL</v>
          </cell>
          <cell r="H259">
            <v>1.01134310638149E-2</v>
          </cell>
          <cell r="I259">
            <v>4.9885045251233772E-4</v>
          </cell>
          <cell r="J259">
            <v>2.9665489339308318E-4</v>
          </cell>
        </row>
        <row r="260">
          <cell r="A260" t="str">
            <v>T_TW-ICEGSL-S2</v>
          </cell>
          <cell r="B260" t="str">
            <v>VAR_ncap</v>
          </cell>
          <cell r="C260" t="str">
            <v>-</v>
          </cell>
          <cell r="H260">
            <v>1.07970872858405E-4</v>
          </cell>
          <cell r="I260">
            <v>8.2971365120201504E-5</v>
          </cell>
          <cell r="J260">
            <v>5.3673580159013799E-5</v>
          </cell>
        </row>
        <row r="261">
          <cell r="A261" t="str">
            <v>T_TW-ICEGSL-S2</v>
          </cell>
          <cell r="B261" t="str">
            <v>VAR_cap</v>
          </cell>
          <cell r="C261" t="str">
            <v>-</v>
          </cell>
          <cell r="H261">
            <v>5.2631577621232812E-3</v>
          </cell>
          <cell r="I261">
            <v>2.3672875954409514E-4</v>
          </cell>
          <cell r="J261">
            <v>1.4472721360684728E-4</v>
          </cell>
        </row>
        <row r="262">
          <cell r="A262" t="str">
            <v>T-Bat-Car-STG_S4</v>
          </cell>
          <cell r="B262" t="str">
            <v>VAR_fout</v>
          </cell>
          <cell r="C262" t="str">
            <v>T-ELC-car-BatSTGAUXout_S4</v>
          </cell>
          <cell r="H262">
            <v>12.157157828261987</v>
          </cell>
          <cell r="I262">
            <v>10.366284334955038</v>
          </cell>
          <cell r="J262">
            <v>9.8994184295905985</v>
          </cell>
        </row>
        <row r="263">
          <cell r="A263" t="str">
            <v>T-Bat-Car-STG_S4</v>
          </cell>
          <cell r="B263" t="str">
            <v>VAR_fout</v>
          </cell>
          <cell r="C263" t="str">
            <v>T-ELC-car-BatSTGOut_S4</v>
          </cell>
          <cell r="H263">
            <v>12.157157828261985</v>
          </cell>
          <cell r="I263">
            <v>10.366284334955038</v>
          </cell>
          <cell r="J263">
            <v>9.8994184295905985</v>
          </cell>
        </row>
        <row r="264">
          <cell r="A264" t="str">
            <v>T-Bat-Car-STG_S4</v>
          </cell>
          <cell r="B264" t="str">
            <v>VAR_fin</v>
          </cell>
          <cell r="C264" t="str">
            <v>T-ELC-car-BatSTGAUXin_S4</v>
          </cell>
          <cell r="H264">
            <v>12.158379732095126</v>
          </cell>
          <cell r="I264">
            <v>10.367325994602256</v>
          </cell>
          <cell r="J264">
            <v>9.9004126902560579</v>
          </cell>
        </row>
        <row r="265">
          <cell r="A265" t="str">
            <v>T-Bat-Car-STG_S4</v>
          </cell>
          <cell r="B265" t="str">
            <v>VAR_fin</v>
          </cell>
          <cell r="C265" t="str">
            <v>T-ELC-car-BatSTGin_S4</v>
          </cell>
          <cell r="H265">
            <v>12.158379732095126</v>
          </cell>
          <cell r="I265">
            <v>10.367325994602256</v>
          </cell>
          <cell r="J265">
            <v>9.9004126902560579</v>
          </cell>
        </row>
        <row r="266">
          <cell r="A266" t="str">
            <v>T-Bat-Car-STG_S4</v>
          </cell>
          <cell r="B266" t="str">
            <v>VAR_ncap</v>
          </cell>
          <cell r="C266" t="str">
            <v>-</v>
          </cell>
          <cell r="H266">
            <v>72.893805162712496</v>
          </cell>
          <cell r="I266">
            <v>57.293365302166201</v>
          </cell>
          <cell r="J266">
            <v>167.358962583362</v>
          </cell>
        </row>
        <row r="267">
          <cell r="A267" t="str">
            <v>T-Bat-Car-STG_S4</v>
          </cell>
          <cell r="B267" t="str">
            <v>VAR_cap</v>
          </cell>
          <cell r="C267" t="str">
            <v>-</v>
          </cell>
          <cell r="H267">
            <v>130.3857987737789</v>
          </cell>
          <cell r="I267">
            <v>110.29521470270711</v>
          </cell>
          <cell r="J267">
            <v>171.7348942704331</v>
          </cell>
        </row>
        <row r="268">
          <cell r="A268" t="str">
            <v>T_TW-ICEGSL-S3</v>
          </cell>
          <cell r="B268" t="str">
            <v>VAR_fout</v>
          </cell>
          <cell r="C268" t="str">
            <v>CO2_T</v>
          </cell>
          <cell r="H268">
            <v>13.914007318598774</v>
          </cell>
          <cell r="I268">
            <v>3.3974295609689187</v>
          </cell>
          <cell r="J268">
            <v>2.122105376025115E-2</v>
          </cell>
        </row>
        <row r="269">
          <cell r="A269" t="str">
            <v>T_TW-ICEGSL-S3</v>
          </cell>
          <cell r="B269" t="str">
            <v>VAR_fout</v>
          </cell>
          <cell r="C269" t="str">
            <v>TPTWL</v>
          </cell>
          <cell r="H269">
            <v>0.13768287622048356</v>
          </cell>
          <cell r="I269">
            <v>3.3674069393850356E-2</v>
          </cell>
          <cell r="J269">
            <v>2.2880556739003047E-4</v>
          </cell>
        </row>
        <row r="270">
          <cell r="A270" t="str">
            <v>T_TW-ICEGSL-S3</v>
          </cell>
          <cell r="B270" t="str">
            <v>VAR_fin</v>
          </cell>
          <cell r="C270" t="str">
            <v>TGSL</v>
          </cell>
          <cell r="H270">
            <v>0.18853668453385852</v>
          </cell>
          <cell r="I270">
            <v>4.6035630907437869E-2</v>
          </cell>
          <cell r="J270">
            <v>2.8754815393294229E-4</v>
          </cell>
        </row>
        <row r="271">
          <cell r="A271" t="str">
            <v>T_TW-ICEGSL-S3</v>
          </cell>
          <cell r="B271" t="str">
            <v>VAR_ncap</v>
          </cell>
          <cell r="C271" t="str">
            <v>-</v>
          </cell>
          <cell r="H271">
            <v>3.6148032105392997E-5</v>
          </cell>
          <cell r="I271">
            <v>2.9010403413974201E-5</v>
          </cell>
          <cell r="J271">
            <v>2.3893743861792299E-5</v>
          </cell>
        </row>
        <row r="272">
          <cell r="A272" t="str">
            <v>T_TW-ICEGSL-S3</v>
          </cell>
          <cell r="B272" t="str">
            <v>VAR_cap</v>
          </cell>
          <cell r="C272" t="str">
            <v>-</v>
          </cell>
          <cell r="H272">
            <v>6.6072014366553369E-2</v>
          </cell>
          <cell r="I272">
            <v>1.6092097930968427E-2</v>
          </cell>
          <cell r="J272">
            <v>9.1926046773003128E-5</v>
          </cell>
        </row>
        <row r="273">
          <cell r="A273" t="str">
            <v>T_C-ICEGSLEXT</v>
          </cell>
          <cell r="B273" t="str">
            <v>VAR_fout</v>
          </cell>
          <cell r="C273" t="str">
            <v>CO2_T</v>
          </cell>
        </row>
        <row r="274">
          <cell r="A274" t="str">
            <v>T_C-ICEGSLEXT</v>
          </cell>
          <cell r="B274" t="str">
            <v>VAR_fout</v>
          </cell>
          <cell r="C274" t="str">
            <v>TPCAR</v>
          </cell>
        </row>
        <row r="275">
          <cell r="A275" t="str">
            <v>T_C-ICEGSLEXT</v>
          </cell>
          <cell r="B275" t="str">
            <v>VAR_fin</v>
          </cell>
          <cell r="C275" t="str">
            <v>TGSL</v>
          </cell>
        </row>
        <row r="276">
          <cell r="A276" t="str">
            <v>T_C-ICEGSLEXT</v>
          </cell>
          <cell r="B276" t="str">
            <v>VAR_cap</v>
          </cell>
          <cell r="C276" t="str">
            <v>-</v>
          </cell>
        </row>
        <row r="277">
          <cell r="A277" t="str">
            <v>T_TW-ICEGSL-S4</v>
          </cell>
          <cell r="B277" t="str">
            <v>VAR_fout</v>
          </cell>
          <cell r="C277" t="str">
            <v>CO2_T</v>
          </cell>
          <cell r="H277">
            <v>9.3226686600072792</v>
          </cell>
          <cell r="I277">
            <v>8.4410992059224323</v>
          </cell>
          <cell r="J277">
            <v>0.52150252930535135</v>
          </cell>
        </row>
        <row r="278">
          <cell r="A278" t="str">
            <v>T_TW-ICEGSL-S4</v>
          </cell>
          <cell r="B278" t="str">
            <v>VAR_fout</v>
          </cell>
          <cell r="C278" t="str">
            <v>TPTWL</v>
          </cell>
          <cell r="H278">
            <v>8.5453039122774674E-2</v>
          </cell>
          <cell r="I278">
            <v>7.7383584948132286E-2</v>
          </cell>
          <cell r="J278">
            <v>4.8011829343547058E-3</v>
          </cell>
        </row>
        <row r="279">
          <cell r="A279" t="str">
            <v>T_TW-ICEGSL-S4</v>
          </cell>
          <cell r="B279" t="str">
            <v>VAR_fin</v>
          </cell>
          <cell r="C279" t="str">
            <v>TGSL</v>
          </cell>
          <cell r="H279">
            <v>0.1263234235773345</v>
          </cell>
          <cell r="I279">
            <v>0.11437803802062918</v>
          </cell>
          <cell r="J279">
            <v>7.066429936386869E-3</v>
          </cell>
        </row>
        <row r="280">
          <cell r="A280" t="str">
            <v>T_TW-ICEGSL-S4</v>
          </cell>
          <cell r="B280" t="str">
            <v>VAR_ncap</v>
          </cell>
          <cell r="C280" t="str">
            <v>-</v>
          </cell>
          <cell r="H280">
            <v>1.7558320006441E-5</v>
          </cell>
          <cell r="I280">
            <v>1.5587827950116E-5</v>
          </cell>
          <cell r="J280">
            <v>1.2685918255924201E-5</v>
          </cell>
        </row>
        <row r="281">
          <cell r="A281" t="str">
            <v>T_TW-ICEGSL-S4</v>
          </cell>
          <cell r="B281" t="str">
            <v>VAR_cap</v>
          </cell>
          <cell r="C281" t="str">
            <v>-</v>
          </cell>
          <cell r="H281">
            <v>4.0949817066242351E-2</v>
          </cell>
          <cell r="I281">
            <v>3.7111210362704601E-2</v>
          </cell>
          <cell r="J281">
            <v>2.2680526139862555E-3</v>
          </cell>
        </row>
        <row r="282">
          <cell r="A282" t="str">
            <v>T_C-ICEDSLEXT</v>
          </cell>
          <cell r="B282" t="str">
            <v>VAR_fout</v>
          </cell>
          <cell r="C282" t="str">
            <v>CO2_T</v>
          </cell>
        </row>
        <row r="283">
          <cell r="A283" t="str">
            <v>T_C-ICEDSLEXT</v>
          </cell>
          <cell r="B283" t="str">
            <v>VAR_fout</v>
          </cell>
          <cell r="C283" t="str">
            <v>TPCAR</v>
          </cell>
        </row>
        <row r="284">
          <cell r="A284" t="str">
            <v>T_C-ICEDSLEXT</v>
          </cell>
          <cell r="B284" t="str">
            <v>VAR_fin</v>
          </cell>
          <cell r="C284" t="str">
            <v>TDSL</v>
          </cell>
        </row>
        <row r="285">
          <cell r="A285" t="str">
            <v>T_C-ICEDSLEXT</v>
          </cell>
          <cell r="B285" t="str">
            <v>VAR_cap</v>
          </cell>
          <cell r="C285" t="str">
            <v>-</v>
          </cell>
        </row>
        <row r="286">
          <cell r="A286" t="str">
            <v>T-Plg-ELC-GSL_S1</v>
          </cell>
          <cell r="B286" t="str">
            <v>VAR_fout</v>
          </cell>
          <cell r="C286" t="str">
            <v>T-PEVmix-ELC_GSL_S1</v>
          </cell>
          <cell r="H286">
            <v>2.6341043382780484E-4</v>
          </cell>
          <cell r="I286">
            <v>3.2061651695059672E-4</v>
          </cell>
          <cell r="J286">
            <v>2.9882662946649301E-4</v>
          </cell>
        </row>
        <row r="287">
          <cell r="A287" t="str">
            <v>T-Plg-ELC-GSL_S1</v>
          </cell>
          <cell r="B287" t="str">
            <v>VAR_fin</v>
          </cell>
          <cell r="C287" t="str">
            <v>T-ELC-car-PlgSTGOut_S1</v>
          </cell>
          <cell r="H287">
            <v>1.4125569905367808E-4</v>
          </cell>
          <cell r="I287">
            <v>1.6793083381689563E-4</v>
          </cell>
          <cell r="J287">
            <v>1.4646095709232871E-4</v>
          </cell>
        </row>
        <row r="288">
          <cell r="A288" t="str">
            <v>T-Plg-ELC-GSL_S2</v>
          </cell>
          <cell r="B288" t="str">
            <v>VAR_fout</v>
          </cell>
          <cell r="C288" t="str">
            <v>T-PEVmix-ELC_GSL_S2</v>
          </cell>
          <cell r="H288">
            <v>3.601926283884446E-3</v>
          </cell>
          <cell r="I288">
            <v>1.5104628408326394E-3</v>
          </cell>
          <cell r="J288">
            <v>1.2778571300379167E-3</v>
          </cell>
        </row>
        <row r="289">
          <cell r="A289" t="str">
            <v>T-Plg-ELC-GSL_S2</v>
          </cell>
          <cell r="B289" t="str">
            <v>VAR_fin</v>
          </cell>
          <cell r="C289" t="str">
            <v>T-ELC-car-PlgSTGOut_S2</v>
          </cell>
          <cell r="H289">
            <v>2.3141799847281263E-3</v>
          </cell>
          <cell r="I289">
            <v>9.4970597639225916E-4</v>
          </cell>
          <cell r="J289">
            <v>7.3925074384832983E-4</v>
          </cell>
        </row>
        <row r="290">
          <cell r="A290" t="str">
            <v>T-Plg-ELC-DSL_S1</v>
          </cell>
          <cell r="B290" t="str">
            <v>VAR_fout</v>
          </cell>
          <cell r="C290" t="str">
            <v>T-PEVmix-ELC_DSL_S1</v>
          </cell>
          <cell r="H290">
            <v>2.7453430756481942E-4</v>
          </cell>
          <cell r="I290">
            <v>3.2174062978906692E-4</v>
          </cell>
          <cell r="J290">
            <v>2.9331419108935525E-4</v>
          </cell>
        </row>
        <row r="291">
          <cell r="A291" t="str">
            <v>T-Plg-ELC-DSL_S1</v>
          </cell>
          <cell r="B291" t="str">
            <v>VAR_fin</v>
          </cell>
          <cell r="C291" t="str">
            <v>T-ELC-car-PlgSTGOut_S1</v>
          </cell>
          <cell r="H291">
            <v>1.472190598356355E-4</v>
          </cell>
          <cell r="I291">
            <v>1.6851925577766582E-4</v>
          </cell>
          <cell r="J291">
            <v>1.4378201911391598E-4</v>
          </cell>
        </row>
        <row r="292">
          <cell r="A292" t="str">
            <v>T_TRM_ELC</v>
          </cell>
          <cell r="B292" t="str">
            <v>VAR_fout</v>
          </cell>
          <cell r="C292" t="str">
            <v>TPTRM</v>
          </cell>
          <cell r="H292">
            <v>3.8185104274620588E-2</v>
          </cell>
          <cell r="I292">
            <v>3.9048512196511807E-2</v>
          </cell>
          <cell r="J292">
            <v>4.0347931071859175E-2</v>
          </cell>
        </row>
        <row r="293">
          <cell r="A293" t="str">
            <v>T_TRM_ELC</v>
          </cell>
          <cell r="B293" t="str">
            <v>VAR_fin</v>
          </cell>
          <cell r="C293" t="str">
            <v>TELC</v>
          </cell>
          <cell r="H293">
            <v>0.7561616857731851</v>
          </cell>
          <cell r="I293">
            <v>0.77325934733858914</v>
          </cell>
          <cell r="J293">
            <v>0.79899112903654423</v>
          </cell>
        </row>
        <row r="294">
          <cell r="A294" t="str">
            <v>T-Plg-ELC-GSL_S3</v>
          </cell>
          <cell r="B294" t="str">
            <v>VAR_fout</v>
          </cell>
          <cell r="C294" t="str">
            <v>T-PEVmix-ELC_GSL_S3</v>
          </cell>
          <cell r="H294">
            <v>1.855212727283164</v>
          </cell>
          <cell r="I294">
            <v>2.1675269398192487</v>
          </cell>
          <cell r="J294">
            <v>2.5366345257284966</v>
          </cell>
        </row>
        <row r="295">
          <cell r="A295" t="str">
            <v>T-Plg-ELC-GSL_S3</v>
          </cell>
          <cell r="B295" t="str">
            <v>VAR_fin</v>
          </cell>
          <cell r="C295" t="str">
            <v>T-ELC-car-PlgSTGOut_S3</v>
          </cell>
          <cell r="H295">
            <v>1.261683687276016</v>
          </cell>
          <cell r="I295">
            <v>1.4076019159571773</v>
          </cell>
          <cell r="J295">
            <v>1.4947116956150386</v>
          </cell>
        </row>
        <row r="296">
          <cell r="A296" t="str">
            <v>T-Plg-ELC-DSL_S2</v>
          </cell>
          <cell r="B296" t="str">
            <v>VAR_fout</v>
          </cell>
          <cell r="C296" t="str">
            <v>T-PEVmix-ELC_DSL_S2</v>
          </cell>
          <cell r="H296">
            <v>1.2137456301151343E-3</v>
          </cell>
          <cell r="I296">
            <v>1.6709775231807591E-3</v>
          </cell>
          <cell r="J296">
            <v>1.2601472180503242E-3</v>
          </cell>
        </row>
        <row r="297">
          <cell r="A297" t="str">
            <v>T-Plg-ELC-DSL_S2</v>
          </cell>
          <cell r="B297" t="str">
            <v>VAR_fin</v>
          </cell>
          <cell r="C297" t="str">
            <v>T-ELC-car-PlgSTGOut_S2</v>
          </cell>
          <cell r="H297">
            <v>7.8618899079746529E-4</v>
          </cell>
          <cell r="I297">
            <v>1.0498112643614211E-3</v>
          </cell>
          <cell r="J297">
            <v>7.296837142093418E-4</v>
          </cell>
        </row>
        <row r="298">
          <cell r="A298" t="str">
            <v>T_TW-ICEGSLEXT</v>
          </cell>
          <cell r="B298" t="str">
            <v>VAR_fout</v>
          </cell>
          <cell r="C298" t="str">
            <v>CO2_T</v>
          </cell>
        </row>
        <row r="299">
          <cell r="A299" t="str">
            <v>T_TW-ICEGSLEXT</v>
          </cell>
          <cell r="B299" t="str">
            <v>VAR_fout</v>
          </cell>
          <cell r="C299" t="str">
            <v>TPTWL</v>
          </cell>
        </row>
        <row r="300">
          <cell r="A300" t="str">
            <v>T_TW-ICEGSLEXT</v>
          </cell>
          <cell r="B300" t="str">
            <v>VAR_fin</v>
          </cell>
          <cell r="C300" t="str">
            <v>TGSL</v>
          </cell>
        </row>
        <row r="301">
          <cell r="A301" t="str">
            <v>T_TW-ICEGSLEXT</v>
          </cell>
          <cell r="B301" t="str">
            <v>VAR_cap</v>
          </cell>
          <cell r="C301" t="str">
            <v>-</v>
          </cell>
        </row>
        <row r="302">
          <cell r="A302" t="str">
            <v>T-Plg-ELC-GSL_S4</v>
          </cell>
          <cell r="B302" t="str">
            <v>VAR_fout</v>
          </cell>
          <cell r="C302" t="str">
            <v>T-PEVmix-ELC_GSL_S4</v>
          </cell>
          <cell r="H302">
            <v>7.3076483881981472E-3</v>
          </cell>
          <cell r="I302">
            <v>1.884819477572574E-3</v>
          </cell>
          <cell r="J302">
            <v>1.5092599687068155E-3</v>
          </cell>
        </row>
        <row r="303">
          <cell r="A303" t="str">
            <v>T-Plg-ELC-GSL_S4</v>
          </cell>
          <cell r="B303" t="str">
            <v>VAR_fin</v>
          </cell>
          <cell r="C303" t="str">
            <v>T-ELC-car-PlgSTGOut_S4</v>
          </cell>
          <cell r="H303">
            <v>5.2551802547852414E-3</v>
          </cell>
          <cell r="I303">
            <v>1.3318621998000199E-3</v>
          </cell>
          <cell r="J303">
            <v>9.8602968963732514E-4</v>
          </cell>
        </row>
        <row r="304">
          <cell r="A304" t="str">
            <v>T-Plg-ELC-DSL_S3</v>
          </cell>
          <cell r="B304" t="str">
            <v>VAR_fout</v>
          </cell>
          <cell r="C304" t="str">
            <v>T-PEVmix-ELC_DSL_S3</v>
          </cell>
          <cell r="H304">
            <v>3.194380093239817</v>
          </cell>
          <cell r="I304">
            <v>4.4019605685642169</v>
          </cell>
          <cell r="J304">
            <v>5.4845505126585463</v>
          </cell>
        </row>
        <row r="305">
          <cell r="A305" t="str">
            <v>T-Plg-ELC-DSL_S3</v>
          </cell>
          <cell r="B305" t="str">
            <v>VAR_fin</v>
          </cell>
          <cell r="C305" t="str">
            <v>T-ELC-car-PlgSTGOut_S3</v>
          </cell>
          <cell r="H305">
            <v>2.1723233851580108</v>
          </cell>
          <cell r="I305">
            <v>2.8585037613458977</v>
          </cell>
          <cell r="J305">
            <v>3.2315802410617045</v>
          </cell>
        </row>
        <row r="306">
          <cell r="A306" t="str">
            <v>T-Plg-ELC-DSL_S4</v>
          </cell>
          <cell r="B306" t="str">
            <v>VAR_fout</v>
          </cell>
          <cell r="C306" t="str">
            <v>T-PEVmix-ELC_DSL_S4</v>
          </cell>
          <cell r="H306">
            <v>2.0673656867286803E-3</v>
          </cell>
          <cell r="I306">
            <v>2.0264113722220744E-3</v>
          </cell>
          <cell r="J306">
            <v>1.5226334412799972E-3</v>
          </cell>
        </row>
        <row r="307">
          <cell r="A307" t="str">
            <v>T-Plg-ELC-DSL_S4</v>
          </cell>
          <cell r="B307" t="str">
            <v>VAR_fin</v>
          </cell>
          <cell r="C307" t="str">
            <v>T-ELC-car-PlgSTGOut_S4</v>
          </cell>
          <cell r="H307">
            <v>1.5011793930021905E-3</v>
          </cell>
          <cell r="I307">
            <v>1.4310699004296443E-3</v>
          </cell>
          <cell r="J307">
            <v>9.9458621258153375E-4</v>
          </cell>
        </row>
        <row r="308">
          <cell r="A308" t="str">
            <v>TFLGV-ICENGA</v>
          </cell>
          <cell r="B308" t="str">
            <v>VAR_fout</v>
          </cell>
          <cell r="C308" t="str">
            <v>CO2_T</v>
          </cell>
          <cell r="H308">
            <v>8.2957057650567198E-3</v>
          </cell>
          <cell r="I308">
            <v>8.006371453425816E-3</v>
          </cell>
          <cell r="J308">
            <v>6.9305330764687072E-3</v>
          </cell>
        </row>
        <row r="309">
          <cell r="A309" t="str">
            <v>TFLGV-ICENGA</v>
          </cell>
          <cell r="B309" t="str">
            <v>VAR_fout</v>
          </cell>
          <cell r="C309" t="str">
            <v>TFLGV</v>
          </cell>
          <cell r="H309">
            <v>4.7152692643053039E-5</v>
          </cell>
          <cell r="I309">
            <v>4.550811986602814E-5</v>
          </cell>
          <cell r="J309">
            <v>3.9393067360677692E-5</v>
          </cell>
        </row>
        <row r="310">
          <cell r="A310" t="str">
            <v>TFLGV-ICENGA</v>
          </cell>
          <cell r="B310" t="str">
            <v>VAR_fin</v>
          </cell>
          <cell r="C310" t="str">
            <v>TNGA</v>
          </cell>
          <cell r="H310">
            <v>1.4708698164994183E-4</v>
          </cell>
          <cell r="I310">
            <v>1.4195694066357827E-4</v>
          </cell>
          <cell r="J310">
            <v>1.2288179213596989E-4</v>
          </cell>
        </row>
        <row r="311">
          <cell r="A311" t="str">
            <v>TFLGV-ICENGA</v>
          </cell>
          <cell r="B311" t="str">
            <v>VAR_ncap</v>
          </cell>
          <cell r="C311" t="str">
            <v>-</v>
          </cell>
          <cell r="H311">
            <v>2.4431076141181902E-6</v>
          </cell>
          <cell r="I311">
            <v>1.3856056653712101E-6</v>
          </cell>
          <cell r="J311">
            <v>2.1558336887364701E-6</v>
          </cell>
        </row>
        <row r="312">
          <cell r="A312" t="str">
            <v>TFLGV-ICENGA</v>
          </cell>
          <cell r="B312" t="str">
            <v>VAR_cap</v>
          </cell>
          <cell r="C312" t="str">
            <v>-</v>
          </cell>
          <cell r="H312">
            <v>3.7801944658587821E-6</v>
          </cell>
          <cell r="I312">
            <v>3.6253396768321694E-6</v>
          </cell>
          <cell r="J312">
            <v>3.2200166804458058E-6</v>
          </cell>
        </row>
        <row r="313">
          <cell r="A313" t="str">
            <v>TFLGV-BEVELC</v>
          </cell>
          <cell r="B313" t="str">
            <v>VAR_fout</v>
          </cell>
          <cell r="C313" t="str">
            <v>TFLGV</v>
          </cell>
          <cell r="H313">
            <v>2.0153313436828384</v>
          </cell>
          <cell r="I313">
            <v>3.1849395091439616</v>
          </cell>
          <cell r="J313">
            <v>3.4152817764808563</v>
          </cell>
        </row>
        <row r="314">
          <cell r="A314" t="str">
            <v>TFLGV-BEVELC</v>
          </cell>
          <cell r="B314" t="str">
            <v>VAR_fin</v>
          </cell>
          <cell r="C314" t="str">
            <v>T-ELC-LGV_BatSTGout</v>
          </cell>
          <cell r="H314">
            <v>2.9578174992897903</v>
          </cell>
          <cell r="I314">
            <v>4.6744024717595005</v>
          </cell>
          <cell r="J314">
            <v>5.0124661808814519</v>
          </cell>
        </row>
        <row r="315">
          <cell r="A315" t="str">
            <v>TFLGV-BEVELC</v>
          </cell>
          <cell r="B315" t="str">
            <v>VAR_ncap</v>
          </cell>
          <cell r="C315" t="str">
            <v>-</v>
          </cell>
          <cell r="H315">
            <v>0.11293426669725801</v>
          </cell>
          <cell r="I315">
            <v>0.195351964523899</v>
          </cell>
          <cell r="J315">
            <v>0.221283655831882</v>
          </cell>
        </row>
        <row r="316">
          <cell r="A316" t="str">
            <v>TFLGV-BEVELC</v>
          </cell>
          <cell r="B316" t="str">
            <v>VAR_cap</v>
          </cell>
          <cell r="C316" t="str">
            <v>-</v>
          </cell>
          <cell r="H316">
            <v>0.16450001782076482</v>
          </cell>
          <cell r="I316">
            <v>0.31642285228199857</v>
          </cell>
          <cell r="J316">
            <v>0.33907237405487844</v>
          </cell>
        </row>
        <row r="317">
          <cell r="A317" t="str">
            <v>T_B_c-BEVELC-S1</v>
          </cell>
          <cell r="B317" t="str">
            <v>VAR_fout</v>
          </cell>
          <cell r="C317" t="str">
            <v>TPBSc</v>
          </cell>
          <cell r="H317">
            <v>5.9058606935348708E-2</v>
          </cell>
          <cell r="I317">
            <v>4.7404628536298815E-2</v>
          </cell>
          <cell r="J317">
            <v>2.8138880533231991E-2</v>
          </cell>
        </row>
        <row r="318">
          <cell r="A318" t="str">
            <v>T_B_c-BEVELC-S1</v>
          </cell>
          <cell r="B318" t="str">
            <v>VAR_fin</v>
          </cell>
          <cell r="C318" t="str">
            <v>T-ELC-Bus_c_BatSTGout_S1</v>
          </cell>
          <cell r="H318">
            <v>0.12676171335465294</v>
          </cell>
          <cell r="I318">
            <v>0.10056743905455559</v>
          </cell>
          <cell r="J318">
            <v>5.3939280226256041E-2</v>
          </cell>
        </row>
        <row r="319">
          <cell r="A319" t="str">
            <v>T_B_c-BEVELC-S1</v>
          </cell>
          <cell r="B319" t="str">
            <v>VAR_ncap</v>
          </cell>
          <cell r="C319" t="str">
            <v>-</v>
          </cell>
          <cell r="H319">
            <v>1.0162649259728999E-3</v>
          </cell>
          <cell r="I319">
            <v>1.3558055679082701E-5</v>
          </cell>
          <cell r="J319">
            <v>4.6270170676826402E-4</v>
          </cell>
        </row>
        <row r="320">
          <cell r="A320" t="str">
            <v>T_B_c-BEVELC-S1</v>
          </cell>
          <cell r="B320" t="str">
            <v>VAR_cap</v>
          </cell>
          <cell r="C320" t="str">
            <v>-</v>
          </cell>
          <cell r="H320">
            <v>1.2849397862566101E-3</v>
          </cell>
          <cell r="I320">
            <v>1.0307558630583821E-3</v>
          </cell>
          <cell r="J320">
            <v>6.4781656612007449E-4</v>
          </cell>
        </row>
        <row r="321">
          <cell r="A321" t="str">
            <v>T_B_c-BEVELC-S2</v>
          </cell>
          <cell r="B321" t="str">
            <v>VAR_fout</v>
          </cell>
          <cell r="C321" t="str">
            <v>TPBSc</v>
          </cell>
          <cell r="H321">
            <v>2.4927778349420376E-2</v>
          </cell>
          <cell r="I321">
            <v>3.6327135500142958E-2</v>
          </cell>
          <cell r="J321">
            <v>4.7900521405511508E-2</v>
          </cell>
        </row>
        <row r="322">
          <cell r="A322" t="str">
            <v>T_B_c-BEVELC-S2</v>
          </cell>
          <cell r="B322" t="str">
            <v>VAR_fin</v>
          </cell>
          <cell r="C322" t="str">
            <v>T-ELC-Bus_c_BatSTGout_S2</v>
          </cell>
          <cell r="H322">
            <v>7.3247518855355506E-2</v>
          </cell>
          <cell r="I322">
            <v>0.1047168857957822</v>
          </cell>
          <cell r="J322">
            <v>0.12512037886239136</v>
          </cell>
        </row>
        <row r="323">
          <cell r="A323" t="str">
            <v>T_B_c-BEVELC-S2</v>
          </cell>
          <cell r="B323" t="str">
            <v>VAR_ncap</v>
          </cell>
          <cell r="C323" t="str">
            <v>-</v>
          </cell>
          <cell r="H323">
            <v>5.1351799682402199E-4</v>
          </cell>
          <cell r="I323">
            <v>2.7105798360091697E-4</v>
          </cell>
          <cell r="J323">
            <v>8.1730911102000905E-4</v>
          </cell>
        </row>
        <row r="324">
          <cell r="A324" t="str">
            <v>T_B_c-BEVELC-S2</v>
          </cell>
          <cell r="B324" t="str">
            <v>VAR_cap</v>
          </cell>
          <cell r="C324" t="str">
            <v>-</v>
          </cell>
          <cell r="H324">
            <v>5.4501162343846706E-4</v>
          </cell>
          <cell r="I324">
            <v>7.8961999499904754E-4</v>
          </cell>
          <cell r="J324">
            <v>1.0433598656715577E-3</v>
          </cell>
        </row>
        <row r="325">
          <cell r="A325" t="str">
            <v>T_B_c-BEVELC-S3</v>
          </cell>
          <cell r="B325" t="str">
            <v>VAR_fout</v>
          </cell>
          <cell r="C325" t="str">
            <v>TPBSc</v>
          </cell>
          <cell r="H325">
            <v>8.5105053100449678E-4</v>
          </cell>
          <cell r="I325">
            <v>1.2886206908311435E-3</v>
          </cell>
          <cell r="J325">
            <v>7.2501441070327846E-3</v>
          </cell>
        </row>
        <row r="326">
          <cell r="A326" t="str">
            <v>T_B_c-BEVELC-S3</v>
          </cell>
          <cell r="B326" t="str">
            <v>VAR_fin</v>
          </cell>
          <cell r="C326" t="str">
            <v>T-ELC-Bus_c_BatSTGout_S3</v>
          </cell>
          <cell r="H326">
            <v>3.7611734126751784E-3</v>
          </cell>
          <cell r="I326">
            <v>5.5517456066942689E-3</v>
          </cell>
          <cell r="J326">
            <v>2.7722968857396717E-2</v>
          </cell>
        </row>
        <row r="327">
          <cell r="A327" t="str">
            <v>T_B_c-BEVELC-S3</v>
          </cell>
          <cell r="B327" t="str">
            <v>VAR_ncap</v>
          </cell>
          <cell r="C327" t="str">
            <v>-</v>
          </cell>
          <cell r="H327">
            <v>1.6632946798517899E-5</v>
          </cell>
          <cell r="I327">
            <v>1.1461092871232E-5</v>
          </cell>
          <cell r="J327">
            <v>1.53709312517764E-4</v>
          </cell>
        </row>
        <row r="328">
          <cell r="A328" t="str">
            <v>T_B_c-BEVELC-S3</v>
          </cell>
          <cell r="B328" t="str">
            <v>VAR_cap</v>
          </cell>
          <cell r="C328" t="str">
            <v>-</v>
          </cell>
          <cell r="H328">
            <v>1.8650540799773899E-5</v>
          </cell>
          <cell r="I328">
            <v>2.8094039669749899E-5</v>
          </cell>
          <cell r="J328">
            <v>1.5763498033707099E-4</v>
          </cell>
        </row>
        <row r="329">
          <cell r="A329" t="str">
            <v>T_B_c-BEVELC-S4</v>
          </cell>
          <cell r="B329" t="str">
            <v>VAR_fout</v>
          </cell>
          <cell r="C329" t="str">
            <v>TPBSc</v>
          </cell>
          <cell r="H329">
            <v>1.4156821528696347E-5</v>
          </cell>
          <cell r="I329">
            <v>1.9853861754481936E-5</v>
          </cell>
          <cell r="J329">
            <v>6.4979536286242542E-6</v>
          </cell>
        </row>
        <row r="330">
          <cell r="A330" t="str">
            <v>T_B_c-BEVELC-S4</v>
          </cell>
          <cell r="B330" t="str">
            <v>VAR_fin</v>
          </cell>
          <cell r="C330" t="str">
            <v>T-ELC-Bus_c_BatSTGout_S4</v>
          </cell>
          <cell r="H330">
            <v>9.3615554646744986E-5</v>
          </cell>
          <cell r="I330">
            <v>1.2627407685523778E-4</v>
          </cell>
          <cell r="J330">
            <v>3.7931203081256631E-5</v>
          </cell>
        </row>
        <row r="331">
          <cell r="A331" t="str">
            <v>T_B_c-BEVELC-S4</v>
          </cell>
          <cell r="B331" t="str">
            <v>VAR_ncap</v>
          </cell>
          <cell r="C331" t="str">
            <v>-</v>
          </cell>
          <cell r="H331">
            <v>3.40351395964811E-7</v>
          </cell>
          <cell r="I331">
            <v>3.6524728541303001E-7</v>
          </cell>
          <cell r="J331">
            <v>1.4608159764027E-7</v>
          </cell>
        </row>
        <row r="332">
          <cell r="A332" t="str">
            <v>T_B_c-BEVELC-S4</v>
          </cell>
          <cell r="B332" t="str">
            <v>VAR_cap</v>
          </cell>
          <cell r="C332" t="str">
            <v>-</v>
          </cell>
          <cell r="H332">
            <v>3.9761271263515699E-7</v>
          </cell>
          <cell r="I332">
            <v>5.4612611888094839E-7</v>
          </cell>
          <cell r="J332">
            <v>2.10178345678244E-7</v>
          </cell>
        </row>
        <row r="333">
          <cell r="A333" t="str">
            <v>T_C-BAT-ELC-S1</v>
          </cell>
          <cell r="B333" t="str">
            <v>VAR_fout</v>
          </cell>
          <cell r="C333" t="str">
            <v>TPCAR</v>
          </cell>
          <cell r="H333">
            <v>8.3307877096633065E-3</v>
          </cell>
          <cell r="I333">
            <v>0.10165927039893971</v>
          </cell>
          <cell r="J333">
            <v>1.7119774238583825</v>
          </cell>
        </row>
        <row r="334">
          <cell r="A334" t="str">
            <v>T_C-BAT-ELC-S1</v>
          </cell>
          <cell r="B334" t="str">
            <v>VAR_fin</v>
          </cell>
          <cell r="C334" t="str">
            <v>T-ELC-car-BatSTGOut_S1</v>
          </cell>
          <cell r="H334">
            <v>4.488466754363268E-3</v>
          </cell>
          <cell r="I334">
            <v>5.1101718487359442E-2</v>
          </cell>
          <cell r="J334">
            <v>0.78010376694508965</v>
          </cell>
        </row>
        <row r="335">
          <cell r="A335" t="str">
            <v>T_C-BAT-ELC-S1</v>
          </cell>
          <cell r="B335" t="str">
            <v>VAR_ncap</v>
          </cell>
          <cell r="C335" t="str">
            <v>-</v>
          </cell>
          <cell r="H335">
            <v>6.4252243936790097E-4</v>
          </cell>
          <cell r="I335">
            <v>1.54158102821953E-2</v>
          </cell>
          <cell r="J335">
            <v>0.29552386273653702</v>
          </cell>
        </row>
        <row r="336">
          <cell r="A336" t="str">
            <v>T_C-BAT-ELC-S1</v>
          </cell>
          <cell r="B336" t="str">
            <v>VAR_cap</v>
          </cell>
          <cell r="C336" t="str">
            <v>-</v>
          </cell>
          <cell r="H336">
            <v>1.2539407116116598E-3</v>
          </cell>
          <cell r="I336">
            <v>1.5442693265474846E-2</v>
          </cell>
          <cell r="J336">
            <v>0.26017617157276707</v>
          </cell>
        </row>
        <row r="337">
          <cell r="A337" t="str">
            <v>D-TNGA</v>
          </cell>
          <cell r="B337" t="str">
            <v>VAR_fout</v>
          </cell>
          <cell r="C337" t="str">
            <v>CO2</v>
          </cell>
          <cell r="H337">
            <v>0.17789380701414101</v>
          </cell>
          <cell r="I337">
            <v>0.20404900214830601</v>
          </cell>
          <cell r="J337">
            <v>0.183256671942885</v>
          </cell>
        </row>
        <row r="338">
          <cell r="A338" t="str">
            <v>D-TNGA</v>
          </cell>
          <cell r="B338" t="str">
            <v>VAR_fout</v>
          </cell>
          <cell r="C338" t="str">
            <v>TNGA</v>
          </cell>
          <cell r="H338">
            <v>3.868890378863898E-3</v>
          </cell>
          <cell r="I338">
            <v>3.7180865298420888E-3</v>
          </cell>
          <cell r="J338">
            <v>3.3229127544696915E-3</v>
          </cell>
        </row>
        <row r="339">
          <cell r="A339" t="str">
            <v>D-TNGA</v>
          </cell>
          <cell r="B339" t="str">
            <v>VAR_fin</v>
          </cell>
          <cell r="C339" t="str">
            <v>NGA</v>
          </cell>
          <cell r="H339">
            <v>3.1541455144351235E-3</v>
          </cell>
          <cell r="I339">
            <v>3.6178901090125229E-3</v>
          </cell>
          <cell r="J339">
            <v>3.2492317720369587E-3</v>
          </cell>
        </row>
        <row r="340">
          <cell r="A340" t="str">
            <v>D-TNGA</v>
          </cell>
          <cell r="B340" t="str">
            <v>VAR_fin</v>
          </cell>
          <cell r="C340" t="str">
            <v>BNGA</v>
          </cell>
          <cell r="H340">
            <v>6.910328888842048E-4</v>
          </cell>
          <cell r="I340">
            <v>8.3049974692250736E-5</v>
          </cell>
          <cell r="J340">
            <v>5.7746341347019863E-5</v>
          </cell>
        </row>
        <row r="341">
          <cell r="A341" t="str">
            <v>D-TNGA</v>
          </cell>
          <cell r="B341" t="str">
            <v>VAR_fin</v>
          </cell>
          <cell r="C341" t="str">
            <v>H2</v>
          </cell>
          <cell r="H341">
            <v>3.866610484158621E-5</v>
          </cell>
          <cell r="I341">
            <v>3.1355894882102015E-5</v>
          </cell>
          <cell r="J341">
            <v>2.9105371145209245E-5</v>
          </cell>
        </row>
        <row r="342">
          <cell r="A342" t="str">
            <v>D-TNGA</v>
          </cell>
          <cell r="B342" t="str">
            <v>VAR_ncap</v>
          </cell>
          <cell r="C342" t="str">
            <v>-</v>
          </cell>
          <cell r="H342">
            <v>9.4667459698062901E-8</v>
          </cell>
          <cell r="I342">
            <v>1.08270682448472E-7</v>
          </cell>
          <cell r="J342">
            <v>1.92045769347096E-7</v>
          </cell>
        </row>
        <row r="343">
          <cell r="A343" t="str">
            <v>D-TNGA</v>
          </cell>
          <cell r="B343" t="str">
            <v>VAR_cap</v>
          </cell>
          <cell r="C343" t="str">
            <v>-</v>
          </cell>
          <cell r="H343">
            <v>0.95961805043538639</v>
          </cell>
          <cell r="I343">
            <v>0.95961815870606892</v>
          </cell>
          <cell r="J343">
            <v>0.48125400710578226</v>
          </cell>
        </row>
        <row r="344">
          <cell r="A344" t="str">
            <v>T_C-BAT-ELC-S2</v>
          </cell>
          <cell r="B344" t="str">
            <v>VAR_fout</v>
          </cell>
          <cell r="C344" t="str">
            <v>TPCAR</v>
          </cell>
          <cell r="H344">
            <v>15.118031756981148</v>
          </cell>
          <cell r="I344">
            <v>16.667354378223795</v>
          </cell>
          <cell r="J344">
            <v>14.857137791880238</v>
          </cell>
        </row>
        <row r="345">
          <cell r="A345" t="str">
            <v>T_C-BAT-ELC-S2</v>
          </cell>
          <cell r="B345" t="str">
            <v>VAR_fin</v>
          </cell>
          <cell r="C345" t="str">
            <v>T-ELC-car-BatSTGOut_S2</v>
          </cell>
          <cell r="H345">
            <v>9.958898078466591</v>
          </cell>
          <cell r="I345">
            <v>10.676449582702126</v>
          </cell>
          <cell r="J345">
            <v>8.6852287588578942</v>
          </cell>
        </row>
        <row r="346">
          <cell r="A346" t="str">
            <v>T_C-BAT-ELC-S2</v>
          </cell>
          <cell r="B346" t="str">
            <v>VAR_ncap</v>
          </cell>
          <cell r="C346" t="str">
            <v>-</v>
          </cell>
          <cell r="H346">
            <v>0.95860916674935504</v>
          </cell>
          <cell r="I346">
            <v>0.71292438880660003</v>
          </cell>
          <cell r="J346">
            <v>1.1333021799324301</v>
          </cell>
        </row>
        <row r="347">
          <cell r="A347" t="str">
            <v>T_C-BAT-ELC-S2</v>
          </cell>
          <cell r="B347" t="str">
            <v>VAR_cap</v>
          </cell>
          <cell r="C347" t="str">
            <v>-</v>
          </cell>
          <cell r="H347">
            <v>1.402365006924412</v>
          </cell>
          <cell r="I347">
            <v>1.7291830119657603</v>
          </cell>
          <cell r="J347">
            <v>1.5670660911742971</v>
          </cell>
        </row>
        <row r="348">
          <cell r="A348" t="str">
            <v>TFLGV-BeVELCExt</v>
          </cell>
          <cell r="B348" t="str">
            <v>VAR_fout</v>
          </cell>
          <cell r="C348" t="str">
            <v>TFLGV</v>
          </cell>
        </row>
        <row r="349">
          <cell r="A349" t="str">
            <v>TFLGV-BeVELCExt</v>
          </cell>
          <cell r="B349" t="str">
            <v>VAR_fin</v>
          </cell>
          <cell r="C349" t="str">
            <v>TELC</v>
          </cell>
        </row>
        <row r="350">
          <cell r="A350" t="str">
            <v>TFLGV-BeVELCExt</v>
          </cell>
          <cell r="B350" t="str">
            <v>VAR_cap</v>
          </cell>
          <cell r="C350" t="str">
            <v>-</v>
          </cell>
        </row>
        <row r="351">
          <cell r="A351" t="str">
            <v>T_C-BAT-ELC-S3</v>
          </cell>
          <cell r="B351" t="str">
            <v>VAR_fout</v>
          </cell>
          <cell r="C351" t="str">
            <v>TPCAR</v>
          </cell>
          <cell r="H351">
            <v>4.2669502395387235</v>
          </cell>
          <cell r="I351">
            <v>4.8646596028352382</v>
          </cell>
          <cell r="J351">
            <v>4.6986529771351107</v>
          </cell>
        </row>
        <row r="352">
          <cell r="A352" t="str">
            <v>T_C-BAT-ELC-S3</v>
          </cell>
          <cell r="B352" t="str">
            <v>VAR_fin</v>
          </cell>
          <cell r="C352" t="str">
            <v>T-ELC-car-BatSTGOut_S3</v>
          </cell>
          <cell r="H352">
            <v>3.044694979028034</v>
          </cell>
          <cell r="I352">
            <v>3.4139162737614086</v>
          </cell>
          <cell r="J352">
            <v>3.0024613998263656</v>
          </cell>
        </row>
        <row r="353">
          <cell r="A353" t="str">
            <v>T_C-BAT-ELC-S3</v>
          </cell>
          <cell r="B353" t="str">
            <v>VAR_ncap</v>
          </cell>
          <cell r="C353" t="str">
            <v>-</v>
          </cell>
          <cell r="H353">
            <v>0.26881995582366702</v>
          </cell>
          <cell r="I353">
            <v>9.5512297369009999E-2</v>
          </cell>
          <cell r="J353">
            <v>0.243330317285926</v>
          </cell>
        </row>
        <row r="354">
          <cell r="A354" t="str">
            <v>T_C-BAT-ELC-S3</v>
          </cell>
          <cell r="B354" t="str">
            <v>VAR_cap</v>
          </cell>
          <cell r="C354" t="str">
            <v>-</v>
          </cell>
          <cell r="H354">
            <v>0.29340558908373876</v>
          </cell>
          <cell r="I354">
            <v>0.33449306708236937</v>
          </cell>
          <cell r="J354">
            <v>0.32308230772186897</v>
          </cell>
        </row>
        <row r="355">
          <cell r="A355" t="str">
            <v>T_C-BAT-ELC-S4</v>
          </cell>
          <cell r="B355" t="str">
            <v>VAR_fout</v>
          </cell>
          <cell r="C355" t="str">
            <v>TPCAR</v>
          </cell>
          <cell r="H355">
            <v>16.028407293723451</v>
          </cell>
          <cell r="I355">
            <v>14.099635473297553</v>
          </cell>
          <cell r="J355">
            <v>15.134244093865968</v>
          </cell>
        </row>
        <row r="356">
          <cell r="A356" t="str">
            <v>T_C-BAT-ELC-S4</v>
          </cell>
          <cell r="B356" t="str">
            <v>VAR_fin</v>
          </cell>
          <cell r="C356" t="str">
            <v>T-ELC-car-BatSTGOut_S4</v>
          </cell>
          <cell r="H356">
            <v>12.15655912880165</v>
          </cell>
          <cell r="I356">
            <v>10.361976377579017</v>
          </cell>
          <cell r="J356">
            <v>9.8725510542963306</v>
          </cell>
        </row>
        <row r="357">
          <cell r="A357" t="str">
            <v>T_C-BAT-ELC-S4</v>
          </cell>
          <cell r="B357" t="str">
            <v>VAR_ncap</v>
          </cell>
          <cell r="C357" t="str">
            <v>-</v>
          </cell>
          <cell r="H357">
            <v>0.48747072069500502</v>
          </cell>
          <cell r="I357">
            <v>0.39346747305749302</v>
          </cell>
          <cell r="J357">
            <v>1.2145776655999401</v>
          </cell>
        </row>
        <row r="358">
          <cell r="A358" t="str">
            <v>T_C-BAT-ELC-S4</v>
          </cell>
          <cell r="B358" t="str">
            <v>VAR_cap</v>
          </cell>
          <cell r="C358" t="str">
            <v>-</v>
          </cell>
          <cell r="H358">
            <v>1.2621573833602535</v>
          </cell>
          <cell r="I358">
            <v>1.1102491182062755</v>
          </cell>
          <cell r="J358">
            <v>1.3572694781523151</v>
          </cell>
        </row>
        <row r="359">
          <cell r="A359" t="str">
            <v>T_B_c-ICENGA-S1</v>
          </cell>
          <cell r="B359" t="str">
            <v>VAR_fout</v>
          </cell>
          <cell r="C359" t="str">
            <v>CO2_T</v>
          </cell>
        </row>
        <row r="360">
          <cell r="A360" t="str">
            <v>T_B_c-ICENGA-S1</v>
          </cell>
          <cell r="B360" t="str">
            <v>VAR_fout</v>
          </cell>
          <cell r="C360" t="str">
            <v>TPBSc</v>
          </cell>
        </row>
        <row r="361">
          <cell r="A361" t="str">
            <v>T_B_c-ICENGA-S1</v>
          </cell>
          <cell r="B361" t="str">
            <v>VAR_fin</v>
          </cell>
          <cell r="C361" t="str">
            <v>TNGA</v>
          </cell>
        </row>
        <row r="362">
          <cell r="A362" t="str">
            <v>T_B_c-ICENGA-S1</v>
          </cell>
          <cell r="B362" t="str">
            <v>VAR_ncap</v>
          </cell>
          <cell r="C362" t="str">
            <v>-</v>
          </cell>
        </row>
        <row r="363">
          <cell r="A363" t="str">
            <v>T_B_c-ICENGA-S1</v>
          </cell>
          <cell r="B363" t="str">
            <v>VAR_cap</v>
          </cell>
          <cell r="C363" t="str">
            <v>-</v>
          </cell>
          <cell r="H363">
            <v>2.4300602713899471E-9</v>
          </cell>
        </row>
        <row r="364">
          <cell r="A364" t="str">
            <v>TFLGV-FCLH2O</v>
          </cell>
          <cell r="B364" t="str">
            <v>VAR_fout</v>
          </cell>
          <cell r="C364" t="str">
            <v>TFLGV</v>
          </cell>
          <cell r="H364">
            <v>3.7997600999935165E-6</v>
          </cell>
          <cell r="I364">
            <v>3.1908620112945E-6</v>
          </cell>
          <cell r="J364">
            <v>3.0529112697936298E-6</v>
          </cell>
        </row>
        <row r="365">
          <cell r="A365" t="str">
            <v>TFLGV-FCLH2O</v>
          </cell>
          <cell r="B365" t="str">
            <v>VAR_fin</v>
          </cell>
          <cell r="C365" t="str">
            <v>TH2O</v>
          </cell>
          <cell r="H365">
            <v>7.1659019304946811E-6</v>
          </cell>
          <cell r="I365">
            <v>5.6360045108098325E-6</v>
          </cell>
          <cell r="J365">
            <v>5.12103160553029E-6</v>
          </cell>
        </row>
        <row r="366">
          <cell r="A366" t="str">
            <v>TFLGV-FCLH2O</v>
          </cell>
          <cell r="B366" t="str">
            <v>VAR_ncap</v>
          </cell>
          <cell r="C366" t="str">
            <v>-</v>
          </cell>
          <cell r="H366">
            <v>1.38153772018261E-7</v>
          </cell>
          <cell r="I366">
            <v>1.6057410034906001E-7</v>
          </cell>
          <cell r="J366">
            <v>1.93016776556865E-7</v>
          </cell>
        </row>
        <row r="367">
          <cell r="A367" t="str">
            <v>TFLGV-FCLH2O</v>
          </cell>
          <cell r="B367" t="str">
            <v>VAR_cap</v>
          </cell>
          <cell r="C367" t="str">
            <v>-</v>
          </cell>
          <cell r="H367">
            <v>3.2099674875662402E-7</v>
          </cell>
          <cell r="I367">
            <v>2.9718429775880461E-7</v>
          </cell>
          <cell r="J367">
            <v>2.9778995436957801E-7</v>
          </cell>
        </row>
        <row r="368">
          <cell r="A368" t="str">
            <v>T_B_c-ICENGA-S2</v>
          </cell>
          <cell r="B368" t="str">
            <v>VAR_fout</v>
          </cell>
          <cell r="C368" t="str">
            <v>CO2_T</v>
          </cell>
        </row>
        <row r="369">
          <cell r="A369" t="str">
            <v>T_B_c-ICENGA-S2</v>
          </cell>
          <cell r="B369" t="str">
            <v>VAR_fout</v>
          </cell>
          <cell r="C369" t="str">
            <v>TPBSc</v>
          </cell>
        </row>
        <row r="370">
          <cell r="A370" t="str">
            <v>T_B_c-ICENGA-S2</v>
          </cell>
          <cell r="B370" t="str">
            <v>VAR_fin</v>
          </cell>
          <cell r="C370" t="str">
            <v>TNGA</v>
          </cell>
        </row>
        <row r="371">
          <cell r="A371" t="str">
            <v>T_B_c-ICENGA-S2</v>
          </cell>
          <cell r="B371" t="str">
            <v>VAR_ncap</v>
          </cell>
          <cell r="C371" t="str">
            <v>-</v>
          </cell>
        </row>
        <row r="372">
          <cell r="A372" t="str">
            <v>T_B_c-ICENGA-S2</v>
          </cell>
          <cell r="B372" t="str">
            <v>VAR_cap</v>
          </cell>
          <cell r="C372" t="str">
            <v>-</v>
          </cell>
          <cell r="H372">
            <v>2.1361951424380193E-9</v>
          </cell>
        </row>
        <row r="373">
          <cell r="A373" t="str">
            <v>T_B_u-ICEDSL-S1</v>
          </cell>
          <cell r="B373" t="str">
            <v>VAR_fout</v>
          </cell>
          <cell r="C373" t="str">
            <v>CO2_T</v>
          </cell>
        </row>
        <row r="374">
          <cell r="A374" t="str">
            <v>T_B_u-ICEDSL-S1</v>
          </cell>
          <cell r="B374" t="str">
            <v>VAR_fout</v>
          </cell>
          <cell r="C374" t="str">
            <v>TPBSu</v>
          </cell>
        </row>
        <row r="375">
          <cell r="A375" t="str">
            <v>T_B_u-ICEDSL-S1</v>
          </cell>
          <cell r="B375" t="str">
            <v>VAR_fin</v>
          </cell>
          <cell r="C375" t="str">
            <v>TDSL</v>
          </cell>
        </row>
        <row r="376">
          <cell r="A376" t="str">
            <v>T_B_u-ICEDSL-S1</v>
          </cell>
          <cell r="B376" t="str">
            <v>VAR_ncap</v>
          </cell>
          <cell r="C376" t="str">
            <v>-</v>
          </cell>
        </row>
        <row r="377">
          <cell r="A377" t="str">
            <v>T_B_u-ICEDSL-S1</v>
          </cell>
          <cell r="B377" t="str">
            <v>VAR_cap</v>
          </cell>
          <cell r="C377" t="str">
            <v>-</v>
          </cell>
          <cell r="H377">
            <v>2.1518077380155119E-9</v>
          </cell>
        </row>
        <row r="378">
          <cell r="A378" t="str">
            <v>T_B_c-ICENGA-S3</v>
          </cell>
          <cell r="B378" t="str">
            <v>VAR_fout</v>
          </cell>
          <cell r="C378" t="str">
            <v>CO2_T</v>
          </cell>
        </row>
        <row r="379">
          <cell r="A379" t="str">
            <v>T_B_c-ICENGA-S3</v>
          </cell>
          <cell r="B379" t="str">
            <v>VAR_fout</v>
          </cell>
          <cell r="C379" t="str">
            <v>TPBSc</v>
          </cell>
        </row>
        <row r="380">
          <cell r="A380" t="str">
            <v>T_B_c-ICENGA-S3</v>
          </cell>
          <cell r="B380" t="str">
            <v>VAR_fin</v>
          </cell>
          <cell r="C380" t="str">
            <v>TNGA</v>
          </cell>
        </row>
        <row r="381">
          <cell r="A381" t="str">
            <v>T_B_c-ICENGA-S3</v>
          </cell>
          <cell r="B381" t="str">
            <v>VAR_ncap</v>
          </cell>
          <cell r="C381" t="str">
            <v>-</v>
          </cell>
        </row>
        <row r="382">
          <cell r="A382" t="str">
            <v>T_B_c-ICENGA-S3</v>
          </cell>
          <cell r="B382" t="str">
            <v>VAR_cap</v>
          </cell>
          <cell r="C382" t="str">
            <v>-</v>
          </cell>
        </row>
        <row r="383">
          <cell r="A383" t="str">
            <v>T_B_u-ICEDSL-S2</v>
          </cell>
          <cell r="B383" t="str">
            <v>VAR_fout</v>
          </cell>
          <cell r="C383" t="str">
            <v>CO2_T</v>
          </cell>
        </row>
        <row r="384">
          <cell r="A384" t="str">
            <v>T_B_u-ICEDSL-S2</v>
          </cell>
          <cell r="B384" t="str">
            <v>VAR_fout</v>
          </cell>
          <cell r="C384" t="str">
            <v>TPBSu</v>
          </cell>
        </row>
        <row r="385">
          <cell r="A385" t="str">
            <v>T_B_u-ICEDSL-S2</v>
          </cell>
          <cell r="B385" t="str">
            <v>VAR_fin</v>
          </cell>
          <cell r="C385" t="str">
            <v>TDSL</v>
          </cell>
        </row>
        <row r="386">
          <cell r="A386" t="str">
            <v>T_B_u-ICEDSL-S2</v>
          </cell>
          <cell r="B386" t="str">
            <v>VAR_ncap</v>
          </cell>
          <cell r="C386" t="str">
            <v>-</v>
          </cell>
        </row>
        <row r="387">
          <cell r="A387" t="str">
            <v>T_B_u-ICEDSL-S2</v>
          </cell>
          <cell r="B387" t="str">
            <v>VAR_cap</v>
          </cell>
          <cell r="C387" t="str">
            <v>-</v>
          </cell>
          <cell r="H387">
            <v>-4.2990198270557219E-10</v>
          </cell>
        </row>
        <row r="388">
          <cell r="A388" t="str">
            <v>T_B_c-ICENGA-S4</v>
          </cell>
          <cell r="B388" t="str">
            <v>VAR_fout</v>
          </cell>
          <cell r="C388" t="str">
            <v>CO2_T</v>
          </cell>
        </row>
        <row r="389">
          <cell r="A389" t="str">
            <v>T_B_c-ICENGA-S4</v>
          </cell>
          <cell r="B389" t="str">
            <v>VAR_fout</v>
          </cell>
          <cell r="C389" t="str">
            <v>TPBSc</v>
          </cell>
        </row>
        <row r="390">
          <cell r="A390" t="str">
            <v>T_B_c-ICENGA-S4</v>
          </cell>
          <cell r="B390" t="str">
            <v>VAR_fin</v>
          </cell>
          <cell r="C390" t="str">
            <v>TNGA</v>
          </cell>
        </row>
        <row r="391">
          <cell r="A391" t="str">
            <v>T_B_c-ICENGA-S4</v>
          </cell>
          <cell r="B391" t="str">
            <v>VAR_ncap</v>
          </cell>
          <cell r="C391" t="str">
            <v>-</v>
          </cell>
        </row>
        <row r="392">
          <cell r="A392" t="str">
            <v>T_B_c-ICENGA-S4</v>
          </cell>
          <cell r="B392" t="str">
            <v>VAR_cap</v>
          </cell>
          <cell r="C392" t="str">
            <v>-</v>
          </cell>
        </row>
        <row r="393">
          <cell r="A393" t="str">
            <v>T_B_u-ICEDSL-S3</v>
          </cell>
          <cell r="B393" t="str">
            <v>VAR_fout</v>
          </cell>
          <cell r="C393" t="str">
            <v>CO2_T</v>
          </cell>
        </row>
        <row r="394">
          <cell r="A394" t="str">
            <v>T_B_u-ICEDSL-S3</v>
          </cell>
          <cell r="B394" t="str">
            <v>VAR_fout</v>
          </cell>
          <cell r="C394" t="str">
            <v>TPBSu</v>
          </cell>
        </row>
        <row r="395">
          <cell r="A395" t="str">
            <v>T_B_u-ICEDSL-S3</v>
          </cell>
          <cell r="B395" t="str">
            <v>VAR_fin</v>
          </cell>
          <cell r="C395" t="str">
            <v>TDSL</v>
          </cell>
        </row>
        <row r="396">
          <cell r="A396" t="str">
            <v>T_B_u-ICEDSL-S3</v>
          </cell>
          <cell r="B396" t="str">
            <v>VAR_ncap</v>
          </cell>
          <cell r="C396" t="str">
            <v>-</v>
          </cell>
        </row>
        <row r="397">
          <cell r="A397" t="str">
            <v>T_B_u-ICEDSL-S3</v>
          </cell>
          <cell r="B397" t="str">
            <v>VAR_cap</v>
          </cell>
          <cell r="C397" t="str">
            <v>-</v>
          </cell>
        </row>
        <row r="398">
          <cell r="A398" t="str">
            <v>T_B_u-ICEDSL-S4</v>
          </cell>
          <cell r="B398" t="str">
            <v>VAR_fout</v>
          </cell>
          <cell r="C398" t="str">
            <v>CO2_T</v>
          </cell>
        </row>
        <row r="399">
          <cell r="A399" t="str">
            <v>T_B_u-ICEDSL-S4</v>
          </cell>
          <cell r="B399" t="str">
            <v>VAR_fout</v>
          </cell>
          <cell r="C399" t="str">
            <v>TPBSu</v>
          </cell>
        </row>
        <row r="400">
          <cell r="A400" t="str">
            <v>T_B_u-ICEDSL-S4</v>
          </cell>
          <cell r="B400" t="str">
            <v>VAR_fin</v>
          </cell>
          <cell r="C400" t="str">
            <v>TDSL</v>
          </cell>
        </row>
        <row r="401">
          <cell r="A401" t="str">
            <v>T_B_u-ICEDSL-S4</v>
          </cell>
          <cell r="B401" t="str">
            <v>VAR_ncap</v>
          </cell>
          <cell r="C401" t="str">
            <v>-</v>
          </cell>
        </row>
        <row r="402">
          <cell r="A402" t="str">
            <v>T_B_u-ICEDSL-S4</v>
          </cell>
          <cell r="B402" t="str">
            <v>VAR_cap</v>
          </cell>
          <cell r="C402" t="str">
            <v>-</v>
          </cell>
          <cell r="I402">
            <v>-7.3702520412405702E-9</v>
          </cell>
          <cell r="J402">
            <v>-7.1529066149892799E-9</v>
          </cell>
        </row>
        <row r="403">
          <cell r="A403" t="str">
            <v>D-TBDS1intl</v>
          </cell>
          <cell r="B403" t="str">
            <v>VAR_fout</v>
          </cell>
          <cell r="C403" t="str">
            <v>TKERintl_SAF</v>
          </cell>
          <cell r="H403">
            <v>5.0269376218682202</v>
          </cell>
          <cell r="I403">
            <v>5.0269377506904496</v>
          </cell>
          <cell r="J403">
            <v>5.0269379822126297</v>
          </cell>
        </row>
        <row r="404">
          <cell r="A404" t="str">
            <v>D-TBDS1intl</v>
          </cell>
          <cell r="B404" t="str">
            <v>VAR_fin</v>
          </cell>
          <cell r="C404" t="str">
            <v>BDS1</v>
          </cell>
          <cell r="H404">
            <v>5.0269376218682202</v>
          </cell>
          <cell r="I404">
            <v>5.0269377506904496</v>
          </cell>
          <cell r="J404">
            <v>5.0269379822126297</v>
          </cell>
        </row>
        <row r="405">
          <cell r="A405" t="str">
            <v>T_B_c-ICENGAEXT</v>
          </cell>
          <cell r="B405" t="str">
            <v>VAR_fout</v>
          </cell>
          <cell r="C405" t="str">
            <v>CO2_T</v>
          </cell>
        </row>
        <row r="406">
          <cell r="A406" t="str">
            <v>T_B_c-ICENGAEXT</v>
          </cell>
          <cell r="B406" t="str">
            <v>VAR_fout</v>
          </cell>
          <cell r="C406" t="str">
            <v>TPBSc</v>
          </cell>
        </row>
        <row r="407">
          <cell r="A407" t="str">
            <v>T_B_c-ICENGAEXT</v>
          </cell>
          <cell r="B407" t="str">
            <v>VAR_fin</v>
          </cell>
          <cell r="C407" t="str">
            <v>TNGA</v>
          </cell>
        </row>
        <row r="408">
          <cell r="A408" t="str">
            <v>T_B_c-ICENGAEXT</v>
          </cell>
          <cell r="B408" t="str">
            <v>VAR_cap</v>
          </cell>
          <cell r="C408" t="str">
            <v>-</v>
          </cell>
        </row>
        <row r="409">
          <cell r="A409" t="str">
            <v>T_B_u-ICEDSLEXT</v>
          </cell>
          <cell r="B409" t="str">
            <v>VAR_fout</v>
          </cell>
          <cell r="C409" t="str">
            <v>CO2_T</v>
          </cell>
        </row>
        <row r="410">
          <cell r="A410" t="str">
            <v>T_B_u-ICEDSLEXT</v>
          </cell>
          <cell r="B410" t="str">
            <v>VAR_fout</v>
          </cell>
          <cell r="C410" t="str">
            <v>TPBSu</v>
          </cell>
        </row>
        <row r="411">
          <cell r="A411" t="str">
            <v>T_B_u-ICEDSLEXT</v>
          </cell>
          <cell r="B411" t="str">
            <v>VAR_fin</v>
          </cell>
          <cell r="C411" t="str">
            <v>TDSL</v>
          </cell>
        </row>
        <row r="412">
          <cell r="A412" t="str">
            <v>T_B_u-ICEDSLEXT</v>
          </cell>
          <cell r="B412" t="str">
            <v>VAR_cap</v>
          </cell>
          <cell r="C412" t="str">
            <v>-</v>
          </cell>
        </row>
        <row r="413">
          <cell r="A413" t="str">
            <v>D-T-ELC-LGV</v>
          </cell>
          <cell r="B413" t="str">
            <v>VAR_fout</v>
          </cell>
          <cell r="C413" t="str">
            <v>T-ELC-LGV_BatSTGin</v>
          </cell>
          <cell r="H413">
            <v>2.9585260547709398</v>
          </cell>
          <cell r="I413">
            <v>4.6751653755136813</v>
          </cell>
          <cell r="J413">
            <v>5.0131386300967646</v>
          </cell>
        </row>
        <row r="414">
          <cell r="A414" t="str">
            <v>D-T-ELC-LGV</v>
          </cell>
          <cell r="B414" t="str">
            <v>VAR_fin</v>
          </cell>
          <cell r="C414" t="str">
            <v>TELC</v>
          </cell>
          <cell r="H414">
            <v>2.9585260547709398</v>
          </cell>
          <cell r="I414">
            <v>4.6751653755136813</v>
          </cell>
          <cell r="J414">
            <v>5.0131386300967646</v>
          </cell>
        </row>
        <row r="415">
          <cell r="A415" t="str">
            <v>D-T-ELC-LGV</v>
          </cell>
          <cell r="B415" t="str">
            <v>VAR_ncap</v>
          </cell>
          <cell r="C415" t="str">
            <v>-</v>
          </cell>
          <cell r="H415">
            <v>0.198452741411801</v>
          </cell>
          <cell r="I415">
            <v>0.27768680918875799</v>
          </cell>
          <cell r="J415">
            <v>0.35579778614408702</v>
          </cell>
        </row>
        <row r="416">
          <cell r="A416" t="str">
            <v>D-T-ELC-LGV</v>
          </cell>
          <cell r="B416" t="str">
            <v>VAR_cap</v>
          </cell>
          <cell r="C416" t="str">
            <v>-</v>
          </cell>
          <cell r="H416">
            <v>0.31271472714950099</v>
          </cell>
          <cell r="I416">
            <v>0.49416213758400501</v>
          </cell>
          <cell r="J416">
            <v>0.52988539087398001</v>
          </cell>
        </row>
        <row r="417">
          <cell r="A417" t="str">
            <v>T_C-HYBGSLEXT</v>
          </cell>
          <cell r="B417" t="str">
            <v>VAR_fout</v>
          </cell>
          <cell r="C417" t="str">
            <v>CO2_T</v>
          </cell>
        </row>
        <row r="418">
          <cell r="A418" t="str">
            <v>T_C-HYBGSLEXT</v>
          </cell>
          <cell r="B418" t="str">
            <v>VAR_fout</v>
          </cell>
          <cell r="C418" t="str">
            <v>TPCAR</v>
          </cell>
        </row>
        <row r="419">
          <cell r="A419" t="str">
            <v>T_C-HYBGSLEXT</v>
          </cell>
          <cell r="B419" t="str">
            <v>VAR_fin</v>
          </cell>
          <cell r="C419" t="str">
            <v>TGSL</v>
          </cell>
        </row>
        <row r="420">
          <cell r="A420" t="str">
            <v>T_C-HYBGSLEXT</v>
          </cell>
          <cell r="B420" t="str">
            <v>VAR_cap</v>
          </cell>
          <cell r="C420" t="str">
            <v>-</v>
          </cell>
        </row>
        <row r="421">
          <cell r="A421" t="str">
            <v>TPAVDKEREXT</v>
          </cell>
          <cell r="B421" t="str">
            <v>VAR_fout</v>
          </cell>
          <cell r="C421" t="str">
            <v>CO2_T</v>
          </cell>
          <cell r="H421">
            <v>185.675788544743</v>
          </cell>
          <cell r="I421">
            <v>154.38211110512901</v>
          </cell>
          <cell r="J421">
            <v>123.088433665514</v>
          </cell>
        </row>
        <row r="422">
          <cell r="A422" t="str">
            <v>TPAVDKEREXT</v>
          </cell>
          <cell r="B422" t="str">
            <v>VAR_fout</v>
          </cell>
          <cell r="C422" t="str">
            <v>TPAVD</v>
          </cell>
          <cell r="H422">
            <v>2.5504916008893299</v>
          </cell>
          <cell r="I422">
            <v>2.1206333943012199</v>
          </cell>
          <cell r="J422">
            <v>1.6907751877131001</v>
          </cell>
        </row>
        <row r="423">
          <cell r="A423" t="str">
            <v>TPAVDKEREXT</v>
          </cell>
          <cell r="B423" t="str">
            <v>VAR_fin</v>
          </cell>
          <cell r="C423" t="str">
            <v>TKER</v>
          </cell>
          <cell r="H423">
            <v>2.5504916008893299</v>
          </cell>
          <cell r="I423">
            <v>2.1206333943012199</v>
          </cell>
          <cell r="J423">
            <v>1.6907751877131001</v>
          </cell>
        </row>
        <row r="424">
          <cell r="A424" t="str">
            <v>TPAVDKEREXT</v>
          </cell>
          <cell r="B424" t="str">
            <v>VAR_ncap</v>
          </cell>
          <cell r="C424" t="str">
            <v>-</v>
          </cell>
          <cell r="H424">
            <v>0.60079807164669796</v>
          </cell>
          <cell r="I424">
            <v>0.58173621142208698</v>
          </cell>
          <cell r="J424">
            <v>0.97086788322981599</v>
          </cell>
        </row>
        <row r="425">
          <cell r="A425" t="str">
            <v>TPAVDKEREXT</v>
          </cell>
          <cell r="B425" t="str">
            <v>VAR_cap</v>
          </cell>
          <cell r="C425" t="str">
            <v>-</v>
          </cell>
          <cell r="H425">
            <v>2.7624228970134102</v>
          </cell>
          <cell r="I425">
            <v>2.2322775620451951</v>
          </cell>
          <cell r="J425">
            <v>1.7658516419046979</v>
          </cell>
        </row>
        <row r="426">
          <cell r="A426" t="str">
            <v>T_C-ICE-GSL-S1</v>
          </cell>
          <cell r="B426" t="str">
            <v>VAR_fout</v>
          </cell>
          <cell r="C426" t="str">
            <v>CO2_T</v>
          </cell>
          <cell r="H426">
            <v>101.98247522471827</v>
          </cell>
          <cell r="I426">
            <v>33.538604637504037</v>
          </cell>
          <cell r="J426">
            <v>3.5614605952710876E-2</v>
          </cell>
        </row>
        <row r="427">
          <cell r="A427" t="str">
            <v>T_C-ICE-GSL-S1</v>
          </cell>
          <cell r="B427" t="str">
            <v>VAR_fout</v>
          </cell>
          <cell r="C427" t="str">
            <v>TPCAR</v>
          </cell>
          <cell r="H427">
            <v>0.81284030106751892</v>
          </cell>
          <cell r="I427">
            <v>0.26475323613162383</v>
          </cell>
          <cell r="J427">
            <v>3.2609387773428284E-4</v>
          </cell>
        </row>
        <row r="428">
          <cell r="A428" t="str">
            <v>T_C-ICE-GSL-S1</v>
          </cell>
          <cell r="B428" t="str">
            <v>VAR_fin</v>
          </cell>
          <cell r="C428" t="str">
            <v>TGSL</v>
          </cell>
          <cell r="H428">
            <v>1.3818763580585138</v>
          </cell>
          <cell r="I428">
            <v>0.45445263736455338</v>
          </cell>
          <cell r="J428">
            <v>4.8258273648659681E-4</v>
          </cell>
        </row>
        <row r="429">
          <cell r="A429" t="str">
            <v>T_C-ICE-GSL-S1</v>
          </cell>
          <cell r="B429" t="str">
            <v>VAR_ncap</v>
          </cell>
          <cell r="C429" t="str">
            <v>-</v>
          </cell>
          <cell r="H429">
            <v>8.0965108454653198E-5</v>
          </cell>
          <cell r="I429">
            <v>3.4805614067136898E-5</v>
          </cell>
          <cell r="J429">
            <v>1.18099591532221E-5</v>
          </cell>
        </row>
        <row r="430">
          <cell r="A430" t="str">
            <v>T_C-ICE-GSL-S1</v>
          </cell>
          <cell r="B430" t="str">
            <v>VAR_cap</v>
          </cell>
          <cell r="C430" t="str">
            <v>-</v>
          </cell>
          <cell r="H430">
            <v>0.1235208834308671</v>
          </cell>
          <cell r="I430">
            <v>4.0229494770693285E-2</v>
          </cell>
          <cell r="J430">
            <v>4.7873224320095072E-5</v>
          </cell>
        </row>
        <row r="431">
          <cell r="A431" t="str">
            <v>V2G</v>
          </cell>
          <cell r="B431" t="str">
            <v>VAR_fout</v>
          </cell>
          <cell r="C431" t="str">
            <v>ELC35</v>
          </cell>
          <cell r="H431">
            <v>2.1204910577938663E-2</v>
          </cell>
          <cell r="I431">
            <v>5.4530474612452626E-2</v>
          </cell>
          <cell r="J431">
            <v>0.18670071814571756</v>
          </cell>
        </row>
        <row r="432">
          <cell r="A432" t="str">
            <v>V2G</v>
          </cell>
          <cell r="B432" t="str">
            <v>VAR_fin</v>
          </cell>
          <cell r="C432" t="str">
            <v>T-ELC-Bus_c_BatSTGout_S1</v>
          </cell>
          <cell r="H432">
            <v>5.6040081249264474E-4</v>
          </cell>
          <cell r="I432">
            <v>1.0947565692619506E-3</v>
          </cell>
          <cell r="J432">
            <v>1.5894488633450953E-4</v>
          </cell>
        </row>
        <row r="433">
          <cell r="A433" t="str">
            <v>V2G</v>
          </cell>
          <cell r="B433" t="str">
            <v>VAR_fin</v>
          </cell>
          <cell r="C433" t="str">
            <v>T-ELC-Bus_c_BatSTGout_S2</v>
          </cell>
          <cell r="H433">
            <v>3.6015687447587131E-4</v>
          </cell>
          <cell r="I433">
            <v>1.2078977369893464E-3</v>
          </cell>
          <cell r="J433">
            <v>1.1292273146499352E-3</v>
          </cell>
        </row>
        <row r="434">
          <cell r="A434" t="str">
            <v>V2G</v>
          </cell>
          <cell r="B434" t="str">
            <v>VAR_fin</v>
          </cell>
          <cell r="C434" t="str">
            <v>T-ELC-Bus_c_BatSTGout_S3</v>
          </cell>
          <cell r="H434">
            <v>1.9215814980361079E-4</v>
          </cell>
          <cell r="I434">
            <v>2.7031289096363369E-4</v>
          </cell>
          <cell r="J434">
            <v>6.8166122031630672E-4</v>
          </cell>
        </row>
        <row r="435">
          <cell r="A435" t="str">
            <v>V2G</v>
          </cell>
          <cell r="B435" t="str">
            <v>VAR_fin</v>
          </cell>
          <cell r="C435" t="str">
            <v>T-ELC-Bus_c_BatSTGout_S4</v>
          </cell>
          <cell r="H435">
            <v>1.9764152877670886E-4</v>
          </cell>
          <cell r="I435">
            <v>2.3820520928440341E-4</v>
          </cell>
          <cell r="J435">
            <v>1.3988974539388152E-4</v>
          </cell>
        </row>
        <row r="436">
          <cell r="A436" t="str">
            <v>V2G</v>
          </cell>
          <cell r="B436" t="str">
            <v>VAR_fin</v>
          </cell>
          <cell r="C436" t="str">
            <v>T-ELC-car-BatSTGOut_S1</v>
          </cell>
          <cell r="H436">
            <v>2.5555535583488415E-3</v>
          </cell>
          <cell r="I436">
            <v>1.8984766084112509E-2</v>
          </cell>
          <cell r="J436">
            <v>5.5319466498660472E-2</v>
          </cell>
        </row>
        <row r="437">
          <cell r="A437" t="str">
            <v>V2G</v>
          </cell>
          <cell r="B437" t="str">
            <v>VAR_fin</v>
          </cell>
          <cell r="C437" t="str">
            <v>T-ELC-car-BatSTGOut_S2</v>
          </cell>
          <cell r="H437">
            <v>5.9373569668050253E-4</v>
          </cell>
          <cell r="I437">
            <v>4.3203346075304499E-3</v>
          </cell>
          <cell r="J437">
            <v>2.8246148601143717E-2</v>
          </cell>
        </row>
        <row r="438">
          <cell r="A438" t="str">
            <v>V2G</v>
          </cell>
          <cell r="B438" t="str">
            <v>VAR_fin</v>
          </cell>
          <cell r="C438" t="str">
            <v>T-ELC-car-BatSTGOut_S3</v>
          </cell>
          <cell r="H438">
            <v>6.4555316512725257E-4</v>
          </cell>
          <cell r="I438">
            <v>4.4233716220830124E-3</v>
          </cell>
          <cell r="J438">
            <v>3.2044426738232268E-2</v>
          </cell>
        </row>
        <row r="439">
          <cell r="A439" t="str">
            <v>V2G</v>
          </cell>
          <cell r="B439" t="str">
            <v>VAR_fin</v>
          </cell>
          <cell r="C439" t="str">
            <v>T-ELC-car-BatSTGOut_S4</v>
          </cell>
          <cell r="H439">
            <v>5.9563859650988208E-4</v>
          </cell>
          <cell r="I439">
            <v>4.3057288688101306E-3</v>
          </cell>
          <cell r="J439">
            <v>2.6866144762441289E-2</v>
          </cell>
        </row>
        <row r="440">
          <cell r="A440" t="str">
            <v>V2G</v>
          </cell>
          <cell r="B440" t="str">
            <v>VAR_fin</v>
          </cell>
          <cell r="C440" t="str">
            <v>T-ELC-car-PlgSTGOut_S1</v>
          </cell>
          <cell r="H440">
            <v>8.2728406562778464E-4</v>
          </cell>
          <cell r="I440">
            <v>1.0237931289867571E-3</v>
          </cell>
          <cell r="J440">
            <v>9.5286816139577776E-4</v>
          </cell>
        </row>
        <row r="441">
          <cell r="A441" t="str">
            <v>V2G</v>
          </cell>
          <cell r="B441" t="str">
            <v>VAR_fin</v>
          </cell>
          <cell r="C441" t="str">
            <v>T-ELC-car-PlgSTGOut_S2</v>
          </cell>
          <cell r="H441">
            <v>3.7973152478923411E-4</v>
          </cell>
          <cell r="I441">
            <v>4.597356607727151E-4</v>
          </cell>
          <cell r="J441">
            <v>4.0974178580757188E-4</v>
          </cell>
        </row>
        <row r="442">
          <cell r="A442" t="str">
            <v>V2G</v>
          </cell>
          <cell r="B442" t="str">
            <v>VAR_fin</v>
          </cell>
          <cell r="C442" t="str">
            <v>T-ELC-car-PlgSTGOut_S3</v>
          </cell>
          <cell r="H442">
            <v>6.0029798962753537E-4</v>
          </cell>
          <cell r="I442">
            <v>3.7487615862887144E-3</v>
          </cell>
          <cell r="J442">
            <v>2.925663955456333E-2</v>
          </cell>
        </row>
        <row r="443">
          <cell r="A443" t="str">
            <v>V2G</v>
          </cell>
          <cell r="B443" t="str">
            <v>VAR_fin</v>
          </cell>
          <cell r="C443" t="str">
            <v>T-ELC-TWSTGout_S1</v>
          </cell>
          <cell r="H443">
            <v>2.0563493504549661E-3</v>
          </cell>
          <cell r="I443">
            <v>1.7010713441417598E-3</v>
          </cell>
          <cell r="J443">
            <v>1.2338417092988701E-3</v>
          </cell>
        </row>
        <row r="444">
          <cell r="A444" t="str">
            <v>V2G</v>
          </cell>
          <cell r="B444" t="str">
            <v>VAR_fin</v>
          </cell>
          <cell r="C444" t="str">
            <v>T-ELC-car-PlgSTGOut_S4</v>
          </cell>
          <cell r="H444">
            <v>7.0664777568915421E-4</v>
          </cell>
          <cell r="I444">
            <v>1.9489386243860059E-3</v>
          </cell>
          <cell r="J444">
            <v>2.7671897551245165E-3</v>
          </cell>
        </row>
        <row r="445">
          <cell r="A445" t="str">
            <v>V2G</v>
          </cell>
          <cell r="B445" t="str">
            <v>VAR_fin</v>
          </cell>
          <cell r="C445" t="str">
            <v>T-ELC-TWSTGout_S2</v>
          </cell>
          <cell r="H445">
            <v>2.5491242936824818E-3</v>
          </cell>
          <cell r="I445">
            <v>2.1009913702126509E-3</v>
          </cell>
          <cell r="J445">
            <v>1.4184299585466339E-3</v>
          </cell>
        </row>
        <row r="446">
          <cell r="A446" t="str">
            <v>V2G</v>
          </cell>
          <cell r="B446" t="str">
            <v>VAR_fin</v>
          </cell>
          <cell r="C446" t="str">
            <v>T-ELC-TWSTGout_S3</v>
          </cell>
          <cell r="H446">
            <v>3.4746492209130264E-3</v>
          </cell>
          <cell r="I446">
            <v>3.4736546000427638E-3</v>
          </cell>
          <cell r="J446">
            <v>2.1641980063316795E-3</v>
          </cell>
        </row>
        <row r="447">
          <cell r="A447" t="str">
            <v>V2G</v>
          </cell>
          <cell r="B447" t="str">
            <v>VAR_fin</v>
          </cell>
          <cell r="C447" t="str">
            <v>T-ELC-TWSTGout_S4</v>
          </cell>
          <cell r="H447">
            <v>3.4609758552150375E-3</v>
          </cell>
          <cell r="I447">
            <v>3.9165456151741673E-3</v>
          </cell>
          <cell r="J447">
            <v>3.1670803478916956E-3</v>
          </cell>
        </row>
        <row r="448">
          <cell r="A448" t="str">
            <v>V2G</v>
          </cell>
          <cell r="B448" t="str">
            <v>VAR_fin</v>
          </cell>
          <cell r="C448" t="str">
            <v>T-ELC-Bus_u_BatSTGout_S1</v>
          </cell>
          <cell r="H448">
            <v>1.837348998387536E-4</v>
          </cell>
          <cell r="I448">
            <v>1.3132909438259025E-4</v>
          </cell>
          <cell r="J448">
            <v>9.0718081240214379E-5</v>
          </cell>
        </row>
        <row r="449">
          <cell r="A449" t="str">
            <v>V2G</v>
          </cell>
          <cell r="B449" t="str">
            <v>VAR_fin</v>
          </cell>
          <cell r="C449" t="str">
            <v>T-ELC-Bus_u_BatSTGout_S2</v>
          </cell>
          <cell r="H449">
            <v>1.5924826377415266E-4</v>
          </cell>
          <cell r="I449">
            <v>1.215460413388434E-4</v>
          </cell>
          <cell r="J449">
            <v>8.2984039131692383E-5</v>
          </cell>
        </row>
        <row r="450">
          <cell r="A450" t="str">
            <v>V2G</v>
          </cell>
          <cell r="B450" t="str">
            <v>VAR_fin</v>
          </cell>
          <cell r="C450" t="str">
            <v>T-ELC-Bus_u_BatSTGout_S3</v>
          </cell>
          <cell r="H450">
            <v>6.9762124850698641E-5</v>
          </cell>
          <cell r="I450">
            <v>6.2064450951109849E-5</v>
          </cell>
          <cell r="J450">
            <v>4.804850985309993E-5</v>
          </cell>
        </row>
        <row r="451">
          <cell r="A451" t="str">
            <v>V2G</v>
          </cell>
          <cell r="B451" t="str">
            <v>VAR_fin</v>
          </cell>
          <cell r="C451" t="str">
            <v>T-ELC-Bus_u_BatSTGout_S4</v>
          </cell>
          <cell r="H451">
            <v>1.5081679568671063E-4</v>
          </cell>
          <cell r="I451">
            <v>1.6246978040095644E-4</v>
          </cell>
          <cell r="J451">
            <v>1.1264858626774728E-4</v>
          </cell>
        </row>
        <row r="452">
          <cell r="A452" t="str">
            <v>V2G</v>
          </cell>
          <cell r="B452" t="str">
            <v>VAR_fin</v>
          </cell>
          <cell r="C452" t="str">
            <v>T-ELC-LGV_BatSTGout</v>
          </cell>
          <cell r="H452">
            <v>4.1316687412247684E-4</v>
          </cell>
          <cell r="I452">
            <v>2.9573518007066301E-4</v>
          </cell>
          <cell r="J452">
            <v>1.7088001762502738E-4</v>
          </cell>
        </row>
        <row r="453">
          <cell r="A453" t="str">
            <v>V2G</v>
          </cell>
          <cell r="B453" t="str">
            <v>VAR_fin</v>
          </cell>
          <cell r="C453" t="str">
            <v>T-ELC-HGV_BatSTGout</v>
          </cell>
          <cell r="H453">
            <v>5.0379067358891766E-4</v>
          </cell>
          <cell r="I453">
            <v>5.6847675042713585E-4</v>
          </cell>
          <cell r="J453">
            <v>2.6433449073220874E-4</v>
          </cell>
        </row>
        <row r="454">
          <cell r="A454" t="str">
            <v>V2G</v>
          </cell>
          <cell r="B454" t="str">
            <v>VAR_ncap</v>
          </cell>
          <cell r="C454" t="str">
            <v>-</v>
          </cell>
          <cell r="H454">
            <v>4.9262672737900503E-3</v>
          </cell>
          <cell r="I454">
            <v>0.34826940651857302</v>
          </cell>
          <cell r="J454">
            <v>0.98593613754402598</v>
          </cell>
        </row>
        <row r="455">
          <cell r="A455" t="str">
            <v>V2G</v>
          </cell>
          <cell r="B455" t="str">
            <v>VAR_cap</v>
          </cell>
          <cell r="C455" t="str">
            <v>-</v>
          </cell>
          <cell r="H455">
            <v>7.5782619727857454E-3</v>
          </cell>
          <cell r="I455">
            <v>0.35500050407788214</v>
          </cell>
          <cell r="J455">
            <v>1.2407661964782919</v>
          </cell>
        </row>
        <row r="456">
          <cell r="A456" t="str">
            <v>TPSHPELCEXT</v>
          </cell>
          <cell r="B456" t="str">
            <v>VAR_fout</v>
          </cell>
          <cell r="C456" t="str">
            <v>TPSHP</v>
          </cell>
          <cell r="H456">
            <v>8.9503919892089598E-2</v>
          </cell>
          <cell r="I456">
            <v>8.9504372770231197E-2</v>
          </cell>
          <cell r="J456">
            <v>8.9520206609872505E-2</v>
          </cell>
        </row>
        <row r="457">
          <cell r="A457" t="str">
            <v>TPSHPELCEXT</v>
          </cell>
          <cell r="B457" t="str">
            <v>VAR_fin</v>
          </cell>
          <cell r="C457" t="str">
            <v>TELC</v>
          </cell>
          <cell r="H457">
            <v>3.6274716432036315E-2</v>
          </cell>
          <cell r="I457">
            <v>3.6274899977362274E-2</v>
          </cell>
          <cell r="J457">
            <v>3.6281317216335922E-2</v>
          </cell>
        </row>
        <row r="458">
          <cell r="A458" t="str">
            <v>TPSHPELCEXT</v>
          </cell>
          <cell r="B458" t="str">
            <v>VAR_ncap</v>
          </cell>
          <cell r="C458" t="str">
            <v>-</v>
          </cell>
          <cell r="H458">
            <v>4.5108029112702799E-6</v>
          </cell>
          <cell r="I458">
            <v>4.3095416083491697E-2</v>
          </cell>
          <cell r="J458">
            <v>4.6408205028444997E-2</v>
          </cell>
        </row>
        <row r="459">
          <cell r="A459" t="str">
            <v>TPSHPELCEXT</v>
          </cell>
          <cell r="B459" t="str">
            <v>VAR_cap</v>
          </cell>
          <cell r="C459" t="str">
            <v>-</v>
          </cell>
          <cell r="H459">
            <v>8.9496384993641126E-2</v>
          </cell>
          <cell r="I459">
            <v>8.9500834669902968E-2</v>
          </cell>
          <cell r="J459">
            <v>8.9505287543542436E-2</v>
          </cell>
        </row>
        <row r="460">
          <cell r="A460" t="str">
            <v>TFLGV-ICEGSL</v>
          </cell>
          <cell r="B460" t="str">
            <v>VAR_fout</v>
          </cell>
          <cell r="C460" t="str">
            <v>CO2_T</v>
          </cell>
          <cell r="H460">
            <v>146.40720451795511</v>
          </cell>
          <cell r="I460">
            <v>85.306498158078824</v>
          </cell>
          <cell r="J460">
            <v>85.901955304408489</v>
          </cell>
        </row>
        <row r="461">
          <cell r="A461" t="str">
            <v>TFLGV-ICEGSL</v>
          </cell>
          <cell r="B461" t="str">
            <v>VAR_fout</v>
          </cell>
          <cell r="C461" t="str">
            <v>TFLGV</v>
          </cell>
          <cell r="H461">
            <v>0.69678246151379308</v>
          </cell>
          <cell r="I461">
            <v>0.40599143987083203</v>
          </cell>
          <cell r="J461">
            <v>0.40882534478358323</v>
          </cell>
        </row>
        <row r="462">
          <cell r="A462" t="str">
            <v>TFLGV-ICEGSL</v>
          </cell>
          <cell r="B462" t="str">
            <v>VAR_fin</v>
          </cell>
          <cell r="C462" t="str">
            <v>TGSL</v>
          </cell>
          <cell r="H462">
            <v>1.983837459592888</v>
          </cell>
          <cell r="I462">
            <v>1.1559146091880623</v>
          </cell>
          <cell r="J462">
            <v>1.1639831342060771</v>
          </cell>
        </row>
        <row r="463">
          <cell r="A463" t="str">
            <v>TFLGV-ICEGSL</v>
          </cell>
          <cell r="B463" t="str">
            <v>VAR_ncap</v>
          </cell>
          <cell r="C463" t="str">
            <v>-</v>
          </cell>
          <cell r="H463">
            <v>3.5494487828322201E-2</v>
          </cell>
          <cell r="I463">
            <v>3.5914376440772599E-5</v>
          </cell>
          <cell r="J463">
            <v>3.4248074192767E-2</v>
          </cell>
        </row>
        <row r="464">
          <cell r="A464" t="str">
            <v>TFLGV-ICEGSL</v>
          </cell>
          <cell r="B464" t="str">
            <v>VAR_cap</v>
          </cell>
          <cell r="C464" t="str">
            <v>-</v>
          </cell>
          <cell r="H464">
            <v>6.9348161783024234E-2</v>
          </cell>
          <cell r="I464">
            <v>4.0402606747161757E-2</v>
          </cell>
          <cell r="J464">
            <v>4.049495890814335E-2</v>
          </cell>
        </row>
        <row r="465">
          <cell r="A465" t="str">
            <v>T_C-ICE-GSL-S2</v>
          </cell>
          <cell r="B465" t="str">
            <v>VAR_fout</v>
          </cell>
          <cell r="C465" t="str">
            <v>CO2_T</v>
          </cell>
          <cell r="H465">
            <v>55.630550189457047</v>
          </cell>
          <cell r="I465">
            <v>6.1420105960326383</v>
          </cell>
          <cell r="J465">
            <v>7.6805319549481596E-2</v>
          </cell>
        </row>
        <row r="466">
          <cell r="A466" t="str">
            <v>T_C-ICE-GSL-S2</v>
          </cell>
          <cell r="B466" t="str">
            <v>VAR_fout</v>
          </cell>
          <cell r="C466" t="str">
            <v>TPCAR</v>
          </cell>
          <cell r="H466">
            <v>0.4257041877441039</v>
          </cell>
          <cell r="I466">
            <v>4.5896922307350284E-2</v>
          </cell>
          <cell r="J466">
            <v>5.664515944201967E-4</v>
          </cell>
        </row>
        <row r="467">
          <cell r="A467" t="str">
            <v>T_C-ICE-GSL-S2</v>
          </cell>
          <cell r="B467" t="str">
            <v>VAR_fin</v>
          </cell>
          <cell r="C467" t="str">
            <v>TGSL</v>
          </cell>
          <cell r="H467">
            <v>0.75380149308207434</v>
          </cell>
          <cell r="I467">
            <v>8.3225075827000353E-2</v>
          </cell>
          <cell r="J467">
            <v>1.0407224871203464E-3</v>
          </cell>
        </row>
        <row r="468">
          <cell r="A468" t="str">
            <v>T_C-ICE-GSL-S2</v>
          </cell>
          <cell r="B468" t="str">
            <v>VAR_ncap</v>
          </cell>
          <cell r="C468" t="str">
            <v>-</v>
          </cell>
          <cell r="H468">
            <v>9.3532286671998096E-5</v>
          </cell>
          <cell r="I468">
            <v>3.9816357820131197E-5</v>
          </cell>
          <cell r="J468">
            <v>1.45016908157014E-5</v>
          </cell>
        </row>
        <row r="469">
          <cell r="A469" t="str">
            <v>T_C-ICE-GSL-S2</v>
          </cell>
          <cell r="B469" t="str">
            <v>VAR_cap</v>
          </cell>
          <cell r="C469" t="str">
            <v>-</v>
          </cell>
          <cell r="H469">
            <v>4.4848693418458985E-2</v>
          </cell>
          <cell r="I469">
            <v>4.8151067513560533E-3</v>
          </cell>
          <cell r="J469">
            <v>5.5856473667901528E-5</v>
          </cell>
        </row>
        <row r="470">
          <cell r="A470" t="str">
            <v>T_C-ICE-DSL-S1</v>
          </cell>
          <cell r="B470" t="str">
            <v>VAR_fout</v>
          </cell>
          <cell r="C470" t="str">
            <v>CO2_T</v>
          </cell>
          <cell r="H470">
            <v>0.10876346626261603</v>
          </cell>
          <cell r="I470">
            <v>6.5847088122899411E-2</v>
          </cell>
          <cell r="J470">
            <v>2.1121361476897599E-2</v>
          </cell>
        </row>
        <row r="471">
          <cell r="A471" t="str">
            <v>T_C-ICE-DSL-S1</v>
          </cell>
          <cell r="B471" t="str">
            <v>VAR_fout</v>
          </cell>
          <cell r="C471" t="str">
            <v>TPCAR</v>
          </cell>
          <cell r="H471">
            <v>1.0573436173377691E-3</v>
          </cell>
          <cell r="I471">
            <v>5.9328617172878348E-4</v>
          </cell>
          <cell r="J471">
            <v>2.012540498964751E-4</v>
          </cell>
        </row>
        <row r="472">
          <cell r="A472" t="str">
            <v>T_C-ICE-DSL-S1</v>
          </cell>
          <cell r="B472" t="str">
            <v>VAR_fin</v>
          </cell>
          <cell r="C472" t="str">
            <v>TDSL</v>
          </cell>
          <cell r="H472">
            <v>1.4838126365977623E-3</v>
          </cell>
          <cell r="I472">
            <v>8.9832316675169744E-4</v>
          </cell>
          <cell r="J472">
            <v>2.8814954265890351E-4</v>
          </cell>
        </row>
        <row r="473">
          <cell r="A473" t="str">
            <v>T_C-ICE-DSL-S1</v>
          </cell>
          <cell r="B473" t="str">
            <v>VAR_ncap</v>
          </cell>
          <cell r="C473" t="str">
            <v>-</v>
          </cell>
          <cell r="H473">
            <v>4.19009510515915E-5</v>
          </cell>
          <cell r="I473">
            <v>2.17073352538693E-5</v>
          </cell>
          <cell r="J473">
            <v>8.9323046581719E-6</v>
          </cell>
        </row>
        <row r="474">
          <cell r="A474" t="str">
            <v>T_C-ICE-DSL-S1</v>
          </cell>
          <cell r="B474" t="str">
            <v>VAR_cap</v>
          </cell>
          <cell r="C474" t="str">
            <v>-</v>
          </cell>
          <cell r="H474">
            <v>1.5382616391238941E-4</v>
          </cell>
          <cell r="I474">
            <v>8.5679382468942209E-5</v>
          </cell>
          <cell r="J474">
            <v>2.904552093738151E-5</v>
          </cell>
        </row>
        <row r="475">
          <cell r="A475" t="str">
            <v>T_C-ICE-GSL-S3</v>
          </cell>
          <cell r="B475" t="str">
            <v>VAR_fout</v>
          </cell>
          <cell r="C475" t="str">
            <v>CO2_T</v>
          </cell>
          <cell r="H475">
            <v>72.800651294083849</v>
          </cell>
          <cell r="I475">
            <v>7.5182098355558127</v>
          </cell>
          <cell r="J475">
            <v>0.10668752167270999</v>
          </cell>
        </row>
        <row r="476">
          <cell r="A476" t="str">
            <v>T_C-ICE-GSL-S3</v>
          </cell>
          <cell r="B476" t="str">
            <v>VAR_fout</v>
          </cell>
          <cell r="C476" t="str">
            <v>TPCAR</v>
          </cell>
          <cell r="H476">
            <v>0.48500191897051198</v>
          </cell>
          <cell r="I476">
            <v>4.9086098683922455E-2</v>
          </cell>
          <cell r="J476">
            <v>7.4766019509234769E-4</v>
          </cell>
        </row>
        <row r="477">
          <cell r="A477" t="str">
            <v>T_C-ICE-GSL-S3</v>
          </cell>
          <cell r="B477" t="str">
            <v>VAR_fin</v>
          </cell>
          <cell r="C477" t="str">
            <v>TGSL</v>
          </cell>
          <cell r="H477">
            <v>0.98645868962173255</v>
          </cell>
          <cell r="I477">
            <v>0.10187276199940136</v>
          </cell>
          <cell r="J477">
            <v>1.4456303749689698E-3</v>
          </cell>
        </row>
        <row r="478">
          <cell r="A478" t="str">
            <v>T_C-ICE-GSL-S3</v>
          </cell>
          <cell r="B478" t="str">
            <v>VAR_ncap</v>
          </cell>
          <cell r="C478" t="str">
            <v>-</v>
          </cell>
          <cell r="H478">
            <v>7.4813476507554704E-5</v>
          </cell>
          <cell r="I478">
            <v>4.59319986004717E-5</v>
          </cell>
          <cell r="J478">
            <v>2.18688255911075E-5</v>
          </cell>
        </row>
        <row r="479">
          <cell r="A479" t="str">
            <v>T_C-ICE-GSL-S3</v>
          </cell>
          <cell r="B479" t="str">
            <v>VAR_cap</v>
          </cell>
          <cell r="C479" t="str">
            <v>-</v>
          </cell>
          <cell r="H479">
            <v>3.3386978621784885E-2</v>
          </cell>
          <cell r="I479">
            <v>3.3899631435524795E-3</v>
          </cell>
          <cell r="J479">
            <v>6.0564969613133712E-5</v>
          </cell>
        </row>
        <row r="480">
          <cell r="A480" t="str">
            <v>T_C-ICE-DSL-S2</v>
          </cell>
          <cell r="B480" t="str">
            <v>VAR_fout</v>
          </cell>
          <cell r="C480" t="str">
            <v>CO2_T</v>
          </cell>
          <cell r="H480">
            <v>1.6231414555890247</v>
          </cell>
          <cell r="I480">
            <v>9.5989745518688899E-2</v>
          </cell>
          <cell r="J480">
            <v>3.5554159201593216E-2</v>
          </cell>
        </row>
        <row r="481">
          <cell r="A481" t="str">
            <v>T_C-ICE-DSL-S2</v>
          </cell>
          <cell r="B481" t="str">
            <v>VAR_fout</v>
          </cell>
          <cell r="C481" t="str">
            <v>TPCAR</v>
          </cell>
          <cell r="H481">
            <v>1.7971017566597167E-2</v>
          </cell>
          <cell r="I481">
            <v>6.9856285147330756E-4</v>
          </cell>
          <cell r="J481">
            <v>2.7349552335711818E-4</v>
          </cell>
        </row>
        <row r="482">
          <cell r="A482" t="str">
            <v>T_C-ICE-DSL-S2</v>
          </cell>
          <cell r="B482" t="str">
            <v>VAR_fin</v>
          </cell>
          <cell r="C482" t="str">
            <v>TDSL</v>
          </cell>
          <cell r="H482">
            <v>2.2143812490982621E-2</v>
          </cell>
          <cell r="I482">
            <v>1.30954632358375E-3</v>
          </cell>
          <cell r="J482">
            <v>4.8504992089485992E-4</v>
          </cell>
        </row>
        <row r="483">
          <cell r="A483" t="str">
            <v>T_C-ICE-DSL-S2</v>
          </cell>
          <cell r="B483" t="str">
            <v>VAR_ncap</v>
          </cell>
          <cell r="C483" t="str">
            <v>-</v>
          </cell>
          <cell r="H483">
            <v>3.4359451412740501E-5</v>
          </cell>
          <cell r="I483">
            <v>1.9338627043465399E-5</v>
          </cell>
          <cell r="J483">
            <v>8.8338846612557993E-6</v>
          </cell>
        </row>
        <row r="484">
          <cell r="A484" t="str">
            <v>T_C-ICE-DSL-S2</v>
          </cell>
          <cell r="B484" t="str">
            <v>VAR_cap</v>
          </cell>
          <cell r="C484" t="str">
            <v>-</v>
          </cell>
          <cell r="H484">
            <v>1.854997617836771E-3</v>
          </cell>
          <cell r="I484">
            <v>6.3380192893896419E-5</v>
          </cell>
          <cell r="J484">
            <v>2.589280660536675E-5</v>
          </cell>
        </row>
        <row r="485">
          <cell r="A485" t="str">
            <v>TPRLPH2OFCL</v>
          </cell>
          <cell r="B485" t="str">
            <v>VAR_fout</v>
          </cell>
          <cell r="C485" t="str">
            <v>TPRLP</v>
          </cell>
          <cell r="I485">
            <v>2.8264079682510223E-6</v>
          </cell>
          <cell r="J485">
            <v>3.7893867079902013E-6</v>
          </cell>
        </row>
        <row r="486">
          <cell r="A486" t="str">
            <v>TPRLPH2OFCL</v>
          </cell>
          <cell r="B486" t="str">
            <v>VAR_fin</v>
          </cell>
          <cell r="C486" t="str">
            <v>TH2O</v>
          </cell>
          <cell r="I486">
            <v>1.575312826092088E-4</v>
          </cell>
          <cell r="J486">
            <v>1.9613724280618069E-4</v>
          </cell>
        </row>
        <row r="487">
          <cell r="A487" t="str">
            <v>TPRLPH2OFCL</v>
          </cell>
          <cell r="B487" t="str">
            <v>VAR_ncap</v>
          </cell>
          <cell r="C487" t="str">
            <v>-</v>
          </cell>
          <cell r="I487">
            <v>6.0024770866581206E-8</v>
          </cell>
        </row>
        <row r="488">
          <cell r="A488" t="str">
            <v>TPRLPH2OFCL</v>
          </cell>
          <cell r="B488" t="str">
            <v>VAR_cap</v>
          </cell>
          <cell r="C488" t="str">
            <v>-</v>
          </cell>
          <cell r="I488">
            <v>6.0024770866581206E-8</v>
          </cell>
          <cell r="J488">
            <v>6.0024770866581206E-8</v>
          </cell>
        </row>
        <row r="489">
          <cell r="A489" t="str">
            <v>T_C-ICE-GSL-S4</v>
          </cell>
          <cell r="B489" t="str">
            <v>VAR_fout</v>
          </cell>
          <cell r="C489" t="str">
            <v>CO2_T</v>
          </cell>
          <cell r="H489">
            <v>975.05155933261926</v>
          </cell>
          <cell r="I489">
            <v>1287.2318241234957</v>
          </cell>
          <cell r="J489">
            <v>1076.2969167801812</v>
          </cell>
        </row>
        <row r="490">
          <cell r="A490" t="str">
            <v>T_C-ICE-GSL-S4</v>
          </cell>
          <cell r="B490" t="str">
            <v>VAR_fout</v>
          </cell>
          <cell r="C490" t="str">
            <v>TPCAR</v>
          </cell>
          <cell r="H490">
            <v>6.166178738856753</v>
          </cell>
          <cell r="I490">
            <v>8.5076158076814448</v>
          </cell>
          <cell r="J490">
            <v>8.0553251361325753</v>
          </cell>
        </row>
        <row r="491">
          <cell r="A491" t="str">
            <v>T_C-ICE-GSL-S4</v>
          </cell>
          <cell r="B491" t="str">
            <v>VAR_fin</v>
          </cell>
          <cell r="C491" t="str">
            <v>TGSL</v>
          </cell>
          <cell r="H491">
            <v>13.212080749764494</v>
          </cell>
          <cell r="I491">
            <v>17.442165638529755</v>
          </cell>
          <cell r="J491">
            <v>14.583969062062092</v>
          </cell>
        </row>
        <row r="492">
          <cell r="A492" t="str">
            <v>T_C-ICE-GSL-S4</v>
          </cell>
          <cell r="B492" t="str">
            <v>VAR_ncap</v>
          </cell>
          <cell r="C492" t="str">
            <v>-</v>
          </cell>
          <cell r="H492">
            <v>0.59596112585874395</v>
          </cell>
          <cell r="I492">
            <v>0.33927362683047602</v>
          </cell>
          <cell r="J492">
            <v>0.68630023174199495</v>
          </cell>
        </row>
        <row r="493">
          <cell r="A493" t="str">
            <v>T_C-ICE-GSL-S4</v>
          </cell>
          <cell r="B493" t="str">
            <v>VAR_cap</v>
          </cell>
          <cell r="C493" t="str">
            <v>-</v>
          </cell>
          <cell r="H493">
            <v>0.69349449791685436</v>
          </cell>
          <cell r="I493">
            <v>0.85767040584821319</v>
          </cell>
          <cell r="J493">
            <v>0.90607915663910443</v>
          </cell>
        </row>
        <row r="494">
          <cell r="A494" t="str">
            <v>T_C-ICE-DSL-S3</v>
          </cell>
          <cell r="B494" t="str">
            <v>VAR_fout</v>
          </cell>
          <cell r="C494" t="str">
            <v>CO2_T</v>
          </cell>
          <cell r="H494">
            <v>10.219682239081934</v>
          </cell>
          <cell r="I494">
            <v>0.10648942121782529</v>
          </cell>
          <cell r="J494">
            <v>4.4859248508588398E-2</v>
          </cell>
        </row>
        <row r="495">
          <cell r="A495" t="str">
            <v>T_C-ICE-DSL-S3</v>
          </cell>
          <cell r="B495" t="str">
            <v>VAR_fout</v>
          </cell>
          <cell r="C495" t="str">
            <v>TPCAR</v>
          </cell>
          <cell r="H495">
            <v>8.2299207291236742E-2</v>
          </cell>
          <cell r="I495">
            <v>7.1590776646774268E-4</v>
          </cell>
          <cell r="J495">
            <v>3.2427143755343863E-4</v>
          </cell>
        </row>
        <row r="496">
          <cell r="A496" t="str">
            <v>T_C-ICE-DSL-S3</v>
          </cell>
          <cell r="B496" t="str">
            <v>VAR_fin</v>
          </cell>
          <cell r="C496" t="str">
            <v>TDSL</v>
          </cell>
          <cell r="H496">
            <v>0.13942267720439186</v>
          </cell>
          <cell r="I496">
            <v>1.4527888297111249E-3</v>
          </cell>
          <cell r="J496">
            <v>6.1199520475564012E-4</v>
          </cell>
        </row>
        <row r="497">
          <cell r="A497" t="str">
            <v>T_C-ICE-DSL-S3</v>
          </cell>
          <cell r="B497" t="str">
            <v>VAR_ncap</v>
          </cell>
          <cell r="C497" t="str">
            <v>-</v>
          </cell>
          <cell r="H497">
            <v>2.85830066145607E-5</v>
          </cell>
          <cell r="I497">
            <v>1.9093290241886601E-5</v>
          </cell>
          <cell r="J497">
            <v>1.0538780760232201E-5</v>
          </cell>
        </row>
        <row r="498">
          <cell r="A498" t="str">
            <v>T_C-ICE-DSL-S3</v>
          </cell>
          <cell r="B498" t="str">
            <v>VAR_cap</v>
          </cell>
          <cell r="C498" t="str">
            <v>-</v>
          </cell>
          <cell r="H498">
            <v>5.6803665078735974E-3</v>
          </cell>
          <cell r="I498">
            <v>5.4138406782874341E-5</v>
          </cell>
          <cell r="J498">
            <v>2.5782659686853146E-5</v>
          </cell>
        </row>
        <row r="499">
          <cell r="A499" t="str">
            <v>T_C-ICE-DSL-S4</v>
          </cell>
          <cell r="B499" t="str">
            <v>VAR_fout</v>
          </cell>
          <cell r="C499" t="str">
            <v>CO2_T</v>
          </cell>
          <cell r="H499">
            <v>5.7272953505646598</v>
          </cell>
          <cell r="I499">
            <v>6.4178631633009436E-2</v>
          </cell>
          <cell r="J499">
            <v>3.0394175196881278E-2</v>
          </cell>
        </row>
        <row r="500">
          <cell r="A500" t="str">
            <v>T_C-ICE-DSL-S4</v>
          </cell>
          <cell r="B500" t="str">
            <v>VAR_fout</v>
          </cell>
          <cell r="C500" t="str">
            <v>TPCAR</v>
          </cell>
          <cell r="H500">
            <v>3.0557887638810222E-2</v>
          </cell>
          <cell r="I500">
            <v>4.0482877535793273E-4</v>
          </cell>
          <cell r="J500">
            <v>2.0818095307623951E-4</v>
          </cell>
        </row>
        <row r="501">
          <cell r="A501" t="str">
            <v>T_C-ICE-DSL-S4</v>
          </cell>
          <cell r="B501" t="str">
            <v>VAR_fin</v>
          </cell>
          <cell r="C501" t="str">
            <v>TDSL</v>
          </cell>
          <cell r="H501">
            <v>7.8134997961318911E-2</v>
          </cell>
          <cell r="I501">
            <v>8.7556114096875085E-4</v>
          </cell>
          <cell r="J501">
            <v>4.1465450473235056E-4</v>
          </cell>
        </row>
        <row r="502">
          <cell r="A502" t="str">
            <v>T_C-ICE-DSL-S4</v>
          </cell>
          <cell r="B502" t="str">
            <v>VAR_ncap</v>
          </cell>
          <cell r="C502" t="str">
            <v>-</v>
          </cell>
          <cell r="H502">
            <v>1.9521324001389599E-5</v>
          </cell>
          <cell r="I502">
            <v>1.41907653814353E-5</v>
          </cell>
          <cell r="J502">
            <v>8.8485717777148906E-6</v>
          </cell>
        </row>
        <row r="503">
          <cell r="A503" t="str">
            <v>T_C-ICE-DSL-S4</v>
          </cell>
          <cell r="B503" t="str">
            <v>VAR_cap</v>
          </cell>
          <cell r="C503" t="str">
            <v>-</v>
          </cell>
          <cell r="H503">
            <v>3.4059645546926985E-3</v>
          </cell>
          <cell r="I503">
            <v>3.701378284682547E-5</v>
          </cell>
          <cell r="J503">
            <v>1.9601469209118801E-5</v>
          </cell>
        </row>
        <row r="504">
          <cell r="A504" t="str">
            <v>TFLGV-ICENGAExt</v>
          </cell>
          <cell r="B504" t="str">
            <v>VAR_fout</v>
          </cell>
          <cell r="C504" t="str">
            <v>CO2_T</v>
          </cell>
        </row>
        <row r="505">
          <cell r="A505" t="str">
            <v>TFLGV-ICENGAExt</v>
          </cell>
          <cell r="B505" t="str">
            <v>VAR_fout</v>
          </cell>
          <cell r="C505" t="str">
            <v>TFLGV</v>
          </cell>
        </row>
        <row r="506">
          <cell r="A506" t="str">
            <v>TFLGV-ICENGAExt</v>
          </cell>
          <cell r="B506" t="str">
            <v>VAR_fin</v>
          </cell>
          <cell r="C506" t="str">
            <v>TNGA</v>
          </cell>
        </row>
        <row r="507">
          <cell r="A507" t="str">
            <v>TFLGV-ICENGAExt</v>
          </cell>
          <cell r="B507" t="str">
            <v>VAR_cap</v>
          </cell>
          <cell r="C507" t="str">
            <v>-</v>
          </cell>
        </row>
        <row r="508">
          <cell r="A508" t="str">
            <v>D-TGSL</v>
          </cell>
          <cell r="B508" t="str">
            <v>VAR_fout</v>
          </cell>
          <cell r="C508" t="str">
            <v>CO2</v>
          </cell>
          <cell r="H508">
            <v>1955.1976536617599</v>
          </cell>
          <cell r="I508">
            <v>1895.8760921227699</v>
          </cell>
          <cell r="J508">
            <v>1532.20539527497</v>
          </cell>
        </row>
        <row r="509">
          <cell r="A509" t="str">
            <v>D-TGSL</v>
          </cell>
          <cell r="B509" t="str">
            <v>VAR_fout</v>
          </cell>
          <cell r="C509" t="str">
            <v>TGSL</v>
          </cell>
          <cell r="H509">
            <v>27.616551532565481</v>
          </cell>
          <cell r="I509">
            <v>26.778196731374873</v>
          </cell>
          <cell r="J509">
            <v>21.641633822608718</v>
          </cell>
        </row>
        <row r="510">
          <cell r="A510" t="str">
            <v>D-TGSL</v>
          </cell>
          <cell r="B510" t="str">
            <v>VAR_fin</v>
          </cell>
          <cell r="C510" t="str">
            <v>GSL</v>
          </cell>
          <cell r="H510">
            <v>26.493193139048255</v>
          </cell>
          <cell r="I510">
            <v>25.689377942042903</v>
          </cell>
          <cell r="J510">
            <v>20.761590721883039</v>
          </cell>
        </row>
        <row r="511">
          <cell r="A511" t="str">
            <v>D-TGSL</v>
          </cell>
          <cell r="B511" t="str">
            <v>VAR_fin</v>
          </cell>
          <cell r="C511" t="str">
            <v>ETH</v>
          </cell>
          <cell r="H511">
            <v>1.5352675877738722</v>
          </cell>
          <cell r="I511">
            <v>1.4882234205415303</v>
          </cell>
          <cell r="J511">
            <v>1.2028349418518607</v>
          </cell>
        </row>
        <row r="512">
          <cell r="A512" t="str">
            <v>T_TW-BEVELC-S1</v>
          </cell>
          <cell r="B512" t="str">
            <v>VAR_fout</v>
          </cell>
          <cell r="C512" t="str">
            <v>TPTWL</v>
          </cell>
          <cell r="H512">
            <v>4.1035676729037395E-3</v>
          </cell>
          <cell r="I512">
            <v>4.6774244868321539E-3</v>
          </cell>
          <cell r="J512">
            <v>3.7450269073687997E-3</v>
          </cell>
        </row>
        <row r="513">
          <cell r="A513" t="str">
            <v>T_TW-BEVELC-S1</v>
          </cell>
          <cell r="B513" t="str">
            <v>VAR_fin</v>
          </cell>
          <cell r="C513" t="str">
            <v>T-ELC-TWSTGout_S1</v>
          </cell>
          <cell r="H513">
            <v>3.5778903320563216E-4</v>
          </cell>
          <cell r="I513">
            <v>4.0479606745110115E-4</v>
          </cell>
          <cell r="J513">
            <v>3.1727284217441973E-4</v>
          </cell>
        </row>
        <row r="514">
          <cell r="A514" t="str">
            <v>T_TW-BEVELC-S1</v>
          </cell>
          <cell r="B514" t="str">
            <v>VAR_ncap</v>
          </cell>
          <cell r="C514" t="str">
            <v>-</v>
          </cell>
          <cell r="H514">
            <v>1.0570970031648099E-3</v>
          </cell>
          <cell r="I514">
            <v>5.4971410925277998E-4</v>
          </cell>
          <cell r="J514">
            <v>8.63719612553464E-4</v>
          </cell>
        </row>
        <row r="515">
          <cell r="A515" t="str">
            <v>T_TW-BEVELC-S1</v>
          </cell>
          <cell r="B515" t="str">
            <v>VAR_cap</v>
          </cell>
          <cell r="C515" t="str">
            <v>-</v>
          </cell>
          <cell r="H515">
            <v>1.4696378466477721E-3</v>
          </cell>
          <cell r="I515">
            <v>1.6598024128167625E-3</v>
          </cell>
          <cell r="J515">
            <v>1.3248099362578349E-3</v>
          </cell>
        </row>
        <row r="516">
          <cell r="A516" t="str">
            <v>T_TW-BEVELC-S2</v>
          </cell>
          <cell r="B516" t="str">
            <v>VAR_fout</v>
          </cell>
          <cell r="C516" t="str">
            <v>TPTWL</v>
          </cell>
          <cell r="H516">
            <v>1.1037050909221714E-3</v>
          </cell>
          <cell r="I516">
            <v>9.6187180281510172E-4</v>
          </cell>
          <cell r="J516">
            <v>6.6030124602015137E-4</v>
          </cell>
        </row>
        <row r="517">
          <cell r="A517" t="str">
            <v>T_TW-BEVELC-S2</v>
          </cell>
          <cell r="B517" t="str">
            <v>VAR_fin</v>
          </cell>
          <cell r="C517" t="str">
            <v>T-ELC-TWSTGout_S2</v>
          </cell>
          <cell r="H517">
            <v>1.7109867537915999E-4</v>
          </cell>
          <cell r="I517">
            <v>1.4711634600936667E-4</v>
          </cell>
          <cell r="J517">
            <v>9.9469498884114269E-5</v>
          </cell>
        </row>
        <row r="518">
          <cell r="A518" t="str">
            <v>T_TW-BEVELC-S2</v>
          </cell>
          <cell r="B518" t="str">
            <v>VAR_ncap</v>
          </cell>
          <cell r="C518" t="str">
            <v>-</v>
          </cell>
          <cell r="H518">
            <v>2.0019647248118E-4</v>
          </cell>
          <cell r="I518">
            <v>1.18334261891253E-4</v>
          </cell>
          <cell r="J518">
            <v>1.03562208285961E-4</v>
          </cell>
        </row>
        <row r="519">
          <cell r="A519" t="str">
            <v>T_TW-BEVELC-S2</v>
          </cell>
          <cell r="B519" t="str">
            <v>VAR_cap</v>
          </cell>
          <cell r="C519" t="str">
            <v>-</v>
          </cell>
          <cell r="H519">
            <v>4.1850444498282423E-4</v>
          </cell>
          <cell r="I519">
            <v>3.6278224922222594E-4</v>
          </cell>
          <cell r="J519">
            <v>2.4931492307220363E-4</v>
          </cell>
        </row>
        <row r="520">
          <cell r="A520" t="str">
            <v>TFRLFH2OFCL</v>
          </cell>
          <cell r="B520" t="str">
            <v>VAR_fout</v>
          </cell>
          <cell r="C520" t="str">
            <v>TFRLF</v>
          </cell>
          <cell r="J520">
            <v>4.0980228664300697E-8</v>
          </cell>
        </row>
        <row r="521">
          <cell r="A521" t="str">
            <v>TFRLFH2OFCL</v>
          </cell>
          <cell r="B521" t="str">
            <v>VAR_fin</v>
          </cell>
          <cell r="C521" t="str">
            <v>TH2O</v>
          </cell>
          <cell r="J521">
            <v>6.9058879809588907E-6</v>
          </cell>
        </row>
        <row r="522">
          <cell r="A522" t="str">
            <v>TFRLFH2OFCL</v>
          </cell>
          <cell r="B522" t="str">
            <v>VAR_ncap</v>
          </cell>
          <cell r="C522" t="str">
            <v>-</v>
          </cell>
          <cell r="I522">
            <v>1.1419538363923201E-7</v>
          </cell>
        </row>
        <row r="523">
          <cell r="A523" t="str">
            <v>TFRLFH2OFCL</v>
          </cell>
          <cell r="B523" t="str">
            <v>VAR_cap</v>
          </cell>
          <cell r="C523" t="str">
            <v>-</v>
          </cell>
          <cell r="I523">
            <v>1.1419538363923201E-7</v>
          </cell>
          <cell r="J523">
            <v>1.1419538363923201E-7</v>
          </cell>
        </row>
        <row r="524">
          <cell r="A524" t="str">
            <v>T_TW-BEVELC-S3</v>
          </cell>
          <cell r="B524" t="str">
            <v>VAR_fout</v>
          </cell>
          <cell r="C524" t="str">
            <v>TPTWL</v>
          </cell>
          <cell r="H524">
            <v>9.5063152506644482E-4</v>
          </cell>
          <cell r="I524">
            <v>7.097049098129032E-4</v>
          </cell>
          <cell r="J524">
            <v>3.6463175568598186E-4</v>
          </cell>
        </row>
        <row r="525">
          <cell r="A525" t="str">
            <v>T_TW-BEVELC-S3</v>
          </cell>
          <cell r="B525" t="str">
            <v>VAR_fin</v>
          </cell>
          <cell r="C525" t="str">
            <v>T-ELC-TWSTGout_S3</v>
          </cell>
          <cell r="H525">
            <v>2.2946766555803728E-4</v>
          </cell>
          <cell r="I525">
            <v>1.6913751975352432E-4</v>
          </cell>
          <cell r="J525">
            <v>8.4128459869967551E-5</v>
          </cell>
        </row>
        <row r="526">
          <cell r="A526" t="str">
            <v>T_TW-BEVELC-S3</v>
          </cell>
          <cell r="B526" t="str">
            <v>VAR_ncap</v>
          </cell>
          <cell r="C526" t="str">
            <v>-</v>
          </cell>
          <cell r="H526">
            <v>5.29023070646882E-5</v>
          </cell>
          <cell r="I526">
            <v>4.52015234219534E-5</v>
          </cell>
          <cell r="J526">
            <v>4.1611180885752603E-5</v>
          </cell>
        </row>
        <row r="527">
          <cell r="A527" t="str">
            <v>T_TW-BEVELC-S3</v>
          </cell>
          <cell r="B527" t="str">
            <v>VAR_cap</v>
          </cell>
          <cell r="C527" t="str">
            <v>-</v>
          </cell>
          <cell r="H527">
            <v>3.6488414435774613E-4</v>
          </cell>
          <cell r="I527">
            <v>2.7422145139894226E-4</v>
          </cell>
          <cell r="J527">
            <v>1.4010537984735142E-4</v>
          </cell>
        </row>
        <row r="528">
          <cell r="A528" t="str">
            <v>T_TW-BEVELC-S4</v>
          </cell>
          <cell r="B528" t="str">
            <v>VAR_fout</v>
          </cell>
          <cell r="C528" t="str">
            <v>TPTWL</v>
          </cell>
          <cell r="H528">
            <v>6.9969846246203818E-4</v>
          </cell>
          <cell r="I528">
            <v>8.2527759375197014E-4</v>
          </cell>
          <cell r="J528">
            <v>5.2672907305345367E-4</v>
          </cell>
        </row>
        <row r="529">
          <cell r="A529" t="str">
            <v>T_TW-BEVELC-S4</v>
          </cell>
          <cell r="B529" t="str">
            <v>VAR_fin</v>
          </cell>
          <cell r="C529" t="str">
            <v>T-ELC-TWSTGout_S4</v>
          </cell>
          <cell r="H529">
            <v>1.8250345333311623E-4</v>
          </cell>
          <cell r="I529">
            <v>2.137835659954675E-4</v>
          </cell>
          <cell r="J529">
            <v>1.3284823949587788E-4</v>
          </cell>
        </row>
        <row r="530">
          <cell r="A530" t="str">
            <v>T_TW-BEVELC-S4</v>
          </cell>
          <cell r="B530" t="str">
            <v>VAR_ncap</v>
          </cell>
          <cell r="C530" t="str">
            <v>-</v>
          </cell>
          <cell r="H530">
            <v>5.2428573663062102E-5</v>
          </cell>
          <cell r="I530">
            <v>4.9737307026409398E-5</v>
          </cell>
          <cell r="J530">
            <v>4.0487458246896599E-5</v>
          </cell>
        </row>
        <row r="531">
          <cell r="A531" t="str">
            <v>T_TW-BEVELC-S4</v>
          </cell>
          <cell r="B531" t="str">
            <v>VAR_cap</v>
          </cell>
          <cell r="C531" t="str">
            <v>-</v>
          </cell>
          <cell r="H531">
            <v>2.6933932309994632E-4</v>
          </cell>
          <cell r="I531">
            <v>3.1842469855186537E-4</v>
          </cell>
          <cell r="J531">
            <v>2.0285346006377355E-4</v>
          </cell>
        </row>
        <row r="532">
          <cell r="A532" t="str">
            <v>T_B_u-BeVELCEXT</v>
          </cell>
          <cell r="B532" t="str">
            <v>VAR_fout</v>
          </cell>
          <cell r="C532" t="str">
            <v>TPBSu</v>
          </cell>
        </row>
        <row r="533">
          <cell r="A533" t="str">
            <v>T_B_u-BeVELCEXT</v>
          </cell>
          <cell r="B533" t="str">
            <v>VAR_fin</v>
          </cell>
          <cell r="C533" t="str">
            <v>TELC</v>
          </cell>
        </row>
        <row r="534">
          <cell r="A534" t="str">
            <v>T_B_u-BeVELCEXT</v>
          </cell>
          <cell r="B534" t="str">
            <v>VAR_cap</v>
          </cell>
          <cell r="C534" t="str">
            <v>-</v>
          </cell>
        </row>
        <row r="535">
          <cell r="A535" t="str">
            <v>T_B_u-HYBDSL-S1</v>
          </cell>
          <cell r="B535" t="str">
            <v>VAR_fout</v>
          </cell>
          <cell r="C535" t="str">
            <v>CO2_T</v>
          </cell>
          <cell r="H535">
            <v>6.7928643328252575E-2</v>
          </cell>
          <cell r="I535">
            <v>8.5721940635249058E-2</v>
          </cell>
          <cell r="J535">
            <v>9.3432648717177366E-2</v>
          </cell>
        </row>
        <row r="536">
          <cell r="A536" t="str">
            <v>T_B_u-HYBDSL-S1</v>
          </cell>
          <cell r="B536" t="str">
            <v>VAR_fout</v>
          </cell>
          <cell r="C536" t="str">
            <v>TPBSu</v>
          </cell>
          <cell r="H536">
            <v>1.7679998333587624E-4</v>
          </cell>
          <cell r="I536">
            <v>2.3154018063689281E-4</v>
          </cell>
          <cell r="J536">
            <v>2.7890332345437867E-4</v>
          </cell>
        </row>
        <row r="537">
          <cell r="A537" t="str">
            <v>T_B_u-HYBDSL-S1</v>
          </cell>
          <cell r="B537" t="str">
            <v>VAR_fin</v>
          </cell>
          <cell r="C537" t="str">
            <v>TDSL</v>
          </cell>
          <cell r="H537">
            <v>9.2672091853004924E-4</v>
          </cell>
          <cell r="I537">
            <v>1.1694671300852518E-3</v>
          </cell>
          <cell r="J537">
            <v>1.2746609647636756E-3</v>
          </cell>
        </row>
        <row r="538">
          <cell r="A538" t="str">
            <v>T_B_u-HYBDSL-S1</v>
          </cell>
          <cell r="B538" t="str">
            <v>VAR_ncap</v>
          </cell>
          <cell r="C538" t="str">
            <v>-</v>
          </cell>
          <cell r="H538">
            <v>2.9304003524689699E-6</v>
          </cell>
          <cell r="I538">
            <v>1.8613774241890501E-6</v>
          </cell>
          <cell r="J538">
            <v>4.6147791329466198E-6</v>
          </cell>
        </row>
        <row r="539">
          <cell r="A539" t="str">
            <v>T_B_u-HYBDSL-S1</v>
          </cell>
          <cell r="B539" t="str">
            <v>VAR_cap</v>
          </cell>
          <cell r="C539" t="str">
            <v>-</v>
          </cell>
          <cell r="H539">
            <v>3.8973237552744419E-6</v>
          </cell>
          <cell r="I539">
            <v>4.8945522555302848E-6</v>
          </cell>
          <cell r="J539">
            <v>6.0597849410561713E-6</v>
          </cell>
        </row>
        <row r="540">
          <cell r="A540" t="str">
            <v>T_B_u-HYBDSL-S2</v>
          </cell>
          <cell r="B540" t="str">
            <v>VAR_fout</v>
          </cell>
          <cell r="C540" t="str">
            <v>CO2_T</v>
          </cell>
          <cell r="H540">
            <v>7.0963171384859094E-2</v>
          </cell>
          <cell r="I540">
            <v>7.7627399207554237E-2</v>
          </cell>
          <cell r="J540">
            <v>5.7000243624347163E-2</v>
          </cell>
        </row>
        <row r="541">
          <cell r="A541" t="str">
            <v>T_B_u-HYBDSL-S2</v>
          </cell>
          <cell r="B541" t="str">
            <v>VAR_fout</v>
          </cell>
          <cell r="C541" t="str">
            <v>TPBSu</v>
          </cell>
          <cell r="H541">
            <v>1.3089023040501756E-4</v>
          </cell>
          <cell r="I541">
            <v>1.5035057784154579E-4</v>
          </cell>
          <cell r="J541">
            <v>1.2015970172603644E-4</v>
          </cell>
        </row>
        <row r="542">
          <cell r="A542" t="str">
            <v>T_B_u-HYBDSL-S2</v>
          </cell>
          <cell r="B542" t="str">
            <v>VAR_fin</v>
          </cell>
          <cell r="C542" t="str">
            <v>TDSL</v>
          </cell>
          <cell r="H542">
            <v>9.6811966418634463E-4</v>
          </cell>
          <cell r="I542">
            <v>1.0590368241139741E-3</v>
          </cell>
          <cell r="J542">
            <v>7.7762951738536454E-4</v>
          </cell>
        </row>
        <row r="543">
          <cell r="A543" t="str">
            <v>T_B_u-HYBDSL-S2</v>
          </cell>
          <cell r="B543" t="str">
            <v>VAR_ncap</v>
          </cell>
          <cell r="C543" t="str">
            <v>-</v>
          </cell>
          <cell r="H543">
            <v>1.68958391801579E-6</v>
          </cell>
          <cell r="I543">
            <v>1.19984165400118E-6</v>
          </cell>
          <cell r="J543">
            <v>1.4883548789882899E-6</v>
          </cell>
        </row>
        <row r="544">
          <cell r="A544" t="str">
            <v>T_B_u-HYBDSL-S2</v>
          </cell>
          <cell r="B544" t="str">
            <v>VAR_cap</v>
          </cell>
          <cell r="C544" t="str">
            <v>-</v>
          </cell>
          <cell r="H544">
            <v>2.6726917152452452E-6</v>
          </cell>
          <cell r="I544">
            <v>2.9974714064202401E-6</v>
          </cell>
          <cell r="J544">
            <v>2.38658459333078E-6</v>
          </cell>
        </row>
        <row r="545">
          <cell r="A545" t="str">
            <v>T_B_u-HYBDSL-S3</v>
          </cell>
          <cell r="B545" t="str">
            <v>VAR_fout</v>
          </cell>
          <cell r="C545" t="str">
            <v>CO2_T</v>
          </cell>
          <cell r="H545">
            <v>82.612949051923593</v>
          </cell>
          <cell r="I545">
            <v>93.055137651160493</v>
          </cell>
          <cell r="J545">
            <v>107.47898780192611</v>
          </cell>
        </row>
        <row r="546">
          <cell r="A546" t="str">
            <v>T_B_u-HYBDSL-S3</v>
          </cell>
          <cell r="B546" t="str">
            <v>VAR_fout</v>
          </cell>
          <cell r="C546" t="str">
            <v>TPBSu</v>
          </cell>
          <cell r="H546">
            <v>0.10380134217042135</v>
          </cell>
          <cell r="I546">
            <v>0.12163827679143599</v>
          </cell>
          <cell r="J546">
            <v>0.15753609652624087</v>
          </cell>
        </row>
        <row r="547">
          <cell r="A547" t="str">
            <v>T_B_u-HYBDSL-S3</v>
          </cell>
          <cell r="B547" t="str">
            <v>VAR_fin</v>
          </cell>
          <cell r="C547" t="str">
            <v>TDSL</v>
          </cell>
          <cell r="H547">
            <v>1.1270525109402951</v>
          </cell>
          <cell r="I547">
            <v>1.2695107455819976</v>
          </cell>
          <cell r="J547">
            <v>1.4662890559607935</v>
          </cell>
        </row>
        <row r="548">
          <cell r="A548" t="str">
            <v>T_B_u-HYBDSL-S3</v>
          </cell>
          <cell r="B548" t="str">
            <v>VAR_ncap</v>
          </cell>
          <cell r="C548" t="str">
            <v>-</v>
          </cell>
          <cell r="H548">
            <v>1.3205628561782699E-3</v>
          </cell>
          <cell r="I548">
            <v>9.7333218458732799E-4</v>
          </cell>
          <cell r="J548">
            <v>2.6374209018352E-3</v>
          </cell>
        </row>
        <row r="549">
          <cell r="A549" t="str">
            <v>T_B_u-HYBDSL-S3</v>
          </cell>
          <cell r="B549" t="str">
            <v>VAR_cap</v>
          </cell>
          <cell r="C549" t="str">
            <v>-</v>
          </cell>
          <cell r="H549">
            <v>1.9576057598582599E-3</v>
          </cell>
          <cell r="I549">
            <v>2.2938950407655999E-3</v>
          </cell>
          <cell r="J549">
            <v>2.9708078551964499E-3</v>
          </cell>
        </row>
        <row r="550">
          <cell r="A550" t="str">
            <v>T_C-HY-GSL-S1</v>
          </cell>
          <cell r="B550" t="str">
            <v>VAR_fout</v>
          </cell>
          <cell r="C550" t="str">
            <v>CO2_T</v>
          </cell>
          <cell r="H550">
            <v>69.389369339537566</v>
          </cell>
          <cell r="I550">
            <v>121.41049150980669</v>
          </cell>
          <cell r="J550">
            <v>49.910549979044383</v>
          </cell>
        </row>
        <row r="551">
          <cell r="A551" t="str">
            <v>T_C-HY-GSL-S1</v>
          </cell>
          <cell r="B551" t="str">
            <v>VAR_fout</v>
          </cell>
          <cell r="C551" t="str">
            <v>TPCAR</v>
          </cell>
          <cell r="H551">
            <v>0.86955995891567495</v>
          </cell>
          <cell r="I551">
            <v>1.5575734875144827</v>
          </cell>
          <cell r="J551">
            <v>0.644624377914501</v>
          </cell>
        </row>
        <row r="552">
          <cell r="A552" t="str">
            <v>T_C-HY-GSL-S1</v>
          </cell>
          <cell r="B552" t="str">
            <v>VAR_fin</v>
          </cell>
          <cell r="C552" t="str">
            <v>TGSL</v>
          </cell>
          <cell r="H552">
            <v>0.94023535690430271</v>
          </cell>
          <cell r="I552">
            <v>1.6451286112439916</v>
          </cell>
          <cell r="J552">
            <v>0.67629471516320316</v>
          </cell>
        </row>
        <row r="553">
          <cell r="A553" t="str">
            <v>T_C-HY-GSL-S1</v>
          </cell>
          <cell r="B553" t="str">
            <v>VAR_ncap</v>
          </cell>
          <cell r="C553" t="str">
            <v>-</v>
          </cell>
          <cell r="H553">
            <v>0.13482040048121099</v>
          </cell>
          <cell r="I553">
            <v>0.12695980301078499</v>
          </cell>
          <cell r="J553">
            <v>1.2310951910122299E-4</v>
          </cell>
        </row>
        <row r="554">
          <cell r="A554" t="str">
            <v>T_C-HY-GSL-S1</v>
          </cell>
          <cell r="B554" t="str">
            <v>VAR_cap</v>
          </cell>
          <cell r="C554" t="str">
            <v>-</v>
          </cell>
          <cell r="H554">
            <v>0.13214167627093662</v>
          </cell>
          <cell r="I554">
            <v>0.2367070648303656</v>
          </cell>
          <cell r="J554">
            <v>9.7964687122852973E-2</v>
          </cell>
        </row>
        <row r="555">
          <cell r="A555" t="str">
            <v>T_B_u-HYBDSL-S4</v>
          </cell>
          <cell r="B555" t="str">
            <v>VAR_fout</v>
          </cell>
          <cell r="C555" t="str">
            <v>CO2_T</v>
          </cell>
          <cell r="H555">
            <v>3.2164903374622199E-3</v>
          </cell>
          <cell r="I555">
            <v>3.6725997087406603E-3</v>
          </cell>
          <cell r="J555">
            <v>4.8503581401081251E-4</v>
          </cell>
        </row>
        <row r="556">
          <cell r="A556" t="str">
            <v>T_B_u-HYBDSL-S4</v>
          </cell>
          <cell r="B556" t="str">
            <v>VAR_fout</v>
          </cell>
          <cell r="C556" t="str">
            <v>TPBSu</v>
          </cell>
          <cell r="H556">
            <v>2.7775665116103703E-6</v>
          </cell>
          <cell r="I556">
            <v>3.258914536816683E-6</v>
          </cell>
          <cell r="J556">
            <v>4.8140722243790121E-7</v>
          </cell>
        </row>
        <row r="557">
          <cell r="A557" t="str">
            <v>T_B_u-HYBDSL-S4</v>
          </cell>
          <cell r="B557" t="str">
            <v>VAR_fin</v>
          </cell>
          <cell r="C557" t="str">
            <v>TDSL</v>
          </cell>
          <cell r="H557">
            <v>4.3881177864423218E-5</v>
          </cell>
          <cell r="I557">
            <v>5.0103679518972169E-5</v>
          </cell>
          <cell r="J557">
            <v>6.6171325240219995E-6</v>
          </cell>
        </row>
        <row r="558">
          <cell r="A558" t="str">
            <v>T_B_u-HYBDSL-S4</v>
          </cell>
          <cell r="B558" t="str">
            <v>VAR_ncap</v>
          </cell>
          <cell r="C558" t="str">
            <v>-</v>
          </cell>
          <cell r="H558">
            <v>7.0573513514114893E-8</v>
          </cell>
          <cell r="I558">
            <v>5.5272294653553497E-8</v>
          </cell>
          <cell r="J558">
            <v>2.02612163286244E-8</v>
          </cell>
        </row>
        <row r="559">
          <cell r="A559" t="str">
            <v>T_B_u-HYBDSL-S4</v>
          </cell>
          <cell r="B559" t="str">
            <v>VAR_cap</v>
          </cell>
          <cell r="C559" t="str">
            <v>-</v>
          </cell>
          <cell r="H559">
            <v>7.8463796075593794E-8</v>
          </cell>
          <cell r="I559">
            <v>1.03473038208E-7</v>
          </cell>
          <cell r="J559">
            <v>2.9960875943844501E-8</v>
          </cell>
        </row>
        <row r="560">
          <cell r="A560" t="str">
            <v>TFRLFDSLEXT</v>
          </cell>
          <cell r="B560" t="str">
            <v>VAR_fout</v>
          </cell>
          <cell r="C560" t="str">
            <v>CO2_T</v>
          </cell>
          <cell r="H560">
            <v>2.78592501485844E-2</v>
          </cell>
          <cell r="I560">
            <v>2.84141161613858E-2</v>
          </cell>
          <cell r="J560">
            <v>2.2546577063012399E-3</v>
          </cell>
        </row>
        <row r="561">
          <cell r="A561" t="str">
            <v>TFRLFDSLEXT</v>
          </cell>
          <cell r="B561" t="str">
            <v>VAR_fout</v>
          </cell>
          <cell r="C561" t="str">
            <v>TFRLF</v>
          </cell>
          <cell r="H561">
            <v>1.5404583803908976E-6</v>
          </cell>
          <cell r="I561">
            <v>1.5711393210068606E-6</v>
          </cell>
          <cell r="J561">
            <v>1.2466977180149109E-7</v>
          </cell>
        </row>
        <row r="562">
          <cell r="A562" t="str">
            <v>TFRLFDSLEXT</v>
          </cell>
          <cell r="B562" t="str">
            <v>VAR_fin</v>
          </cell>
          <cell r="C562" t="str">
            <v>TDSL</v>
          </cell>
          <cell r="H562">
            <v>3.8007162549228362E-4</v>
          </cell>
          <cell r="I562">
            <v>3.8764142102845563E-4</v>
          </cell>
          <cell r="J562">
            <v>3.0759313864955566E-5</v>
          </cell>
        </row>
        <row r="563">
          <cell r="A563" t="str">
            <v>TFRLFDSLEXT</v>
          </cell>
          <cell r="B563" t="str">
            <v>VAR_ncap</v>
          </cell>
          <cell r="C563" t="str">
            <v>-</v>
          </cell>
        </row>
        <row r="564">
          <cell r="A564" t="str">
            <v>TFRLFDSLEXT</v>
          </cell>
          <cell r="B564" t="str">
            <v>VAR_cap</v>
          </cell>
          <cell r="C564" t="str">
            <v>-</v>
          </cell>
          <cell r="H564">
            <v>2.4011013497200859E-7</v>
          </cell>
          <cell r="I564">
            <v>2.3982898127199647E-7</v>
          </cell>
          <cell r="J564">
            <v>1.1987456696489903E-7</v>
          </cell>
        </row>
        <row r="565">
          <cell r="A565" t="str">
            <v>T_C-HY-GSL-S2</v>
          </cell>
          <cell r="B565" t="str">
            <v>VAR_fout</v>
          </cell>
          <cell r="C565" t="str">
            <v>CO2_T</v>
          </cell>
          <cell r="H565">
            <v>60.940557508531185</v>
          </cell>
          <cell r="I565">
            <v>32.991959340307481</v>
          </cell>
          <cell r="J565">
            <v>138.00033243952254</v>
          </cell>
        </row>
        <row r="566">
          <cell r="A566" t="str">
            <v>T_C-HY-GSL-S2</v>
          </cell>
          <cell r="B566" t="str">
            <v>VAR_fout</v>
          </cell>
          <cell r="C566" t="str">
            <v>TPCAR</v>
          </cell>
          <cell r="H566">
            <v>1.0882800917091935</v>
          </cell>
          <cell r="I566">
            <v>0.40037969224211406</v>
          </cell>
          <cell r="J566">
            <v>1.6501383427269096</v>
          </cell>
        </row>
        <row r="567">
          <cell r="A567" t="str">
            <v>T_C-HY-GSL-S2</v>
          </cell>
          <cell r="B567" t="str">
            <v>VAR_fin</v>
          </cell>
          <cell r="C567" t="str">
            <v>TGSL</v>
          </cell>
          <cell r="H567">
            <v>0.82575281176871629</v>
          </cell>
          <cell r="I567">
            <v>0.44704551951636068</v>
          </cell>
          <cell r="J567">
            <v>1.8699232037875628</v>
          </cell>
        </row>
        <row r="568">
          <cell r="A568" t="str">
            <v>T_C-HY-GSL-S2</v>
          </cell>
          <cell r="B568" t="str">
            <v>VAR_ncap</v>
          </cell>
          <cell r="C568" t="str">
            <v>-</v>
          </cell>
          <cell r="H568">
            <v>3.4933956568438403E-2</v>
          </cell>
          <cell r="I568">
            <v>2.3974173844613501E-3</v>
          </cell>
          <cell r="J568">
            <v>0.19228485708034801</v>
          </cell>
        </row>
        <row r="569">
          <cell r="A569" t="str">
            <v>T_C-HY-GSL-S2</v>
          </cell>
          <cell r="B569" t="str">
            <v>VAR_cap</v>
          </cell>
          <cell r="C569" t="str">
            <v>-</v>
          </cell>
          <cell r="H569">
            <v>9.2189831768179339E-2</v>
          </cell>
          <cell r="I569">
            <v>3.9344223108992958E-2</v>
          </cell>
          <cell r="J569">
            <v>0.1740420392001748</v>
          </cell>
        </row>
        <row r="570">
          <cell r="A570" t="str">
            <v>TPSHPNGAEXT</v>
          </cell>
          <cell r="B570" t="str">
            <v>VAR_ncap</v>
          </cell>
          <cell r="C570" t="str">
            <v>-</v>
          </cell>
          <cell r="H570">
            <v>7.3709966212582398E-6</v>
          </cell>
          <cell r="I570">
            <v>1.16345538152292E-4</v>
          </cell>
          <cell r="J570">
            <v>2.3086650032135101E-6</v>
          </cell>
        </row>
        <row r="571">
          <cell r="A571" t="str">
            <v>TPSHPNGAEXT</v>
          </cell>
          <cell r="B571" t="str">
            <v>VAR_cap</v>
          </cell>
          <cell r="C571" t="str">
            <v>-</v>
          </cell>
          <cell r="H571">
            <v>1.0193341756108082E-5</v>
          </cell>
          <cell r="I571">
            <v>1.2417312456413184E-4</v>
          </cell>
          <cell r="J571">
            <v>1.1690354387388813E-4</v>
          </cell>
        </row>
        <row r="572">
          <cell r="A572" t="str">
            <v>T_C-HY-DSL-S1</v>
          </cell>
          <cell r="B572" t="str">
            <v>VAR_fout</v>
          </cell>
          <cell r="C572" t="str">
            <v>CO2_T</v>
          </cell>
          <cell r="H572">
            <v>21.582897266782645</v>
          </cell>
          <cell r="I572">
            <v>20.111746631439683</v>
          </cell>
          <cell r="J572">
            <v>6.2465218342379201</v>
          </cell>
        </row>
        <row r="573">
          <cell r="A573" t="str">
            <v>T_C-HY-DSL-S1</v>
          </cell>
          <cell r="B573" t="str">
            <v>VAR_fout</v>
          </cell>
          <cell r="C573" t="str">
            <v>TPCAR</v>
          </cell>
          <cell r="H573">
            <v>0.2723071860740387</v>
          </cell>
          <cell r="I573">
            <v>0.25440085264051499</v>
          </cell>
          <cell r="J573">
            <v>7.9269314409688055E-2</v>
          </cell>
        </row>
        <row r="574">
          <cell r="A574" t="str">
            <v>T_C-HY-DSL-S1</v>
          </cell>
          <cell r="B574" t="str">
            <v>VAR_fin</v>
          </cell>
          <cell r="C574" t="str">
            <v>TDSL</v>
          </cell>
          <cell r="H574">
            <v>0.29444607458093713</v>
          </cell>
          <cell r="I574">
            <v>0.27437580670449813</v>
          </cell>
          <cell r="J574">
            <v>8.5218578911840828E-2</v>
          </cell>
        </row>
        <row r="575">
          <cell r="A575" t="str">
            <v>T_C-HY-DSL-S1</v>
          </cell>
          <cell r="B575" t="str">
            <v>VAR_ncap</v>
          </cell>
          <cell r="C575" t="str">
            <v>-</v>
          </cell>
          <cell r="H575">
            <v>4.2124821064165603E-2</v>
          </cell>
          <cell r="I575">
            <v>2.84664631466661E-3</v>
          </cell>
          <cell r="J575">
            <v>1.04415935417309E-4</v>
          </cell>
        </row>
        <row r="576">
          <cell r="A576" t="str">
            <v>T_C-HY-DSL-S1</v>
          </cell>
          <cell r="B576" t="str">
            <v>VAR_cap</v>
          </cell>
          <cell r="C576" t="str">
            <v>-</v>
          </cell>
          <cell r="H576">
            <v>4.1376443970460294E-2</v>
          </cell>
          <cell r="I576">
            <v>3.8656598283126682E-2</v>
          </cell>
          <cell r="J576">
            <v>1.2044535572747874E-2</v>
          </cell>
        </row>
        <row r="577">
          <cell r="A577" t="str">
            <v>T_C-HY-GSL-S3</v>
          </cell>
          <cell r="B577" t="str">
            <v>VAR_fout</v>
          </cell>
          <cell r="C577" t="str">
            <v>CO2_T</v>
          </cell>
          <cell r="H577">
            <v>22.275582174475801</v>
          </cell>
          <cell r="I577">
            <v>9.6437431837838206E-2</v>
          </cell>
          <cell r="J577">
            <v>5.83206154231454E-2</v>
          </cell>
        </row>
        <row r="578">
          <cell r="A578" t="str">
            <v>T_C-HY-GSL-S3</v>
          </cell>
          <cell r="B578" t="str">
            <v>VAR_fout</v>
          </cell>
          <cell r="C578" t="str">
            <v>TPCAR</v>
          </cell>
          <cell r="H578">
            <v>0.7674903867968601</v>
          </cell>
          <cell r="I578">
            <v>9.4387992078837513E-4</v>
          </cell>
          <cell r="J578">
            <v>5.9475002986562886E-4</v>
          </cell>
        </row>
        <row r="579">
          <cell r="A579" t="str">
            <v>T_C-HY-GSL-S3</v>
          </cell>
          <cell r="B579" t="str">
            <v>VAR_fin</v>
          </cell>
          <cell r="C579" t="str">
            <v>TGSL</v>
          </cell>
          <cell r="H579">
            <v>0.30183715683571477</v>
          </cell>
          <cell r="I579">
            <v>1.3067402688053942E-3</v>
          </cell>
          <cell r="J579">
            <v>7.9025224150603487E-4</v>
          </cell>
        </row>
        <row r="580">
          <cell r="A580" t="str">
            <v>T_C-HY-GSL-S3</v>
          </cell>
          <cell r="B580" t="str">
            <v>VAR_ncap</v>
          </cell>
          <cell r="C580" t="str">
            <v>-</v>
          </cell>
          <cell r="H580">
            <v>3.4863749495842398E-5</v>
          </cell>
          <cell r="I580">
            <v>3.0217277800082399E-5</v>
          </cell>
          <cell r="J580">
            <v>2.5368168242373001E-5</v>
          </cell>
        </row>
        <row r="581">
          <cell r="A581" t="str">
            <v>T_C-HY-GSL-S3</v>
          </cell>
          <cell r="B581" t="str">
            <v>VAR_cap</v>
          </cell>
          <cell r="C581" t="str">
            <v>-</v>
          </cell>
          <cell r="H581">
            <v>5.278620056640089E-2</v>
          </cell>
          <cell r="I581">
            <v>6.9769045528660366E-5</v>
          </cell>
          <cell r="J581">
            <v>4.5635041362531997E-5</v>
          </cell>
        </row>
        <row r="582">
          <cell r="A582" t="str">
            <v>T_C-HY-DSL-S2</v>
          </cell>
          <cell r="B582" t="str">
            <v>VAR_fout</v>
          </cell>
          <cell r="C582" t="str">
            <v>CO2_T</v>
          </cell>
          <cell r="H582">
            <v>107.7321712567894</v>
          </cell>
          <cell r="I582">
            <v>113.05189172373711</v>
          </cell>
          <cell r="J582">
            <v>130.76092626955381</v>
          </cell>
        </row>
        <row r="583">
          <cell r="A583" t="str">
            <v>T_C-HY-DSL-S2</v>
          </cell>
          <cell r="B583" t="str">
            <v>VAR_fout</v>
          </cell>
          <cell r="C583" t="str">
            <v>TPCAR</v>
          </cell>
          <cell r="H583">
            <v>1.8029091972597666</v>
          </cell>
          <cell r="I583">
            <v>1.2684828392568277</v>
          </cell>
          <cell r="J583">
            <v>1.5284002161400889</v>
          </cell>
        </row>
        <row r="584">
          <cell r="A584" t="str">
            <v>T_C-HY-DSL-S2</v>
          </cell>
          <cell r="B584" t="str">
            <v>VAR_fin</v>
          </cell>
          <cell r="C584" t="str">
            <v>TDSL</v>
          </cell>
          <cell r="H584">
            <v>1.4697431276506034</v>
          </cell>
          <cell r="I584">
            <v>1.5423177588504375</v>
          </cell>
          <cell r="J584">
            <v>1.783914410225836</v>
          </cell>
        </row>
        <row r="585">
          <cell r="A585" t="str">
            <v>T_C-HY-DSL-S2</v>
          </cell>
          <cell r="B585" t="str">
            <v>VAR_ncap</v>
          </cell>
          <cell r="C585" t="str">
            <v>-</v>
          </cell>
          <cell r="H585">
            <v>8.3245319632790499E-2</v>
          </cell>
          <cell r="I585">
            <v>5.4192884106669101E-2</v>
          </cell>
          <cell r="J585">
            <v>0.13241829164455801</v>
          </cell>
        </row>
        <row r="586">
          <cell r="A586" t="str">
            <v>T_C-HY-DSL-S2</v>
          </cell>
          <cell r="B586" t="str">
            <v>VAR_cap</v>
          </cell>
          <cell r="C586" t="str">
            <v>-</v>
          </cell>
          <cell r="H586">
            <v>0.17419545241858952</v>
          </cell>
          <cell r="I586">
            <v>0.13067232624160896</v>
          </cell>
          <cell r="J586">
            <v>0.16120110299622689</v>
          </cell>
        </row>
        <row r="587">
          <cell r="A587" t="str">
            <v>D-T-ELC-Bus_c_S1</v>
          </cell>
          <cell r="B587" t="str">
            <v>VAR_fout</v>
          </cell>
          <cell r="C587" t="str">
            <v>T-ELC-Bus_c_BatSTGin_S1</v>
          </cell>
          <cell r="H587">
            <v>0.1273344478383133</v>
          </cell>
          <cell r="I587">
            <v>0.10167227941988226</v>
          </cell>
          <cell r="J587">
            <v>5.410364579249357E-2</v>
          </cell>
        </row>
        <row r="588">
          <cell r="A588" t="str">
            <v>D-T-ELC-Bus_c_S1</v>
          </cell>
          <cell r="B588" t="str">
            <v>VAR_fin</v>
          </cell>
          <cell r="C588" t="str">
            <v>TELC</v>
          </cell>
          <cell r="H588">
            <v>0.1273344478383133</v>
          </cell>
          <cell r="I588">
            <v>0.10167227941988226</v>
          </cell>
          <cell r="J588">
            <v>5.410364579249357E-2</v>
          </cell>
        </row>
        <row r="589">
          <cell r="A589" t="str">
            <v>D-T-ELC-Bus_c_S1</v>
          </cell>
          <cell r="B589" t="str">
            <v>VAR_ncap</v>
          </cell>
          <cell r="C589" t="str">
            <v>-</v>
          </cell>
          <cell r="H589">
            <v>6.6028277846289703E-5</v>
          </cell>
          <cell r="I589">
            <v>9.5713323161538792E-3</v>
          </cell>
          <cell r="J589">
            <v>1.02774064970214E-3</v>
          </cell>
        </row>
        <row r="590">
          <cell r="A590" t="str">
            <v>D-T-ELC-Bus_c_S1</v>
          </cell>
          <cell r="B590" t="str">
            <v>VAR_cap</v>
          </cell>
          <cell r="C590" t="str">
            <v>-</v>
          </cell>
          <cell r="H590">
            <v>1.81429839187752E-2</v>
          </cell>
          <cell r="I590">
            <v>1.28365988409935E-2</v>
          </cell>
          <cell r="J590">
            <v>5.8394016508153497E-3</v>
          </cell>
        </row>
        <row r="591">
          <cell r="A591" t="str">
            <v>T_C-HY-GSL-S4</v>
          </cell>
          <cell r="B591" t="str">
            <v>VAR_fout</v>
          </cell>
          <cell r="C591" t="str">
            <v>CO2_T</v>
          </cell>
          <cell r="H591">
            <v>1.2357001553654701</v>
          </cell>
          <cell r="I591">
            <v>0.12744891773487677</v>
          </cell>
          <cell r="J591">
            <v>0.17975711415827028</v>
          </cell>
        </row>
        <row r="592">
          <cell r="A592" t="str">
            <v>T_C-HY-GSL-S4</v>
          </cell>
          <cell r="B592" t="str">
            <v>VAR_fout</v>
          </cell>
          <cell r="C592" t="str">
            <v>TPCAR</v>
          </cell>
          <cell r="H592">
            <v>2.59240636612749E-2</v>
          </cell>
          <cell r="I592">
            <v>1.2140094312322852E-3</v>
          </cell>
          <cell r="J592">
            <v>1.85960327735822E-3</v>
          </cell>
        </row>
        <row r="593">
          <cell r="A593" t="str">
            <v>T_C-HY-GSL-S4</v>
          </cell>
          <cell r="B593" t="str">
            <v>VAR_fin</v>
          </cell>
          <cell r="C593" t="str">
            <v>TGSL</v>
          </cell>
          <cell r="H593">
            <v>1.6743904544247536E-2</v>
          </cell>
          <cell r="I593">
            <v>1.726950104808628E-3</v>
          </cell>
          <cell r="J593">
            <v>2.4357332541771024E-3</v>
          </cell>
        </row>
        <row r="594">
          <cell r="A594" t="str">
            <v>T_C-HY-GSL-S4</v>
          </cell>
          <cell r="B594" t="str">
            <v>VAR_ncap</v>
          </cell>
          <cell r="C594" t="str">
            <v>-</v>
          </cell>
          <cell r="H594">
            <v>4.8256233715587499E-5</v>
          </cell>
          <cell r="I594">
            <v>5.4901528584202797E-5</v>
          </cell>
          <cell r="J594">
            <v>1.7526086417226001E-4</v>
          </cell>
        </row>
        <row r="595">
          <cell r="A595" t="str">
            <v>T_C-HY-GSL-S4</v>
          </cell>
          <cell r="B595" t="str">
            <v>VAR_cap</v>
          </cell>
          <cell r="C595" t="str">
            <v>-</v>
          </cell>
          <cell r="H595">
            <v>2.0685990402327511E-3</v>
          </cell>
          <cell r="I595">
            <v>1.0538413649436227E-4</v>
          </cell>
          <cell r="J595">
            <v>1.8938966679046601E-4</v>
          </cell>
        </row>
        <row r="596">
          <cell r="A596" t="str">
            <v>T_C-HY-DSL-S3</v>
          </cell>
          <cell r="B596" t="str">
            <v>VAR_fout</v>
          </cell>
          <cell r="C596" t="str">
            <v>CO2_T</v>
          </cell>
          <cell r="H596">
            <v>0.52631225798699832</v>
          </cell>
          <cell r="I596">
            <v>9.6917060114638881E-2</v>
          </cell>
          <cell r="J596">
            <v>6.0123415630815698E-2</v>
          </cell>
        </row>
        <row r="597">
          <cell r="A597" t="str">
            <v>T_C-HY-DSL-S3</v>
          </cell>
          <cell r="B597" t="str">
            <v>VAR_fout</v>
          </cell>
          <cell r="C597" t="str">
            <v>TPCAR</v>
          </cell>
          <cell r="H597">
            <v>9.8725466084812526E-3</v>
          </cell>
          <cell r="I597">
            <v>9.4228578218636663E-4</v>
          </cell>
          <cell r="J597">
            <v>6.1742894427148419E-4</v>
          </cell>
        </row>
        <row r="598">
          <cell r="A598" t="str">
            <v>T_C-HY-DSL-S3</v>
          </cell>
          <cell r="B598" t="str">
            <v>VAR_fin</v>
          </cell>
          <cell r="C598" t="str">
            <v>TDSL</v>
          </cell>
          <cell r="H598">
            <v>7.1802490857707808E-3</v>
          </cell>
          <cell r="I598">
            <v>1.322197273051008E-3</v>
          </cell>
          <cell r="J598">
            <v>8.2023759387197484E-4</v>
          </cell>
        </row>
        <row r="599">
          <cell r="A599" t="str">
            <v>T_C-HY-DSL-S3</v>
          </cell>
          <cell r="B599" t="str">
            <v>VAR_ncap</v>
          </cell>
          <cell r="C599" t="str">
            <v>-</v>
          </cell>
          <cell r="H599">
            <v>3.4637751678513399E-5</v>
          </cell>
          <cell r="I599">
            <v>3.1433471216710199E-5</v>
          </cell>
          <cell r="J599">
            <v>2.6426945724429101E-5</v>
          </cell>
        </row>
        <row r="600">
          <cell r="A600" t="str">
            <v>T_C-HY-DSL-S3</v>
          </cell>
          <cell r="B600" t="str">
            <v>VAR_cap</v>
          </cell>
          <cell r="C600" t="str">
            <v>-</v>
          </cell>
          <cell r="H600">
            <v>6.9140593309706768E-4</v>
          </cell>
          <cell r="I600">
            <v>6.9472505408988642E-5</v>
          </cell>
          <cell r="J600">
            <v>4.70972852447731E-5</v>
          </cell>
        </row>
        <row r="601">
          <cell r="A601" t="str">
            <v>D-T-ELC-Bus_c_S2</v>
          </cell>
          <cell r="B601" t="str">
            <v>VAR_fout</v>
          </cell>
          <cell r="C601" t="str">
            <v>T-ELC-Bus_c_BatSTGin_S2</v>
          </cell>
          <cell r="H601">
            <v>7.3614439984701172E-2</v>
          </cell>
          <cell r="I601">
            <v>0.10593450708673847</v>
          </cell>
          <cell r="J601">
            <v>0.12626186703309869</v>
          </cell>
        </row>
        <row r="602">
          <cell r="A602" t="str">
            <v>D-T-ELC-Bus_c_S2</v>
          </cell>
          <cell r="B602" t="str">
            <v>VAR_fin</v>
          </cell>
          <cell r="C602" t="str">
            <v>TELC</v>
          </cell>
          <cell r="H602">
            <v>7.3614439984701172E-2</v>
          </cell>
          <cell r="I602">
            <v>0.10593450708673847</v>
          </cell>
          <cell r="J602">
            <v>0.12626186703309869</v>
          </cell>
        </row>
        <row r="603">
          <cell r="A603" t="str">
            <v>D-T-ELC-Bus_c_S2</v>
          </cell>
          <cell r="B603" t="str">
            <v>VAR_ncap</v>
          </cell>
          <cell r="C603" t="str">
            <v>-</v>
          </cell>
          <cell r="H603">
            <v>1.0797083105362601E-3</v>
          </cell>
          <cell r="I603">
            <v>1.08662083944092E-2</v>
          </cell>
          <cell r="J603">
            <v>1.0135637098074701E-2</v>
          </cell>
        </row>
        <row r="604">
          <cell r="A604" t="str">
            <v>D-T-ELC-Bus_c_S2</v>
          </cell>
          <cell r="B604" t="str">
            <v>VAR_cap</v>
          </cell>
          <cell r="C604" t="str">
            <v>-</v>
          </cell>
          <cell r="H604">
            <v>9.1056299780747207E-3</v>
          </cell>
          <cell r="I604">
            <v>1.3364215186891499E-2</v>
          </cell>
          <cell r="J604">
            <v>1.5774574628902201E-2</v>
          </cell>
        </row>
        <row r="605">
          <cell r="A605" t="str">
            <v>T_C-HY-DSL-S4</v>
          </cell>
          <cell r="B605" t="str">
            <v>VAR_fout</v>
          </cell>
          <cell r="C605" t="str">
            <v>CO2_T</v>
          </cell>
          <cell r="H605">
            <v>0.98067294937154048</v>
          </cell>
          <cell r="I605">
            <v>0.12931384297936094</v>
          </cell>
          <cell r="J605">
            <v>0.18804716429949161</v>
          </cell>
        </row>
        <row r="606">
          <cell r="A606" t="str">
            <v>T_C-HY-DSL-S4</v>
          </cell>
          <cell r="B606" t="str">
            <v>VAR_fout</v>
          </cell>
          <cell r="C606" t="str">
            <v>TPCAR</v>
          </cell>
          <cell r="H606">
            <v>2.0336256684385667E-2</v>
          </cell>
          <cell r="I606">
            <v>1.240379177302835E-3</v>
          </cell>
          <cell r="J606">
            <v>1.9584971806341578E-3</v>
          </cell>
        </row>
        <row r="607">
          <cell r="A607" t="str">
            <v>T_C-HY-DSL-S4</v>
          </cell>
          <cell r="B607" t="str">
            <v>VAR_fin</v>
          </cell>
          <cell r="C607" t="str">
            <v>TDSL</v>
          </cell>
          <cell r="H607">
            <v>1.3378894261548995E-2</v>
          </cell>
          <cell r="I607">
            <v>1.7641724826652232E-3</v>
          </cell>
          <cell r="J607">
            <v>2.5654456248225331E-3</v>
          </cell>
        </row>
        <row r="608">
          <cell r="A608" t="str">
            <v>T_C-HY-DSL-S4</v>
          </cell>
          <cell r="B608" t="str">
            <v>VAR_ncap</v>
          </cell>
          <cell r="C608" t="str">
            <v>-</v>
          </cell>
          <cell r="H608">
            <v>4.8092918441546801E-5</v>
          </cell>
          <cell r="I608">
            <v>5.72269274358048E-5</v>
          </cell>
          <cell r="J608">
            <v>1.8322155701617899E-4</v>
          </cell>
        </row>
        <row r="609">
          <cell r="A609" t="str">
            <v>T_C-HY-DSL-S4</v>
          </cell>
          <cell r="B609" t="str">
            <v>VAR_cap</v>
          </cell>
          <cell r="C609" t="str">
            <v>-</v>
          </cell>
          <cell r="H609">
            <v>1.6332959471752418E-3</v>
          </cell>
          <cell r="I609">
            <v>1.0709103471941232E-4</v>
          </cell>
          <cell r="J609">
            <v>1.9731904438043601E-4</v>
          </cell>
        </row>
        <row r="610">
          <cell r="A610" t="str">
            <v>D-T-ELC-Bus_c_S3</v>
          </cell>
          <cell r="B610" t="str">
            <v>VAR_fout</v>
          </cell>
          <cell r="C610" t="str">
            <v>T-ELC-Bus_c_BatSTGin_S3</v>
          </cell>
          <cell r="H610">
            <v>3.9534278127542344E-3</v>
          </cell>
          <cell r="I610">
            <v>5.822280753927888E-3</v>
          </cell>
          <cell r="J610">
            <v>2.8407603499331014E-2</v>
          </cell>
        </row>
        <row r="611">
          <cell r="A611" t="str">
            <v>D-T-ELC-Bus_c_S3</v>
          </cell>
          <cell r="B611" t="str">
            <v>VAR_fin</v>
          </cell>
          <cell r="C611" t="str">
            <v>TELC</v>
          </cell>
          <cell r="H611">
            <v>3.9534278127542344E-3</v>
          </cell>
          <cell r="I611">
            <v>5.822280753927888E-3</v>
          </cell>
          <cell r="J611">
            <v>2.8407603499331014E-2</v>
          </cell>
        </row>
        <row r="612">
          <cell r="A612" t="str">
            <v>D-T-ELC-Bus_c_S3</v>
          </cell>
          <cell r="B612" t="str">
            <v>VAR_ncap</v>
          </cell>
          <cell r="C612" t="str">
            <v>-</v>
          </cell>
          <cell r="H612">
            <v>3.8677161877609498E-4</v>
          </cell>
          <cell r="I612">
            <v>3.3486720413577797E-4</v>
          </cell>
          <cell r="J612">
            <v>3.4235811005788601E-3</v>
          </cell>
        </row>
        <row r="613">
          <cell r="A613" t="str">
            <v>D-T-ELC-Bus_c_S3</v>
          </cell>
          <cell r="B613" t="str">
            <v>VAR_cap</v>
          </cell>
          <cell r="C613" t="str">
            <v>-</v>
          </cell>
          <cell r="H613">
            <v>4.8665428074607699E-4</v>
          </cell>
          <cell r="I613">
            <v>7.2163882291187398E-4</v>
          </cell>
          <cell r="J613">
            <v>3.5382802328332401E-3</v>
          </cell>
        </row>
        <row r="614">
          <cell r="A614" t="str">
            <v>D-T-ELC-Bus_c_S4</v>
          </cell>
          <cell r="B614" t="str">
            <v>VAR_fout</v>
          </cell>
          <cell r="C614" t="str">
            <v>T-ELC-Bus_c_BatSTGin_S4</v>
          </cell>
          <cell r="H614">
            <v>2.9667240690987103E-4</v>
          </cell>
          <cell r="I614">
            <v>3.6569052136518676E-4</v>
          </cell>
          <cell r="J614">
            <v>1.8414333109883477E-4</v>
          </cell>
        </row>
        <row r="615">
          <cell r="A615" t="str">
            <v>D-T-ELC-Bus_c_S4</v>
          </cell>
          <cell r="B615" t="str">
            <v>VAR_fin</v>
          </cell>
          <cell r="C615" t="str">
            <v>TELC</v>
          </cell>
          <cell r="H615">
            <v>2.9667240690987103E-4</v>
          </cell>
          <cell r="I615">
            <v>3.6569052136518676E-4</v>
          </cell>
          <cell r="J615">
            <v>1.8414333109883477E-4</v>
          </cell>
        </row>
        <row r="616">
          <cell r="A616" t="str">
            <v>D-T-ELC-Bus_c_S4</v>
          </cell>
          <cell r="B616" t="str">
            <v>VAR_ncap</v>
          </cell>
          <cell r="C616" t="str">
            <v>-</v>
          </cell>
          <cell r="H616">
            <v>3.7726201665318401E-5</v>
          </cell>
          <cell r="I616">
            <v>4.5391790588500901E-5</v>
          </cell>
          <cell r="J616">
            <v>2.27257439033138E-5</v>
          </cell>
        </row>
        <row r="617">
          <cell r="A617" t="str">
            <v>D-T-ELC-Bus_c_S4</v>
          </cell>
          <cell r="B617" t="str">
            <v>VAR_cap</v>
          </cell>
          <cell r="C617" t="str">
            <v>-</v>
          </cell>
          <cell r="H617">
            <v>5.3302034315707698E-5</v>
          </cell>
          <cell r="I617">
            <v>7.1158269841226104E-5</v>
          </cell>
          <cell r="J617">
            <v>3.0691487333969398E-5</v>
          </cell>
        </row>
        <row r="618">
          <cell r="A618" t="str">
            <v>D-TH2O</v>
          </cell>
          <cell r="B618" t="str">
            <v>VAR_fout</v>
          </cell>
          <cell r="C618" t="str">
            <v>TH2O</v>
          </cell>
          <cell r="H618">
            <v>4.468456883654467E-4</v>
          </cell>
          <cell r="I618">
            <v>8.6585458368910876E-4</v>
          </cell>
          <cell r="J618">
            <v>8.7518368086226151E-4</v>
          </cell>
        </row>
        <row r="619">
          <cell r="A619" t="str">
            <v>D-TH2O</v>
          </cell>
          <cell r="B619" t="str">
            <v>VAR_fin</v>
          </cell>
          <cell r="C619" t="str">
            <v>H2</v>
          </cell>
          <cell r="H619">
            <v>4.468456883654467E-4</v>
          </cell>
          <cell r="I619">
            <v>8.6585458368910876E-4</v>
          </cell>
          <cell r="J619">
            <v>8.7530017141889294E-4</v>
          </cell>
        </row>
        <row r="620">
          <cell r="A620" t="str">
            <v>D-TH2O</v>
          </cell>
          <cell r="B620" t="str">
            <v>VAR_ncap</v>
          </cell>
          <cell r="C620" t="str">
            <v>-</v>
          </cell>
          <cell r="H620">
            <v>4.0619857748748302E-7</v>
          </cell>
          <cell r="I620">
            <v>9.8168369833745205E-6</v>
          </cell>
          <cell r="J620">
            <v>3.8716950578170399E-7</v>
          </cell>
        </row>
        <row r="621">
          <cell r="A621" t="str">
            <v>D-TH2O</v>
          </cell>
          <cell r="B621" t="str">
            <v>VAR_cap</v>
          </cell>
          <cell r="C621" t="str">
            <v>-</v>
          </cell>
          <cell r="H621">
            <v>6.2093342756199704E-4</v>
          </cell>
          <cell r="I621">
            <v>6.3075026454537195E-4</v>
          </cell>
          <cell r="J621">
            <v>6.31137434051154E-4</v>
          </cell>
        </row>
        <row r="622">
          <cell r="A622" t="str">
            <v>TFHGV-HYBDSL</v>
          </cell>
          <cell r="B622" t="str">
            <v>VAR_fout</v>
          </cell>
          <cell r="C622" t="str">
            <v>CO2_T</v>
          </cell>
          <cell r="H622">
            <v>1077.772024836946</v>
          </cell>
          <cell r="I622">
            <v>1122.965957071968</v>
          </cell>
          <cell r="J622">
            <v>1214.2866017406459</v>
          </cell>
        </row>
        <row r="623">
          <cell r="A623" t="str">
            <v>TFHGV-HYBDSL</v>
          </cell>
          <cell r="B623" t="str">
            <v>VAR_fout</v>
          </cell>
          <cell r="C623" t="str">
            <v>TFHGV</v>
          </cell>
          <cell r="H623">
            <v>2.4035470692775491</v>
          </cell>
          <cell r="I623">
            <v>2.5043343794594501</v>
          </cell>
          <cell r="J623">
            <v>2.7079891995881789</v>
          </cell>
        </row>
        <row r="624">
          <cell r="A624" t="str">
            <v>TFHGV-HYBDSL</v>
          </cell>
          <cell r="B624" t="str">
            <v>VAR_fin</v>
          </cell>
          <cell r="C624" t="str">
            <v>TDSL</v>
          </cell>
          <cell r="H624">
            <v>14.703574690817813</v>
          </cell>
          <cell r="I624">
            <v>15.320135839999566</v>
          </cell>
          <cell r="J624">
            <v>16.565983652669154</v>
          </cell>
        </row>
        <row r="625">
          <cell r="A625" t="str">
            <v>TFHGV-HYBDSL</v>
          </cell>
          <cell r="B625" t="str">
            <v>VAR_ncap</v>
          </cell>
          <cell r="C625" t="str">
            <v>-</v>
          </cell>
          <cell r="H625">
            <v>4.0147995587396103E-2</v>
          </cell>
          <cell r="I625">
            <v>2.1627004791702702E-2</v>
          </cell>
          <cell r="J625">
            <v>4.9248101424980498E-2</v>
          </cell>
        </row>
        <row r="626">
          <cell r="A626" t="str">
            <v>TFHGV-HYBDSL</v>
          </cell>
          <cell r="B626" t="str">
            <v>VAR_cap</v>
          </cell>
          <cell r="C626" t="str">
            <v>-</v>
          </cell>
          <cell r="H626">
            <v>4.7140990164058698E-2</v>
          </cell>
          <cell r="I626">
            <v>4.9047536138014498E-2</v>
          </cell>
          <cell r="J626">
            <v>5.3043395003637098E-2</v>
          </cell>
        </row>
        <row r="627">
          <cell r="A627" t="str">
            <v>D-TKER</v>
          </cell>
          <cell r="B627" t="str">
            <v>VAR_fout</v>
          </cell>
          <cell r="C627" t="str">
            <v>CO2</v>
          </cell>
          <cell r="H627">
            <v>118.774025547294</v>
          </cell>
          <cell r="I627">
            <v>78.398281772614595</v>
          </cell>
          <cell r="J627">
            <v>42.2458994291772</v>
          </cell>
        </row>
        <row r="628">
          <cell r="A628" t="str">
            <v>D-TKER</v>
          </cell>
          <cell r="B628" t="str">
            <v>VAR_fout</v>
          </cell>
          <cell r="C628" t="str">
            <v>TKER</v>
          </cell>
          <cell r="H628">
            <v>1.6075344784158101</v>
          </cell>
          <cell r="I628">
            <v>1.06107324743197</v>
          </cell>
          <cell r="J628">
            <v>0.57177265476320305</v>
          </cell>
        </row>
        <row r="629">
          <cell r="A629" t="str">
            <v>D-TKER</v>
          </cell>
          <cell r="B629" t="str">
            <v>VAR_fin</v>
          </cell>
          <cell r="C629" t="str">
            <v>KER</v>
          </cell>
          <cell r="H629">
            <v>1.6315113399353696</v>
          </cell>
          <cell r="I629">
            <v>1.0768994748985496</v>
          </cell>
          <cell r="J629">
            <v>0.58030081633485397</v>
          </cell>
        </row>
        <row r="630">
          <cell r="A630" t="str">
            <v>T_B_u-BEVELC-S1</v>
          </cell>
          <cell r="B630" t="str">
            <v>VAR_fout</v>
          </cell>
          <cell r="C630" t="str">
            <v>TPBSu</v>
          </cell>
          <cell r="H630">
            <v>0.11446556447501598</v>
          </cell>
          <cell r="I630">
            <v>0.11928599563683298</v>
          </cell>
          <cell r="J630">
            <v>0.12758613110042663</v>
          </cell>
        </row>
        <row r="631">
          <cell r="A631" t="str">
            <v>T_B_u-BEVELC-S1</v>
          </cell>
          <cell r="B631" t="str">
            <v>VAR_fin</v>
          </cell>
          <cell r="C631" t="str">
            <v>T-ELC-Bus_u_BatSTGout_S1</v>
          </cell>
          <cell r="H631">
            <v>0.24302573296914079</v>
          </cell>
          <cell r="I631">
            <v>0.25232306940126781</v>
          </cell>
          <cell r="J631">
            <v>0.24061441845945541</v>
          </cell>
        </row>
        <row r="632">
          <cell r="A632" t="str">
            <v>T_B_u-BEVELC-S1</v>
          </cell>
          <cell r="B632" t="str">
            <v>VAR_ncap</v>
          </cell>
          <cell r="C632" t="str">
            <v>-</v>
          </cell>
          <cell r="H632">
            <v>2.6320979915398701E-3</v>
          </cell>
          <cell r="I632">
            <v>1.6777978765124201E-4</v>
          </cell>
          <cell r="J632">
            <v>2.62552989308012E-3</v>
          </cell>
        </row>
        <row r="633">
          <cell r="A633" t="str">
            <v>T_B_u-BEVELC-S1</v>
          </cell>
          <cell r="B633" t="str">
            <v>VAR_cap</v>
          </cell>
          <cell r="C633" t="str">
            <v>-</v>
          </cell>
          <cell r="H633">
            <v>2.6403586070842299E-3</v>
          </cell>
          <cell r="I633">
            <v>2.7990692204515762E-3</v>
          </cell>
          <cell r="J633">
            <v>3.1712568983103683E-3</v>
          </cell>
        </row>
        <row r="634">
          <cell r="A634" t="str">
            <v>TPSHPH2OEXT</v>
          </cell>
          <cell r="B634" t="str">
            <v>VAR_fout</v>
          </cell>
          <cell r="C634" t="str">
            <v>TPSHP</v>
          </cell>
          <cell r="H634">
            <v>4.9364766369560698E-5</v>
          </cell>
          <cell r="I634">
            <v>5.1896663788748901E-5</v>
          </cell>
          <cell r="J634">
            <v>7.2886477036992095E-5</v>
          </cell>
        </row>
        <row r="635">
          <cell r="A635" t="str">
            <v>TPSHPH2OEXT</v>
          </cell>
          <cell r="B635" t="str">
            <v>VAR_fin</v>
          </cell>
          <cell r="C635" t="str">
            <v>TH2O</v>
          </cell>
          <cell r="H635">
            <v>2.7524597006057962E-5</v>
          </cell>
          <cell r="I635">
            <v>2.8936321627665837E-5</v>
          </cell>
          <cell r="J635">
            <v>4.0639732650928771E-5</v>
          </cell>
        </row>
        <row r="636">
          <cell r="A636" t="str">
            <v>TPSHPH2OEXT</v>
          </cell>
          <cell r="B636" t="str">
            <v>VAR_ncap</v>
          </cell>
          <cell r="C636" t="str">
            <v>-</v>
          </cell>
          <cell r="H636">
            <v>4.9082248948756001E-5</v>
          </cell>
          <cell r="I636">
            <v>3.6962976457535399E-6</v>
          </cell>
          <cell r="J636">
            <v>2.2303979135324401E-5</v>
          </cell>
        </row>
        <row r="637">
          <cell r="A637" t="str">
            <v>TPSHPH2OEXT</v>
          </cell>
          <cell r="B637" t="str">
            <v>VAR_cap</v>
          </cell>
          <cell r="C637" t="str">
            <v>-</v>
          </cell>
          <cell r="H637">
            <v>4.9082248948756001E-5</v>
          </cell>
          <cell r="I637">
            <v>5.2166247798390424E-5</v>
          </cell>
          <cell r="J637">
            <v>6.3012026420019654E-5</v>
          </cell>
        </row>
        <row r="638">
          <cell r="A638" t="str">
            <v>T_B_u-BEVELC-S2</v>
          </cell>
          <cell r="B638" t="str">
            <v>VAR_fout</v>
          </cell>
          <cell r="C638" t="str">
            <v>TPBSu</v>
          </cell>
          <cell r="H638">
            <v>4.1248276970966773E-2</v>
          </cell>
          <cell r="I638">
            <v>4.2988992205895186E-2</v>
          </cell>
          <cell r="J638">
            <v>4.602745776823474E-2</v>
          </cell>
        </row>
        <row r="639">
          <cell r="A639" t="str">
            <v>T_B_u-BEVELC-S2</v>
          </cell>
          <cell r="B639" t="str">
            <v>VAR_fin</v>
          </cell>
          <cell r="C639" t="str">
            <v>T-ELC-Bus_u_BatSTGout_S2</v>
          </cell>
          <cell r="H639">
            <v>0.1214406411315679</v>
          </cell>
          <cell r="I639">
            <v>0.12516878527203862</v>
          </cell>
          <cell r="J639">
            <v>0.1204636708966323</v>
          </cell>
        </row>
        <row r="640">
          <cell r="A640" t="str">
            <v>T_B_u-BEVELC-S2</v>
          </cell>
          <cell r="B640" t="str">
            <v>VAR_ncap</v>
          </cell>
          <cell r="C640" t="str">
            <v>-</v>
          </cell>
          <cell r="H640">
            <v>7.0473769805311703E-4</v>
          </cell>
          <cell r="I640">
            <v>1.04993564055238E-4</v>
          </cell>
          <cell r="J640">
            <v>6.9197273400070397E-4</v>
          </cell>
        </row>
        <row r="641">
          <cell r="A641" t="str">
            <v>T_B_u-BEVELC-S2</v>
          </cell>
          <cell r="B641" t="str">
            <v>VAR_cap</v>
          </cell>
          <cell r="C641" t="str">
            <v>-</v>
          </cell>
          <cell r="H641">
            <v>7.784484931149851E-4</v>
          </cell>
          <cell r="I641">
            <v>8.11105424618038E-4</v>
          </cell>
          <cell r="J641">
            <v>8.6829776321313242E-4</v>
          </cell>
        </row>
        <row r="642">
          <cell r="A642" t="str">
            <v>TFHGV-ICEDSL</v>
          </cell>
          <cell r="B642" t="str">
            <v>VAR_fout</v>
          </cell>
          <cell r="C642" t="str">
            <v>CO2_T</v>
          </cell>
          <cell r="H642">
            <v>0.10313654048157919</v>
          </cell>
          <cell r="I642">
            <v>0.1481014750128164</v>
          </cell>
          <cell r="J642">
            <v>4.8287899013275702E-2</v>
          </cell>
        </row>
        <row r="643">
          <cell r="A643" t="str">
            <v>TFHGV-ICEDSL</v>
          </cell>
          <cell r="B643" t="str">
            <v>VAR_fout</v>
          </cell>
          <cell r="C643" t="str">
            <v>TFHGV</v>
          </cell>
          <cell r="H643">
            <v>1.6702141713551103E-4</v>
          </cell>
          <cell r="I643">
            <v>2.3983854917955183E-4</v>
          </cell>
          <cell r="J643">
            <v>7.8198408498433416E-5</v>
          </cell>
        </row>
        <row r="644">
          <cell r="A644" t="str">
            <v>TFHGV-ICEDSL</v>
          </cell>
          <cell r="B644" t="str">
            <v>VAR_fin</v>
          </cell>
          <cell r="C644" t="str">
            <v>TDSL</v>
          </cell>
          <cell r="H644">
            <v>1.4070469369928962E-3</v>
          </cell>
          <cell r="I644">
            <v>2.0204839701612057E-3</v>
          </cell>
          <cell r="J644">
            <v>6.5877079144987269E-4</v>
          </cell>
        </row>
        <row r="645">
          <cell r="A645" t="str">
            <v>TFHGV-ICEDSL</v>
          </cell>
          <cell r="B645" t="str">
            <v>VAR_ncap</v>
          </cell>
          <cell r="C645" t="str">
            <v>-</v>
          </cell>
          <cell r="H645">
            <v>3.3443946318922101E-6</v>
          </cell>
          <cell r="I645">
            <v>3.4105708235978801E-6</v>
          </cell>
          <cell r="J645">
            <v>1.2060385759150099E-6</v>
          </cell>
        </row>
        <row r="646">
          <cell r="A646" t="str">
            <v>TFHGV-ICEDSL</v>
          </cell>
          <cell r="B646" t="str">
            <v>VAR_cap</v>
          </cell>
          <cell r="C646" t="str">
            <v>-</v>
          </cell>
          <cell r="H646">
            <v>3.8922214164703103E-6</v>
          </cell>
          <cell r="I646">
            <v>5.69474657126651E-6</v>
          </cell>
          <cell r="J646">
            <v>1.8045549988327499E-6</v>
          </cell>
        </row>
        <row r="647">
          <cell r="A647" t="str">
            <v>D-T-ELC-Bus_u_S1</v>
          </cell>
          <cell r="B647" t="str">
            <v>VAR_fout</v>
          </cell>
          <cell r="C647" t="str">
            <v>T-ELC-Bus_u_BatSTGin_S1</v>
          </cell>
          <cell r="H647">
            <v>0.2432343587535839</v>
          </cell>
          <cell r="I647">
            <v>0.25248006737074763</v>
          </cell>
          <cell r="J647">
            <v>0.24072981909443575</v>
          </cell>
        </row>
        <row r="648">
          <cell r="A648" t="str">
            <v>D-T-ELC-Bus_u_S1</v>
          </cell>
          <cell r="B648" t="str">
            <v>VAR_fin</v>
          </cell>
          <cell r="C648" t="str">
            <v>TELC</v>
          </cell>
          <cell r="H648">
            <v>0.2432343587535839</v>
          </cell>
          <cell r="I648">
            <v>0.25248006737074763</v>
          </cell>
          <cell r="J648">
            <v>0.24072981909443575</v>
          </cell>
        </row>
        <row r="649">
          <cell r="A649" t="str">
            <v>D-T-ELC-Bus_u_S1</v>
          </cell>
          <cell r="B649" t="str">
            <v>VAR_ncap</v>
          </cell>
          <cell r="C649" t="str">
            <v>-</v>
          </cell>
          <cell r="H649">
            <v>2.8012702386959399E-4</v>
          </cell>
          <cell r="I649">
            <v>2.1914085085289099E-2</v>
          </cell>
          <cell r="J649">
            <v>1.44061330090195E-2</v>
          </cell>
        </row>
        <row r="650">
          <cell r="A650" t="str">
            <v>D-T-ELC-Bus_u_S1</v>
          </cell>
          <cell r="B650" t="str">
            <v>VAR_cap</v>
          </cell>
          <cell r="C650" t="str">
            <v>-</v>
          </cell>
          <cell r="H650">
            <v>2.5831770822367199E-2</v>
          </cell>
          <cell r="I650">
            <v>2.6688182875882201E-2</v>
          </cell>
          <cell r="J650">
            <v>2.5445321713705601E-2</v>
          </cell>
        </row>
        <row r="651">
          <cell r="A651" t="str">
            <v>T-Plg-DSL-mix_S1</v>
          </cell>
          <cell r="B651" t="str">
            <v>VAR_fout</v>
          </cell>
          <cell r="C651" t="str">
            <v>CO2_T</v>
          </cell>
          <cell r="H651">
            <v>7.8973543228726267E-2</v>
          </cell>
          <cell r="I651">
            <v>5.7214802231677499E-2</v>
          </cell>
          <cell r="J651">
            <v>2.427420278532345E-2</v>
          </cell>
        </row>
        <row r="652">
          <cell r="A652" t="str">
            <v>T-Plg-DSL-mix_S1</v>
          </cell>
          <cell r="B652" t="str">
            <v>VAR_fout</v>
          </cell>
          <cell r="C652" t="str">
            <v>T-PEVmix-ELC_DSL_S1</v>
          </cell>
          <cell r="H652">
            <v>8.0648213691103532E-4</v>
          </cell>
          <cell r="I652">
            <v>6.0261391835965655E-4</v>
          </cell>
          <cell r="J652">
            <v>2.7770018159694655E-4</v>
          </cell>
        </row>
        <row r="653">
          <cell r="A653" t="str">
            <v>T-Plg-DSL-mix_S1</v>
          </cell>
          <cell r="B653" t="str">
            <v>VAR_fin</v>
          </cell>
          <cell r="C653" t="str">
            <v>TDSL</v>
          </cell>
          <cell r="H653">
            <v>1.0774016811558847E-3</v>
          </cell>
          <cell r="I653">
            <v>7.8055664708973386E-4</v>
          </cell>
          <cell r="J653">
            <v>3.3116238452010166E-4</v>
          </cell>
        </row>
        <row r="654">
          <cell r="A654" t="str">
            <v>T_B_u-BEVELC-S3</v>
          </cell>
          <cell r="B654" t="str">
            <v>VAR_fout</v>
          </cell>
          <cell r="C654" t="str">
            <v>TPBSu</v>
          </cell>
          <cell r="H654">
            <v>7.7039953899687139E-2</v>
          </cell>
          <cell r="I654">
            <v>6.6895790768332228E-2</v>
          </cell>
          <cell r="J654">
            <v>4.4144373396399234E-2</v>
          </cell>
        </row>
        <row r="655">
          <cell r="A655" t="str">
            <v>T_B_u-BEVELC-S3</v>
          </cell>
          <cell r="B655" t="str">
            <v>VAR_fin</v>
          </cell>
          <cell r="C655" t="str">
            <v>T-ELC-Bus_u_BatSTGout_S3</v>
          </cell>
          <cell r="H655">
            <v>0.35325158319394989</v>
          </cell>
          <cell r="I655">
            <v>0.28287159161866088</v>
          </cell>
          <cell r="J655">
            <v>0.1750077990832192</v>
          </cell>
        </row>
        <row r="656">
          <cell r="A656" t="str">
            <v>T_B_u-BEVELC-S3</v>
          </cell>
          <cell r="B656" t="str">
            <v>VAR_ncap</v>
          </cell>
          <cell r="C656" t="str">
            <v>-</v>
          </cell>
          <cell r="H656">
            <v>2.7269255989356797E-4</v>
          </cell>
          <cell r="I656">
            <v>9.8890730337477693E-4</v>
          </cell>
          <cell r="J656">
            <v>4.9379798695311995E-4</v>
          </cell>
        </row>
        <row r="657">
          <cell r="A657" t="str">
            <v>T_B_u-BEVELC-S3</v>
          </cell>
          <cell r="B657" t="str">
            <v>VAR_cap</v>
          </cell>
          <cell r="C657" t="str">
            <v>-</v>
          </cell>
          <cell r="H657">
            <v>1.452995601052384E-3</v>
          </cell>
          <cell r="I657">
            <v>1.26159986326834E-3</v>
          </cell>
          <cell r="J657">
            <v>8.3251974941963398E-4</v>
          </cell>
        </row>
        <row r="658">
          <cell r="A658" t="str">
            <v>D-T-ELC-Bus_u_S2</v>
          </cell>
          <cell r="B658" t="str">
            <v>VAR_fout</v>
          </cell>
          <cell r="C658" t="str">
            <v>T-ELC-Bus_u_BatSTGin_S2</v>
          </cell>
          <cell r="H658">
            <v>0.12161125604001467</v>
          </cell>
          <cell r="I658">
            <v>0.12530209146671603</v>
          </cell>
          <cell r="J658">
            <v>0.12055826600216005</v>
          </cell>
        </row>
        <row r="659">
          <cell r="A659" t="str">
            <v>D-T-ELC-Bus_u_S2</v>
          </cell>
          <cell r="B659" t="str">
            <v>VAR_fin</v>
          </cell>
          <cell r="C659" t="str">
            <v>TELC</v>
          </cell>
          <cell r="H659">
            <v>0.12161125604001467</v>
          </cell>
          <cell r="I659">
            <v>0.12530209146671603</v>
          </cell>
          <cell r="J659">
            <v>0.12055826600216005</v>
          </cell>
        </row>
        <row r="660">
          <cell r="A660" t="str">
            <v>D-T-ELC-Bus_u_S2</v>
          </cell>
          <cell r="B660" t="str">
            <v>VAR_ncap</v>
          </cell>
          <cell r="C660" t="str">
            <v>-</v>
          </cell>
          <cell r="H660">
            <v>3.1744544895698901E-4</v>
          </cell>
          <cell r="I660">
            <v>1.0732753149765101E-2</v>
          </cell>
          <cell r="J660">
            <v>7.3051187176047302E-3</v>
          </cell>
        </row>
        <row r="661">
          <cell r="A661" t="str">
            <v>D-T-ELC-Bus_u_S2</v>
          </cell>
          <cell r="B661" t="str">
            <v>VAR_cap</v>
          </cell>
          <cell r="C661" t="str">
            <v>-</v>
          </cell>
          <cell r="H661">
            <v>1.2858307094209801E-2</v>
          </cell>
          <cell r="I661">
            <v>1.3246006465797801E-2</v>
          </cell>
          <cell r="J661">
            <v>1.2743359267169499E-2</v>
          </cell>
        </row>
        <row r="662">
          <cell r="A662" t="str">
            <v>T-Plg-DSL-mix_S2</v>
          </cell>
          <cell r="B662" t="str">
            <v>VAR_fout</v>
          </cell>
          <cell r="C662" t="str">
            <v>CO2_T</v>
          </cell>
          <cell r="H662">
            <v>0.34867704782668585</v>
          </cell>
          <cell r="I662">
            <v>0.29137062699907651</v>
          </cell>
          <cell r="J662">
            <v>0.10281812753557179</v>
          </cell>
        </row>
        <row r="663">
          <cell r="A663" t="str">
            <v>T-Plg-DSL-mix_S2</v>
          </cell>
          <cell r="B663" t="str">
            <v>VAR_fout</v>
          </cell>
          <cell r="C663" t="str">
            <v>T-PEVmix-ELC_DSL_S2</v>
          </cell>
          <cell r="H663">
            <v>2.9135440557886642E-3</v>
          </cell>
          <cell r="I663">
            <v>2.5379404137555357E-3</v>
          </cell>
          <cell r="J663">
            <v>1.0005364110352768E-3</v>
          </cell>
        </row>
        <row r="664">
          <cell r="A664" t="str">
            <v>T-Plg-DSL-mix_S2</v>
          </cell>
          <cell r="B664" t="str">
            <v>VAR_fin</v>
          </cell>
          <cell r="C664" t="str">
            <v>TDSL</v>
          </cell>
          <cell r="H664">
            <v>4.7568492200093593E-3</v>
          </cell>
          <cell r="I664">
            <v>3.9750426602875354E-3</v>
          </cell>
          <cell r="J664">
            <v>1.4027029677431331E-3</v>
          </cell>
        </row>
        <row r="665">
          <cell r="A665" t="str">
            <v>T_B_u-BEVELC-S4</v>
          </cell>
          <cell r="B665" t="str">
            <v>VAR_fout</v>
          </cell>
          <cell r="C665" t="str">
            <v>TPBSu</v>
          </cell>
          <cell r="H665">
            <v>1.3933009013812736E-5</v>
          </cell>
          <cell r="I665">
            <v>1.6762906260062759E-5</v>
          </cell>
          <cell r="J665">
            <v>7.5081251085249861E-6</v>
          </cell>
        </row>
        <row r="666">
          <cell r="A666" t="str">
            <v>T_B_u-BEVELC-S4</v>
          </cell>
          <cell r="B666" t="str">
            <v>VAR_fin</v>
          </cell>
          <cell r="C666" t="str">
            <v>T-ELC-Bus_u_BatSTGout_S4</v>
          </cell>
          <cell r="H666">
            <v>9.2284149671177659E-5</v>
          </cell>
          <cell r="I666">
            <v>1.0684822910722176E-4</v>
          </cell>
          <cell r="J666">
            <v>4.383030995653607E-5</v>
          </cell>
        </row>
        <row r="667">
          <cell r="A667" t="str">
            <v>T_B_u-BEVELC-S4</v>
          </cell>
          <cell r="B667" t="str">
            <v>VAR_ncap</v>
          </cell>
          <cell r="C667" t="str">
            <v>-</v>
          </cell>
          <cell r="H667">
            <v>3.4788904641230801E-7</v>
          </cell>
          <cell r="I667">
            <v>3.4431094343216698E-7</v>
          </cell>
          <cell r="J667">
            <v>1.4728079974853299E-7</v>
          </cell>
        </row>
        <row r="668">
          <cell r="A668" t="str">
            <v>T_B_u-BEVELC-S4</v>
          </cell>
          <cell r="B668" t="str">
            <v>VAR_cap</v>
          </cell>
          <cell r="C668" t="str">
            <v>-</v>
          </cell>
          <cell r="H668">
            <v>4.0223970877263299E-7</v>
          </cell>
          <cell r="I668">
            <v>4.7431557901033193E-7</v>
          </cell>
          <cell r="J668">
            <v>2.07703457682684E-7</v>
          </cell>
        </row>
        <row r="669">
          <cell r="A669" t="str">
            <v>D-TBDS1</v>
          </cell>
          <cell r="B669" t="str">
            <v>VAR_fout</v>
          </cell>
          <cell r="C669" t="str">
            <v>TDSL</v>
          </cell>
          <cell r="H669">
            <v>2.0288130249777936</v>
          </cell>
          <cell r="I669">
            <v>1.9121885111990318</v>
          </cell>
          <cell r="J669">
            <v>1.8525270023827873</v>
          </cell>
        </row>
        <row r="670">
          <cell r="A670" t="str">
            <v>D-TBDS1</v>
          </cell>
          <cell r="B670" t="str">
            <v>VAR_fout</v>
          </cell>
          <cell r="C670" t="str">
            <v>TKER</v>
          </cell>
          <cell r="H670">
            <v>0.94295730815335699</v>
          </cell>
          <cell r="I670">
            <v>1.0595606578079599</v>
          </cell>
          <cell r="J670">
            <v>1.11900281007971</v>
          </cell>
        </row>
        <row r="671">
          <cell r="A671" t="str">
            <v>D-TBDS1</v>
          </cell>
          <cell r="B671" t="str">
            <v>VAR_fin</v>
          </cell>
          <cell r="C671" t="str">
            <v>BDS</v>
          </cell>
          <cell r="H671">
            <v>3.0160953250504683</v>
          </cell>
          <cell r="I671">
            <v>3.0160733374785402</v>
          </cell>
          <cell r="J671">
            <v>3.0158509308161525</v>
          </cell>
        </row>
        <row r="672">
          <cell r="A672" t="str">
            <v>D-T-ELC-Bus_u_S3</v>
          </cell>
          <cell r="B672" t="str">
            <v>VAR_fout</v>
          </cell>
          <cell r="C672" t="str">
            <v>T-ELC-Bus_u_BatSTGin_S3</v>
          </cell>
          <cell r="H672">
            <v>0.35335333867135249</v>
          </cell>
          <cell r="I672">
            <v>0.2829588619387946</v>
          </cell>
          <cell r="J672">
            <v>0.17507088065100385</v>
          </cell>
        </row>
        <row r="673">
          <cell r="A673" t="str">
            <v>D-T-ELC-Bus_u_S3</v>
          </cell>
          <cell r="B673" t="str">
            <v>VAR_fin</v>
          </cell>
          <cell r="C673" t="str">
            <v>TELC</v>
          </cell>
          <cell r="H673">
            <v>0.35335333867135249</v>
          </cell>
          <cell r="I673">
            <v>0.2829588619387946</v>
          </cell>
          <cell r="J673">
            <v>0.17507088065100385</v>
          </cell>
        </row>
        <row r="674">
          <cell r="A674" t="str">
            <v>D-T-ELC-Bus_u_S3</v>
          </cell>
          <cell r="B674" t="str">
            <v>VAR_ncap</v>
          </cell>
          <cell r="C674" t="str">
            <v>-</v>
          </cell>
          <cell r="H674">
            <v>6.9575814569042297E-3</v>
          </cell>
          <cell r="I674">
            <v>2.29515384173428E-2</v>
          </cell>
          <cell r="J674">
            <v>1.0643571577593301E-2</v>
          </cell>
        </row>
        <row r="675">
          <cell r="A675" t="str">
            <v>D-T-ELC-Bus_u_S3</v>
          </cell>
          <cell r="B675" t="str">
            <v>VAR_cap</v>
          </cell>
          <cell r="C675" t="str">
            <v>-</v>
          </cell>
          <cell r="H675">
            <v>3.7349535371140899E-2</v>
          </cell>
          <cell r="I675">
            <v>2.9909119874246999E-2</v>
          </cell>
          <cell r="J675">
            <v>1.8504961131002199E-2</v>
          </cell>
        </row>
        <row r="676">
          <cell r="A676" t="str">
            <v>T-Plg-DSL-mix_S3</v>
          </cell>
          <cell r="B676" t="str">
            <v>VAR_fout</v>
          </cell>
          <cell r="C676" t="str">
            <v>CO2_T</v>
          </cell>
          <cell r="H676">
            <v>716.14270568834684</v>
          </cell>
          <cell r="I676">
            <v>588.46499622676856</v>
          </cell>
          <cell r="J676">
            <v>296.48723330499769</v>
          </cell>
        </row>
        <row r="677">
          <cell r="A677" t="str">
            <v>T-Plg-DSL-mix_S3</v>
          </cell>
          <cell r="B677" t="str">
            <v>VAR_fout</v>
          </cell>
          <cell r="C677" t="str">
            <v>T-PEVmix-ELC_DSL_S3</v>
          </cell>
          <cell r="H677">
            <v>5.5538859488636474</v>
          </cell>
          <cell r="I677">
            <v>4.778090688130554</v>
          </cell>
          <cell r="J677">
            <v>2.8044277157548358</v>
          </cell>
        </row>
        <row r="678">
          <cell r="A678" t="str">
            <v>T-Plg-DSL-mix_S3</v>
          </cell>
          <cell r="B678" t="str">
            <v>VAR_fin</v>
          </cell>
          <cell r="C678" t="str">
            <v>TDSL</v>
          </cell>
          <cell r="H678">
            <v>9.7700232699638008</v>
          </cell>
          <cell r="I678">
            <v>8.0281718448399531</v>
          </cell>
          <cell r="J678">
            <v>4.0448462933833245</v>
          </cell>
        </row>
        <row r="679">
          <cell r="A679" t="str">
            <v>D-T-ELC-Bus_u_S4</v>
          </cell>
          <cell r="B679" t="str">
            <v>VAR_fout</v>
          </cell>
          <cell r="C679" t="str">
            <v>T-ELC-Bus_u_BatSTGin_S4</v>
          </cell>
          <cell r="H679">
            <v>2.47681000661051E-4</v>
          </cell>
          <cell r="I679">
            <v>2.6557051950773741E-4</v>
          </cell>
          <cell r="J679">
            <v>1.6119987565328943E-4</v>
          </cell>
        </row>
        <row r="680">
          <cell r="A680" t="str">
            <v>D-T-ELC-Bus_u_S4</v>
          </cell>
          <cell r="B680" t="str">
            <v>VAR_fin</v>
          </cell>
          <cell r="C680" t="str">
            <v>TELC</v>
          </cell>
          <cell r="H680">
            <v>2.47681000661051E-4</v>
          </cell>
          <cell r="I680">
            <v>2.6557051950773741E-4</v>
          </cell>
          <cell r="J680">
            <v>1.6119987565328943E-4</v>
          </cell>
        </row>
        <row r="681">
          <cell r="A681" t="str">
            <v>D-T-ELC-Bus_u_S4</v>
          </cell>
          <cell r="B681" t="str">
            <v>VAR_ncap</v>
          </cell>
          <cell r="C681" t="str">
            <v>-</v>
          </cell>
          <cell r="H681">
            <v>4.7593385359860799E-5</v>
          </cell>
          <cell r="I681">
            <v>5.63097912974153E-5</v>
          </cell>
          <cell r="J681">
            <v>2.10650534643899E-5</v>
          </cell>
        </row>
        <row r="682">
          <cell r="A682" t="str">
            <v>D-T-ELC-Bus_u_S4</v>
          </cell>
          <cell r="B682" t="str">
            <v>VAR_cap</v>
          </cell>
          <cell r="C682" t="str">
            <v>-</v>
          </cell>
          <cell r="H682">
            <v>5.8798146856224198E-5</v>
          </cell>
          <cell r="I682">
            <v>8.8815421928371604E-5</v>
          </cell>
          <cell r="J682">
            <v>3.0946781950831402E-5</v>
          </cell>
        </row>
        <row r="683">
          <cell r="A683" t="str">
            <v>T_C-FC-H2O-S1</v>
          </cell>
          <cell r="B683" t="str">
            <v>VAR_fout</v>
          </cell>
          <cell r="C683" t="str">
            <v>TPCAR</v>
          </cell>
          <cell r="H683">
            <v>4.0521887243345442E-6</v>
          </cell>
          <cell r="I683">
            <v>4.6585976701071488E-6</v>
          </cell>
          <cell r="J683">
            <v>4.3889319443405296E-6</v>
          </cell>
        </row>
        <row r="684">
          <cell r="A684" t="str">
            <v>T_C-FC-H2O-S1</v>
          </cell>
          <cell r="B684" t="str">
            <v>VAR_fin</v>
          </cell>
          <cell r="C684" t="str">
            <v>TH2O</v>
          </cell>
          <cell r="H684">
            <v>3.6017189038291506E-6</v>
          </cell>
          <cell r="I684">
            <v>3.8449080415340984E-6</v>
          </cell>
          <cell r="J684">
            <v>3.2688649668834972E-6</v>
          </cell>
        </row>
        <row r="685">
          <cell r="A685" t="str">
            <v>T_C-FC-H2O-S1</v>
          </cell>
          <cell r="B685" t="str">
            <v>VAR_ncap</v>
          </cell>
          <cell r="C685" t="str">
            <v>-</v>
          </cell>
          <cell r="H685">
            <v>3.1449340041422802E-7</v>
          </cell>
          <cell r="I685">
            <v>4.7903277066188897E-7</v>
          </cell>
          <cell r="J685">
            <v>5.3193086714711903E-7</v>
          </cell>
        </row>
        <row r="686">
          <cell r="A686" t="str">
            <v>T_C-FC-H2O-S1</v>
          </cell>
          <cell r="B686" t="str">
            <v>VAR_cap</v>
          </cell>
          <cell r="C686" t="str">
            <v>-</v>
          </cell>
          <cell r="H686">
            <v>8.0581973611750993E-7</v>
          </cell>
          <cell r="I686">
            <v>8.6048980718859447E-7</v>
          </cell>
          <cell r="J686">
            <v>7.7474154223606395E-7</v>
          </cell>
        </row>
        <row r="687">
          <cell r="A687" t="str">
            <v>T_B_c-ICEDSL-S1</v>
          </cell>
          <cell r="B687" t="str">
            <v>VAR_fout</v>
          </cell>
          <cell r="C687" t="str">
            <v>CO2_T</v>
          </cell>
        </row>
        <row r="688">
          <cell r="A688" t="str">
            <v>T_B_c-ICEDSL-S1</v>
          </cell>
          <cell r="B688" t="str">
            <v>VAR_fout</v>
          </cell>
          <cell r="C688" t="str">
            <v>TPBSc</v>
          </cell>
        </row>
        <row r="689">
          <cell r="A689" t="str">
            <v>T_B_c-ICEDSL-S1</v>
          </cell>
          <cell r="B689" t="str">
            <v>VAR_fin</v>
          </cell>
          <cell r="C689" t="str">
            <v>TDSL</v>
          </cell>
        </row>
        <row r="690">
          <cell r="A690" t="str">
            <v>T_B_c-ICEDSL-S1</v>
          </cell>
          <cell r="B690" t="str">
            <v>VAR_ncap</v>
          </cell>
          <cell r="C690" t="str">
            <v>-</v>
          </cell>
        </row>
        <row r="691">
          <cell r="A691" t="str">
            <v>T_B_c-ICEDSL-S1</v>
          </cell>
          <cell r="B691" t="str">
            <v>VAR_cap</v>
          </cell>
          <cell r="C691" t="str">
            <v>-</v>
          </cell>
          <cell r="H691">
            <v>1.2831601065976111E-9</v>
          </cell>
        </row>
        <row r="692">
          <cell r="A692" t="str">
            <v>T-Plg-DSL-mix_S4</v>
          </cell>
          <cell r="B692" t="str">
            <v>VAR_fout</v>
          </cell>
          <cell r="C692" t="str">
            <v>CO2_T</v>
          </cell>
          <cell r="H692">
            <v>0.53981235260131122</v>
          </cell>
          <cell r="I692">
            <v>0.3209323156695682</v>
          </cell>
          <cell r="J692">
            <v>0.1060126846424153</v>
          </cell>
        </row>
        <row r="693">
          <cell r="A693" t="str">
            <v>T-Plg-DSL-mix_S4</v>
          </cell>
          <cell r="B693" t="str">
            <v>VAR_fout</v>
          </cell>
          <cell r="C693" t="str">
            <v>T-PEVmix-ELC_DSL_S4</v>
          </cell>
          <cell r="H693">
            <v>3.9764331896325351E-3</v>
          </cell>
          <cell r="I693">
            <v>2.4632540055326466E-3</v>
          </cell>
          <cell r="J693">
            <v>9.0178477975004913E-4</v>
          </cell>
        </row>
        <row r="694">
          <cell r="A694" t="str">
            <v>T-Plg-DSL-mix_S4</v>
          </cell>
          <cell r="B694" t="str">
            <v>VAR_fin</v>
          </cell>
          <cell r="C694" t="str">
            <v>TDSL</v>
          </cell>
          <cell r="H694">
            <v>7.3644250013821288E-3</v>
          </cell>
          <cell r="I694">
            <v>4.3783399136366769E-3</v>
          </cell>
          <cell r="J694">
            <v>1.44628492008752E-3</v>
          </cell>
        </row>
        <row r="695">
          <cell r="A695" t="str">
            <v>T_C-FC-H2O-S2</v>
          </cell>
          <cell r="B695" t="str">
            <v>VAR_fout</v>
          </cell>
          <cell r="C695" t="str">
            <v>TPCAR</v>
          </cell>
          <cell r="H695">
            <v>7.1992995923005655E-6</v>
          </cell>
          <cell r="I695">
            <v>7.2691590190013945E-6</v>
          </cell>
          <cell r="J695">
            <v>7.7430777694066679E-6</v>
          </cell>
        </row>
        <row r="696">
          <cell r="A696" t="str">
            <v>T_C-FC-H2O-S2</v>
          </cell>
          <cell r="B696" t="str">
            <v>VAR_fin</v>
          </cell>
          <cell r="C696" t="str">
            <v>TH2O</v>
          </cell>
          <cell r="H696">
            <v>7.8551300860648925E-6</v>
          </cell>
          <cell r="I696">
            <v>7.3920494748302755E-6</v>
          </cell>
          <cell r="J696">
            <v>7.0396313941111956E-6</v>
          </cell>
        </row>
        <row r="697">
          <cell r="A697" t="str">
            <v>T_C-FC-H2O-S2</v>
          </cell>
          <cell r="B697" t="str">
            <v>VAR_ncap</v>
          </cell>
          <cell r="C697" t="str">
            <v>-</v>
          </cell>
          <cell r="H697">
            <v>2.9481687065977103E-7</v>
          </cell>
          <cell r="I697">
            <v>4.3552940861961001E-7</v>
          </cell>
          <cell r="J697">
            <v>5.5729858714496503E-7</v>
          </cell>
        </row>
        <row r="698">
          <cell r="A698" t="str">
            <v>T_C-FC-H2O-S2</v>
          </cell>
          <cell r="B698" t="str">
            <v>VAR_cap</v>
          </cell>
          <cell r="C698" t="str">
            <v>-</v>
          </cell>
          <cell r="H698">
            <v>7.8066105892583198E-7</v>
          </cell>
          <cell r="I698">
            <v>7.9688853701817275E-7</v>
          </cell>
          <cell r="J698">
            <v>7.6948044448640497E-7</v>
          </cell>
        </row>
        <row r="699">
          <cell r="A699" t="str">
            <v>T_B_c-ICEDSL-S2</v>
          </cell>
          <cell r="B699" t="str">
            <v>VAR_fout</v>
          </cell>
          <cell r="C699" t="str">
            <v>CO2_T</v>
          </cell>
        </row>
        <row r="700">
          <cell r="A700" t="str">
            <v>T_B_c-ICEDSL-S2</v>
          </cell>
          <cell r="B700" t="str">
            <v>VAR_fout</v>
          </cell>
          <cell r="C700" t="str">
            <v>TPBSc</v>
          </cell>
        </row>
        <row r="701">
          <cell r="A701" t="str">
            <v>T_B_c-ICEDSL-S2</v>
          </cell>
          <cell r="B701" t="str">
            <v>VAR_fin</v>
          </cell>
          <cell r="C701" t="str">
            <v>TDSL</v>
          </cell>
        </row>
        <row r="702">
          <cell r="A702" t="str">
            <v>T_B_c-ICEDSL-S2</v>
          </cell>
          <cell r="B702" t="str">
            <v>VAR_ncap</v>
          </cell>
          <cell r="C702" t="str">
            <v>-</v>
          </cell>
        </row>
        <row r="703">
          <cell r="A703" t="str">
            <v>T_B_c-ICEDSL-S2</v>
          </cell>
          <cell r="B703" t="str">
            <v>VAR_cap</v>
          </cell>
          <cell r="C703" t="str">
            <v>-</v>
          </cell>
          <cell r="H703">
            <v>1.1600066764449722E-9</v>
          </cell>
        </row>
        <row r="704">
          <cell r="A704" t="str">
            <v>T_TW-FCLH2O-S1</v>
          </cell>
          <cell r="B704" t="str">
            <v>VAR_fout</v>
          </cell>
          <cell r="C704" t="str">
            <v>TPTWL</v>
          </cell>
          <cell r="H704">
            <v>4.2973842075003473E-4</v>
          </cell>
          <cell r="I704">
            <v>5.367654389907754E-4</v>
          </cell>
          <cell r="J704">
            <v>3.9796696736618133E-4</v>
          </cell>
        </row>
        <row r="705">
          <cell r="A705" t="str">
            <v>T_TW-FCLH2O-S1</v>
          </cell>
          <cell r="B705" t="str">
            <v>VAR_fin</v>
          </cell>
          <cell r="C705" t="str">
            <v>TH2O</v>
          </cell>
          <cell r="H705">
            <v>9.1725698621255064E-5</v>
          </cell>
          <cell r="I705">
            <v>1.1316815302950988E-4</v>
          </cell>
          <cell r="J705">
            <v>8.1811859991941978E-5</v>
          </cell>
        </row>
        <row r="706">
          <cell r="A706" t="str">
            <v>T_TW-FCLH2O-S1</v>
          </cell>
          <cell r="B706" t="str">
            <v>VAR_ncap</v>
          </cell>
          <cell r="C706" t="str">
            <v>-</v>
          </cell>
          <cell r="H706">
            <v>1.02011166204651E-4</v>
          </cell>
          <cell r="I706">
            <v>9.34088274051005E-5</v>
          </cell>
          <cell r="J706">
            <v>8.7641953249699197E-5</v>
          </cell>
        </row>
        <row r="707">
          <cell r="A707" t="str">
            <v>T_TW-FCLH2O-S1</v>
          </cell>
          <cell r="B707" t="str">
            <v>VAR_cap</v>
          </cell>
          <cell r="C707" t="str">
            <v>-</v>
          </cell>
          <cell r="H707">
            <v>1.6521079285567193E-4</v>
          </cell>
          <cell r="I707">
            <v>2.065483824660942E-4</v>
          </cell>
          <cell r="J707">
            <v>1.5232965869858576E-4</v>
          </cell>
        </row>
        <row r="708">
          <cell r="A708" t="str">
            <v>D-T-ELC-TW_Bat_S1</v>
          </cell>
          <cell r="B708" t="str">
            <v>VAR_fout</v>
          </cell>
          <cell r="C708" t="str">
            <v>T-ELC-TWSTGin_S1</v>
          </cell>
          <cell r="H708">
            <v>2.4141847020484495E-3</v>
          </cell>
          <cell r="I708">
            <v>2.1058034283321118E-3</v>
          </cell>
          <cell r="J708">
            <v>1.5511688820474508E-3</v>
          </cell>
        </row>
        <row r="709">
          <cell r="A709" t="str">
            <v>D-T-ELC-TW_Bat_S1</v>
          </cell>
          <cell r="B709" t="str">
            <v>VAR_fin</v>
          </cell>
          <cell r="C709" t="str">
            <v>TELC</v>
          </cell>
          <cell r="H709">
            <v>2.4141847020484495E-3</v>
          </cell>
          <cell r="I709">
            <v>2.1058034283321118E-3</v>
          </cell>
          <cell r="J709">
            <v>1.5511688820474508E-3</v>
          </cell>
        </row>
        <row r="710">
          <cell r="A710" t="str">
            <v>D-T-ELC-TW_Bat_S1</v>
          </cell>
          <cell r="B710" t="str">
            <v>VAR_ncap</v>
          </cell>
          <cell r="C710" t="str">
            <v>-</v>
          </cell>
          <cell r="H710">
            <v>1.6900449188089701E-4</v>
          </cell>
          <cell r="I710">
            <v>3.9471685973388399E-5</v>
          </cell>
          <cell r="J710">
            <v>1.15271543230316E-4</v>
          </cell>
        </row>
        <row r="711">
          <cell r="A711" t="str">
            <v>D-T-ELC-TW_Bat_S1</v>
          </cell>
          <cell r="B711" t="str">
            <v>VAR_cap</v>
          </cell>
          <cell r="C711" t="str">
            <v>-</v>
          </cell>
          <cell r="H711">
            <v>2.5632209926485102E-4</v>
          </cell>
          <cell r="I711">
            <v>2.2355029446734901E-4</v>
          </cell>
          <cell r="J711">
            <v>1.64725170362982E-4</v>
          </cell>
        </row>
        <row r="712">
          <cell r="A712" t="str">
            <v>T_C-FC-H2O-S3</v>
          </cell>
          <cell r="B712" t="str">
            <v>VAR_fout</v>
          </cell>
          <cell r="C712" t="str">
            <v>TPCAR</v>
          </cell>
          <cell r="H712">
            <v>8.2735934277408174E-6</v>
          </cell>
          <cell r="I712">
            <v>7.6783377470660326E-6</v>
          </cell>
          <cell r="J712">
            <v>8.6280874886648022E-6</v>
          </cell>
        </row>
        <row r="713">
          <cell r="A713" t="str">
            <v>T_C-FC-H2O-S3</v>
          </cell>
          <cell r="B713" t="str">
            <v>VAR_fin</v>
          </cell>
          <cell r="C713" t="str">
            <v>TH2O</v>
          </cell>
          <cell r="H713">
            <v>9.7209533117629686E-6</v>
          </cell>
          <cell r="I713">
            <v>8.3849331585057822E-6</v>
          </cell>
          <cell r="J713">
            <v>8.3931014185227642E-6</v>
          </cell>
        </row>
        <row r="714">
          <cell r="A714" t="str">
            <v>T_C-FC-H2O-S3</v>
          </cell>
          <cell r="B714" t="str">
            <v>VAR_ncap</v>
          </cell>
          <cell r="C714" t="str">
            <v>-</v>
          </cell>
          <cell r="H714">
            <v>2.5301175385847702E-7</v>
          </cell>
          <cell r="I714">
            <v>4.0249530787401702E-7</v>
          </cell>
          <cell r="J714">
            <v>5.60721055415877E-7</v>
          </cell>
        </row>
        <row r="715">
          <cell r="A715" t="str">
            <v>T_C-FC-H2O-S3</v>
          </cell>
          <cell r="B715" t="str">
            <v>VAR_cap</v>
          </cell>
          <cell r="C715" t="str">
            <v>-</v>
          </cell>
          <cell r="H715">
            <v>8.2037304183258823E-7</v>
          </cell>
          <cell r="I715">
            <v>7.1284167431284914E-7</v>
          </cell>
          <cell r="J715">
            <v>7.4525999248342099E-7</v>
          </cell>
        </row>
        <row r="716">
          <cell r="A716" t="str">
            <v>T_B_c-ICEDSL-S3</v>
          </cell>
          <cell r="B716" t="str">
            <v>VAR_fout</v>
          </cell>
          <cell r="C716" t="str">
            <v>CO2_T</v>
          </cell>
        </row>
        <row r="717">
          <cell r="A717" t="str">
            <v>T_B_c-ICEDSL-S3</v>
          </cell>
          <cell r="B717" t="str">
            <v>VAR_fout</v>
          </cell>
          <cell r="C717" t="str">
            <v>TPBSc</v>
          </cell>
        </row>
        <row r="718">
          <cell r="A718" t="str">
            <v>T_B_c-ICEDSL-S3</v>
          </cell>
          <cell r="B718" t="str">
            <v>VAR_fin</v>
          </cell>
          <cell r="C718" t="str">
            <v>TDSL</v>
          </cell>
        </row>
        <row r="719">
          <cell r="A719" t="str">
            <v>T_B_c-ICEDSL-S3</v>
          </cell>
          <cell r="B719" t="str">
            <v>VAR_ncap</v>
          </cell>
          <cell r="C719" t="str">
            <v>-</v>
          </cell>
        </row>
        <row r="720">
          <cell r="A720" t="str">
            <v>T_B_c-ICEDSL-S3</v>
          </cell>
          <cell r="B720" t="str">
            <v>VAR_cap</v>
          </cell>
          <cell r="C720" t="str">
            <v>-</v>
          </cell>
        </row>
        <row r="721">
          <cell r="A721" t="str">
            <v>T_TW-FCLH2O-S2</v>
          </cell>
          <cell r="B721" t="str">
            <v>VAR_fout</v>
          </cell>
          <cell r="C721" t="str">
            <v>TPTWL</v>
          </cell>
          <cell r="H721">
            <v>1.9771035152742222E-4</v>
          </cell>
          <cell r="I721">
            <v>2.5776824181011123E-4</v>
          </cell>
          <cell r="J721">
            <v>1.9060600481982253E-4</v>
          </cell>
        </row>
        <row r="722">
          <cell r="A722" t="str">
            <v>T_TW-FCLH2O-S2</v>
          </cell>
          <cell r="B722" t="str">
            <v>VAR_fin</v>
          </cell>
          <cell r="C722" t="str">
            <v>TH2O</v>
          </cell>
          <cell r="H722">
            <v>7.2559322650427041E-5</v>
          </cell>
          <cell r="I722">
            <v>9.3725783004399357E-5</v>
          </cell>
          <cell r="J722">
            <v>6.7860561821287603E-5</v>
          </cell>
        </row>
        <row r="723">
          <cell r="A723" t="str">
            <v>T_TW-FCLH2O-S2</v>
          </cell>
          <cell r="B723" t="str">
            <v>VAR_ncap</v>
          </cell>
          <cell r="C723" t="str">
            <v>-</v>
          </cell>
          <cell r="H723">
            <v>4.5568165881534401E-5</v>
          </cell>
          <cell r="I723">
            <v>3.87984717875061E-5</v>
          </cell>
          <cell r="J723">
            <v>3.3171221162485201E-5</v>
          </cell>
        </row>
        <row r="724">
          <cell r="A724" t="str">
            <v>T_TW-FCLH2O-S2</v>
          </cell>
          <cell r="B724" t="str">
            <v>VAR_cap</v>
          </cell>
          <cell r="C724" t="str">
            <v>-</v>
          </cell>
          <cell r="H724">
            <v>7.6702926788522091E-5</v>
          </cell>
          <cell r="I724">
            <v>1.0045731900236289E-4</v>
          </cell>
          <cell r="J724">
            <v>7.4056635103252565E-5</v>
          </cell>
        </row>
        <row r="725">
          <cell r="A725" t="str">
            <v>D-T-ELC-TW_Bat_S2</v>
          </cell>
          <cell r="B725" t="str">
            <v>VAR_fout</v>
          </cell>
          <cell r="C725" t="str">
            <v>T-ELC-TWSTGin_S2</v>
          </cell>
          <cell r="H725">
            <v>2.7198045980053936E-3</v>
          </cell>
          <cell r="I725">
            <v>2.2480309340488572E-3</v>
          </cell>
          <cell r="J725">
            <v>1.5179758559394827E-3</v>
          </cell>
        </row>
        <row r="726">
          <cell r="A726" t="str">
            <v>D-T-ELC-TW_Bat_S2</v>
          </cell>
          <cell r="B726" t="str">
            <v>VAR_fin</v>
          </cell>
          <cell r="C726" t="str">
            <v>TELC</v>
          </cell>
          <cell r="H726">
            <v>2.7198045980053936E-3</v>
          </cell>
          <cell r="I726">
            <v>2.2480309340488572E-3</v>
          </cell>
          <cell r="J726">
            <v>1.5179758559394827E-3</v>
          </cell>
        </row>
        <row r="727">
          <cell r="A727" t="str">
            <v>D-T-ELC-TW_Bat_S2</v>
          </cell>
          <cell r="B727" t="str">
            <v>VAR_ncap</v>
          </cell>
          <cell r="C727" t="str">
            <v>-</v>
          </cell>
          <cell r="H727">
            <v>1.8724431604057401E-4</v>
          </cell>
          <cell r="I727">
            <v>2.6486454468037401E-6</v>
          </cell>
          <cell r="J727">
            <v>9.5547886570371301E-5</v>
          </cell>
        </row>
        <row r="728">
          <cell r="A728" t="str">
            <v>D-T-ELC-TW_Bat_S2</v>
          </cell>
          <cell r="B728" t="str">
            <v>VAR_cap</v>
          </cell>
          <cell r="C728" t="str">
            <v>-</v>
          </cell>
          <cell r="H728">
            <v>2.8820331868723698E-4</v>
          </cell>
          <cell r="I728">
            <v>2.3976707300450199E-4</v>
          </cell>
          <cell r="J728">
            <v>1.61412154621714E-4</v>
          </cell>
        </row>
        <row r="729">
          <cell r="A729" t="str">
            <v>T_C-FC-H2O-S4</v>
          </cell>
          <cell r="B729" t="str">
            <v>VAR_fout</v>
          </cell>
          <cell r="C729" t="str">
            <v>TPCAR</v>
          </cell>
          <cell r="H729">
            <v>6.465248051425559E-6</v>
          </cell>
          <cell r="I729">
            <v>6.6218503286771676E-6</v>
          </cell>
          <cell r="J729">
            <v>7.4504424149513169E-6</v>
          </cell>
        </row>
        <row r="730">
          <cell r="A730" t="str">
            <v>T_C-FC-H2O-S4</v>
          </cell>
          <cell r="B730" t="str">
            <v>VAR_fin</v>
          </cell>
          <cell r="C730" t="str">
            <v>TH2O</v>
          </cell>
          <cell r="H730">
            <v>7.5227683294361491E-6</v>
          </cell>
          <cell r="I730">
            <v>7.1958892420203099E-6</v>
          </cell>
          <cell r="J730">
            <v>7.2637012571758045E-6</v>
          </cell>
        </row>
        <row r="731">
          <cell r="A731" t="str">
            <v>T_C-FC-H2O-S4</v>
          </cell>
          <cell r="B731" t="str">
            <v>VAR_ncap</v>
          </cell>
          <cell r="C731" t="str">
            <v>-</v>
          </cell>
          <cell r="H731">
            <v>2.8149851536855498E-7</v>
          </cell>
          <cell r="I731">
            <v>4.31344265673247E-7</v>
          </cell>
          <cell r="J731">
            <v>5.8978332921912704E-7</v>
          </cell>
        </row>
        <row r="732">
          <cell r="A732" t="str">
            <v>T_C-FC-H2O-S4</v>
          </cell>
          <cell r="B732" t="str">
            <v>VAR_cap</v>
          </cell>
          <cell r="C732" t="str">
            <v>-</v>
          </cell>
          <cell r="H732">
            <v>7.450935848812519E-7</v>
          </cell>
          <cell r="I732">
            <v>7.7437525869488654E-7</v>
          </cell>
          <cell r="J732">
            <v>7.9176394596126197E-7</v>
          </cell>
        </row>
        <row r="733">
          <cell r="A733" t="str">
            <v>T_B_c-ICEDSL-S4</v>
          </cell>
          <cell r="B733" t="str">
            <v>VAR_fout</v>
          </cell>
          <cell r="C733" t="str">
            <v>CO2_T</v>
          </cell>
        </row>
        <row r="734">
          <cell r="A734" t="str">
            <v>T_B_c-ICEDSL-S4</v>
          </cell>
          <cell r="B734" t="str">
            <v>VAR_fout</v>
          </cell>
          <cell r="C734" t="str">
            <v>TPBSc</v>
          </cell>
        </row>
        <row r="735">
          <cell r="A735" t="str">
            <v>T_B_c-ICEDSL-S4</v>
          </cell>
          <cell r="B735" t="str">
            <v>VAR_fin</v>
          </cell>
          <cell r="C735" t="str">
            <v>TDSL</v>
          </cell>
        </row>
        <row r="736">
          <cell r="A736" t="str">
            <v>T_B_c-ICEDSL-S4</v>
          </cell>
          <cell r="B736" t="str">
            <v>VAR_ncap</v>
          </cell>
          <cell r="C736" t="str">
            <v>-</v>
          </cell>
        </row>
        <row r="737">
          <cell r="A737" t="str">
            <v>T_B_c-ICEDSL-S4</v>
          </cell>
          <cell r="B737" t="str">
            <v>VAR_cap</v>
          </cell>
          <cell r="C737" t="str">
            <v>-</v>
          </cell>
        </row>
        <row r="738">
          <cell r="A738" t="str">
            <v>D-T-ELC-HGV</v>
          </cell>
          <cell r="B738" t="str">
            <v>VAR_fout</v>
          </cell>
          <cell r="C738" t="str">
            <v>T-ELC-HGV_BatSTGin</v>
          </cell>
          <cell r="H738">
            <v>1.3846967075940846E-3</v>
          </cell>
          <cell r="I738">
            <v>1.8473065649542112E-3</v>
          </cell>
          <cell r="J738">
            <v>9.0931389572897453E-4</v>
          </cell>
        </row>
        <row r="739">
          <cell r="A739" t="str">
            <v>D-T-ELC-HGV</v>
          </cell>
          <cell r="B739" t="str">
            <v>VAR_fin</v>
          </cell>
          <cell r="C739" t="str">
            <v>TELC</v>
          </cell>
          <cell r="H739">
            <v>1.3846967075940846E-3</v>
          </cell>
          <cell r="I739">
            <v>1.8473065649542112E-3</v>
          </cell>
          <cell r="J739">
            <v>9.0931389572897453E-4</v>
          </cell>
        </row>
        <row r="740">
          <cell r="A740" t="str">
            <v>D-T-ELC-HGV</v>
          </cell>
          <cell r="B740" t="str">
            <v>VAR_ncap</v>
          </cell>
          <cell r="C740" t="str">
            <v>-</v>
          </cell>
          <cell r="H740">
            <v>1.6950907918046799E-4</v>
          </cell>
          <cell r="I740">
            <v>1.5446898941492E-4</v>
          </cell>
          <cell r="J740">
            <v>9.6729283973208299E-5</v>
          </cell>
        </row>
        <row r="741">
          <cell r="A741" t="str">
            <v>D-T-ELC-HGV</v>
          </cell>
          <cell r="B741" t="str">
            <v>VAR_cap</v>
          </cell>
          <cell r="C741" t="str">
            <v>-</v>
          </cell>
          <cell r="H741">
            <v>1.97404094865384E-4</v>
          </cell>
          <cell r="I741">
            <v>2.7024136985753599E-4</v>
          </cell>
          <cell r="J741">
            <v>1.2383683627989399E-4</v>
          </cell>
        </row>
        <row r="742">
          <cell r="A742" t="str">
            <v>T_TW-FCLH2O-S3</v>
          </cell>
          <cell r="B742" t="str">
            <v>VAR_fout</v>
          </cell>
          <cell r="C742" t="str">
            <v>TPTWL</v>
          </cell>
          <cell r="H742">
            <v>9.8454436081217865E-5</v>
          </cell>
          <cell r="I742">
            <v>1.4241598009185667E-4</v>
          </cell>
          <cell r="J742">
            <v>1.4269047642931132E-4</v>
          </cell>
        </row>
        <row r="743">
          <cell r="A743" t="str">
            <v>T_TW-FCLH2O-S3</v>
          </cell>
          <cell r="B743" t="str">
            <v>VAR_fin</v>
          </cell>
          <cell r="C743" t="str">
            <v>TH2O</v>
          </cell>
          <cell r="H743">
            <v>5.5452006305466773E-5</v>
          </cell>
          <cell r="I743">
            <v>7.9627381445629872E-5</v>
          </cell>
          <cell r="J743">
            <v>7.8300329637751454E-5</v>
          </cell>
        </row>
        <row r="744">
          <cell r="A744" t="str">
            <v>T_TW-FCLH2O-S3</v>
          </cell>
          <cell r="B744" t="str">
            <v>VAR_ncap</v>
          </cell>
          <cell r="C744" t="str">
            <v>-</v>
          </cell>
          <cell r="H744">
            <v>1.9964017770749201E-5</v>
          </cell>
          <cell r="I744">
            <v>1.73571237485227E-5</v>
          </cell>
          <cell r="J744">
            <v>1.7729375955967502E-5</v>
          </cell>
        </row>
        <row r="745">
          <cell r="A745" t="str">
            <v>T_TW-FCLH2O-S3</v>
          </cell>
          <cell r="B745" t="str">
            <v>VAR_cap</v>
          </cell>
          <cell r="C745" t="str">
            <v>-</v>
          </cell>
          <cell r="H745">
            <v>3.8176811382664678E-5</v>
          </cell>
          <cell r="I745">
            <v>5.5504019169576478E-5</v>
          </cell>
          <cell r="J745">
            <v>5.5683854452488597E-5</v>
          </cell>
        </row>
        <row r="746">
          <cell r="A746" t="str">
            <v>D-T-ELC-TW_Bat_S3</v>
          </cell>
          <cell r="B746" t="str">
            <v>VAR_fout</v>
          </cell>
          <cell r="C746" t="str">
            <v>T-ELC-TWSTGin_S3</v>
          </cell>
          <cell r="H746">
            <v>3.7030926329306999E-3</v>
          </cell>
          <cell r="I746">
            <v>3.6418007460939706E-3</v>
          </cell>
          <cell r="J746">
            <v>2.2479671273568E-3</v>
          </cell>
        </row>
        <row r="747">
          <cell r="A747" t="str">
            <v>D-T-ELC-TW_Bat_S3</v>
          </cell>
          <cell r="B747" t="str">
            <v>VAR_fin</v>
          </cell>
          <cell r="C747" t="str">
            <v>TELC</v>
          </cell>
          <cell r="H747">
            <v>3.7030926329306999E-3</v>
          </cell>
          <cell r="I747">
            <v>3.6418007460939706E-3</v>
          </cell>
          <cell r="J747">
            <v>2.2479671273568E-3</v>
          </cell>
        </row>
        <row r="748">
          <cell r="A748" t="str">
            <v>D-T-ELC-TW_Bat_S3</v>
          </cell>
          <cell r="B748" t="str">
            <v>VAR_ncap</v>
          </cell>
          <cell r="C748" t="str">
            <v>-</v>
          </cell>
          <cell r="H748">
            <v>1.9166179637646299E-4</v>
          </cell>
          <cell r="I748">
            <v>5.5221573304412501E-5</v>
          </cell>
          <cell r="J748">
            <v>4.8525633674100102E-6</v>
          </cell>
        </row>
        <row r="749">
          <cell r="A749" t="str">
            <v>D-T-ELC-TW_Bat_S3</v>
          </cell>
          <cell r="B749" t="str">
            <v>VAR_cap</v>
          </cell>
          <cell r="C749" t="str">
            <v>-</v>
          </cell>
          <cell r="H749">
            <v>3.9235897171359602E-4</v>
          </cell>
          <cell r="I749">
            <v>3.8548793658964802E-4</v>
          </cell>
          <cell r="J749">
            <v>2.3901774068664801E-4</v>
          </cell>
        </row>
        <row r="750">
          <cell r="A750" t="str">
            <v>T_TW-FCLH2O-S4</v>
          </cell>
          <cell r="B750" t="str">
            <v>VAR_fout</v>
          </cell>
          <cell r="C750" t="str">
            <v>TPTWL</v>
          </cell>
          <cell r="H750">
            <v>5.2174152206012705E-5</v>
          </cell>
          <cell r="I750">
            <v>7.8901349039459101E-5</v>
          </cell>
          <cell r="J750">
            <v>9.7208607091280928E-5</v>
          </cell>
        </row>
        <row r="751">
          <cell r="A751" t="str">
            <v>T_TW-FCLH2O-S4</v>
          </cell>
          <cell r="B751" t="str">
            <v>VAR_fin</v>
          </cell>
          <cell r="C751" t="str">
            <v>TH2O</v>
          </cell>
          <cell r="H751">
            <v>3.3073542758072678E-5</v>
          </cell>
          <cell r="I751">
            <v>4.9568441518798712E-5</v>
          </cell>
          <cell r="J751">
            <v>6.0108109783254354E-5</v>
          </cell>
        </row>
        <row r="752">
          <cell r="A752" t="str">
            <v>T_TW-FCLH2O-S4</v>
          </cell>
          <cell r="B752" t="str">
            <v>VAR_ncap</v>
          </cell>
          <cell r="C752" t="str">
            <v>-</v>
          </cell>
          <cell r="H752">
            <v>1.08679002580997E-5</v>
          </cell>
          <cell r="I752">
            <v>1.04449399554451E-5</v>
          </cell>
          <cell r="J752">
            <v>1.03599112088851E-5</v>
          </cell>
        </row>
        <row r="753">
          <cell r="A753" t="str">
            <v>T_TW-FCLH2O-S4</v>
          </cell>
          <cell r="B753" t="str">
            <v>VAR_cap</v>
          </cell>
          <cell r="C753" t="str">
            <v>-</v>
          </cell>
          <cell r="H753">
            <v>2.0157958895471581E-5</v>
          </cell>
          <cell r="I753">
            <v>3.058352244499482E-5</v>
          </cell>
          <cell r="J753">
            <v>3.7710490159187628E-5</v>
          </cell>
        </row>
        <row r="754">
          <cell r="A754" t="str">
            <v>D-T-ELC-TW_Bat_S4</v>
          </cell>
          <cell r="B754" t="str">
            <v>VAR_fout</v>
          </cell>
          <cell r="C754" t="str">
            <v>T-ELC-TWSTGin_S4</v>
          </cell>
          <cell r="H754">
            <v>3.64251063016511E-3</v>
          </cell>
          <cell r="I754">
            <v>4.1291064731517196E-3</v>
          </cell>
          <cell r="J754">
            <v>3.2993196393339289E-3</v>
          </cell>
        </row>
        <row r="755">
          <cell r="A755" t="str">
            <v>D-T-ELC-TW_Bat_S4</v>
          </cell>
          <cell r="B755" t="str">
            <v>VAR_fin</v>
          </cell>
          <cell r="C755" t="str">
            <v>TELC</v>
          </cell>
          <cell r="H755">
            <v>3.64251063016511E-3</v>
          </cell>
          <cell r="I755">
            <v>4.1291064731517196E-3</v>
          </cell>
          <cell r="J755">
            <v>3.2993196393339289E-3</v>
          </cell>
        </row>
        <row r="756">
          <cell r="A756" t="str">
            <v>D-T-ELC-TW_Bat_S4</v>
          </cell>
          <cell r="B756" t="str">
            <v>VAR_ncap</v>
          </cell>
          <cell r="C756" t="str">
            <v>-</v>
          </cell>
          <cell r="H756">
            <v>1.86884681974626E-4</v>
          </cell>
          <cell r="I756">
            <v>5.1658155234783299E-5</v>
          </cell>
          <cell r="J756">
            <v>4.1653188819795102E-5</v>
          </cell>
        </row>
        <row r="757">
          <cell r="A757" t="str">
            <v>D-T-ELC-TW_Bat_S4</v>
          </cell>
          <cell r="B757" t="str">
            <v>VAR_cap</v>
          </cell>
          <cell r="C757" t="str">
            <v>-</v>
          </cell>
          <cell r="H757">
            <v>3.8582850630858897E-4</v>
          </cell>
          <cell r="I757">
            <v>4.3748666154337298E-4</v>
          </cell>
          <cell r="J757">
            <v>3.4924414341991198E-4</v>
          </cell>
        </row>
        <row r="758">
          <cell r="A758" t="str">
            <v>T_B_u-ICENGA-S1</v>
          </cell>
          <cell r="B758" t="str">
            <v>VAR_fout</v>
          </cell>
          <cell r="C758" t="str">
            <v>CO2_T</v>
          </cell>
          <cell r="H758">
            <v>3.32459678022826E-5</v>
          </cell>
          <cell r="I758">
            <v>5.2252274938265501E-5</v>
          </cell>
        </row>
        <row r="759">
          <cell r="A759" t="str">
            <v>T_B_u-ICENGA-S1</v>
          </cell>
          <cell r="B759" t="str">
            <v>VAR_fout</v>
          </cell>
          <cell r="C759" t="str">
            <v>TPBSu</v>
          </cell>
          <cell r="H759">
            <v>8.5664078117634887E-8</v>
          </cell>
          <cell r="I759">
            <v>1.4166470438313656E-7</v>
          </cell>
        </row>
        <row r="760">
          <cell r="A760" t="str">
            <v>T_B_u-ICENGA-S1</v>
          </cell>
          <cell r="B760" t="str">
            <v>VAR_fin</v>
          </cell>
          <cell r="C760" t="str">
            <v>TNGA</v>
          </cell>
          <cell r="H760">
            <v>5.8946751422486822E-7</v>
          </cell>
          <cell r="I760">
            <v>9.2645877550116166E-7</v>
          </cell>
        </row>
        <row r="761">
          <cell r="A761" t="str">
            <v>T_B_u-ICENGA-S1</v>
          </cell>
          <cell r="B761" t="str">
            <v>VAR_ncap</v>
          </cell>
          <cell r="C761" t="str">
            <v>-</v>
          </cell>
          <cell r="H761">
            <v>1.23791158692163E-8</v>
          </cell>
          <cell r="I761">
            <v>1.3520097425036601E-8</v>
          </cell>
          <cell r="J761">
            <v>1.08102391878688E-8</v>
          </cell>
        </row>
        <row r="762">
          <cell r="A762" t="str">
            <v>T_B_u-ICENGA-S1</v>
          </cell>
          <cell r="B762" t="str">
            <v>VAR_cap</v>
          </cell>
          <cell r="C762" t="str">
            <v>-</v>
          </cell>
          <cell r="H762">
            <v>3.2711558813821017E-8</v>
          </cell>
          <cell r="I762">
            <v>2.8163761081371199E-8</v>
          </cell>
          <cell r="J762">
            <v>1.97630337303025E-8</v>
          </cell>
        </row>
        <row r="763">
          <cell r="A763" t="str">
            <v>T_B_u-ICENGA-S2</v>
          </cell>
          <cell r="B763" t="str">
            <v>VAR_fout</v>
          </cell>
          <cell r="C763" t="str">
            <v>CO2_T</v>
          </cell>
        </row>
        <row r="764">
          <cell r="A764" t="str">
            <v>T_B_u-ICENGA-S2</v>
          </cell>
          <cell r="B764" t="str">
            <v>VAR_fout</v>
          </cell>
          <cell r="C764" t="str">
            <v>TPBSu</v>
          </cell>
        </row>
        <row r="765">
          <cell r="A765" t="str">
            <v>T_B_u-ICENGA-S2</v>
          </cell>
          <cell r="B765" t="str">
            <v>VAR_fin</v>
          </cell>
          <cell r="C765" t="str">
            <v>TNGA</v>
          </cell>
        </row>
        <row r="766">
          <cell r="A766" t="str">
            <v>T_B_u-ICENGA-S2</v>
          </cell>
          <cell r="B766" t="str">
            <v>VAR_ncap</v>
          </cell>
          <cell r="C766" t="str">
            <v>-</v>
          </cell>
        </row>
        <row r="767">
          <cell r="A767" t="str">
            <v>T_B_u-ICENGA-S2</v>
          </cell>
          <cell r="B767" t="str">
            <v>VAR_cap</v>
          </cell>
          <cell r="C767" t="str">
            <v>-</v>
          </cell>
          <cell r="H767">
            <v>4.5956727437985816E-9</v>
          </cell>
        </row>
        <row r="768">
          <cell r="A768" t="str">
            <v>T_B_c-ICEDSLEXT</v>
          </cell>
          <cell r="B768" t="str">
            <v>VAR_fout</v>
          </cell>
          <cell r="C768" t="str">
            <v>CO2_T</v>
          </cell>
        </row>
        <row r="769">
          <cell r="A769" t="str">
            <v>T_B_c-ICEDSLEXT</v>
          </cell>
          <cell r="B769" t="str">
            <v>VAR_fout</v>
          </cell>
          <cell r="C769" t="str">
            <v>TPBSc</v>
          </cell>
        </row>
        <row r="770">
          <cell r="A770" t="str">
            <v>T_B_c-ICEDSLEXT</v>
          </cell>
          <cell r="B770" t="str">
            <v>VAR_fin</v>
          </cell>
          <cell r="C770" t="str">
            <v>TDSL</v>
          </cell>
        </row>
        <row r="771">
          <cell r="A771" t="str">
            <v>T_B_c-ICEDSLEXT</v>
          </cell>
          <cell r="B771" t="str">
            <v>VAR_cap</v>
          </cell>
          <cell r="C771" t="str">
            <v>-</v>
          </cell>
        </row>
        <row r="772">
          <cell r="A772" t="str">
            <v>T_B_u-ICENGA-S3</v>
          </cell>
          <cell r="B772" t="str">
            <v>VAR_fout</v>
          </cell>
          <cell r="C772" t="str">
            <v>CO2_T</v>
          </cell>
        </row>
        <row r="773">
          <cell r="A773" t="str">
            <v>T_B_u-ICENGA-S3</v>
          </cell>
          <cell r="B773" t="str">
            <v>VAR_fout</v>
          </cell>
          <cell r="C773" t="str">
            <v>TPBSu</v>
          </cell>
        </row>
        <row r="774">
          <cell r="A774" t="str">
            <v>T_B_u-ICENGA-S3</v>
          </cell>
          <cell r="B774" t="str">
            <v>VAR_fin</v>
          </cell>
          <cell r="C774" t="str">
            <v>TNGA</v>
          </cell>
        </row>
        <row r="775">
          <cell r="A775" t="str">
            <v>T_B_u-ICENGA-S3</v>
          </cell>
          <cell r="B775" t="str">
            <v>VAR_ncap</v>
          </cell>
          <cell r="C775" t="str">
            <v>-</v>
          </cell>
        </row>
        <row r="776">
          <cell r="A776" t="str">
            <v>T_B_u-ICENGA-S3</v>
          </cell>
          <cell r="B776" t="str">
            <v>VAR_cap</v>
          </cell>
          <cell r="C776" t="str">
            <v>-</v>
          </cell>
        </row>
        <row r="777">
          <cell r="A777" t="str">
            <v>T_B_u-ICENGA-S4</v>
          </cell>
          <cell r="B777" t="str">
            <v>VAR_fout</v>
          </cell>
          <cell r="C777" t="str">
            <v>CO2_T</v>
          </cell>
        </row>
        <row r="778">
          <cell r="A778" t="str">
            <v>T_B_u-ICENGA-S4</v>
          </cell>
          <cell r="B778" t="str">
            <v>VAR_fout</v>
          </cell>
          <cell r="C778" t="str">
            <v>TPBSu</v>
          </cell>
        </row>
        <row r="779">
          <cell r="A779" t="str">
            <v>T_B_u-ICENGA-S4</v>
          </cell>
          <cell r="B779" t="str">
            <v>VAR_fin</v>
          </cell>
          <cell r="C779" t="str">
            <v>TNGA</v>
          </cell>
        </row>
        <row r="780">
          <cell r="A780" t="str">
            <v>T_B_u-ICENGA-S4</v>
          </cell>
          <cell r="B780" t="str">
            <v>VAR_ncap</v>
          </cell>
          <cell r="C780" t="str">
            <v>-</v>
          </cell>
        </row>
        <row r="781">
          <cell r="A781" t="str">
            <v>T_B_u-ICENGA-S4</v>
          </cell>
          <cell r="B781" t="str">
            <v>VAR_cap</v>
          </cell>
          <cell r="C781" t="str">
            <v>-</v>
          </cell>
        </row>
        <row r="782">
          <cell r="A782"/>
          <cell r="B782"/>
          <cell r="C782"/>
        </row>
        <row r="783">
          <cell r="A783"/>
          <cell r="B783"/>
          <cell r="C783"/>
        </row>
        <row r="784">
          <cell r="A784"/>
          <cell r="B784"/>
          <cell r="C784"/>
        </row>
        <row r="785">
          <cell r="A785"/>
          <cell r="B785"/>
          <cell r="C785"/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F9">
            <v>55.729803638735731</v>
          </cell>
          <cell r="G9">
            <v>63.534166663260692</v>
          </cell>
          <cell r="H9">
            <v>85.192960369939513</v>
          </cell>
        </row>
        <row r="28">
          <cell r="F28">
            <v>0</v>
          </cell>
          <cell r="G28">
            <v>1.6764986827461054E-2</v>
          </cell>
          <cell r="H28">
            <v>0.10657570949114312</v>
          </cell>
        </row>
      </sheetData>
      <sheetData sheetId="56"/>
      <sheetData sheetId="57"/>
      <sheetData sheetId="58">
        <row r="14">
          <cell r="F14">
            <v>55.379439768513635</v>
          </cell>
          <cell r="G14">
            <v>32.820801310852644</v>
          </cell>
          <cell r="H14">
            <v>0</v>
          </cell>
        </row>
        <row r="15">
          <cell r="F15">
            <v>71.52327812530406</v>
          </cell>
          <cell r="G15">
            <v>72.607215568765483</v>
          </cell>
          <cell r="H15">
            <v>74.776919064631173</v>
          </cell>
        </row>
        <row r="16">
          <cell r="F16">
            <v>63.385979563224339</v>
          </cell>
          <cell r="G16">
            <v>62.302042598831932</v>
          </cell>
          <cell r="H16">
            <v>60.132340541967814</v>
          </cell>
        </row>
        <row r="17">
          <cell r="F17">
            <v>12.626769963561312</v>
          </cell>
          <cell r="G17">
            <v>12.732966132358984</v>
          </cell>
          <cell r="H17">
            <v>12.926099406317991</v>
          </cell>
        </row>
        <row r="18">
          <cell r="F18">
            <v>1.2444753889778869E-3</v>
          </cell>
          <cell r="G18">
            <v>1.7086383416788713E-3</v>
          </cell>
          <cell r="H18">
            <v>2.7812282238228302E-3</v>
          </cell>
        </row>
        <row r="19">
          <cell r="F19">
            <v>7.4918617591238821</v>
          </cell>
          <cell r="G19">
            <v>7.6680274178790357</v>
          </cell>
          <cell r="H19">
            <v>8.0332780826657935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0</v>
          </cell>
          <cell r="G21">
            <v>1.0810941971560712</v>
          </cell>
          <cell r="H21">
            <v>12.666540722796354</v>
          </cell>
        </row>
        <row r="22">
          <cell r="F22">
            <v>3.3485952938731296E-3</v>
          </cell>
          <cell r="G22">
            <v>3.614751804984378E-3</v>
          </cell>
          <cell r="H22">
            <v>4.2374413894576751E-3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1.5097439401076607E-2</v>
          </cell>
          <cell r="G24">
            <v>0.28720759305979465</v>
          </cell>
          <cell r="H24">
            <v>0.18379107536310185</v>
          </cell>
        </row>
        <row r="25">
          <cell r="F25">
            <v>1.0857486645438525</v>
          </cell>
          <cell r="G25">
            <v>1.05600938343544</v>
          </cell>
          <cell r="H25">
            <v>1.9680874845303147</v>
          </cell>
        </row>
        <row r="26">
          <cell r="F26">
            <v>1.4039875528198102</v>
          </cell>
          <cell r="G26">
            <v>1.4035722940731743</v>
          </cell>
          <cell r="H26">
            <v>1.4010587225307682</v>
          </cell>
        </row>
        <row r="27">
          <cell r="F27">
            <v>0</v>
          </cell>
          <cell r="G27">
            <v>0</v>
          </cell>
          <cell r="H27">
            <v>0</v>
          </cell>
        </row>
        <row r="28">
          <cell r="F28">
            <v>6.5866117584543376E-4</v>
          </cell>
          <cell r="G28">
            <v>6.2099276774271392E-4</v>
          </cell>
          <cell r="H28">
            <v>3.3876898091718708E-4</v>
          </cell>
        </row>
        <row r="29">
          <cell r="F29">
            <v>0</v>
          </cell>
          <cell r="G29">
            <v>0.32830827367515492</v>
          </cell>
          <cell r="H29">
            <v>1.7193894128006502</v>
          </cell>
        </row>
        <row r="30">
          <cell r="F30">
            <v>0</v>
          </cell>
          <cell r="G30">
            <v>0</v>
          </cell>
          <cell r="H30">
            <v>0</v>
          </cell>
        </row>
        <row r="31">
          <cell r="F31">
            <v>0</v>
          </cell>
          <cell r="G31">
            <v>0</v>
          </cell>
          <cell r="H31">
            <v>0</v>
          </cell>
        </row>
        <row r="32">
          <cell r="F32">
            <v>0</v>
          </cell>
          <cell r="G32">
            <v>2.4993093027214312E-3</v>
          </cell>
          <cell r="H32">
            <v>1.5970244263781477E-2</v>
          </cell>
        </row>
        <row r="33">
          <cell r="F33">
            <v>0.93820609161671309</v>
          </cell>
          <cell r="G33">
            <v>0.9382219448306599</v>
          </cell>
          <cell r="H33">
            <v>0.93859680267837819</v>
          </cell>
        </row>
        <row r="34">
          <cell r="F34">
            <v>0.74388538144217486</v>
          </cell>
          <cell r="G34">
            <v>1.9123462178523085</v>
          </cell>
          <cell r="H34">
            <v>14.071412094280996</v>
          </cell>
        </row>
        <row r="35">
          <cell r="F35">
            <v>20.08180433791442</v>
          </cell>
          <cell r="G35">
            <v>27.377685036436606</v>
          </cell>
          <cell r="H35">
            <v>30.242000072569606</v>
          </cell>
        </row>
        <row r="36">
          <cell r="F36">
            <v>4.6125010467243017</v>
          </cell>
          <cell r="G36">
            <v>4.8959606453910061</v>
          </cell>
          <cell r="H36">
            <v>5.5162078620712576</v>
          </cell>
        </row>
        <row r="37">
          <cell r="F37">
            <v>4.0163360724323276</v>
          </cell>
          <cell r="G37">
            <v>4.2212127056799451</v>
          </cell>
          <cell r="H37">
            <v>4.6628477422086343</v>
          </cell>
        </row>
        <row r="38">
          <cell r="F38">
            <v>11.285467078190468</v>
          </cell>
          <cell r="G38">
            <v>11.861143330610505</v>
          </cell>
          <cell r="H38">
            <v>13.102083616006292</v>
          </cell>
        </row>
        <row r="39">
          <cell r="F39">
            <v>1.0219901487534169</v>
          </cell>
          <cell r="G39">
            <v>0.20222578720951212</v>
          </cell>
          <cell r="H39">
            <v>4.4553195051633132E-2</v>
          </cell>
        </row>
        <row r="40">
          <cell r="F40">
            <v>0</v>
          </cell>
          <cell r="G40">
            <v>0</v>
          </cell>
          <cell r="H40">
            <v>0</v>
          </cell>
        </row>
        <row r="41">
          <cell r="F41">
            <v>0.16962911156981333</v>
          </cell>
          <cell r="G41">
            <v>1.5731390328006051E-2</v>
          </cell>
          <cell r="H41">
            <v>0.15064789982902541</v>
          </cell>
        </row>
        <row r="42">
          <cell r="F42">
            <v>2.2410189907611899</v>
          </cell>
          <cell r="G42">
            <v>3.4828551476222125</v>
          </cell>
          <cell r="H42">
            <v>3.9167568273605533</v>
          </cell>
        </row>
        <row r="43">
          <cell r="F43">
            <v>0</v>
          </cell>
          <cell r="G43">
            <v>0</v>
          </cell>
          <cell r="H43">
            <v>0</v>
          </cell>
        </row>
        <row r="44">
          <cell r="F44">
            <v>1.4684447069493606E-3</v>
          </cell>
          <cell r="G44">
            <v>8.4803552065460615E-4</v>
          </cell>
          <cell r="H44">
            <v>2.9125383020319585E-4</v>
          </cell>
        </row>
        <row r="45">
          <cell r="F45">
            <v>0</v>
          </cell>
          <cell r="G45">
            <v>0</v>
          </cell>
          <cell r="H45">
            <v>0</v>
          </cell>
        </row>
        <row r="46">
          <cell r="F46">
            <v>0</v>
          </cell>
          <cell r="G46">
            <v>0</v>
          </cell>
          <cell r="H46">
            <v>0</v>
          </cell>
        </row>
        <row r="47">
          <cell r="F47">
            <v>1.2400838028425391E-3</v>
          </cell>
          <cell r="G47">
            <v>3.1016664342680307E-3</v>
          </cell>
          <cell r="H47">
            <v>1.7856088393576042E-3</v>
          </cell>
        </row>
        <row r="48">
          <cell r="F48">
            <v>6.7280261191231591E-3</v>
          </cell>
          <cell r="G48">
            <v>3.7902159690305966E-3</v>
          </cell>
          <cell r="H48">
            <v>1.973619656981803E-3</v>
          </cell>
        </row>
        <row r="49">
          <cell r="F49">
            <v>6.6285067986942311E-4</v>
          </cell>
          <cell r="G49">
            <v>6.6889257165841953E-4</v>
          </cell>
          <cell r="H49">
            <v>6.4361725752828079E-4</v>
          </cell>
        </row>
        <row r="50">
          <cell r="F50">
            <v>1.1963284076038413E-3</v>
          </cell>
          <cell r="G50">
            <v>9.4889386525571942E-4</v>
          </cell>
          <cell r="H50">
            <v>5.7699282211626127E-4</v>
          </cell>
        </row>
        <row r="51">
          <cell r="F51">
            <v>1.1936378160514147</v>
          </cell>
          <cell r="G51">
            <v>3.8609431423959881</v>
          </cell>
          <cell r="H51">
            <v>3.0655517324633443</v>
          </cell>
        </row>
        <row r="52">
          <cell r="F52">
            <v>3.9524425859144598E-3</v>
          </cell>
          <cell r="G52">
            <v>5.5884279028687537E-3</v>
          </cell>
          <cell r="H52">
            <v>1.3216823401329578</v>
          </cell>
        </row>
        <row r="53">
          <cell r="F53">
            <v>2.2924800569336353E-3</v>
          </cell>
          <cell r="G53">
            <v>1.4640395771277855E-3</v>
          </cell>
          <cell r="H53">
            <v>9.6684264432746821E-4</v>
          </cell>
        </row>
        <row r="54">
          <cell r="F54">
            <v>1.1059596743147138</v>
          </cell>
          <cell r="G54">
            <v>1.1059597635634657</v>
          </cell>
          <cell r="H54">
            <v>1.1059598508386868</v>
          </cell>
        </row>
        <row r="55">
          <cell r="F55">
            <v>5.544949361314309</v>
          </cell>
          <cell r="G55">
            <v>5.2871768804646475</v>
          </cell>
          <cell r="H55">
            <v>5.8382465125811952E-4</v>
          </cell>
        </row>
        <row r="56">
          <cell r="F56">
            <v>1.24948429783998E-3</v>
          </cell>
          <cell r="G56">
            <v>9.7239106900041884E-4</v>
          </cell>
          <cell r="H56">
            <v>3.4273395351983168E-4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1.7774604916462764E-3</v>
          </cell>
          <cell r="G58">
            <v>6.680014340623497E-3</v>
          </cell>
          <cell r="H58">
            <v>7.4378038837010338</v>
          </cell>
        </row>
        <row r="70">
          <cell r="F70">
            <v>3.531116073457232E-3</v>
          </cell>
          <cell r="G70">
            <v>1.2799544813923043E-3</v>
          </cell>
          <cell r="H70">
            <v>9.4493728677808947E-2</v>
          </cell>
        </row>
        <row r="71">
          <cell r="F71">
            <v>2.5438672954529871E-2</v>
          </cell>
          <cell r="G71">
            <v>2.5478302426121494E-2</v>
          </cell>
          <cell r="H71">
            <v>0.24833865030499117</v>
          </cell>
        </row>
        <row r="72">
          <cell r="F72">
            <v>4.4075359057631242E-2</v>
          </cell>
          <cell r="G72">
            <v>2.6039844039494098E-2</v>
          </cell>
          <cell r="H72">
            <v>0.36501340106579194</v>
          </cell>
        </row>
        <row r="73">
          <cell r="F73">
            <v>0.20785319338933811</v>
          </cell>
          <cell r="G73">
            <v>0.31809205515757505</v>
          </cell>
          <cell r="H73">
            <v>0.73082936276574462</v>
          </cell>
        </row>
        <row r="74">
          <cell r="F74">
            <v>0.16911157676454736</v>
          </cell>
          <cell r="G74">
            <v>0.13638381962204849</v>
          </cell>
          <cell r="H74">
            <v>0.46658701011328435</v>
          </cell>
        </row>
        <row r="75">
          <cell r="F75">
            <v>7.6159850766547924E-2</v>
          </cell>
          <cell r="G75">
            <v>6.101003001030561E-2</v>
          </cell>
          <cell r="H75">
            <v>0.14541169003438073</v>
          </cell>
        </row>
        <row r="76">
          <cell r="F76">
            <v>0.15557503076352458</v>
          </cell>
          <cell r="G76">
            <v>0.12821751022852729</v>
          </cell>
          <cell r="H76">
            <v>0.43542308028735127</v>
          </cell>
        </row>
        <row r="90">
          <cell r="F90">
            <v>0</v>
          </cell>
          <cell r="G90">
            <v>8.7486087920448762E-5</v>
          </cell>
          <cell r="H90">
            <v>9.1302239376538205E-5</v>
          </cell>
        </row>
        <row r="91">
          <cell r="F91">
            <v>3.2115774924086571E-2</v>
          </cell>
          <cell r="G91">
            <v>0.60765506538890379</v>
          </cell>
          <cell r="H91">
            <v>0.38471641660921568</v>
          </cell>
        </row>
        <row r="92">
          <cell r="F92">
            <v>2.8394817389849676</v>
          </cell>
          <cell r="G92">
            <v>2.7616997178557865</v>
          </cell>
          <cell r="H92">
            <v>5.1469417232758765</v>
          </cell>
        </row>
        <row r="93">
          <cell r="F93">
            <v>12.342947363866385</v>
          </cell>
          <cell r="G93">
            <v>12.034787076913705</v>
          </cell>
          <cell r="H93">
            <v>11.399072216130314</v>
          </cell>
        </row>
        <row r="94">
          <cell r="F94">
            <v>3.3874003329193701E-3</v>
          </cell>
          <cell r="G94">
            <v>3.1936770912482397E-3</v>
          </cell>
          <cell r="H94">
            <v>1.7422404732883895E-3</v>
          </cell>
        </row>
        <row r="95">
          <cell r="F95">
            <v>0</v>
          </cell>
          <cell r="G95">
            <v>0.41859304893582261</v>
          </cell>
          <cell r="H95">
            <v>2.278190971960862</v>
          </cell>
        </row>
        <row r="96">
          <cell r="F96">
            <v>0</v>
          </cell>
          <cell r="G96">
            <v>0</v>
          </cell>
          <cell r="H96">
            <v>0</v>
          </cell>
        </row>
        <row r="97">
          <cell r="F97">
            <v>1.8465504698050139</v>
          </cell>
          <cell r="G97">
            <v>1.8465074754863418</v>
          </cell>
          <cell r="H97">
            <v>0.13592016190928274</v>
          </cell>
        </row>
        <row r="98">
          <cell r="F98">
            <v>0.90177693667408276</v>
          </cell>
          <cell r="G98">
            <v>0.9017773904238171</v>
          </cell>
          <cell r="H98">
            <v>0.90177927720439865</v>
          </cell>
        </row>
        <row r="99">
          <cell r="F99">
            <v>1.2999674176172669</v>
          </cell>
          <cell r="G99">
            <v>0</v>
          </cell>
          <cell r="H99">
            <v>0</v>
          </cell>
        </row>
        <row r="100">
          <cell r="F100">
            <v>3.0102025494782364E-4</v>
          </cell>
          <cell r="G100">
            <v>3.1780138769486698E-4</v>
          </cell>
          <cell r="H100">
            <v>1.7865420483973349E-4</v>
          </cell>
        </row>
        <row r="101">
          <cell r="F101">
            <v>0.57257076860489076</v>
          </cell>
          <cell r="G101">
            <v>0.44304911078810477</v>
          </cell>
          <cell r="H101">
            <v>0.26527808109982576</v>
          </cell>
        </row>
        <row r="102">
          <cell r="F102">
            <v>3.641452610735162E-5</v>
          </cell>
          <cell r="G102">
            <v>3.7103000549189045E-5</v>
          </cell>
          <cell r="H102">
            <v>3.7447569727071973E-5</v>
          </cell>
        </row>
        <row r="103">
          <cell r="F103">
            <v>1.6632801706172475</v>
          </cell>
          <cell r="G103">
            <v>0.22904256400395931</v>
          </cell>
          <cell r="H103">
            <v>4.9243005057068329E-2</v>
          </cell>
        </row>
        <row r="104">
          <cell r="F104">
            <v>0.84102020523369847</v>
          </cell>
          <cell r="G104">
            <v>3.4872086989233025E-2</v>
          </cell>
          <cell r="H104">
            <v>0.33394420696755417</v>
          </cell>
        </row>
        <row r="105">
          <cell r="F105">
            <v>4.740617095840987</v>
          </cell>
          <cell r="G105">
            <v>7.3675781968931533</v>
          </cell>
          <cell r="H105">
            <v>8.2854471348011902</v>
          </cell>
        </row>
        <row r="106">
          <cell r="F106">
            <v>8.6659306252128091E-3</v>
          </cell>
          <cell r="G106">
            <v>4.2953329285249928E-3</v>
          </cell>
          <cell r="H106">
            <v>9.8800501741109353E-4</v>
          </cell>
        </row>
        <row r="107">
          <cell r="F107">
            <v>5.8875538345964679E-4</v>
          </cell>
          <cell r="G107">
            <v>1.3943271126526011E-3</v>
          </cell>
          <cell r="H107">
            <v>7.2050882991622745E-4</v>
          </cell>
        </row>
        <row r="108">
          <cell r="F108">
            <v>0</v>
          </cell>
          <cell r="G108">
            <v>0</v>
          </cell>
          <cell r="H108">
            <v>0</v>
          </cell>
        </row>
        <row r="109">
          <cell r="F109">
            <v>1.6688462130454541E-2</v>
          </cell>
          <cell r="G109">
            <v>9.9294144279845568E-3</v>
          </cell>
          <cell r="H109">
            <v>5.5747530802239317E-3</v>
          </cell>
        </row>
        <row r="110">
          <cell r="F110">
            <v>3.1628430277830131E-3</v>
          </cell>
          <cell r="G110">
            <v>2.4557519674118667E-3</v>
          </cell>
          <cell r="H110">
            <v>1.4340097279480967E-3</v>
          </cell>
        </row>
        <row r="111">
          <cell r="F111">
            <v>0</v>
          </cell>
          <cell r="G111">
            <v>0</v>
          </cell>
          <cell r="H111">
            <v>0</v>
          </cell>
        </row>
        <row r="112">
          <cell r="F112">
            <v>2.4454638006668521</v>
          </cell>
          <cell r="G112">
            <v>7.7970279018213899</v>
          </cell>
          <cell r="H112">
            <v>8.6755793796292604</v>
          </cell>
        </row>
        <row r="113">
          <cell r="F113">
            <v>6.098222811547609E-3</v>
          </cell>
          <cell r="G113">
            <v>3.8944895155123421E-3</v>
          </cell>
          <cell r="H113">
            <v>2.5718966893440061E-3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5">
          <cell r="F115">
            <v>1.1649320894525661</v>
          </cell>
          <cell r="G115">
            <v>1.0059265832510453</v>
          </cell>
          <cell r="H115">
            <v>1.0059266626322929</v>
          </cell>
        </row>
        <row r="116">
          <cell r="F116">
            <v>7.8532741280728784</v>
          </cell>
          <cell r="G116">
            <v>7.9307653206969775</v>
          </cell>
          <cell r="H116">
            <v>8.7573697688717912E-4</v>
          </cell>
        </row>
        <row r="117">
          <cell r="F117">
            <v>1.9538499979658733E-3</v>
          </cell>
          <cell r="G117">
            <v>1.4870600096960707E-3</v>
          </cell>
          <cell r="H117">
            <v>5.0333773346354551E-4</v>
          </cell>
        </row>
        <row r="118">
          <cell r="F118">
            <v>5.2849915476757916E-4</v>
          </cell>
          <cell r="G118">
            <v>1.9707437369940258E-3</v>
          </cell>
          <cell r="H118">
            <v>2.1593619156735611</v>
          </cell>
        </row>
        <row r="119">
          <cell r="F119">
            <v>0</v>
          </cell>
          <cell r="G119">
            <v>0</v>
          </cell>
          <cell r="H119">
            <v>0</v>
          </cell>
        </row>
        <row r="123">
          <cell r="F123">
            <v>5.7384448444612266</v>
          </cell>
          <cell r="G123">
            <v>6.0311639160747648</v>
          </cell>
          <cell r="H123">
            <v>6.6621585104862477</v>
          </cell>
        </row>
      </sheetData>
      <sheetData sheetId="59">
        <row r="13">
          <cell r="F13">
            <v>15.783462379482728</v>
          </cell>
          <cell r="G13">
            <v>15.916207541021121</v>
          </cell>
          <cell r="H13">
            <v>16.157624132667632</v>
          </cell>
        </row>
        <row r="14">
          <cell r="F14">
            <v>167.60344994841282</v>
          </cell>
          <cell r="G14">
            <v>98.945503358515836</v>
          </cell>
          <cell r="H14">
            <v>0</v>
          </cell>
        </row>
        <row r="15">
          <cell r="F15">
            <v>71.52327812530406</v>
          </cell>
          <cell r="G15">
            <v>72.607215568765483</v>
          </cell>
          <cell r="H15">
            <v>74.776919064631173</v>
          </cell>
        </row>
        <row r="16">
          <cell r="F16">
            <v>63.385979563224339</v>
          </cell>
          <cell r="G16">
            <v>62.302042598831932</v>
          </cell>
          <cell r="H16">
            <v>60.132340541967814</v>
          </cell>
        </row>
        <row r="18">
          <cell r="F18">
            <v>4.2012127788107929E-3</v>
          </cell>
          <cell r="G18">
            <v>5.4005894917970101E-3</v>
          </cell>
          <cell r="H18">
            <v>8.8001226055300138E-3</v>
          </cell>
        </row>
        <row r="19">
          <cell r="F19">
            <v>20.958780295963987</v>
          </cell>
          <cell r="G19">
            <v>21.451610710653171</v>
          </cell>
          <cell r="H19">
            <v>22.47341392624211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0</v>
          </cell>
          <cell r="G21">
            <v>1.7364190359290332</v>
          </cell>
          <cell r="H21">
            <v>20.176459040709908</v>
          </cell>
        </row>
        <row r="22">
          <cell r="F22">
            <v>8.4950875543675468E-3</v>
          </cell>
          <cell r="G22">
            <v>9.4632450587655188E-3</v>
          </cell>
          <cell r="H22">
            <v>1.001195555281255E-2</v>
          </cell>
          <cell r="P22">
            <v>6.6952445823282023</v>
          </cell>
          <cell r="Q22">
            <v>9.3805985822592355</v>
          </cell>
          <cell r="R22">
            <v>13.971046697270811</v>
          </cell>
        </row>
        <row r="23">
          <cell r="F23">
            <v>0</v>
          </cell>
          <cell r="G23">
            <v>1.7631190267594664E-4</v>
          </cell>
          <cell r="H23">
            <v>9.7864031762143002E-5</v>
          </cell>
          <cell r="P23">
            <v>0.10569693267626599</v>
          </cell>
          <cell r="Q23">
            <v>4.3459090543312075E-2</v>
          </cell>
          <cell r="R23">
            <v>3.3624531690781993E-2</v>
          </cell>
        </row>
        <row r="24">
          <cell r="F24">
            <v>6.131035448616038E-2</v>
          </cell>
          <cell r="G24">
            <v>1.1529156012642898</v>
          </cell>
          <cell r="H24">
            <v>0.7321889646316061</v>
          </cell>
        </row>
        <row r="25">
          <cell r="F25">
            <v>3.7356950004981813</v>
          </cell>
          <cell r="G25">
            <v>3.4484988264113383</v>
          </cell>
          <cell r="H25">
            <v>6.4313868063057953</v>
          </cell>
        </row>
        <row r="26">
          <cell r="F26">
            <v>37.998523359678622</v>
          </cell>
          <cell r="G26">
            <v>37.781615674005216</v>
          </cell>
          <cell r="H26">
            <v>37.312487580396578</v>
          </cell>
        </row>
        <row r="27">
          <cell r="F27">
            <v>0</v>
          </cell>
          <cell r="G27">
            <v>0</v>
          </cell>
          <cell r="H27">
            <v>0</v>
          </cell>
        </row>
        <row r="28">
          <cell r="F28">
            <v>6.4157222946573007E-3</v>
          </cell>
          <cell r="G28">
            <v>5.7808642476541204E-3</v>
          </cell>
          <cell r="H28">
            <v>3.1743103729012542E-3</v>
          </cell>
        </row>
        <row r="29">
          <cell r="F29">
            <v>0</v>
          </cell>
          <cell r="G29">
            <v>0.82077068418788701</v>
          </cell>
          <cell r="H29">
            <v>4.2984735320016254</v>
          </cell>
        </row>
        <row r="30">
          <cell r="F30">
            <v>0</v>
          </cell>
          <cell r="G30">
            <v>0</v>
          </cell>
          <cell r="H30">
            <v>0</v>
          </cell>
        </row>
        <row r="31">
          <cell r="F31">
            <v>0</v>
          </cell>
          <cell r="G31">
            <v>1.6320229457980181E-4</v>
          </cell>
          <cell r="H31">
            <v>1.234580407864005E-4</v>
          </cell>
        </row>
        <row r="32">
          <cell r="F32">
            <v>0</v>
          </cell>
          <cell r="G32">
            <v>1.6662062018142878E-2</v>
          </cell>
          <cell r="H32">
            <v>0.10646829509187661</v>
          </cell>
        </row>
        <row r="33">
          <cell r="F33">
            <v>0.93820609161671309</v>
          </cell>
          <cell r="G33">
            <v>0.9382219448306599</v>
          </cell>
          <cell r="H33">
            <v>0.93859680267837819</v>
          </cell>
        </row>
        <row r="34">
          <cell r="F34">
            <v>0.74388538144217486</v>
          </cell>
          <cell r="G34">
            <v>1.9123462178523085</v>
          </cell>
          <cell r="H34">
            <v>14.071412094280996</v>
          </cell>
        </row>
        <row r="35">
          <cell r="F35">
            <v>20.08180433791442</v>
          </cell>
          <cell r="G35">
            <v>27.377685036436606</v>
          </cell>
          <cell r="H35">
            <v>30.242000072569606</v>
          </cell>
        </row>
        <row r="36">
          <cell r="F36">
            <v>4.6125010467243017</v>
          </cell>
          <cell r="G36">
            <v>4.8959606453910061</v>
          </cell>
          <cell r="H36">
            <v>5.5162078620712576</v>
          </cell>
        </row>
        <row r="37">
          <cell r="F37">
            <v>4.0163360724323276</v>
          </cell>
          <cell r="G37">
            <v>4.2212127056799451</v>
          </cell>
          <cell r="H37">
            <v>4.6628477422086343</v>
          </cell>
        </row>
        <row r="38">
          <cell r="F38">
            <v>11.285467078190468</v>
          </cell>
          <cell r="G38">
            <v>11.861143330610505</v>
          </cell>
          <cell r="H38">
            <v>13.102083616006292</v>
          </cell>
        </row>
        <row r="39">
          <cell r="F39">
            <v>2.8391396559258664</v>
          </cell>
          <cell r="G39">
            <v>0.56893774728030333</v>
          </cell>
          <cell r="H39">
            <v>0.12523141244939642</v>
          </cell>
        </row>
        <row r="40">
          <cell r="F40">
            <v>0</v>
          </cell>
          <cell r="G40">
            <v>1.535718778826521E-4</v>
          </cell>
          <cell r="H40">
            <v>8.6021078601833235E-5</v>
          </cell>
        </row>
        <row r="41">
          <cell r="F41">
            <v>0.64499583076297462</v>
          </cell>
          <cell r="G41">
            <v>6.0134166244965273E-2</v>
          </cell>
          <cell r="H41">
            <v>0.58184792903745031</v>
          </cell>
        </row>
        <row r="42">
          <cell r="F42">
            <v>6.4808476686938778</v>
          </cell>
          <cell r="G42">
            <v>9.8642535061966701</v>
          </cell>
          <cell r="H42">
            <v>10.652737841633728</v>
          </cell>
        </row>
        <row r="43">
          <cell r="F43">
            <v>0</v>
          </cell>
          <cell r="G43">
            <v>1.6302423700798399E-4</v>
          </cell>
          <cell r="H43">
            <v>1.2345632539481556E-4</v>
          </cell>
        </row>
        <row r="44">
          <cell r="F44">
            <v>2.3695044402746231E-2</v>
          </cell>
          <cell r="G44">
            <v>1.3684028565680191E-2</v>
          </cell>
          <cell r="H44">
            <v>4.6997155606027319E-3</v>
          </cell>
        </row>
        <row r="45">
          <cell r="F45">
            <v>0</v>
          </cell>
          <cell r="G45">
            <v>0</v>
          </cell>
          <cell r="H45">
            <v>0</v>
          </cell>
        </row>
        <row r="46">
          <cell r="F46">
            <v>0</v>
          </cell>
          <cell r="G46">
            <v>0</v>
          </cell>
          <cell r="H46">
            <v>0</v>
          </cell>
        </row>
        <row r="47">
          <cell r="B47">
            <v>0</v>
          </cell>
        </row>
        <row r="48">
          <cell r="F48">
            <v>2.9162659739902862E-2</v>
          </cell>
          <cell r="G48">
            <v>1.7271516558244264E-2</v>
          </cell>
          <cell r="H48">
            <v>8.868667435884086E-3</v>
          </cell>
        </row>
        <row r="49">
          <cell r="F49">
            <v>1.5415132089986591E-3</v>
          </cell>
          <cell r="G49">
            <v>1.5202103901327721E-3</v>
          </cell>
          <cell r="H49">
            <v>1.4302605722850681E-3</v>
          </cell>
        </row>
        <row r="50">
          <cell r="F50">
            <v>5.8001668985588513E-3</v>
          </cell>
          <cell r="G50">
            <v>4.40721439848322E-3</v>
          </cell>
          <cell r="H50">
            <v>2.6814133284771566E-3</v>
          </cell>
        </row>
        <row r="51">
          <cell r="F51">
            <v>3.9618322715055427</v>
          </cell>
          <cell r="G51">
            <v>12.729779258498038</v>
          </cell>
          <cell r="H51">
            <v>9.9662684321569515</v>
          </cell>
        </row>
        <row r="52">
          <cell r="F52">
            <v>9.1917269439871253E-3</v>
          </cell>
          <cell r="G52">
            <v>1.2700972506519902E-2</v>
          </cell>
          <cell r="H52">
            <v>2.9370718669621283</v>
          </cell>
        </row>
        <row r="53">
          <cell r="F53">
            <v>9.5236873149656433E-3</v>
          </cell>
          <cell r="G53">
            <v>6.0672301056643452E-3</v>
          </cell>
          <cell r="H53">
            <v>3.9036397507153514E-3</v>
          </cell>
        </row>
        <row r="54">
          <cell r="F54">
            <v>2.9905996273823137</v>
          </cell>
          <cell r="G54">
            <v>2.9497597107819153</v>
          </cell>
          <cell r="H54">
            <v>2.8714323122977481</v>
          </cell>
        </row>
        <row r="55">
          <cell r="F55">
            <v>15.40701874384702</v>
          </cell>
          <cell r="G55">
            <v>14.699016623521919</v>
          </cell>
          <cell r="H55">
            <v>2.7401570078722584E-3</v>
          </cell>
        </row>
        <row r="56">
          <cell r="F56">
            <v>4.1828710236201201E-3</v>
          </cell>
          <cell r="G56">
            <v>3.1415426984278817E-3</v>
          </cell>
          <cell r="H56">
            <v>1.1918429410647405E-3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2.9379512258616144E-3</v>
          </cell>
          <cell r="G58">
            <v>1.0950843181350001E-2</v>
          </cell>
          <cell r="H58">
            <v>11.996457876937148</v>
          </cell>
        </row>
        <row r="63">
          <cell r="F63">
            <v>5.0450969218796158E-3</v>
          </cell>
          <cell r="G63">
            <v>1.8289433913396794E-3</v>
          </cell>
          <cell r="H63">
            <v>0.13499156876917132</v>
          </cell>
        </row>
        <row r="64">
          <cell r="F64">
            <v>2.9339914493153527E-2</v>
          </cell>
          <cell r="G64">
            <v>2.9385592177930211E-2</v>
          </cell>
          <cell r="H64">
            <v>0.28642157121777184</v>
          </cell>
        </row>
        <row r="65">
          <cell r="F65">
            <v>4.9286582585854534E-2</v>
          </cell>
          <cell r="G65">
            <v>2.911870720453558E-2</v>
          </cell>
          <cell r="H65">
            <v>0.40816932661505179</v>
          </cell>
        </row>
        <row r="66">
          <cell r="F66">
            <v>0.22985773264774198</v>
          </cell>
          <cell r="G66">
            <v>0.35176701105223418</v>
          </cell>
          <cell r="H66">
            <v>0.80819878139076595</v>
          </cell>
        </row>
        <row r="67">
          <cell r="F67">
            <v>0.18701494639792299</v>
          </cell>
          <cell r="G67">
            <v>0.15082247605700461</v>
          </cell>
          <cell r="H67">
            <v>0.51598273310590259</v>
          </cell>
        </row>
        <row r="68">
          <cell r="F68">
            <v>8.4222901735299435E-2</v>
          </cell>
          <cell r="G68">
            <v>6.7469254558281899E-2</v>
          </cell>
          <cell r="H68">
            <v>0.16080625336939167</v>
          </cell>
        </row>
        <row r="69">
          <cell r="F69">
            <v>0.17204515081269656</v>
          </cell>
          <cell r="G69">
            <v>0.14179143590555734</v>
          </cell>
          <cell r="H69">
            <v>0.48151934798928514</v>
          </cell>
        </row>
        <row r="90">
          <cell r="F90">
            <v>2.1610856578666975</v>
          </cell>
          <cell r="G90">
            <v>2.161035340040582</v>
          </cell>
          <cell r="H90">
            <v>0.15907234452578339</v>
          </cell>
        </row>
        <row r="91">
          <cell r="F91">
            <v>1.1839534668490257</v>
          </cell>
          <cell r="G91">
            <v>1.1839540625823495</v>
          </cell>
          <cell r="H91">
            <v>1.1839565397586005</v>
          </cell>
        </row>
        <row r="92">
          <cell r="F92">
            <v>0.64998370880863343</v>
          </cell>
          <cell r="G92">
            <v>0</v>
          </cell>
          <cell r="H92">
            <v>0</v>
          </cell>
        </row>
        <row r="93">
          <cell r="F93">
            <v>3.5229503137480475E-4</v>
          </cell>
          <cell r="G93">
            <v>3.7193460575709767E-4</v>
          </cell>
          <cell r="H93">
            <v>2.090855604057743E-4</v>
          </cell>
        </row>
        <row r="94">
          <cell r="F94">
            <v>0.81795824086413071</v>
          </cell>
          <cell r="G94">
            <v>0.63292730112586437</v>
          </cell>
          <cell r="H94">
            <v>0.37896868728546534</v>
          </cell>
        </row>
        <row r="95">
          <cell r="F95">
            <v>7.2829052214703214E-5</v>
          </cell>
          <cell r="G95">
            <v>7.4206001098378035E-5</v>
          </cell>
          <cell r="H95">
            <v>7.4895139454143973E-5</v>
          </cell>
        </row>
        <row r="96">
          <cell r="F96">
            <v>0</v>
          </cell>
          <cell r="G96">
            <v>1.0292480931817509E-4</v>
          </cell>
          <cell r="H96">
            <v>1.0741439926651549E-4</v>
          </cell>
        </row>
        <row r="97">
          <cell r="F97">
            <v>1.9128149481537446</v>
          </cell>
          <cell r="G97">
            <v>2.0103879720249211</v>
          </cell>
          <cell r="H97">
            <v>2.220719503495415</v>
          </cell>
        </row>
      </sheetData>
      <sheetData sheetId="60">
        <row r="14">
          <cell r="F14">
            <v>2.0753298924702968</v>
          </cell>
          <cell r="G14">
            <v>1.2356852375203127</v>
          </cell>
          <cell r="H14">
            <v>0</v>
          </cell>
        </row>
        <row r="15">
          <cell r="F15">
            <v>7.4265834663458472</v>
          </cell>
          <cell r="G15">
            <v>7.4630880342742287</v>
          </cell>
          <cell r="H15">
            <v>7.7303099832206401</v>
          </cell>
        </row>
        <row r="16">
          <cell r="F16">
            <v>4.8711350907539801</v>
          </cell>
          <cell r="G16">
            <v>4.8711355461204322</v>
          </cell>
          <cell r="H16">
            <v>4.8711382666774652</v>
          </cell>
        </row>
        <row r="17">
          <cell r="F17">
            <v>4.3596176424287227</v>
          </cell>
          <cell r="G17">
            <v>4.3596177118199568</v>
          </cell>
          <cell r="H17">
            <v>4.3596179045839483</v>
          </cell>
        </row>
        <row r="18">
          <cell r="F18">
            <v>2.5509641637014649E-2</v>
          </cell>
          <cell r="G18">
            <v>2.5509182025420955E-2</v>
          </cell>
          <cell r="H18">
            <v>9.2266943522344384E-3</v>
          </cell>
        </row>
        <row r="19">
          <cell r="F19">
            <v>0.27948889792910581</v>
          </cell>
          <cell r="G19">
            <v>0.30119714764510269</v>
          </cell>
          <cell r="H19">
            <v>0.31738080012497877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0</v>
          </cell>
          <cell r="G21">
            <v>4.7337603242104502E-2</v>
          </cell>
          <cell r="H21">
            <v>0.52689942237291032</v>
          </cell>
        </row>
        <row r="22">
          <cell r="F22">
            <v>3.4358625282649103E-4</v>
          </cell>
          <cell r="G22">
            <v>1.4255459870600022E-3</v>
          </cell>
          <cell r="H22">
            <v>1.4137302004053843E-3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1.4482964238544597E-3</v>
          </cell>
          <cell r="G24">
            <v>1.7752858751417876E-2</v>
          </cell>
          <cell r="H24">
            <v>2.1578862542017383E-2</v>
          </cell>
        </row>
        <row r="25">
          <cell r="F25">
            <v>4.0507044733139541E-2</v>
          </cell>
          <cell r="G25">
            <v>3.9396837443818708E-2</v>
          </cell>
          <cell r="H25">
            <v>8.1001039762578372E-2</v>
          </cell>
        </row>
        <row r="26">
          <cell r="F26">
            <v>6.9925920550502813E-2</v>
          </cell>
          <cell r="G26">
            <v>7.007912151012681E-2</v>
          </cell>
          <cell r="H26">
            <v>7.0293040596515366E-2</v>
          </cell>
        </row>
        <row r="27">
          <cell r="F27">
            <v>0</v>
          </cell>
          <cell r="G27">
            <v>0</v>
          </cell>
          <cell r="H27">
            <v>0</v>
          </cell>
        </row>
        <row r="28">
          <cell r="F28">
            <v>4.5032294643895885E-4</v>
          </cell>
          <cell r="G28">
            <v>1.714457542902314E-4</v>
          </cell>
          <cell r="H28">
            <v>1.0981340663322399E-4</v>
          </cell>
        </row>
        <row r="29">
          <cell r="F29">
            <v>0</v>
          </cell>
          <cell r="G29">
            <v>1.2248656702802001E-2</v>
          </cell>
          <cell r="H29">
            <v>6.5335573860376667E-2</v>
          </cell>
        </row>
        <row r="30">
          <cell r="F30">
            <v>0</v>
          </cell>
          <cell r="G30">
            <v>0</v>
          </cell>
          <cell r="H30">
            <v>0</v>
          </cell>
        </row>
        <row r="31">
          <cell r="F31">
            <v>0</v>
          </cell>
          <cell r="G31">
            <v>0</v>
          </cell>
          <cell r="H31">
            <v>0</v>
          </cell>
        </row>
        <row r="32">
          <cell r="F32">
            <v>0</v>
          </cell>
          <cell r="G32">
            <v>9.9211656645204204E-5</v>
          </cell>
          <cell r="H32">
            <v>6.3390888749163192E-4</v>
          </cell>
        </row>
        <row r="33">
          <cell r="F33">
            <v>0.1559857808552238</v>
          </cell>
          <cell r="G33">
            <v>0.15598888324575169</v>
          </cell>
          <cell r="H33">
            <v>0.15605128494753101</v>
          </cell>
        </row>
        <row r="34">
          <cell r="F34">
            <v>0.14891866861151656</v>
          </cell>
          <cell r="G34">
            <v>0.48575231061135499</v>
          </cell>
          <cell r="H34">
            <v>2.6123298727202813</v>
          </cell>
        </row>
        <row r="35">
          <cell r="F35">
            <v>5.78899934767459</v>
          </cell>
          <cell r="G35">
            <v>7.8921889700274868</v>
          </cell>
          <cell r="H35">
            <v>8.7178870981897294</v>
          </cell>
        </row>
        <row r="36">
          <cell r="F36">
            <v>1.3296508134623037</v>
          </cell>
          <cell r="G36">
            <v>1.4113640264807608</v>
          </cell>
          <cell r="H36">
            <v>1.5901627369442564</v>
          </cell>
        </row>
        <row r="37">
          <cell r="F37">
            <v>1.1577947929010191</v>
          </cell>
          <cell r="G37">
            <v>1.2168548639843331</v>
          </cell>
          <cell r="H37">
            <v>1.344163977260864</v>
          </cell>
        </row>
        <row r="38">
          <cell r="F38">
            <v>3.253271955836099</v>
          </cell>
          <cell r="G38">
            <v>3.4192226553785692</v>
          </cell>
          <cell r="H38">
            <v>3.77694905589505</v>
          </cell>
        </row>
        <row r="39">
          <cell r="F39">
            <v>4.7712380538085679E-2</v>
          </cell>
          <cell r="G39">
            <v>4.7712248471541145E-2</v>
          </cell>
          <cell r="H39">
            <v>1.0594231435445561E-2</v>
          </cell>
        </row>
        <row r="40">
          <cell r="F40">
            <v>0</v>
          </cell>
          <cell r="G40">
            <v>0</v>
          </cell>
          <cell r="H40">
            <v>0</v>
          </cell>
        </row>
        <row r="41">
          <cell r="F41">
            <v>2.9743702141130996E-2</v>
          </cell>
          <cell r="G41">
            <v>3.9172392633199361E-2</v>
          </cell>
          <cell r="H41">
            <v>6.9679033193413037E-2</v>
          </cell>
        </row>
        <row r="42">
          <cell r="F42">
            <v>8.2861366875301587E-2</v>
          </cell>
          <cell r="G42">
            <v>0.13511213938548572</v>
          </cell>
          <cell r="H42">
            <v>0.14493656293848714</v>
          </cell>
        </row>
        <row r="43">
          <cell r="F43">
            <v>0</v>
          </cell>
          <cell r="G43">
            <v>0</v>
          </cell>
          <cell r="H43">
            <v>0</v>
          </cell>
        </row>
        <row r="44">
          <cell r="F44">
            <v>2.0657593653340776E-4</v>
          </cell>
          <cell r="G44">
            <v>2.0628300649160047E-4</v>
          </cell>
          <cell r="H44">
            <v>9.3873167628767164E-5</v>
          </cell>
        </row>
        <row r="45">
          <cell r="F45">
            <v>0</v>
          </cell>
          <cell r="G45">
            <v>0</v>
          </cell>
          <cell r="H45">
            <v>0</v>
          </cell>
        </row>
        <row r="46">
          <cell r="F46">
            <v>0</v>
          </cell>
          <cell r="G46">
            <v>0</v>
          </cell>
          <cell r="H46">
            <v>0</v>
          </cell>
        </row>
        <row r="47">
          <cell r="F47">
            <v>1.5623446145970315E-4</v>
          </cell>
          <cell r="G47">
            <v>1.7666689283445193E-4</v>
          </cell>
          <cell r="H47">
            <v>1.1022964512417284E-4</v>
          </cell>
        </row>
        <row r="48">
          <cell r="F48">
            <v>5.9820324903204656E-4</v>
          </cell>
          <cell r="G48">
            <v>3.3698315736862227E-4</v>
          </cell>
          <cell r="H48">
            <v>1.7544256135917902E-4</v>
          </cell>
        </row>
        <row r="49">
          <cell r="F49">
            <v>5.8913450399071802E-5</v>
          </cell>
          <cell r="G49">
            <v>5.9417220561755265E-5</v>
          </cell>
          <cell r="H49">
            <v>5.713458188425138E-5</v>
          </cell>
        </row>
        <row r="50">
          <cell r="F50">
            <v>1.0657844492822912E-4</v>
          </cell>
          <cell r="G50">
            <v>8.5115325199472508E-5</v>
          </cell>
          <cell r="H50">
            <v>5.141010754941219E-5</v>
          </cell>
        </row>
        <row r="51">
          <cell r="F51">
            <v>8.8572479007782007E-2</v>
          </cell>
          <cell r="G51">
            <v>0.28649556554199435</v>
          </cell>
          <cell r="H51">
            <v>0.22747449610219594</v>
          </cell>
        </row>
        <row r="52">
          <cell r="F52">
            <v>3.5155817353566416E-4</v>
          </cell>
          <cell r="G52">
            <v>4.9684758090064152E-4</v>
          </cell>
          <cell r="H52">
            <v>0.11748601335056783</v>
          </cell>
        </row>
        <row r="53">
          <cell r="F53">
            <v>1.7343993298680555E-4</v>
          </cell>
          <cell r="G53">
            <v>1.3649224846564605E-4</v>
          </cell>
          <cell r="H53">
            <v>8.0037153587140028E-5</v>
          </cell>
        </row>
        <row r="54">
          <cell r="F54">
            <v>8.4746291398379858E-2</v>
          </cell>
          <cell r="G54">
            <v>8.4746064472087532E-2</v>
          </cell>
          <cell r="H54">
            <v>8.4745959715165534E-2</v>
          </cell>
        </row>
        <row r="55">
          <cell r="F55">
            <v>0.3254268906686355</v>
          </cell>
          <cell r="G55">
            <v>0.31029770144538527</v>
          </cell>
          <cell r="H55">
            <v>9.5249076128983701E-5</v>
          </cell>
        </row>
        <row r="56">
          <cell r="F56">
            <v>1.1809398208249277E-4</v>
          </cell>
          <cell r="G56">
            <v>9.3563381147523752E-5</v>
          </cell>
          <cell r="H56">
            <v>4.0959545555640179E-5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1.0460678420613749E-4</v>
          </cell>
          <cell r="G58">
            <v>3.921032850086916E-4</v>
          </cell>
          <cell r="H58">
            <v>0.43651500053114323</v>
          </cell>
        </row>
        <row r="63">
          <cell r="F63">
            <v>9.99936551134223E-2</v>
          </cell>
          <cell r="G63">
            <v>9.999373214795787E-2</v>
          </cell>
          <cell r="H63">
            <v>9.9994168171060924E-2</v>
          </cell>
        </row>
        <row r="64">
          <cell r="F64">
            <v>1.255028324712721E-2</v>
          </cell>
          <cell r="G64">
            <v>1.2941784366937365E-2</v>
          </cell>
          <cell r="H64">
            <v>7.5968731601896447E-2</v>
          </cell>
        </row>
        <row r="65">
          <cell r="F65">
            <v>9.8590022106829229E-3</v>
          </cell>
          <cell r="G65">
            <v>2.1281458099267334E-2</v>
          </cell>
          <cell r="H65">
            <v>0.10092339683630155</v>
          </cell>
        </row>
        <row r="66">
          <cell r="F66">
            <v>0.13914371468186723</v>
          </cell>
          <cell r="G66">
            <v>0.2460580311690013</v>
          </cell>
          <cell r="H66">
            <v>0.2993480954463944</v>
          </cell>
        </row>
        <row r="67">
          <cell r="F67">
            <v>0.15065132683670118</v>
          </cell>
          <cell r="G67">
            <v>0.1545157163167204</v>
          </cell>
          <cell r="H67">
            <v>0.19119895449267196</v>
          </cell>
        </row>
        <row r="68">
          <cell r="F68">
            <v>4.971759961331855E-2</v>
          </cell>
          <cell r="G68">
            <v>5.0911036786948874E-2</v>
          </cell>
          <cell r="H68">
            <v>5.9605902619416631E-2</v>
          </cell>
        </row>
        <row r="69">
          <cell r="F69">
            <v>0.14042916177264064</v>
          </cell>
          <cell r="G69">
            <v>0.14689236621683124</v>
          </cell>
          <cell r="H69">
            <v>0.17839076418420624</v>
          </cell>
        </row>
      </sheetData>
      <sheetData sheetId="61">
        <row r="14">
          <cell r="F14">
            <v>0</v>
          </cell>
          <cell r="G14">
            <v>0</v>
          </cell>
          <cell r="H14">
            <v>0</v>
          </cell>
        </row>
        <row r="15">
          <cell r="F15">
            <v>7.4039063870040293E-7</v>
          </cell>
          <cell r="G15">
            <v>1.5386508872235729E-6</v>
          </cell>
          <cell r="H15">
            <v>1.3154536095932923</v>
          </cell>
        </row>
        <row r="16">
          <cell r="F16">
            <v>3.0758734728234694E-3</v>
          </cell>
          <cell r="G16">
            <v>7.2841947427129365E-7</v>
          </cell>
          <cell r="H16">
            <v>3.2225198221111546E-6</v>
          </cell>
        </row>
        <row r="17">
          <cell r="F17">
            <v>5.5866223082628402E-8</v>
          </cell>
          <cell r="G17">
            <v>9.6491277934553195E-8</v>
          </cell>
          <cell r="H17">
            <v>3.6160729930118E-7</v>
          </cell>
        </row>
        <row r="18">
          <cell r="F18">
            <v>1.5710590998806999E-2</v>
          </cell>
          <cell r="G18">
            <v>1.9901466148308098E-6</v>
          </cell>
          <cell r="H18">
            <v>2.2577434448167901E-6</v>
          </cell>
        </row>
        <row r="19">
          <cell r="F19">
            <v>0.10448042309530001</v>
          </cell>
          <cell r="G19">
            <v>5.4512087389017201E-2</v>
          </cell>
          <cell r="H19">
            <v>9.3702424594078002E-2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0</v>
          </cell>
          <cell r="G21">
            <v>9.8315024547205102E-2</v>
          </cell>
          <cell r="H21">
            <v>0.57919656025352695</v>
          </cell>
        </row>
        <row r="22">
          <cell r="F22">
            <v>1.4267472940956299E-3</v>
          </cell>
          <cell r="G22">
            <v>8.1102193836823498E-7</v>
          </cell>
          <cell r="H22">
            <v>3.8844585532723399E-7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1.3008360937084099E-5</v>
          </cell>
          <cell r="G24">
            <v>1.6319315484175999E-2</v>
          </cell>
          <cell r="H24">
            <v>5.2493839347401402E-3</v>
          </cell>
        </row>
        <row r="25">
          <cell r="F25">
            <v>6.5327338420834504E-6</v>
          </cell>
          <cell r="G25">
            <v>5.0365074371520298E-3</v>
          </cell>
          <cell r="H25">
            <v>6.7366669658162903E-2</v>
          </cell>
        </row>
        <row r="26">
          <cell r="F26">
            <v>5.6598175995063397E-3</v>
          </cell>
          <cell r="G26">
            <v>1.96085801139122E-2</v>
          </cell>
          <cell r="H26">
            <v>2.84573075498471E-2</v>
          </cell>
        </row>
        <row r="27">
          <cell r="F27">
            <v>0</v>
          </cell>
          <cell r="G27">
            <v>0</v>
          </cell>
          <cell r="H27">
            <v>0</v>
          </cell>
        </row>
        <row r="28">
          <cell r="F28">
            <v>6.90602356136877E-6</v>
          </cell>
          <cell r="G28">
            <v>3.09541596811336E-5</v>
          </cell>
          <cell r="H28">
            <v>7.3723049328715604E-5</v>
          </cell>
        </row>
        <row r="29">
          <cell r="F29">
            <v>0</v>
          </cell>
          <cell r="G29">
            <v>1.2248656702802001E-2</v>
          </cell>
          <cell r="H29">
            <v>5.3086970367963698E-2</v>
          </cell>
        </row>
        <row r="30">
          <cell r="F30">
            <v>0</v>
          </cell>
          <cell r="G30">
            <v>0</v>
          </cell>
          <cell r="H30">
            <v>0</v>
          </cell>
        </row>
        <row r="31">
          <cell r="F31">
            <v>0</v>
          </cell>
          <cell r="G31">
            <v>0</v>
          </cell>
          <cell r="H31">
            <v>0</v>
          </cell>
        </row>
        <row r="32">
          <cell r="F32">
            <v>0</v>
          </cell>
          <cell r="G32">
            <v>6.3373794832899096E-4</v>
          </cell>
          <cell r="H32">
            <v>6.1358131510627503E-7</v>
          </cell>
        </row>
        <row r="33">
          <cell r="F33">
            <v>2.2849496529740099E-2</v>
          </cell>
          <cell r="G33">
            <v>2.3717853605606398E-6</v>
          </cell>
          <cell r="H33">
            <v>0.136001237826432</v>
          </cell>
        </row>
        <row r="34">
          <cell r="F34">
            <v>4.5532909307498242E-3</v>
          </cell>
          <cell r="G34">
            <v>0.33683339702972742</v>
          </cell>
          <cell r="H34">
            <v>3.3848147453355741</v>
          </cell>
        </row>
        <row r="35">
          <cell r="F35">
            <v>0.79335651657739503</v>
          </cell>
          <cell r="G35">
            <v>2.8156198659506302</v>
          </cell>
          <cell r="H35">
            <v>4.74590372807039</v>
          </cell>
        </row>
        <row r="36">
          <cell r="F36">
            <v>0.29986557164668148</v>
          </cell>
          <cell r="G36">
            <v>0.66482535319808844</v>
          </cell>
          <cell r="H36">
            <v>0.68638626107519951</v>
          </cell>
        </row>
        <row r="37">
          <cell r="F37">
            <v>0.14464121164750632</v>
          </cell>
          <cell r="G37">
            <v>0.28405399973156187</v>
          </cell>
          <cell r="H37">
            <v>0.94485094058501606</v>
          </cell>
        </row>
        <row r="38">
          <cell r="F38">
            <v>0.624724588965894</v>
          </cell>
          <cell r="G38">
            <v>0.57340100692002605</v>
          </cell>
          <cell r="H38">
            <v>2.7057294267349401</v>
          </cell>
        </row>
        <row r="39">
          <cell r="F39">
            <v>2.5489900745667602E-6</v>
          </cell>
          <cell r="G39">
            <v>2.3103903196586902E-6</v>
          </cell>
          <cell r="H39">
            <v>1.4566008557096E-5</v>
          </cell>
        </row>
        <row r="40">
          <cell r="F40">
            <v>0</v>
          </cell>
          <cell r="G40">
            <v>0</v>
          </cell>
          <cell r="H40">
            <v>0</v>
          </cell>
        </row>
        <row r="41">
          <cell r="F41">
            <v>1.03951159414277E-2</v>
          </cell>
          <cell r="G41">
            <v>2.04102976241975E-2</v>
          </cell>
          <cell r="H41">
            <v>5.0469782897118197E-2</v>
          </cell>
        </row>
        <row r="42">
          <cell r="F42">
            <v>3.34126412177344E-2</v>
          </cell>
          <cell r="G42">
            <v>8.7958956693527698E-2</v>
          </cell>
          <cell r="H42">
            <v>6.6968554666819599E-2</v>
          </cell>
        </row>
        <row r="43">
          <cell r="F43">
            <v>0</v>
          </cell>
          <cell r="G43">
            <v>0</v>
          </cell>
          <cell r="H43">
            <v>0</v>
          </cell>
        </row>
        <row r="44">
          <cell r="F44">
            <v>3.08955912094925E-7</v>
          </cell>
          <cell r="G44">
            <v>8.8424306323614506E-8</v>
          </cell>
          <cell r="H44">
            <v>9.9483372010952604E-8</v>
          </cell>
        </row>
        <row r="45">
          <cell r="F45">
            <v>0</v>
          </cell>
          <cell r="G45">
            <v>0</v>
          </cell>
          <cell r="H45">
            <v>0</v>
          </cell>
        </row>
        <row r="46">
          <cell r="F46">
            <v>0</v>
          </cell>
          <cell r="G46">
            <v>0</v>
          </cell>
          <cell r="H46">
            <v>0</v>
          </cell>
        </row>
        <row r="47">
          <cell r="F47">
            <v>7.1804498016377695E-5</v>
          </cell>
          <cell r="G47">
            <v>4.7267296807049702E-5</v>
          </cell>
          <cell r="H47">
            <v>4.56216590021196E-5</v>
          </cell>
        </row>
        <row r="48">
          <cell r="F48">
            <v>9.9070604449321594E-5</v>
          </cell>
          <cell r="G48">
            <v>2.8785040890898303E-5</v>
          </cell>
          <cell r="H48">
            <v>6.7559597773619105E-5</v>
          </cell>
        </row>
        <row r="49">
          <cell r="F49">
            <v>3.8930813653640599E-5</v>
          </cell>
          <cell r="G49">
            <v>5.3383118772078801E-7</v>
          </cell>
          <cell r="H49">
            <v>2.0441774606177299E-5</v>
          </cell>
        </row>
        <row r="50">
          <cell r="F50">
            <v>3.6934216082742203E-5</v>
          </cell>
          <cell r="G50">
            <v>6.8655596906146502E-7</v>
          </cell>
          <cell r="H50">
            <v>3.5343966665356597E-5</v>
          </cell>
        </row>
        <row r="51">
          <cell r="F51">
            <v>1.042117483330224E-2</v>
          </cell>
          <cell r="G51">
            <v>0.19968828109273709</v>
          </cell>
          <cell r="H51">
            <v>7.2526887182804797E-6</v>
          </cell>
        </row>
        <row r="52">
          <cell r="F52">
            <v>2.5707364980805103E-4</v>
          </cell>
          <cell r="G52">
            <v>1.453987236519976E-4</v>
          </cell>
          <cell r="H52">
            <v>0.1171114662178967</v>
          </cell>
        </row>
        <row r="53">
          <cell r="F53">
            <v>5.2980110573819602E-5</v>
          </cell>
          <cell r="G53">
            <v>1.4024824632261171E-6</v>
          </cell>
          <cell r="H53">
            <v>5.6730824779455596E-5</v>
          </cell>
        </row>
        <row r="54">
          <cell r="F54">
            <v>4.4082381529360497E-2</v>
          </cell>
          <cell r="G54">
            <v>3.1153235198179099E-2</v>
          </cell>
          <cell r="H54">
            <v>4.34905110321092E-2</v>
          </cell>
        </row>
        <row r="55">
          <cell r="F55">
            <v>0.29568141675354898</v>
          </cell>
          <cell r="G55">
            <v>2.1576055265311301E-6</v>
          </cell>
          <cell r="H55">
            <v>1.03465720094751E-7</v>
          </cell>
        </row>
        <row r="56">
          <cell r="F56">
            <v>3.7168207273334503E-5</v>
          </cell>
          <cell r="G56">
            <v>1.23242941464941E-6</v>
          </cell>
          <cell r="H56">
            <v>2.4427432453035399E-5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6.9070241204306705E-5</v>
          </cell>
          <cell r="G58">
            <v>2.9880313230379698E-4</v>
          </cell>
          <cell r="H58">
            <v>0.43626898229385802</v>
          </cell>
        </row>
        <row r="63">
          <cell r="F63">
            <v>3.2471156071516098E-7</v>
          </cell>
          <cell r="G63">
            <v>4.67000146568496E-7</v>
          </cell>
          <cell r="H63">
            <v>6.6075610467561899E-7</v>
          </cell>
        </row>
        <row r="64">
          <cell r="F64">
            <v>4.02635478266186E-3</v>
          </cell>
          <cell r="G64">
            <v>7.9324317443993705E-3</v>
          </cell>
          <cell r="H64">
            <v>7.1284444362004803E-2</v>
          </cell>
        </row>
        <row r="65">
          <cell r="F65">
            <v>3.3761796050669002E-3</v>
          </cell>
          <cell r="G65">
            <v>1.70774168083586E-2</v>
          </cell>
          <cell r="H65">
            <v>9.1766851287806095E-2</v>
          </cell>
        </row>
        <row r="66">
          <cell r="F66">
            <v>4.6605214565616698E-2</v>
          </cell>
          <cell r="G66">
            <v>0.189329627516892</v>
          </cell>
          <cell r="H66">
            <v>0.19621980483990401</v>
          </cell>
        </row>
        <row r="67">
          <cell r="F67">
            <v>7.9096257377973295E-2</v>
          </cell>
          <cell r="G67">
            <v>7.4295663392245498E-2</v>
          </cell>
          <cell r="H67">
            <v>0.14005920109658071</v>
          </cell>
        </row>
        <row r="68">
          <cell r="F68">
            <v>2.0711557170700098E-2</v>
          </cell>
          <cell r="G68">
            <v>2.84639480163149E-2</v>
          </cell>
          <cell r="H68">
            <v>4.1696848289252603E-2</v>
          </cell>
        </row>
        <row r="69">
          <cell r="F69">
            <v>6.7784879712089699E-2</v>
          </cell>
          <cell r="G69">
            <v>7.7463344372841594E-2</v>
          </cell>
          <cell r="H69">
            <v>0.12764721579830801</v>
          </cell>
        </row>
      </sheetData>
      <sheetData sheetId="62"/>
      <sheetData sheetId="63"/>
      <sheetData sheetId="64"/>
      <sheetData sheetId="65"/>
      <sheetData sheetId="66">
        <row r="72">
          <cell r="F72">
            <v>0</v>
          </cell>
          <cell r="G72">
            <v>0</v>
          </cell>
          <cell r="H72">
            <v>0</v>
          </cell>
        </row>
        <row r="157">
          <cell r="F157">
            <v>0</v>
          </cell>
          <cell r="G157">
            <v>0</v>
          </cell>
          <cell r="H157">
            <v>1.2947815393361359E-3</v>
          </cell>
        </row>
      </sheetData>
      <sheetData sheetId="67">
        <row r="5">
          <cell r="F5">
            <v>1.1567837075007621E-4</v>
          </cell>
          <cell r="G5">
            <v>9.4195212201809945E-5</v>
          </cell>
          <cell r="H5">
            <v>6.632540716744814E-5</v>
          </cell>
        </row>
        <row r="12">
          <cell r="F12">
            <v>8.0652523477055865E-5</v>
          </cell>
          <cell r="G12">
            <v>4.1662112347345059E-5</v>
          </cell>
          <cell r="H12">
            <v>4.1038194662723633E-5</v>
          </cell>
        </row>
        <row r="19">
          <cell r="F19">
            <v>4.3847646301659085</v>
          </cell>
          <cell r="G19">
            <v>4.4201641868376962</v>
          </cell>
          <cell r="H19">
            <v>6.1666750265715349</v>
          </cell>
        </row>
        <row r="20">
          <cell r="F20">
            <v>6.2065230502350595</v>
          </cell>
          <cell r="G20">
            <v>6.0458624222211741</v>
          </cell>
          <cell r="H20">
            <v>5.7244291326394796</v>
          </cell>
        </row>
        <row r="21">
          <cell r="F21">
            <v>2.1376096265627708E-4</v>
          </cell>
          <cell r="G21">
            <v>2.1839315118355764E-4</v>
          </cell>
          <cell r="H21">
            <v>2.2794946593275171E-4</v>
          </cell>
        </row>
        <row r="28">
          <cell r="F28">
            <v>1.121979970608244E-2</v>
          </cell>
          <cell r="G28">
            <v>1.2045653275824221E-2</v>
          </cell>
          <cell r="H28">
            <v>0.11243159702836238</v>
          </cell>
        </row>
        <row r="29">
          <cell r="F29">
            <v>0</v>
          </cell>
          <cell r="G29">
            <v>0</v>
          </cell>
          <cell r="H29">
            <v>9.8403396989546151E-4</v>
          </cell>
        </row>
        <row r="30">
          <cell r="F30">
            <v>0</v>
          </cell>
          <cell r="G30">
            <v>0</v>
          </cell>
          <cell r="H30">
            <v>0</v>
          </cell>
        </row>
        <row r="31">
          <cell r="F31">
            <v>0</v>
          </cell>
          <cell r="G31">
            <v>0</v>
          </cell>
          <cell r="H31">
            <v>0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8">
          <cell r="F38">
            <v>3.5157587079385992</v>
          </cell>
          <cell r="G38">
            <v>3.4767380862314776</v>
          </cell>
          <cell r="H38">
            <v>3.4780550186280514</v>
          </cell>
        </row>
        <row r="39">
          <cell r="F39">
            <v>3.2086591139646741</v>
          </cell>
          <cell r="G39">
            <v>3.1730469221523037</v>
          </cell>
          <cell r="H39">
            <v>3.17424882122666</v>
          </cell>
        </row>
      </sheetData>
      <sheetData sheetId="68">
        <row r="3">
          <cell r="F3">
            <v>54.16416180750079</v>
          </cell>
          <cell r="G3">
            <v>54.65276651233107</v>
          </cell>
          <cell r="H3">
            <v>56.152322227372629</v>
          </cell>
        </row>
        <row r="6">
          <cell r="F6">
            <v>1.907905923128876</v>
          </cell>
          <cell r="G6">
            <v>4.323043316769664</v>
          </cell>
          <cell r="H6">
            <v>7.8271029436128714</v>
          </cell>
        </row>
        <row r="11">
          <cell r="F11">
            <v>68.979548877391593</v>
          </cell>
          <cell r="G11">
            <v>68.661520516153956</v>
          </cell>
          <cell r="H11">
            <v>71.334646336622313</v>
          </cell>
        </row>
        <row r="18">
          <cell r="F18">
            <v>1.042406781341394E-3</v>
          </cell>
          <cell r="G18">
            <v>6.9834283561204908E-4</v>
          </cell>
          <cell r="H18">
            <v>3.697954643951093E-4</v>
          </cell>
        </row>
        <row r="19">
          <cell r="F19">
            <v>14.87701575630906</v>
          </cell>
          <cell r="G19">
            <v>15.257004361042545</v>
          </cell>
          <cell r="H19">
            <v>17.646610442106635</v>
          </cell>
        </row>
        <row r="21">
          <cell r="F21">
            <v>10.771101403648546</v>
          </cell>
          <cell r="G21">
            <v>10.726623322248765</v>
          </cell>
          <cell r="H21">
            <v>10.62664042918647</v>
          </cell>
        </row>
        <row r="22">
          <cell r="F22">
            <v>3.4992448687641488E-2</v>
          </cell>
          <cell r="G22">
            <v>8.6598201095499344E-2</v>
          </cell>
          <cell r="H22">
            <v>8.6884238729321342E-2</v>
          </cell>
        </row>
        <row r="23">
          <cell r="F23">
            <v>1.7261323362746023E-2</v>
          </cell>
          <cell r="G23">
            <v>2.04183541986129E-2</v>
          </cell>
          <cell r="H23">
            <v>0.19992967655829669</v>
          </cell>
        </row>
        <row r="24">
          <cell r="F24">
            <v>4.352727974571212</v>
          </cell>
          <cell r="G24">
            <v>4.4809350507622945</v>
          </cell>
          <cell r="H24">
            <v>9.358403861409613</v>
          </cell>
        </row>
        <row r="33">
          <cell r="F33">
            <v>15.147672448799064</v>
          </cell>
          <cell r="G33">
            <v>15.094909432419385</v>
          </cell>
          <cell r="H33">
            <v>17.03426262531768</v>
          </cell>
        </row>
        <row r="34">
          <cell r="F34">
            <v>3.9816324951277773</v>
          </cell>
          <cell r="G34">
            <v>2.1676285120431862</v>
          </cell>
          <cell r="H34">
            <v>1.0967080018965827E-4</v>
          </cell>
        </row>
        <row r="35">
          <cell r="F35">
            <v>1.0622589892049896E-3</v>
          </cell>
          <cell r="G35">
            <v>7.424997429171515E-4</v>
          </cell>
          <cell r="H35">
            <v>0</v>
          </cell>
        </row>
        <row r="36">
          <cell r="F36">
            <v>1.125718731626951</v>
          </cell>
          <cell r="G36">
            <v>1.2459615486676476</v>
          </cell>
          <cell r="H36">
            <v>0.68616060223703235</v>
          </cell>
        </row>
        <row r="37">
          <cell r="F37">
            <v>25.866275709348599</v>
          </cell>
          <cell r="G37">
            <v>24.913834658650302</v>
          </cell>
          <cell r="H37">
            <v>11.555456428319117</v>
          </cell>
        </row>
        <row r="38">
          <cell r="F38">
            <v>2.7907026574992075</v>
          </cell>
          <cell r="G38">
            <v>3.0052385085962325</v>
          </cell>
          <cell r="H38">
            <v>3.023316425988908</v>
          </cell>
        </row>
        <row r="39">
          <cell r="F39">
            <v>6.4057050216898999</v>
          </cell>
          <cell r="G39">
            <v>6.4080867792525931</v>
          </cell>
          <cell r="H39">
            <v>8.1961416190642638</v>
          </cell>
        </row>
        <row r="55">
          <cell r="F55">
            <v>11.194188272756749</v>
          </cell>
          <cell r="G55">
            <v>11.194189501244585</v>
          </cell>
          <cell r="H55">
            <v>11.256160108731796</v>
          </cell>
        </row>
        <row r="56">
          <cell r="F56">
            <v>6.253637510385806</v>
          </cell>
          <cell r="G56">
            <v>6.2537598100384857</v>
          </cell>
          <cell r="H56">
            <v>13.042334086066006</v>
          </cell>
        </row>
        <row r="57">
          <cell r="F57">
            <v>4.0189505878661089</v>
          </cell>
          <cell r="G57">
            <v>2.6968715524507583</v>
          </cell>
          <cell r="H57">
            <v>0.54649653136796938</v>
          </cell>
        </row>
        <row r="58">
          <cell r="F58">
            <v>7.4152316565190832E-4</v>
          </cell>
          <cell r="G58">
            <v>5.2374075616018598E-4</v>
          </cell>
          <cell r="H58">
            <v>0</v>
          </cell>
        </row>
        <row r="59">
          <cell r="F59">
            <v>23.213565836593723</v>
          </cell>
          <cell r="G59">
            <v>22.591542725702098</v>
          </cell>
          <cell r="H59">
            <v>11.886978925313818</v>
          </cell>
        </row>
        <row r="60">
          <cell r="F60">
            <v>2.931756445251622E-2</v>
          </cell>
          <cell r="G60">
            <v>0.21469182286379224</v>
          </cell>
          <cell r="H60">
            <v>0.188036534992361</v>
          </cell>
        </row>
        <row r="61">
          <cell r="F61">
            <v>7.0101856045208782E-4</v>
          </cell>
          <cell r="G61">
            <v>4.7138141403813331E-4</v>
          </cell>
          <cell r="H61">
            <v>2.5146091578867445E-4</v>
          </cell>
        </row>
        <row r="62">
          <cell r="F62">
            <v>6.8072615333528157</v>
          </cell>
          <cell r="G62">
            <v>7.1962420304883716</v>
          </cell>
          <cell r="H62">
            <v>8.2132821892442252</v>
          </cell>
        </row>
        <row r="63">
          <cell r="F63">
            <v>7.1671214265971237</v>
          </cell>
          <cell r="G63">
            <v>7.210833494665196</v>
          </cell>
          <cell r="H63">
            <v>8.55114120077784</v>
          </cell>
        </row>
        <row r="64">
          <cell r="F64">
            <v>6.1495190217513418</v>
          </cell>
          <cell r="G64">
            <v>6.0229878553315164</v>
          </cell>
          <cell r="H64">
            <v>5.8763229867778106</v>
          </cell>
        </row>
        <row r="65">
          <cell r="F65">
            <v>0.54506545842396192</v>
          </cell>
          <cell r="G65">
            <v>0.54506798829344394</v>
          </cell>
          <cell r="H65">
            <v>0.54507180666895427</v>
          </cell>
        </row>
        <row r="66">
          <cell r="F66">
            <v>5.6871415411264241</v>
          </cell>
          <cell r="G66">
            <v>5.6636571141473562</v>
          </cell>
          <cell r="H66">
            <v>5.7808923934774352</v>
          </cell>
        </row>
        <row r="67">
          <cell r="F67">
            <v>3.4992448687641488E-2</v>
          </cell>
          <cell r="G67">
            <v>8.6598201095499344E-2</v>
          </cell>
          <cell r="H67">
            <v>8.6884238729321342E-2</v>
          </cell>
        </row>
        <row r="68">
          <cell r="F68">
            <v>4.5544562704215172</v>
          </cell>
          <cell r="G68">
            <v>4.5561497000485893</v>
          </cell>
          <cell r="H68">
            <v>5.9012219657262666</v>
          </cell>
        </row>
        <row r="69">
          <cell r="F69">
            <v>8.6631023720245767E-3</v>
          </cell>
          <cell r="G69">
            <v>9.3208362125146247E-3</v>
          </cell>
          <cell r="H69">
            <v>9.1629767881009017E-2</v>
          </cell>
        </row>
        <row r="70">
          <cell r="F70">
            <v>1.5756673754506032</v>
          </cell>
          <cell r="G70">
            <v>3.2369354360626885</v>
          </cell>
          <cell r="H70">
            <v>5.975244087941407</v>
          </cell>
        </row>
        <row r="71">
          <cell r="F71">
            <v>77.240990491964467</v>
          </cell>
          <cell r="G71">
            <v>77.479843190815103</v>
          </cell>
          <cell r="H71">
            <v>77.94194828461201</v>
          </cell>
        </row>
      </sheetData>
      <sheetData sheetId="69">
        <row r="3">
          <cell r="F3">
            <v>58.872302952507852</v>
          </cell>
          <cell r="G3">
            <v>58.57778006417346</v>
          </cell>
          <cell r="H3">
            <v>57.355573390180695</v>
          </cell>
        </row>
        <row r="6">
          <cell r="F6">
            <v>5.8133876171092131</v>
          </cell>
          <cell r="G6">
            <v>7.5035594767884968</v>
          </cell>
          <cell r="H6">
            <v>10.660228194297307</v>
          </cell>
        </row>
        <row r="11">
          <cell r="F11">
            <v>62.445585335242107</v>
          </cell>
          <cell r="G11">
            <v>62.544668293587193</v>
          </cell>
          <cell r="H11">
            <v>62.099334097263863</v>
          </cell>
        </row>
        <row r="12">
          <cell r="F12">
            <v>15.08670275025619</v>
          </cell>
          <cell r="G12">
            <v>12.140104509192478</v>
          </cell>
          <cell r="H12">
            <v>5.7778758699105861</v>
          </cell>
        </row>
        <row r="13">
          <cell r="F13">
            <v>2.7861794230824157E-4</v>
          </cell>
          <cell r="G13">
            <v>1.9044175671773948E-4</v>
          </cell>
          <cell r="H13">
            <v>1.3042311606952986E-4</v>
          </cell>
        </row>
        <row r="14">
          <cell r="F14">
            <v>19.504154329582111</v>
          </cell>
          <cell r="G14">
            <v>17.021107268122233</v>
          </cell>
          <cell r="H14">
            <v>12.359021701759209</v>
          </cell>
        </row>
        <row r="15">
          <cell r="F15">
            <v>9.7293726362292273E-3</v>
          </cell>
          <cell r="G15">
            <v>7.4564206493069889E-5</v>
          </cell>
          <cell r="H15">
            <v>4.0878802461750658E-5</v>
          </cell>
        </row>
        <row r="16">
          <cell r="F16">
            <v>0</v>
          </cell>
          <cell r="G16">
            <v>0</v>
          </cell>
          <cell r="H16">
            <v>0</v>
          </cell>
        </row>
        <row r="17">
          <cell r="F17">
            <v>7.4463291853115559</v>
          </cell>
          <cell r="G17">
            <v>7.8147929692513269</v>
          </cell>
          <cell r="H17">
            <v>8.3571086944377289</v>
          </cell>
        </row>
        <row r="19">
          <cell r="F19">
            <v>0.67911886533849009</v>
          </cell>
          <cell r="G19">
            <v>0.73654642754952071</v>
          </cell>
          <cell r="H19">
            <v>0.85947812305284821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8.5997882252125741</v>
          </cell>
          <cell r="G21">
            <v>10.494381908772086</v>
          </cell>
          <cell r="H21">
            <v>14.972700465160424</v>
          </cell>
        </row>
        <row r="28">
          <cell r="F28">
            <v>3.5732823827342508</v>
          </cell>
          <cell r="G28">
            <v>3.966888229413728</v>
          </cell>
          <cell r="H28">
            <v>4.7437607070831636</v>
          </cell>
        </row>
        <row r="47">
          <cell r="F47">
            <v>9.2623147884623425</v>
          </cell>
          <cell r="G47">
            <v>11.02467510087534</v>
          </cell>
          <cell r="H47">
            <v>14.990897151650016</v>
          </cell>
        </row>
        <row r="48">
          <cell r="F48">
            <v>12.329969927937579</v>
          </cell>
          <cell r="G48">
            <v>9.9217642024151402</v>
          </cell>
          <cell r="H48">
            <v>4.7221271172657175</v>
          </cell>
        </row>
        <row r="49">
          <cell r="F49">
            <v>14.896030144103275</v>
          </cell>
          <cell r="G49">
            <v>12.310991922394866</v>
          </cell>
          <cell r="H49">
            <v>7.3182989577441138</v>
          </cell>
        </row>
        <row r="50">
          <cell r="F50">
            <v>4.6187684053985514</v>
          </cell>
          <cell r="G50">
            <v>5.7006386906887654</v>
          </cell>
          <cell r="H50">
            <v>8.2417655465445421</v>
          </cell>
        </row>
        <row r="51">
          <cell r="F51">
            <v>0</v>
          </cell>
          <cell r="G51">
            <v>0</v>
          </cell>
          <cell r="H51">
            <v>0</v>
          </cell>
        </row>
        <row r="52">
          <cell r="F52">
            <v>6.1558639738586045</v>
          </cell>
          <cell r="G52">
            <v>6.4604721743261022</v>
          </cell>
          <cell r="H52">
            <v>6.9088033925748551</v>
          </cell>
        </row>
        <row r="53">
          <cell r="F53">
            <v>6.9545775395643314</v>
          </cell>
          <cell r="G53">
            <v>6.3572619553261109</v>
          </cell>
          <cell r="H53">
            <v>5.4117541431659379</v>
          </cell>
        </row>
        <row r="54">
          <cell r="F54">
            <v>0.96352869344663417</v>
          </cell>
          <cell r="G54">
            <v>1.0813122182488355</v>
          </cell>
          <cell r="H54">
            <v>1.3684071323422442</v>
          </cell>
        </row>
        <row r="55">
          <cell r="F55">
            <v>0.67911886533849009</v>
          </cell>
          <cell r="G55">
            <v>0.73654642754952071</v>
          </cell>
          <cell r="H55">
            <v>0.85947812305284821</v>
          </cell>
        </row>
        <row r="56">
          <cell r="F56">
            <v>0</v>
          </cell>
          <cell r="G56">
            <v>0</v>
          </cell>
          <cell r="H56">
            <v>0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5.8133876171092131</v>
          </cell>
          <cell r="G58">
            <v>7.5035594767884968</v>
          </cell>
          <cell r="H58">
            <v>10.660228194297307</v>
          </cell>
        </row>
        <row r="59">
          <cell r="F59">
            <v>61.971353470507083</v>
          </cell>
          <cell r="G59">
            <v>61.368558980042764</v>
          </cell>
          <cell r="H59">
            <v>60.686864290779596</v>
          </cell>
        </row>
      </sheetData>
      <sheetData sheetId="70">
        <row r="3">
          <cell r="F3">
            <v>50.505141742178317</v>
          </cell>
          <cell r="G3">
            <v>50.54832211872683</v>
          </cell>
          <cell r="H3">
            <v>50.05975592092944</v>
          </cell>
        </row>
        <row r="10">
          <cell r="F10">
            <v>13.182623358419324</v>
          </cell>
          <cell r="G10">
            <v>16.956585998259254</v>
          </cell>
          <cell r="H10">
            <v>24.176076096011258</v>
          </cell>
        </row>
        <row r="15">
          <cell r="F15">
            <v>71.980689710807198</v>
          </cell>
          <cell r="G15">
            <v>72.801636152685873</v>
          </cell>
          <cell r="H15">
            <v>73.67944369692944</v>
          </cell>
        </row>
        <row r="16">
          <cell r="F16">
            <v>24.435553013925272</v>
          </cell>
          <cell r="G16">
            <v>18.441937286957607</v>
          </cell>
          <cell r="H16">
            <v>6.977504765707482</v>
          </cell>
        </row>
        <row r="17">
          <cell r="F17">
            <v>2.7887073463090718E-4</v>
          </cell>
          <cell r="G17">
            <v>1.9119349185557687E-4</v>
          </cell>
          <cell r="H17">
            <v>1.3066328519896256E-4</v>
          </cell>
        </row>
        <row r="18">
          <cell r="F18">
            <v>38.250926158699116</v>
          </cell>
          <cell r="G18">
            <v>33.347522526822715</v>
          </cell>
          <cell r="H18">
            <v>24.536569451324727</v>
          </cell>
        </row>
        <row r="19">
          <cell r="F19">
            <v>1.6067128366080687E-2</v>
          </cell>
          <cell r="G19">
            <v>1.0066986186431614E-4</v>
          </cell>
          <cell r="H19">
            <v>5.2789765024952552E-5</v>
          </cell>
        </row>
        <row r="20">
          <cell r="F20">
            <v>1.3028193972934993E-3</v>
          </cell>
          <cell r="G20">
            <v>0</v>
          </cell>
          <cell r="H20">
            <v>0</v>
          </cell>
        </row>
        <row r="21">
          <cell r="F21">
            <v>9.8695688162039943</v>
          </cell>
          <cell r="G21">
            <v>10.106259532585186</v>
          </cell>
          <cell r="H21">
            <v>10.56670153954996</v>
          </cell>
        </row>
        <row r="22">
          <cell r="F22">
            <v>16.723008321085612</v>
          </cell>
          <cell r="G22">
            <v>15.623528658788789</v>
          </cell>
          <cell r="H22">
            <v>13.254706222806902</v>
          </cell>
        </row>
        <row r="23">
          <cell r="F23">
            <v>1.1969614926613557</v>
          </cell>
          <cell r="G23">
            <v>1.2824745517569118</v>
          </cell>
          <cell r="H23">
            <v>1.4727557995892528</v>
          </cell>
        </row>
        <row r="24">
          <cell r="F24">
            <v>0</v>
          </cell>
          <cell r="G24">
            <v>0</v>
          </cell>
          <cell r="H24">
            <v>0</v>
          </cell>
        </row>
        <row r="25">
          <cell r="F25">
            <v>42.777287438951944</v>
          </cell>
          <cell r="G25">
            <v>48.542084716898849</v>
          </cell>
          <cell r="H25">
            <v>60.755280333878346</v>
          </cell>
        </row>
        <row r="26">
          <cell r="F26">
            <v>205.25164377083252</v>
          </cell>
          <cell r="G26">
            <v>200.14573528984965</v>
          </cell>
          <cell r="H26">
            <v>191.24314526283635</v>
          </cell>
        </row>
        <row r="102">
          <cell r="F102">
            <v>6.5040664452220495E-2</v>
          </cell>
          <cell r="G102">
            <v>4.2472886306451241E-2</v>
          </cell>
          <cell r="H102">
            <v>4.5998869079878706E-2</v>
          </cell>
        </row>
        <row r="104">
          <cell r="F104">
            <v>44.003691308584806</v>
          </cell>
          <cell r="G104">
            <v>47.48320885264404</v>
          </cell>
          <cell r="H104">
            <v>54.409149963379228</v>
          </cell>
        </row>
        <row r="105">
          <cell r="F105">
            <v>17.729996098093622</v>
          </cell>
          <cell r="G105">
            <v>13.371899598987572</v>
          </cell>
          <cell r="H105">
            <v>4.743389799177022</v>
          </cell>
        </row>
        <row r="106">
          <cell r="F106">
            <v>22.796733045422332</v>
          </cell>
          <cell r="G106">
            <v>17.841604990951101</v>
          </cell>
          <cell r="H106">
            <v>8.7315261227032845</v>
          </cell>
        </row>
        <row r="107">
          <cell r="F107">
            <v>11.906111309590056</v>
          </cell>
          <cell r="G107">
            <v>14.301349055672663</v>
          </cell>
          <cell r="H107">
            <v>18.993808187232087</v>
          </cell>
        </row>
        <row r="108">
          <cell r="F108">
            <v>1.0422555178348E-3</v>
          </cell>
          <cell r="G108">
            <v>0</v>
          </cell>
          <cell r="H108">
            <v>0</v>
          </cell>
        </row>
        <row r="109">
          <cell r="F109">
            <v>0</v>
          </cell>
          <cell r="G109">
            <v>0</v>
          </cell>
          <cell r="H109">
            <v>0</v>
          </cell>
        </row>
        <row r="110">
          <cell r="F110">
            <v>6.8041245792689544</v>
          </cell>
          <cell r="G110">
            <v>6.8863041840815846</v>
          </cell>
          <cell r="H110">
            <v>7.0595805615993186</v>
          </cell>
        </row>
        <row r="111">
          <cell r="F111">
            <v>9.1155379113376558</v>
          </cell>
          <cell r="G111">
            <v>8.2050706314121502</v>
          </cell>
          <cell r="H111">
            <v>6.3524719158552312</v>
          </cell>
        </row>
        <row r="112">
          <cell r="F112">
            <v>0.68820171635550664</v>
          </cell>
          <cell r="G112">
            <v>0.7831067828281042</v>
          </cell>
          <cell r="H112">
            <v>0.94581778371850245</v>
          </cell>
        </row>
        <row r="113">
          <cell r="F113">
            <v>3.8106589989307306E-2</v>
          </cell>
          <cell r="G113">
            <v>3.9282212729925915E-2</v>
          </cell>
          <cell r="H113">
            <v>4.0788064534296842E-2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6">
          <cell r="F116">
            <v>126.33120883703162</v>
          </cell>
          <cell r="G116">
            <v>125.91088519387284</v>
          </cell>
          <cell r="H116">
            <v>125.49860736329011</v>
          </cell>
        </row>
        <row r="223">
          <cell r="F223">
            <v>0</v>
          </cell>
          <cell r="G223">
            <v>0</v>
          </cell>
          <cell r="H223">
            <v>0</v>
          </cell>
        </row>
        <row r="224">
          <cell r="F224">
            <v>23.752219231682858</v>
          </cell>
          <cell r="G224">
            <v>25.26360759680021</v>
          </cell>
          <cell r="H224">
            <v>28.820926715721658</v>
          </cell>
        </row>
        <row r="231">
          <cell r="F231">
            <v>2.092328524509536</v>
          </cell>
          <cell r="G231">
            <v>1.9775847091233834</v>
          </cell>
          <cell r="H231">
            <v>1.8150357697333197</v>
          </cell>
        </row>
        <row r="233">
          <cell r="F233">
            <v>52.583421523223755</v>
          </cell>
          <cell r="G233">
            <v>57.593496604435813</v>
          </cell>
          <cell r="H233">
            <v>67.826232338660489</v>
          </cell>
        </row>
        <row r="234">
          <cell r="F234">
            <v>20.028596225425979</v>
          </cell>
          <cell r="G234">
            <v>15.189602819836189</v>
          </cell>
          <cell r="H234">
            <v>5.6597042950411804</v>
          </cell>
        </row>
        <row r="235">
          <cell r="F235">
            <v>26.506081157967277</v>
          </cell>
          <cell r="G235">
            <v>20.965517478703546</v>
          </cell>
          <cell r="H235">
            <v>10.810211480022888</v>
          </cell>
        </row>
        <row r="236">
          <cell r="F236">
            <v>15.013154668852605</v>
          </cell>
          <cell r="G236">
            <v>18.297649125865028</v>
          </cell>
          <cell r="H236">
            <v>24.86374015641406</v>
          </cell>
        </row>
        <row r="238">
          <cell r="F238">
            <v>0</v>
          </cell>
          <cell r="G238">
            <v>0</v>
          </cell>
          <cell r="H238">
            <v>0</v>
          </cell>
        </row>
        <row r="239">
          <cell r="F239">
            <v>8.1109052594019637</v>
          </cell>
          <cell r="G239">
            <v>8.3038682036639049</v>
          </cell>
          <cell r="H239">
            <v>8.7073432922305027</v>
          </cell>
        </row>
        <row r="240">
          <cell r="F240">
            <v>10.483272714247166</v>
          </cell>
          <cell r="G240">
            <v>9.5857782247225085</v>
          </cell>
          <cell r="H240">
            <v>7.7187284956554425</v>
          </cell>
        </row>
        <row r="241">
          <cell r="F241">
            <v>0.88504088848767992</v>
          </cell>
          <cell r="G241">
            <v>1.0219350743065119</v>
          </cell>
          <cell r="H241">
            <v>1.2697063556533799</v>
          </cell>
        </row>
        <row r="242">
          <cell r="F242">
            <v>1.1969614926613557</v>
          </cell>
          <cell r="G242">
            <v>1.2824745517569118</v>
          </cell>
          <cell r="H242">
            <v>1.4727557995892528</v>
          </cell>
        </row>
        <row r="243">
          <cell r="F243">
            <v>0</v>
          </cell>
          <cell r="G243">
            <v>0</v>
          </cell>
          <cell r="H243">
            <v>0</v>
          </cell>
        </row>
        <row r="244">
          <cell r="F244">
            <v>13.182623358419324</v>
          </cell>
          <cell r="G244">
            <v>16.956585998259254</v>
          </cell>
          <cell r="H244">
            <v>24.176076096011258</v>
          </cell>
        </row>
        <row r="245">
          <cell r="F245">
            <v>150.08342806871448</v>
          </cell>
          <cell r="G245">
            <v>151.17449279067301</v>
          </cell>
          <cell r="H245">
            <v>154.31953407901176</v>
          </cell>
        </row>
      </sheetData>
      <sheetData sheetId="71">
        <row r="21">
          <cell r="F21">
            <v>26.103846398049811</v>
          </cell>
          <cell r="G21">
            <v>25.311844384682306</v>
          </cell>
          <cell r="H21">
            <v>20.456475887722366</v>
          </cell>
        </row>
        <row r="22">
          <cell r="F22">
            <v>47.111735350483599</v>
          </cell>
          <cell r="G22">
            <v>44.518584155309412</v>
          </cell>
          <cell r="H22">
            <v>42.420438893056613</v>
          </cell>
        </row>
        <row r="23">
          <cell r="F23">
            <v>1.607534292735973</v>
          </cell>
          <cell r="G23">
            <v>1.0610727364932599</v>
          </cell>
          <cell r="H23">
            <v>0.57177237763339006</v>
          </cell>
        </row>
        <row r="24">
          <cell r="F24">
            <v>3.1420009757582128E-3</v>
          </cell>
          <cell r="G24">
            <v>3.604116221742267E-3</v>
          </cell>
          <cell r="H24">
            <v>3.2364039292180681E-3</v>
          </cell>
        </row>
        <row r="25">
          <cell r="F25">
            <v>1.5127051345156699</v>
          </cell>
          <cell r="G25">
            <v>1.4663523466925652</v>
          </cell>
          <cell r="H25">
            <v>1.1851579348863508</v>
          </cell>
        </row>
        <row r="26">
          <cell r="F26">
            <v>2.0288130249777936</v>
          </cell>
          <cell r="G26">
            <v>1.9121885111990318</v>
          </cell>
          <cell r="H26">
            <v>1.8525270023827873</v>
          </cell>
        </row>
        <row r="27">
          <cell r="F27">
            <v>6.8837217598821958E-4</v>
          </cell>
          <cell r="G27">
            <v>8.2733790133090394E-5</v>
          </cell>
          <cell r="H27">
            <v>5.7518360999006344E-5</v>
          </cell>
        </row>
        <row r="28">
          <cell r="F28">
            <v>0.94295730815335699</v>
          </cell>
          <cell r="G28">
            <v>1.0595606578079599</v>
          </cell>
          <cell r="H28">
            <v>1.11900281007971</v>
          </cell>
        </row>
        <row r="32">
          <cell r="F32">
            <v>2.1204910577938663E-2</v>
          </cell>
          <cell r="G32">
            <v>5.4530474612452626E-2</v>
          </cell>
          <cell r="H32">
            <v>0.18670071814571756</v>
          </cell>
        </row>
      </sheetData>
      <sheetData sheetId="72">
        <row r="11">
          <cell r="F11">
            <v>78.755367620832175</v>
          </cell>
          <cell r="G11">
            <v>77.929517431619558</v>
          </cell>
          <cell r="H11">
            <v>74.853694891577632</v>
          </cell>
        </row>
        <row r="12">
          <cell r="F12">
            <v>5.0269410418770466</v>
          </cell>
          <cell r="G12">
            <v>5.0269406025640695</v>
          </cell>
          <cell r="H12">
            <v>5.0269398564063579</v>
          </cell>
        </row>
        <row r="13">
          <cell r="F13">
            <v>1.51720853695406E-4</v>
          </cell>
          <cell r="G13">
            <v>1.771269127955419E-4</v>
          </cell>
          <cell r="H13">
            <v>0.28151708539995701</v>
          </cell>
        </row>
        <row r="14">
          <cell r="F14">
            <v>0</v>
          </cell>
          <cell r="G14">
            <v>0</v>
          </cell>
          <cell r="H14">
            <v>0</v>
          </cell>
        </row>
      </sheetData>
      <sheetData sheetId="73"/>
      <sheetData sheetId="74">
        <row r="53">
          <cell r="F53">
            <v>2.3621505630028907</v>
          </cell>
          <cell r="G53">
            <v>2.5943516097263268</v>
          </cell>
          <cell r="H53">
            <v>3.7487501088923314</v>
          </cell>
        </row>
        <row r="54">
          <cell r="F54">
            <v>0</v>
          </cell>
          <cell r="G54">
            <v>0</v>
          </cell>
          <cell r="H54">
            <v>0</v>
          </cell>
        </row>
        <row r="55">
          <cell r="F55">
            <v>5.0325544749988351</v>
          </cell>
          <cell r="G55">
            <v>4.6786549197685021</v>
          </cell>
          <cell r="H55">
            <v>3.7138675403836205</v>
          </cell>
        </row>
        <row r="56">
          <cell r="F56">
            <v>3.1057866511437902</v>
          </cell>
          <cell r="G56">
            <v>2.7052683135427587</v>
          </cell>
          <cell r="H56">
            <v>1.8112519663108242</v>
          </cell>
        </row>
        <row r="57">
          <cell r="F57">
            <v>4.2221731293166291</v>
          </cell>
          <cell r="G57">
            <v>3.9910951613071601</v>
          </cell>
          <cell r="H57">
            <v>2.6419116621525598</v>
          </cell>
        </row>
        <row r="58">
          <cell r="F58">
            <v>5.5789466389441174</v>
          </cell>
          <cell r="G58">
            <v>5.2863624357881225</v>
          </cell>
          <cell r="H58">
            <v>4.7304306319430696</v>
          </cell>
        </row>
        <row r="59">
          <cell r="F59">
            <v>0</v>
          </cell>
          <cell r="G59">
            <v>0</v>
          </cell>
          <cell r="H59">
            <v>0</v>
          </cell>
        </row>
        <row r="60">
          <cell r="F60">
            <v>0</v>
          </cell>
          <cell r="G60">
            <v>0</v>
          </cell>
          <cell r="H60">
            <v>0</v>
          </cell>
        </row>
        <row r="61">
          <cell r="F61">
            <v>0</v>
          </cell>
          <cell r="G61">
            <v>0</v>
          </cell>
          <cell r="H61">
            <v>0</v>
          </cell>
        </row>
        <row r="62">
          <cell r="F62">
            <v>0</v>
          </cell>
          <cell r="G62">
            <v>0</v>
          </cell>
          <cell r="H62">
            <v>0</v>
          </cell>
        </row>
        <row r="63">
          <cell r="F63">
            <v>0</v>
          </cell>
          <cell r="G63">
            <v>0</v>
          </cell>
          <cell r="H63">
            <v>0</v>
          </cell>
        </row>
        <row r="77">
          <cell r="B77">
            <v>0</v>
          </cell>
          <cell r="C77">
            <v>0</v>
          </cell>
        </row>
        <row r="78">
          <cell r="B78">
            <v>0</v>
          </cell>
          <cell r="C78">
            <v>0</v>
          </cell>
        </row>
        <row r="79">
          <cell r="B79">
            <v>0</v>
          </cell>
          <cell r="C79">
            <v>0</v>
          </cell>
        </row>
      </sheetData>
      <sheetData sheetId="75">
        <row r="99">
          <cell r="J99">
            <v>16.25268425681444</v>
          </cell>
          <cell r="K99">
            <v>16.252906415198524</v>
          </cell>
          <cell r="L99">
            <v>16.25240506620818</v>
          </cell>
        </row>
      </sheetData>
      <sheetData sheetId="76"/>
      <sheetData sheetId="77"/>
      <sheetData sheetId="78" refreshError="1"/>
      <sheetData sheetId="79" refreshError="1"/>
      <sheetData sheetId="80" refreshError="1"/>
      <sheetData sheetId="8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E6BC-BE9A-40E7-88E5-28A6494AD11F}">
  <sheetPr codeName="Sheet1"/>
  <dimension ref="B2:E98"/>
  <sheetViews>
    <sheetView showGridLines="0" topLeftCell="A19" workbookViewId="0">
      <selection activeCell="B99" sqref="B99"/>
    </sheetView>
  </sheetViews>
  <sheetFormatPr defaultRowHeight="15.5" x14ac:dyDescent="0.35"/>
  <cols>
    <col min="2" max="2" width="49.58203125" bestFit="1" customWidth="1"/>
    <col min="3" max="3" width="81.5" bestFit="1" customWidth="1"/>
    <col min="4" max="4" width="11.5" bestFit="1" customWidth="1"/>
  </cols>
  <sheetData>
    <row r="2" spans="2:5" x14ac:dyDescent="0.35">
      <c r="B2" s="15" t="s">
        <v>3</v>
      </c>
      <c r="C2" s="15" t="s">
        <v>358</v>
      </c>
      <c r="D2" s="15" t="s">
        <v>4</v>
      </c>
      <c r="E2" s="15" t="s">
        <v>368</v>
      </c>
    </row>
    <row r="3" spans="2:5" x14ac:dyDescent="0.35">
      <c r="B3" t="s">
        <v>15</v>
      </c>
      <c r="C3" t="s">
        <v>359</v>
      </c>
      <c r="D3" t="s">
        <v>8</v>
      </c>
    </row>
    <row r="4" spans="2:5" x14ac:dyDescent="0.35">
      <c r="B4" t="s">
        <v>19</v>
      </c>
      <c r="C4" t="s">
        <v>360</v>
      </c>
      <c r="D4" t="s">
        <v>8</v>
      </c>
    </row>
    <row r="5" spans="2:5" x14ac:dyDescent="0.35">
      <c r="B5" t="s">
        <v>24</v>
      </c>
      <c r="C5" t="s">
        <v>361</v>
      </c>
      <c r="D5" t="s">
        <v>8</v>
      </c>
    </row>
    <row r="6" spans="2:5" x14ac:dyDescent="0.35">
      <c r="B6" t="s">
        <v>29</v>
      </c>
      <c r="C6" t="s">
        <v>362</v>
      </c>
      <c r="D6" t="s">
        <v>8</v>
      </c>
    </row>
    <row r="7" spans="2:5" x14ac:dyDescent="0.35">
      <c r="B7" t="s">
        <v>152</v>
      </c>
      <c r="C7" t="s">
        <v>363</v>
      </c>
      <c r="D7" t="s">
        <v>8</v>
      </c>
    </row>
    <row r="8" spans="2:5" x14ac:dyDescent="0.35">
      <c r="B8" t="s">
        <v>91</v>
      </c>
      <c r="C8" t="s">
        <v>364</v>
      </c>
      <c r="D8" t="s">
        <v>8</v>
      </c>
    </row>
    <row r="9" spans="2:5" x14ac:dyDescent="0.35">
      <c r="B9" t="s">
        <v>190</v>
      </c>
      <c r="C9" t="s">
        <v>365</v>
      </c>
      <c r="D9" t="s">
        <v>8</v>
      </c>
    </row>
    <row r="10" spans="2:5" x14ac:dyDescent="0.35">
      <c r="B10" t="s">
        <v>241</v>
      </c>
      <c r="C10" t="s">
        <v>366</v>
      </c>
      <c r="D10" t="s">
        <v>240</v>
      </c>
      <c r="E10" t="s">
        <v>369</v>
      </c>
    </row>
    <row r="11" spans="2:5" x14ac:dyDescent="0.35">
      <c r="B11" t="s">
        <v>296</v>
      </c>
      <c r="C11" t="s">
        <v>367</v>
      </c>
      <c r="D11" t="s">
        <v>240</v>
      </c>
      <c r="E11" t="s">
        <v>686</v>
      </c>
    </row>
    <row r="12" spans="2:5" x14ac:dyDescent="0.35">
      <c r="B12" t="s">
        <v>303</v>
      </c>
      <c r="C12" t="s">
        <v>371</v>
      </c>
      <c r="D12" t="s">
        <v>8</v>
      </c>
    </row>
    <row r="13" spans="2:5" x14ac:dyDescent="0.35">
      <c r="B13" t="s">
        <v>370</v>
      </c>
      <c r="C13" t="s">
        <v>372</v>
      </c>
      <c r="D13" t="s">
        <v>8</v>
      </c>
    </row>
    <row r="14" spans="2:5" x14ac:dyDescent="0.35">
      <c r="B14" t="s">
        <v>373</v>
      </c>
      <c r="C14" t="s">
        <v>374</v>
      </c>
      <c r="D14" t="s">
        <v>8</v>
      </c>
    </row>
    <row r="15" spans="2:5" x14ac:dyDescent="0.35">
      <c r="B15" t="s">
        <v>306</v>
      </c>
      <c r="C15" t="s">
        <v>375</v>
      </c>
      <c r="D15" t="s">
        <v>240</v>
      </c>
    </row>
    <row r="16" spans="2:5" x14ac:dyDescent="0.35">
      <c r="B16" t="s">
        <v>376</v>
      </c>
      <c r="C16" t="s">
        <v>377</v>
      </c>
      <c r="D16" t="s">
        <v>8</v>
      </c>
    </row>
    <row r="17" spans="2:5" x14ac:dyDescent="0.35">
      <c r="B17" t="s">
        <v>378</v>
      </c>
      <c r="C17" t="s">
        <v>379</v>
      </c>
      <c r="D17" t="s">
        <v>8</v>
      </c>
    </row>
    <row r="18" spans="2:5" x14ac:dyDescent="0.35">
      <c r="B18" t="s">
        <v>311</v>
      </c>
      <c r="C18" t="s">
        <v>380</v>
      </c>
      <c r="D18" t="s">
        <v>240</v>
      </c>
    </row>
    <row r="19" spans="2:5" x14ac:dyDescent="0.35">
      <c r="B19" t="s">
        <v>381</v>
      </c>
      <c r="C19" t="s">
        <v>382</v>
      </c>
      <c r="D19" t="s">
        <v>8</v>
      </c>
    </row>
    <row r="20" spans="2:5" x14ac:dyDescent="0.35">
      <c r="B20" t="s">
        <v>383</v>
      </c>
      <c r="C20" t="s">
        <v>384</v>
      </c>
      <c r="D20" t="s">
        <v>8</v>
      </c>
    </row>
    <row r="21" spans="2:5" x14ac:dyDescent="0.35">
      <c r="B21" t="s">
        <v>385</v>
      </c>
      <c r="C21" t="s">
        <v>386</v>
      </c>
      <c r="D21" t="s">
        <v>8</v>
      </c>
    </row>
    <row r="22" spans="2:5" x14ac:dyDescent="0.35">
      <c r="B22" t="s">
        <v>387</v>
      </c>
      <c r="C22" t="s">
        <v>387</v>
      </c>
      <c r="D22" t="s">
        <v>8</v>
      </c>
    </row>
    <row r="23" spans="2:5" x14ac:dyDescent="0.35">
      <c r="B23" t="s">
        <v>388</v>
      </c>
      <c r="C23" t="s">
        <v>389</v>
      </c>
      <c r="D23" t="s">
        <v>240</v>
      </c>
    </row>
    <row r="24" spans="2:5" x14ac:dyDescent="0.35">
      <c r="B24" t="s">
        <v>390</v>
      </c>
      <c r="C24" t="s">
        <v>390</v>
      </c>
      <c r="D24" t="s">
        <v>8</v>
      </c>
    </row>
    <row r="25" spans="2:5" x14ac:dyDescent="0.35">
      <c r="B25" t="s">
        <v>406</v>
      </c>
      <c r="C25" t="s">
        <v>407</v>
      </c>
      <c r="D25" t="s">
        <v>8</v>
      </c>
    </row>
    <row r="26" spans="2:5" x14ac:dyDescent="0.35">
      <c r="B26" t="s">
        <v>408</v>
      </c>
      <c r="C26" t="s">
        <v>416</v>
      </c>
      <c r="D26" t="s">
        <v>240</v>
      </c>
      <c r="E26" t="s">
        <v>417</v>
      </c>
    </row>
    <row r="27" spans="2:5" x14ac:dyDescent="0.35">
      <c r="B27" t="s">
        <v>424</v>
      </c>
      <c r="C27" t="s">
        <v>418</v>
      </c>
      <c r="D27" t="s">
        <v>8</v>
      </c>
      <c r="E27" t="s">
        <v>421</v>
      </c>
    </row>
    <row r="28" spans="2:5" x14ac:dyDescent="0.35">
      <c r="B28" t="s">
        <v>425</v>
      </c>
      <c r="C28" t="s">
        <v>419</v>
      </c>
      <c r="D28" t="s">
        <v>8</v>
      </c>
      <c r="E28" t="s">
        <v>420</v>
      </c>
    </row>
    <row r="29" spans="2:5" x14ac:dyDescent="0.35">
      <c r="B29" t="s">
        <v>426</v>
      </c>
      <c r="C29" t="s">
        <v>422</v>
      </c>
      <c r="D29" t="s">
        <v>8</v>
      </c>
      <c r="E29" t="s">
        <v>423</v>
      </c>
    </row>
    <row r="30" spans="2:5" x14ac:dyDescent="0.35">
      <c r="B30" t="s">
        <v>431</v>
      </c>
      <c r="C30" t="s">
        <v>432</v>
      </c>
      <c r="D30" t="s">
        <v>8</v>
      </c>
    </row>
    <row r="31" spans="2:5" x14ac:dyDescent="0.35">
      <c r="B31" t="s">
        <v>434</v>
      </c>
      <c r="C31" t="s">
        <v>435</v>
      </c>
      <c r="D31" t="s">
        <v>8</v>
      </c>
    </row>
    <row r="32" spans="2:5" x14ac:dyDescent="0.35">
      <c r="B32" t="s">
        <v>440</v>
      </c>
      <c r="C32" t="s">
        <v>441</v>
      </c>
      <c r="D32" t="s">
        <v>240</v>
      </c>
    </row>
    <row r="33" spans="2:5" x14ac:dyDescent="0.35">
      <c r="B33" t="s">
        <v>444</v>
      </c>
      <c r="C33" t="s">
        <v>444</v>
      </c>
      <c r="D33" t="s">
        <v>442</v>
      </c>
      <c r="E33" t="s">
        <v>447</v>
      </c>
    </row>
    <row r="34" spans="2:5" x14ac:dyDescent="0.35">
      <c r="B34" t="s">
        <v>474</v>
      </c>
      <c r="C34" t="s">
        <v>477</v>
      </c>
      <c r="D34" t="s">
        <v>8</v>
      </c>
      <c r="E34" t="s">
        <v>478</v>
      </c>
    </row>
    <row r="35" spans="2:5" x14ac:dyDescent="0.35">
      <c r="B35" t="s">
        <v>475</v>
      </c>
      <c r="C35" t="s">
        <v>479</v>
      </c>
      <c r="D35" t="s">
        <v>8</v>
      </c>
      <c r="E35" t="s">
        <v>478</v>
      </c>
    </row>
    <row r="36" spans="2:5" x14ac:dyDescent="0.35">
      <c r="B36" t="s">
        <v>476</v>
      </c>
      <c r="C36" t="s">
        <v>480</v>
      </c>
      <c r="D36" t="s">
        <v>240</v>
      </c>
    </row>
    <row r="37" spans="2:5" x14ac:dyDescent="0.35">
      <c r="B37" t="s">
        <v>496</v>
      </c>
      <c r="C37" t="s">
        <v>497</v>
      </c>
      <c r="D37" t="s">
        <v>8</v>
      </c>
      <c r="E37" t="s">
        <v>498</v>
      </c>
    </row>
    <row r="38" spans="2:5" x14ac:dyDescent="0.35">
      <c r="B38" t="s">
        <v>684</v>
      </c>
      <c r="C38" t="s">
        <v>685</v>
      </c>
      <c r="D38" t="s">
        <v>8</v>
      </c>
      <c r="E38" t="s">
        <v>498</v>
      </c>
    </row>
    <row r="39" spans="2:5" x14ac:dyDescent="0.35">
      <c r="B39" t="s">
        <v>687</v>
      </c>
      <c r="C39" t="s">
        <v>688</v>
      </c>
      <c r="D39" t="s">
        <v>240</v>
      </c>
      <c r="E39" t="s">
        <v>498</v>
      </c>
    </row>
    <row r="40" spans="2:5" x14ac:dyDescent="0.35">
      <c r="B40" t="s">
        <v>674</v>
      </c>
      <c r="C40" t="s">
        <v>675</v>
      </c>
      <c r="D40" t="s">
        <v>8</v>
      </c>
    </row>
    <row r="41" spans="2:5" x14ac:dyDescent="0.35">
      <c r="B41" t="s">
        <v>697</v>
      </c>
      <c r="C41" t="s">
        <v>698</v>
      </c>
      <c r="D41" t="s">
        <v>8</v>
      </c>
    </row>
    <row r="42" spans="2:5" x14ac:dyDescent="0.35">
      <c r="B42" t="s">
        <v>689</v>
      </c>
      <c r="C42" t="s">
        <v>690</v>
      </c>
      <c r="D42" t="s">
        <v>240</v>
      </c>
    </row>
    <row r="43" spans="2:5" x14ac:dyDescent="0.35">
      <c r="B43" t="s">
        <v>740</v>
      </c>
      <c r="C43" t="s">
        <v>741</v>
      </c>
      <c r="D43" t="s">
        <v>8</v>
      </c>
    </row>
    <row r="44" spans="2:5" x14ac:dyDescent="0.35">
      <c r="B44" t="s">
        <v>756</v>
      </c>
      <c r="C44" t="s">
        <v>757</v>
      </c>
      <c r="D44" t="s">
        <v>8</v>
      </c>
    </row>
    <row r="45" spans="2:5" x14ac:dyDescent="0.35">
      <c r="B45" t="s">
        <v>1091</v>
      </c>
      <c r="C45" t="s">
        <v>1125</v>
      </c>
      <c r="D45" t="s">
        <v>240</v>
      </c>
    </row>
    <row r="46" spans="2:5" x14ac:dyDescent="0.35">
      <c r="B46" t="s">
        <v>1236</v>
      </c>
      <c r="C46" t="s">
        <v>1126</v>
      </c>
      <c r="D46" t="s">
        <v>8</v>
      </c>
      <c r="E46" t="s">
        <v>1127</v>
      </c>
    </row>
    <row r="47" spans="2:5" x14ac:dyDescent="0.35">
      <c r="B47" t="s">
        <v>1128</v>
      </c>
      <c r="C47" t="s">
        <v>1129</v>
      </c>
      <c r="D47" t="s">
        <v>1131</v>
      </c>
    </row>
    <row r="48" spans="2:5" x14ac:dyDescent="0.35">
      <c r="B48" t="s">
        <v>1130</v>
      </c>
      <c r="C48" t="s">
        <v>1230</v>
      </c>
      <c r="D48" t="s">
        <v>1229</v>
      </c>
      <c r="E48" t="s">
        <v>1231</v>
      </c>
    </row>
    <row r="49" spans="2:5" x14ac:dyDescent="0.35">
      <c r="B49" t="s">
        <v>1304</v>
      </c>
      <c r="C49" t="s">
        <v>1305</v>
      </c>
      <c r="D49" t="s">
        <v>8</v>
      </c>
    </row>
    <row r="50" spans="2:5" x14ac:dyDescent="0.35">
      <c r="B50" t="s">
        <v>1348</v>
      </c>
      <c r="C50" t="s">
        <v>1532</v>
      </c>
      <c r="D50" t="s">
        <v>1131</v>
      </c>
      <c r="E50" t="s">
        <v>1231</v>
      </c>
    </row>
    <row r="51" spans="2:5" x14ac:dyDescent="0.35">
      <c r="B51" t="s">
        <v>1370</v>
      </c>
      <c r="C51" t="s">
        <v>1471</v>
      </c>
      <c r="D51" t="s">
        <v>1229</v>
      </c>
    </row>
    <row r="52" spans="2:5" x14ac:dyDescent="0.35">
      <c r="B52" t="s">
        <v>1394</v>
      </c>
      <c r="C52" t="s">
        <v>1394</v>
      </c>
      <c r="D52" t="s">
        <v>8</v>
      </c>
    </row>
    <row r="53" spans="2:5" x14ac:dyDescent="0.35">
      <c r="B53" t="s">
        <v>1392</v>
      </c>
      <c r="C53" t="s">
        <v>1531</v>
      </c>
      <c r="D53" t="s">
        <v>1131</v>
      </c>
      <c r="E53" t="s">
        <v>1231</v>
      </c>
    </row>
    <row r="54" spans="2:5" x14ac:dyDescent="0.35">
      <c r="B54" t="s">
        <v>1393</v>
      </c>
      <c r="C54" t="s">
        <v>1470</v>
      </c>
      <c r="D54" t="s">
        <v>1229</v>
      </c>
    </row>
    <row r="55" spans="2:5" x14ac:dyDescent="0.35">
      <c r="B55" t="s">
        <v>1473</v>
      </c>
      <c r="C55" t="s">
        <v>1473</v>
      </c>
      <c r="D55" t="s">
        <v>8</v>
      </c>
    </row>
    <row r="56" spans="2:5" x14ac:dyDescent="0.35">
      <c r="B56" t="s">
        <v>1478</v>
      </c>
      <c r="C56" t="s">
        <v>1530</v>
      </c>
      <c r="D56" t="s">
        <v>1131</v>
      </c>
    </row>
    <row r="57" spans="2:5" x14ac:dyDescent="0.35">
      <c r="B57" t="s">
        <v>1480</v>
      </c>
      <c r="C57" t="s">
        <v>1486</v>
      </c>
      <c r="D57" t="s">
        <v>1229</v>
      </c>
    </row>
    <row r="58" spans="2:5" x14ac:dyDescent="0.35">
      <c r="B58" t="s">
        <v>1472</v>
      </c>
      <c r="C58" t="s">
        <v>1472</v>
      </c>
      <c r="D58" t="s">
        <v>8</v>
      </c>
    </row>
    <row r="59" spans="2:5" x14ac:dyDescent="0.35">
      <c r="B59" t="s">
        <v>1482</v>
      </c>
      <c r="C59" t="s">
        <v>1529</v>
      </c>
      <c r="D59" t="s">
        <v>1131</v>
      </c>
    </row>
    <row r="60" spans="2:5" x14ac:dyDescent="0.35">
      <c r="B60" t="s">
        <v>1484</v>
      </c>
      <c r="C60" t="s">
        <v>1534</v>
      </c>
      <c r="D60" t="s">
        <v>1229</v>
      </c>
    </row>
    <row r="61" spans="2:5" x14ac:dyDescent="0.35">
      <c r="B61" t="s">
        <v>1487</v>
      </c>
      <c r="C61" t="s">
        <v>1528</v>
      </c>
      <c r="D61" t="s">
        <v>8</v>
      </c>
    </row>
    <row r="62" spans="2:5" x14ac:dyDescent="0.35">
      <c r="B62" t="s">
        <v>1503</v>
      </c>
      <c r="C62" t="s">
        <v>1595</v>
      </c>
      <c r="D62" t="s">
        <v>1131</v>
      </c>
    </row>
    <row r="63" spans="2:5" x14ac:dyDescent="0.35">
      <c r="B63" t="s">
        <v>1518</v>
      </c>
      <c r="C63" t="s">
        <v>1533</v>
      </c>
      <c r="D63" t="s">
        <v>1229</v>
      </c>
    </row>
    <row r="64" spans="2:5" x14ac:dyDescent="0.35">
      <c r="B64" t="s">
        <v>1643</v>
      </c>
      <c r="C64" t="s">
        <v>1593</v>
      </c>
      <c r="D64" t="s">
        <v>8</v>
      </c>
    </row>
    <row r="65" spans="2:4" x14ac:dyDescent="0.35">
      <c r="B65" t="s">
        <v>1644</v>
      </c>
      <c r="C65" t="s">
        <v>1595</v>
      </c>
      <c r="D65" t="s">
        <v>1131</v>
      </c>
    </row>
    <row r="66" spans="2:4" x14ac:dyDescent="0.35">
      <c r="B66" t="s">
        <v>1645</v>
      </c>
      <c r="C66" t="s">
        <v>1594</v>
      </c>
      <c r="D66" t="s">
        <v>1229</v>
      </c>
    </row>
    <row r="67" spans="2:4" x14ac:dyDescent="0.35">
      <c r="B67" t="s">
        <v>1646</v>
      </c>
      <c r="C67" t="s">
        <v>1647</v>
      </c>
      <c r="D67" t="s">
        <v>8</v>
      </c>
    </row>
    <row r="68" spans="2:4" x14ac:dyDescent="0.35">
      <c r="B68" t="s">
        <v>1649</v>
      </c>
      <c r="C68" t="s">
        <v>1595</v>
      </c>
      <c r="D68" t="s">
        <v>1131</v>
      </c>
    </row>
    <row r="69" spans="2:4" x14ac:dyDescent="0.35">
      <c r="B69" t="s">
        <v>1650</v>
      </c>
      <c r="C69" t="s">
        <v>1648</v>
      </c>
      <c r="D69" t="s">
        <v>1229</v>
      </c>
    </row>
    <row r="70" spans="2:4" x14ac:dyDescent="0.35">
      <c r="B70" t="s">
        <v>1696</v>
      </c>
      <c r="C70" t="s">
        <v>1651</v>
      </c>
      <c r="D70" t="s">
        <v>8</v>
      </c>
    </row>
    <row r="71" spans="2:4" x14ac:dyDescent="0.35">
      <c r="B71" t="s">
        <v>1674</v>
      </c>
      <c r="C71" t="s">
        <v>1697</v>
      </c>
      <c r="D71" t="s">
        <v>1699</v>
      </c>
    </row>
    <row r="72" spans="2:4" x14ac:dyDescent="0.35">
      <c r="B72" t="s">
        <v>1685</v>
      </c>
      <c r="C72" t="s">
        <v>1698</v>
      </c>
      <c r="D72" t="s">
        <v>1700</v>
      </c>
    </row>
    <row r="73" spans="2:4" x14ac:dyDescent="0.35">
      <c r="B73" t="s">
        <v>1701</v>
      </c>
      <c r="C73" t="s">
        <v>1701</v>
      </c>
      <c r="D73" t="s">
        <v>442</v>
      </c>
    </row>
    <row r="74" spans="2:4" x14ac:dyDescent="0.35">
      <c r="B74" t="s">
        <v>1715</v>
      </c>
      <c r="C74" t="s">
        <v>1721</v>
      </c>
      <c r="D74" t="s">
        <v>442</v>
      </c>
    </row>
    <row r="75" spans="2:4" x14ac:dyDescent="0.35">
      <c r="B75" t="s">
        <v>1720</v>
      </c>
      <c r="C75" t="s">
        <v>1722</v>
      </c>
      <c r="D75" t="s">
        <v>8</v>
      </c>
    </row>
    <row r="76" spans="2:4" x14ac:dyDescent="0.35">
      <c r="B76" t="s">
        <v>1768</v>
      </c>
      <c r="C76" t="s">
        <v>1786</v>
      </c>
      <c r="D76" t="s">
        <v>8</v>
      </c>
    </row>
    <row r="77" spans="2:4" x14ac:dyDescent="0.35">
      <c r="B77" t="s">
        <v>1789</v>
      </c>
      <c r="C77" t="s">
        <v>1787</v>
      </c>
      <c r="D77" t="s">
        <v>1857</v>
      </c>
    </row>
    <row r="78" spans="2:4" x14ac:dyDescent="0.35">
      <c r="B78" t="s">
        <v>1856</v>
      </c>
      <c r="C78" t="s">
        <v>1859</v>
      </c>
      <c r="D78" t="s">
        <v>1858</v>
      </c>
    </row>
    <row r="79" spans="2:4" x14ac:dyDescent="0.35">
      <c r="B79" t="s">
        <v>1899</v>
      </c>
      <c r="C79" t="s">
        <v>1918</v>
      </c>
      <c r="D79" t="s">
        <v>1858</v>
      </c>
    </row>
    <row r="80" spans="2:4" x14ac:dyDescent="0.35">
      <c r="B80" t="s">
        <v>1900</v>
      </c>
      <c r="C80" t="s">
        <v>1919</v>
      </c>
      <c r="D80" t="s">
        <v>1858</v>
      </c>
    </row>
    <row r="81" spans="2:4" x14ac:dyDescent="0.35">
      <c r="B81" t="s">
        <v>1920</v>
      </c>
      <c r="C81" t="s">
        <v>1971</v>
      </c>
      <c r="D81" t="s">
        <v>1972</v>
      </c>
    </row>
    <row r="82" spans="2:4" x14ac:dyDescent="0.35">
      <c r="B82" t="s">
        <v>1973</v>
      </c>
      <c r="C82" t="s">
        <v>1974</v>
      </c>
      <c r="D82" t="s">
        <v>1975</v>
      </c>
    </row>
    <row r="83" spans="2:4" x14ac:dyDescent="0.35">
      <c r="B83" t="s">
        <v>1977</v>
      </c>
      <c r="C83" t="s">
        <v>1976</v>
      </c>
      <c r="D83" t="s">
        <v>1975</v>
      </c>
    </row>
    <row r="84" spans="2:4" x14ac:dyDescent="0.35">
      <c r="B84" t="s">
        <v>2121</v>
      </c>
      <c r="C84" t="s">
        <v>2131</v>
      </c>
      <c r="D84" t="s">
        <v>1975</v>
      </c>
    </row>
    <row r="85" spans="2:4" x14ac:dyDescent="0.35">
      <c r="B85" t="s">
        <v>2133</v>
      </c>
      <c r="C85" t="s">
        <v>2132</v>
      </c>
      <c r="D85" t="s">
        <v>1975</v>
      </c>
    </row>
    <row r="86" spans="2:4" x14ac:dyDescent="0.35">
      <c r="B86" t="s">
        <v>2143</v>
      </c>
      <c r="C86" t="s">
        <v>2155</v>
      </c>
      <c r="D86" t="s">
        <v>2154</v>
      </c>
    </row>
    <row r="87" spans="2:4" x14ac:dyDescent="0.35">
      <c r="B87" t="s">
        <v>2158</v>
      </c>
      <c r="C87" t="s">
        <v>2159</v>
      </c>
      <c r="D87" t="s">
        <v>2156</v>
      </c>
    </row>
    <row r="88" spans="2:4" x14ac:dyDescent="0.35">
      <c r="B88" t="s">
        <v>2178</v>
      </c>
      <c r="C88" t="s">
        <v>2179</v>
      </c>
      <c r="D88" t="s">
        <v>1857</v>
      </c>
    </row>
    <row r="89" spans="2:4" x14ac:dyDescent="0.35">
      <c r="B89" t="s">
        <v>2243</v>
      </c>
      <c r="C89" t="s">
        <v>2362</v>
      </c>
      <c r="D89" t="s">
        <v>1972</v>
      </c>
    </row>
    <row r="90" spans="2:4" x14ac:dyDescent="0.35">
      <c r="B90" t="s">
        <v>2294</v>
      </c>
      <c r="C90" t="s">
        <v>2363</v>
      </c>
      <c r="D90" t="s">
        <v>1972</v>
      </c>
    </row>
    <row r="91" spans="2:4" x14ac:dyDescent="0.35">
      <c r="B91" t="s">
        <v>2318</v>
      </c>
      <c r="C91" t="s">
        <v>2364</v>
      </c>
    </row>
    <row r="92" spans="2:4" x14ac:dyDescent="0.35">
      <c r="B92" t="s">
        <v>2342</v>
      </c>
      <c r="C92" t="s">
        <v>2365</v>
      </c>
    </row>
    <row r="93" spans="2:4" x14ac:dyDescent="0.35">
      <c r="B93" t="s">
        <v>2352</v>
      </c>
      <c r="C93" t="s">
        <v>2366</v>
      </c>
    </row>
    <row r="94" spans="2:4" x14ac:dyDescent="0.35">
      <c r="B94" t="s">
        <v>2367</v>
      </c>
      <c r="C94" t="s">
        <v>2447</v>
      </c>
      <c r="D94" t="s">
        <v>1858</v>
      </c>
    </row>
    <row r="95" spans="2:4" x14ac:dyDescent="0.35">
      <c r="B95" t="s">
        <v>2406</v>
      </c>
      <c r="C95" t="s">
        <v>2447</v>
      </c>
      <c r="D95" t="s">
        <v>1858</v>
      </c>
    </row>
    <row r="96" spans="2:4" x14ac:dyDescent="0.35">
      <c r="B96" t="s">
        <v>2429</v>
      </c>
      <c r="C96" t="s">
        <v>2447</v>
      </c>
      <c r="D96" t="s">
        <v>1858</v>
      </c>
    </row>
    <row r="97" spans="2:4" x14ac:dyDescent="0.35">
      <c r="B97" t="s">
        <v>2448</v>
      </c>
      <c r="C97" t="s">
        <v>2447</v>
      </c>
      <c r="D97" t="s">
        <v>2154</v>
      </c>
    </row>
    <row r="98" spans="2:4" x14ac:dyDescent="0.35">
      <c r="B98" t="s">
        <v>2459</v>
      </c>
      <c r="C98" t="s">
        <v>2447</v>
      </c>
      <c r="D98" t="s">
        <v>2156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DEA-5C06-F647-8B36-DFFD23D6C197}">
  <sheetPr codeName="Sheet2"/>
  <dimension ref="A1:S2340"/>
  <sheetViews>
    <sheetView tabSelected="1" topLeftCell="B1" zoomScale="90" zoomScaleNormal="90" workbookViewId="0">
      <pane xSplit="4" ySplit="1" topLeftCell="F2" activePane="bottomRight" state="frozen"/>
      <selection activeCell="B1" sqref="B1"/>
      <selection pane="topRight" activeCell="F1" sqref="F1"/>
      <selection pane="bottomLeft" activeCell="B2" sqref="B2"/>
      <selection pane="bottomRight" activeCell="F1" sqref="F1:I1048576"/>
    </sheetView>
  </sheetViews>
  <sheetFormatPr defaultColWidth="11" defaultRowHeight="15.5" x14ac:dyDescent="0.35"/>
  <cols>
    <col min="1" max="1" width="11.5" bestFit="1" customWidth="1"/>
    <col min="2" max="2" width="10.6640625" customWidth="1"/>
    <col min="3" max="3" width="6.5" customWidth="1"/>
    <col min="4" max="4" width="63.58203125" customWidth="1"/>
    <col min="5" max="5" width="12.5" bestFit="1" customWidth="1"/>
    <col min="6" max="12" width="9.4140625" customWidth="1"/>
    <col min="13" max="13" width="16.4140625" bestFit="1" customWidth="1"/>
    <col min="14" max="18" width="15.4140625" bestFit="1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2020</v>
      </c>
      <c r="G1" s="2">
        <v>2022</v>
      </c>
      <c r="H1" s="2">
        <v>2025</v>
      </c>
      <c r="I1" s="2">
        <v>2030</v>
      </c>
      <c r="J1" s="2">
        <v>2035</v>
      </c>
      <c r="K1" s="2">
        <v>2040</v>
      </c>
      <c r="L1" s="2">
        <v>2050</v>
      </c>
    </row>
    <row r="2" spans="1:14" x14ac:dyDescent="0.35">
      <c r="A2" s="9" t="s">
        <v>5</v>
      </c>
      <c r="B2" s="9" t="s">
        <v>6</v>
      </c>
      <c r="C2" s="2" t="s">
        <v>7</v>
      </c>
      <c r="D2" s="2" t="s">
        <v>15</v>
      </c>
      <c r="E2" s="2" t="s">
        <v>8</v>
      </c>
      <c r="F2" s="3">
        <f>F3+F8+F11+F12+F16+F17+F18+F19</f>
        <v>300.18602608171352</v>
      </c>
      <c r="G2" s="3">
        <f t="shared" ref="G2:K2" si="0">G3+G8+G11+G12+G16+G17+G18+G19</f>
        <v>295.45268847847308</v>
      </c>
      <c r="H2" s="3">
        <f t="shared" si="0"/>
        <v>329.78473221508278</v>
      </c>
      <c r="I2" s="3">
        <f t="shared" si="0"/>
        <v>369.92535541919341</v>
      </c>
      <c r="J2" s="3">
        <f t="shared" si="0"/>
        <v>383.51028843853976</v>
      </c>
      <c r="K2" s="3">
        <f t="shared" si="0"/>
        <v>402.4241869924374</v>
      </c>
      <c r="L2" s="3">
        <f t="shared" ref="L2" si="1">L3+L8+L11+L12+L16+L17+L18+L19</f>
        <v>447.40324153865254</v>
      </c>
      <c r="N2" s="1"/>
    </row>
    <row r="3" spans="1:14" x14ac:dyDescent="0.35">
      <c r="A3" s="5" t="str">
        <f>A2</f>
        <v>STEM</v>
      </c>
      <c r="B3" s="5" t="str">
        <f t="shared" ref="B3" si="2">B2</f>
        <v>SPS1</v>
      </c>
      <c r="C3" s="5" t="str">
        <f t="shared" ref="C3" si="3">C2</f>
        <v>CH</v>
      </c>
      <c r="D3" t="s">
        <v>771</v>
      </c>
      <c r="E3" t="s">
        <v>8</v>
      </c>
      <c r="F3" s="1">
        <f>SUM(F4:F7)</f>
        <v>44.97243534260808</v>
      </c>
      <c r="G3" s="1">
        <f t="shared" ref="G3:K3" si="4">SUM(G4:G7)</f>
        <v>48.190470921063309</v>
      </c>
      <c r="H3" s="1">
        <f t="shared" si="4"/>
        <v>48.190518046394359</v>
      </c>
      <c r="I3" s="1">
        <f t="shared" si="4"/>
        <v>48.190519675321539</v>
      </c>
      <c r="J3" s="1">
        <f t="shared" si="4"/>
        <v>51.205952473963521</v>
      </c>
      <c r="K3" s="1">
        <f t="shared" si="4"/>
        <v>52.13670807270249</v>
      </c>
      <c r="L3" s="1">
        <f t="shared" ref="L3" si="5">SUM(L4:L7)</f>
        <v>52.136713275963452</v>
      </c>
      <c r="N3" s="1"/>
    </row>
    <row r="4" spans="1:14" x14ac:dyDescent="0.35">
      <c r="A4" s="5" t="str">
        <f t="shared" ref="A4:A55" si="6">A3</f>
        <v>STEM</v>
      </c>
      <c r="B4" s="5" t="str">
        <f t="shared" ref="B4:B62" si="7">B3</f>
        <v>SPS1</v>
      </c>
      <c r="C4" s="5" t="str">
        <f t="shared" ref="C4:C62" si="8">C3</f>
        <v>CH</v>
      </c>
      <c r="D4" t="s">
        <v>10</v>
      </c>
      <c r="E4" t="s">
        <v>8</v>
      </c>
      <c r="F4" s="1" cm="1">
        <f t="array" ref="F4">SUMPRODUCT(("RNWWOD1"=[1]OUT_PrimaryEnergyCons!$A$1:$A$1000)*1,[1]OUT_PrimaryEnergyCons!D$1:D$1000)</f>
        <v>11.111878213818668</v>
      </c>
      <c r="G4" s="1" cm="1">
        <f t="array" ref="G4">SUMPRODUCT(("RNWWOD1"=[1]OUT_PrimaryEnergyCons!$A$1:$A$1000)*1,[1]OUT_PrimaryEnergyCons!E$1:E$1000)</f>
        <v>11.952883852329043</v>
      </c>
      <c r="H4" s="1" cm="1">
        <f t="array" ref="H4">SUMPRODUCT(("RNWWOD1"=[1]OUT_PrimaryEnergyCons!$A$1:$A$1000)*1,[1]OUT_PrimaryEnergyCons!F$1:F$1000)</f>
        <v>13.214393722284331</v>
      </c>
      <c r="I4" s="1" cm="1">
        <f t="array" ref="I4">SUMPRODUCT(("RNWWOD1"=[1]OUT_PrimaryEnergyCons!$A$1:$A$1000)*1,[1]OUT_PrimaryEnergyCons!G$1:G$1000)</f>
        <v>15.316910326063205</v>
      </c>
      <c r="J4" s="1" cm="1">
        <f t="array" ref="J4">SUMPRODUCT(("RNWWOD1"=[2]OUT_PrimaryEnergyCons!$A$1:$A$1000)*1,[2]OUT_PrimaryEnergyCons!H$1:H$1000)</f>
        <v>15.849138910221734</v>
      </c>
      <c r="K4" s="1" cm="1">
        <f t="array" ref="K4">SUMPRODUCT(("RNWWOD1"=[2]OUT_PrimaryEnergyCons!$A$1:$A$1000)*1,[2]OUT_PrimaryEnergyCons!I$1:I$1000)</f>
        <v>16.266396091308938</v>
      </c>
      <c r="L4" s="1" cm="1">
        <f t="array" ref="L4">SUMPRODUCT(("RNWWOD1"=[2]OUT_PrimaryEnergyCons!$A$1:$A$1000)*1,[2]OUT_PrimaryEnergyCons!J$1:J$1000)</f>
        <v>16.956993929394535</v>
      </c>
      <c r="N4" s="1"/>
    </row>
    <row r="5" spans="1:14" x14ac:dyDescent="0.35">
      <c r="A5" s="5" t="str">
        <f t="shared" si="6"/>
        <v>STEM</v>
      </c>
      <c r="B5" s="5" t="str">
        <f t="shared" si="7"/>
        <v>SPS1</v>
      </c>
      <c r="C5" s="5" t="str">
        <f t="shared" si="8"/>
        <v>CH</v>
      </c>
      <c r="D5" t="s">
        <v>9</v>
      </c>
      <c r="E5" t="s">
        <v>8</v>
      </c>
      <c r="F5" s="1" cm="1">
        <f t="array" ref="F5">SUMPRODUCT(("RNWWOD2"=[1]OUT_PrimaryEnergyCons!$A$1:$A$1000)*1,[1]OUT_PrimaryEnergyCons!D$1:D$1000)</f>
        <v>7.511671348406523</v>
      </c>
      <c r="G5" s="1" cm="1">
        <f t="array" ref="G5">SUMPRODUCT(("RNWWOD2"=[1]OUT_PrimaryEnergyCons!$A$1:$A$1000)*1,[1]OUT_PrimaryEnergyCons!E$1:E$1000)</f>
        <v>7.5431417282590161</v>
      </c>
      <c r="H5" s="1" cm="1">
        <f t="array" ref="H5">SUMPRODUCT(("RNWWOD2"=[1]OUT_PrimaryEnergyCons!$A$1:$A$1000)*1,[1]OUT_PrimaryEnergyCons!F$1:F$1000)</f>
        <v>7.5903487008532862</v>
      </c>
      <c r="I5" s="1" cm="1">
        <f t="array" ref="I5">SUMPRODUCT(("RNWWOD2"=[1]OUT_PrimaryEnergyCons!$A$1:$A$1000)*1,[1]OUT_PrimaryEnergyCons!G$1:G$1000)</f>
        <v>7.6690271540081607</v>
      </c>
      <c r="J5" s="1" cm="1">
        <f t="array" ref="J5">SUMPRODUCT(("RNWWOD2"=[2]OUT_PrimaryEnergyCons!$A$1:$A$1000)*1,[2]OUT_PrimaryEnergyCons!H$1:H$1000)</f>
        <v>7.6690262090070105</v>
      </c>
      <c r="K5" s="1" cm="1">
        <f t="array" ref="K5">SUMPRODUCT(("RNWWOD2"=[2]OUT_PrimaryEnergyCons!$A$1:$A$1000)*1,[2]OUT_PrimaryEnergyCons!I$1:I$1000)</f>
        <v>7.6690264958770546</v>
      </c>
      <c r="L5" s="1" cm="1">
        <f t="array" ref="L5">SUMPRODUCT(("RNWWOD2"=[2]OUT_PrimaryEnergyCons!$A$1:$A$1000)*1,[2]OUT_PrimaryEnergyCons!J$1:J$1000)</f>
        <v>7.6690268748015518</v>
      </c>
      <c r="N5" s="1"/>
    </row>
    <row r="6" spans="1:14" x14ac:dyDescent="0.35">
      <c r="A6" s="5" t="str">
        <f t="shared" si="6"/>
        <v>STEM</v>
      </c>
      <c r="B6" s="5" t="str">
        <f t="shared" si="7"/>
        <v>SPS1</v>
      </c>
      <c r="C6" s="5" t="str">
        <f t="shared" si="8"/>
        <v>CH</v>
      </c>
      <c r="D6" t="s">
        <v>11</v>
      </c>
      <c r="E6" t="s">
        <v>8</v>
      </c>
      <c r="F6" s="1" cm="1">
        <f t="array" ref="F6">SUMPRODUCT(("RNWWOD3"=[1]OUT_PrimaryEnergyCons!$A$1:$A$1000)*1,[1]OUT_PrimaryEnergyCons!D$1:D$1000)</f>
        <v>3.1682451864176526</v>
      </c>
      <c r="G6" s="1" cm="1">
        <f t="array" ref="G6">SUMPRODUCT(("RNWWOD3"=[1]OUT_PrimaryEnergyCons!$A$1:$A$1000)*1,[1]OUT_PrimaryEnergyCons!E$1:E$1000)</f>
        <v>3.4956727093226689</v>
      </c>
      <c r="H6" s="1" cm="1">
        <f t="array" ref="H6">SUMPRODUCT(("RNWWOD3"=[1]OUT_PrimaryEnergyCons!$A$1:$A$1000)*1,[1]OUT_PrimaryEnergyCons!F$1:F$1000)</f>
        <v>3.9868152394287297</v>
      </c>
      <c r="I6" s="1" cm="1">
        <f t="array" ref="I6">SUMPRODUCT(("RNWWOD3"=[1]OUT_PrimaryEnergyCons!$A$1:$A$1000)*1,[1]OUT_PrimaryEnergyCons!G$1:G$1000)</f>
        <v>4.8053865474766759</v>
      </c>
      <c r="J6" s="1" cm="1">
        <f t="array" ref="J6">SUMPRODUCT(("RNWWOD3"=[2]OUT_PrimaryEnergyCons!$A$1:$A$1000)*1,[2]OUT_PrimaryEnergyCons!H$1:H$1000)</f>
        <v>4.8053853760272203</v>
      </c>
      <c r="K6" s="1" cm="1">
        <f t="array" ref="K6">SUMPRODUCT(("RNWWOD3"=[2]OUT_PrimaryEnergyCons!$A$1:$A$1000)*1,[2]OUT_PrimaryEnergyCons!I$1:I$1000)</f>
        <v>4.8053857399336355</v>
      </c>
      <c r="L6" s="1" cm="1">
        <f t="array" ref="L6">SUMPRODUCT(("RNWWOD3"=[2]OUT_PrimaryEnergyCons!$A$1:$A$1000)*1,[2]OUT_PrimaryEnergyCons!J$1:J$1000)</f>
        <v>4.8053858039942208</v>
      </c>
      <c r="N6" s="1"/>
    </row>
    <row r="7" spans="1:14" x14ac:dyDescent="0.35">
      <c r="A7" s="5" t="str">
        <f t="shared" si="6"/>
        <v>STEM</v>
      </c>
      <c r="B7" s="5" t="str">
        <f t="shared" si="7"/>
        <v>SPS1</v>
      </c>
      <c r="C7" s="5" t="str">
        <f t="shared" si="8"/>
        <v>CH</v>
      </c>
      <c r="D7" t="s">
        <v>12</v>
      </c>
      <c r="E7" t="s">
        <v>8</v>
      </c>
      <c r="F7" s="1" cm="1">
        <f t="array" ref="F7">SUMPRODUCT(("RNWWOD4"=[1]OUT_PrimaryEnergyCons!$A$1:$A$1000)*1+("RNWWOD5"=[1]OUT_PrimaryEnergyCons!$A$1:$A$1000)*1,[1]OUT_PrimaryEnergyCons!D$1:D$1000)</f>
        <v>23.180640593965236</v>
      </c>
      <c r="G7" s="1" cm="1">
        <f t="array" ref="G7">SUMPRODUCT(("RNWWOD4"=[1]OUT_PrimaryEnergyCons!$A$1:$A$1000)*1+("RNWWOD5"=[1]OUT_PrimaryEnergyCons!$A$1:$A$1000)*1,[1]OUT_PrimaryEnergyCons!E$1:E$1000)</f>
        <v>25.198772631152583</v>
      </c>
      <c r="H7" s="1" cm="1">
        <f t="array" ref="H7">SUMPRODUCT(("RNWWOD4"=[1]OUT_PrimaryEnergyCons!$A$1:$A$1000)*1+("RNWWOD5"=[1]OUT_PrimaryEnergyCons!$A$1:$A$1000)*1,[1]OUT_PrimaryEnergyCons!F$1:F$1000)</f>
        <v>23.398960383828015</v>
      </c>
      <c r="I7" s="1" cm="1">
        <f t="array" ref="I7">SUMPRODUCT(("RNWWOD4"=[1]OUT_PrimaryEnergyCons!$A$1:$A$1000)*1+("RNWWOD5"=[1]OUT_PrimaryEnergyCons!$A$1:$A$1000)*1,[1]OUT_PrimaryEnergyCons!G$1:G$1000)</f>
        <v>20.399195647773499</v>
      </c>
      <c r="J7" s="1" cm="1">
        <f t="array" ref="J7">SUMPRODUCT(("RNWWOD4"=[2]OUT_PrimaryEnergyCons!$A$1:$A$1000)*1+("RNWWOD5"=[2]OUT_PrimaryEnergyCons!$A$1:$A$1000)*1,[2]OUT_PrimaryEnergyCons!H$1:H$1000)</f>
        <v>22.882401978707552</v>
      </c>
      <c r="K7" s="1" cm="1">
        <f t="array" ref="K7">SUMPRODUCT(("RNWWOD4"=[2]OUT_PrimaryEnergyCons!$A$1:$A$1000)*1+("RNWWOD5"=[2]OUT_PrimaryEnergyCons!$A$1:$A$1000)*1,[2]OUT_PrimaryEnergyCons!I$1:I$1000)</f>
        <v>23.395899745582863</v>
      </c>
      <c r="L7" s="1" cm="1">
        <f t="array" ref="L7">SUMPRODUCT(("RNWWOD4"=[2]OUT_PrimaryEnergyCons!$A$1:$A$1000)*1+("RNWWOD5"=[2]OUT_PrimaryEnergyCons!$A$1:$A$1000)*1,[2]OUT_PrimaryEnergyCons!J$1:J$1000)</f>
        <v>22.705306667773144</v>
      </c>
      <c r="N7" s="1"/>
    </row>
    <row r="8" spans="1:14" x14ac:dyDescent="0.35">
      <c r="A8" s="5" t="str">
        <f t="shared" si="6"/>
        <v>STEM</v>
      </c>
      <c r="B8" s="5" t="str">
        <f t="shared" si="7"/>
        <v>SPS1</v>
      </c>
      <c r="C8" s="5" t="str">
        <f t="shared" si="8"/>
        <v>CH</v>
      </c>
      <c r="D8" t="s">
        <v>772</v>
      </c>
      <c r="E8" t="s">
        <v>8</v>
      </c>
      <c r="F8" s="1">
        <f>SUM(F9:F10)</f>
        <v>70.031507525952819</v>
      </c>
      <c r="G8" s="1">
        <f t="shared" ref="G8:K8" si="9">SUM(G9:G10)</f>
        <v>70.696978637661886</v>
      </c>
      <c r="H8" s="1">
        <f t="shared" si="9"/>
        <v>70.30407000901107</v>
      </c>
      <c r="I8" s="1">
        <f t="shared" si="9"/>
        <v>69.854559989066217</v>
      </c>
      <c r="J8" s="1">
        <f t="shared" si="9"/>
        <v>69.752071593195353</v>
      </c>
      <c r="K8" s="1">
        <f t="shared" si="9"/>
        <v>69.973945961346288</v>
      </c>
      <c r="L8" s="1">
        <f t="shared" ref="L8" si="10">SUM(L9:L10)</f>
        <v>70.41768660079687</v>
      </c>
      <c r="N8" s="1"/>
    </row>
    <row r="9" spans="1:14" x14ac:dyDescent="0.35">
      <c r="A9" s="5" t="str">
        <f t="shared" si="6"/>
        <v>STEM</v>
      </c>
      <c r="B9" s="5" t="str">
        <f t="shared" si="7"/>
        <v>SPS1</v>
      </c>
      <c r="C9" s="5" t="str">
        <f t="shared" si="8"/>
        <v>CH</v>
      </c>
      <c r="D9" t="s">
        <v>13</v>
      </c>
      <c r="E9" t="s">
        <v>8</v>
      </c>
      <c r="F9" s="1" cm="1">
        <f t="array" ref="F9">SUMPRODUCT(("RNNWWST1"=[1]OUT_PrimaryEnergyCons!$A$1:$A$1000)*1,[1]OUT_PrimaryEnergyCons!D$1:D$1000)</f>
        <v>35.931071219635335</v>
      </c>
      <c r="G9" s="1" cm="1">
        <f t="array" ref="G9">SUMPRODUCT(("RNNWWST1"=[1]OUT_PrimaryEnergyCons!$A$1:$A$1000)*1,[1]OUT_PrimaryEnergyCons!E$1:E$1000)</f>
        <v>35.882383983203951</v>
      </c>
      <c r="H9" s="1" cm="1">
        <f t="array" ref="H9">SUMPRODUCT(("RNNWWST1"=[1]OUT_PrimaryEnergyCons!$A$1:$A$1000)*1,[1]OUT_PrimaryEnergyCons!F$1:F$1000)</f>
        <v>35.489472801443291</v>
      </c>
      <c r="I9" s="1" cm="1">
        <f t="array" ref="I9">SUMPRODUCT(("RNNWWST1"=[1]OUT_PrimaryEnergyCons!$A$1:$A$1000)*1,[1]OUT_PrimaryEnergyCons!G$1:G$1000)</f>
        <v>35.039964672616627</v>
      </c>
      <c r="J9" s="1" cm="1">
        <f t="array" ref="J9">SUMPRODUCT(("RNNWWST1"=[2]OUT_PrimaryEnergyCons!$A$1:$A$1000)*1,[2]OUT_PrimaryEnergyCons!H$1:H$1000)</f>
        <v>34.937585695956862</v>
      </c>
      <c r="K9" s="1" cm="1">
        <f t="array" ref="K9">SUMPRODUCT(("RNNWWST1"=[2]OUT_PrimaryEnergyCons!$A$1:$A$1000)*1,[2]OUT_PrimaryEnergyCons!I$1:I$1000)</f>
        <v>35.159449798680114</v>
      </c>
      <c r="L9" s="1" cm="1">
        <f t="array" ref="L9">SUMPRODUCT(("RNNWWST1"=[2]OUT_PrimaryEnergyCons!$A$1:$A$1000)*1,[2]OUT_PrimaryEnergyCons!J$1:J$1000)</f>
        <v>35.603176042519124</v>
      </c>
      <c r="N9" s="1"/>
    </row>
    <row r="10" spans="1:14" x14ac:dyDescent="0.35">
      <c r="A10" s="5" t="str">
        <f t="shared" si="6"/>
        <v>STEM</v>
      </c>
      <c r="B10" s="5" t="str">
        <f t="shared" si="7"/>
        <v>SPS1</v>
      </c>
      <c r="C10" s="5" t="str">
        <f t="shared" si="8"/>
        <v>CH</v>
      </c>
      <c r="D10" t="s">
        <v>14</v>
      </c>
      <c r="E10" t="s">
        <v>8</v>
      </c>
      <c r="F10" s="1" cm="1">
        <f t="array" ref="F10">SUMPRODUCT(("RNWWST1"=[1]OUT_PrimaryEnergyCons!$A$1:$A$1000)*1,[1]OUT_PrimaryEnergyCons!D$1:D$1000)</f>
        <v>34.100436306317484</v>
      </c>
      <c r="G10" s="1" cm="1">
        <f t="array" ref="G10">SUMPRODUCT(("RNWWST1"=[1]OUT_PrimaryEnergyCons!$A$1:$A$1000)*1,[1]OUT_PrimaryEnergyCons!E$1:E$1000)</f>
        <v>34.814594654457927</v>
      </c>
      <c r="H10" s="1" cm="1">
        <f t="array" ref="H10">SUMPRODUCT(("RNWWST1"=[1]OUT_PrimaryEnergyCons!$A$1:$A$1000)*1,[1]OUT_PrimaryEnergyCons!F$1:F$1000)</f>
        <v>34.814597207567772</v>
      </c>
      <c r="I10" s="1" cm="1">
        <f t="array" ref="I10">SUMPRODUCT(("RNWWST1"=[1]OUT_PrimaryEnergyCons!$A$1:$A$1000)*1,[1]OUT_PrimaryEnergyCons!G$1:G$1000)</f>
        <v>34.814595316449584</v>
      </c>
      <c r="J10" s="1" cm="1">
        <f t="array" ref="J10">SUMPRODUCT(("RNWWST1"=[2]OUT_PrimaryEnergyCons!$A$1:$A$1000)*1,[2]OUT_PrimaryEnergyCons!H$1:H$1000)</f>
        <v>34.814485897238484</v>
      </c>
      <c r="K10" s="1" cm="1">
        <f t="array" ref="K10">SUMPRODUCT(("RNWWST1"=[2]OUT_PrimaryEnergyCons!$A$1:$A$1000)*1,[2]OUT_PrimaryEnergyCons!I$1:I$1000)</f>
        <v>34.814496162666167</v>
      </c>
      <c r="L10" s="1" cm="1">
        <f t="array" ref="L10">SUMPRODUCT(("RNWWST1"=[2]OUT_PrimaryEnergyCons!$A$1:$A$1000)*1,[2]OUT_PrimaryEnergyCons!J$1:J$1000)</f>
        <v>34.814510558277746</v>
      </c>
      <c r="N10" s="1"/>
    </row>
    <row r="11" spans="1:14" x14ac:dyDescent="0.35">
      <c r="A11" s="5" t="str">
        <f t="shared" si="6"/>
        <v>STEM</v>
      </c>
      <c r="B11" s="5" t="str">
        <f t="shared" si="7"/>
        <v>SPS1</v>
      </c>
      <c r="C11" s="5" t="str">
        <f t="shared" si="8"/>
        <v>CH</v>
      </c>
      <c r="D11" t="s">
        <v>773</v>
      </c>
      <c r="E11" t="s">
        <v>8</v>
      </c>
      <c r="F11" s="1" cm="1">
        <f t="array" ref="F11">SUMPRODUCT(("mnr"=[1]OUT_PrimaryEnergyCons!$C$1:$C$1000)*1,[1]OUT_PrimaryEnergyCons!D$1:D$1000)</f>
        <v>3.798085649147819</v>
      </c>
      <c r="G11" s="1" cm="1">
        <f t="array" ref="G11">SUMPRODUCT(("mnr"=[1]OUT_PrimaryEnergyCons!$C$1:$C$1000)*1,[1]OUT_PrimaryEnergyCons!E$1:E$1000)</f>
        <v>12.115548025655132</v>
      </c>
      <c r="H11" s="1" cm="1">
        <f t="array" ref="H11">SUMPRODUCT(("mnr"=[1]OUT_PrimaryEnergyCons!$C$1:$C$1000)*1,[1]OUT_PrimaryEnergyCons!F$1:F$1000)</f>
        <v>12.540331484817028</v>
      </c>
      <c r="I11" s="1" cm="1">
        <f t="array" ref="I11">SUMPRODUCT(("mnr"=[1]OUT_PrimaryEnergyCons!$C$1:$C$1000)*1,[1]OUT_PrimaryEnergyCons!G$1:G$1000)</f>
        <v>12.540425793035288</v>
      </c>
      <c r="J11" s="1" cm="1">
        <f t="array" ref="J11">SUMPRODUCT(("mnr"=[2]OUT_PrimaryEnergyCons!$C$1:$C$1000)*1,[2]OUT_PrimaryEnergyCons!H$1:H$1000)</f>
        <v>12.54042684227449</v>
      </c>
      <c r="K11" s="1" cm="1">
        <f t="array" ref="K11">SUMPRODUCT(("mnr"=[2]OUT_PrimaryEnergyCons!$C$1:$C$1000)*1,[2]OUT_PrimaryEnergyCons!I$1:I$1000)</f>
        <v>12.641669574355801</v>
      </c>
      <c r="L11" s="1" cm="1">
        <f t="array" ref="L11">SUMPRODUCT(("mnr"=[2]OUT_PrimaryEnergyCons!$C$1:$C$1000)*1,[2]OUT_PrimaryEnergyCons!J$1:J$1000)</f>
        <v>17.636690575994571</v>
      </c>
      <c r="N11" s="1"/>
    </row>
    <row r="12" spans="1:14" x14ac:dyDescent="0.35">
      <c r="A12" s="5" t="str">
        <f t="shared" si="6"/>
        <v>STEM</v>
      </c>
      <c r="B12" s="5" t="str">
        <f t="shared" si="7"/>
        <v>SPS1</v>
      </c>
      <c r="C12" s="5" t="str">
        <f t="shared" si="8"/>
        <v>CH</v>
      </c>
      <c r="D12" t="s">
        <v>774</v>
      </c>
      <c r="E12" t="s">
        <v>8</v>
      </c>
      <c r="F12" s="1">
        <f>SUM(F13:F15)</f>
        <v>149.43048165857232</v>
      </c>
      <c r="G12" s="1">
        <f t="shared" ref="G12:K12" si="11">SUM(G13:G15)</f>
        <v>125.60470577767911</v>
      </c>
      <c r="H12" s="1">
        <f t="shared" si="11"/>
        <v>137.62371386910246</v>
      </c>
      <c r="I12" s="1">
        <f t="shared" si="11"/>
        <v>150.6245500727326</v>
      </c>
      <c r="J12" s="1">
        <f t="shared" si="11"/>
        <v>150.69272006801111</v>
      </c>
      <c r="K12" s="1">
        <f t="shared" si="11"/>
        <v>150.82546570861854</v>
      </c>
      <c r="L12" s="1">
        <f t="shared" ref="L12" si="12">SUM(L13:L15)</f>
        <v>151.06688373926661</v>
      </c>
      <c r="N12" s="1"/>
    </row>
    <row r="13" spans="1:14" x14ac:dyDescent="0.35">
      <c r="A13" s="5" t="str">
        <f t="shared" si="6"/>
        <v>STEM</v>
      </c>
      <c r="B13" s="5" t="str">
        <f t="shared" si="7"/>
        <v>SPS1</v>
      </c>
      <c r="C13" s="5" t="str">
        <f t="shared" si="8"/>
        <v>CH</v>
      </c>
      <c r="D13" t="s">
        <v>16</v>
      </c>
      <c r="E13" t="s">
        <v>8</v>
      </c>
      <c r="F13" s="1" cm="1">
        <f t="array" ref="F13">SUMPRODUCT(ISNUMBER(SEARCH("EHYD-DAM",[1]OUT_Electricity_CHP!$B$1:$B$10000))*1,([1]OUT_Electricity_CHP!$C$1:$C$10000="Var_Fout")*1,ISNUMBER(SEARCH("ELC",[1]OUT_Electricity_CHP!$D$1:$D$10000))*1,[1]OUT_Electricity_CHP!E$1:E$10000)</f>
        <v>66.745679999995161</v>
      </c>
      <c r="G13" s="1" cm="1">
        <f t="array" ref="G13">SUMPRODUCT(ISNUMBER(SEARCH("EHYD-DAM",[1]OUT_Electricity_CHP!$B$1:$B$10000))*1,([1]OUT_Electricity_CHP!$C$1:$C$10000="Var_Fout")*1,ISNUMBER(SEARCH("ELC",[1]OUT_Electricity_CHP!$D$1:$D$10000))*1,[1]OUT_Electricity_CHP!F$1:F$10000)</f>
        <v>49.798799902568817</v>
      </c>
      <c r="H13" s="1" cm="1">
        <f t="array" ref="H13">SUMPRODUCT(ISNUMBER(SEARCH("EHYD-DAM",[1]OUT_Electricity_CHP!$B$1:$B$10000))*1,([1]OUT_Electricity_CHP!$C$1:$C$10000="Var_Fout")*1,ISNUMBER(SEARCH("ELC",[1]OUT_Electricity_CHP!$D$1:$D$10000))*1,[1]OUT_Electricity_CHP!G$1:G$10000)</f>
        <v>69.098091987387846</v>
      </c>
      <c r="I13" s="1" cm="1">
        <f t="array" ref="I13">SUMPRODUCT(ISNUMBER(SEARCH("EHYD-DAM",[1]OUT_Electricity_CHP!$B$1:$B$10000))*1,([1]OUT_Electricity_CHP!$C$1:$C$10000="Var_Fout")*1,ISNUMBER(SEARCH("ELC",[1]OUT_Electricity_CHP!$D$1:$D$10000))*1,[1]OUT_Electricity_CHP!H$1:H$10000)</f>
        <v>70.384657838973283</v>
      </c>
      <c r="J13" s="1" cm="1">
        <f t="array" ref="J13">SUMPRODUCT(ISNUMBER(SEARCH("EHYD-DAM",[2]OUT_Electricity_CHP!$B$1:$B$10000))*1,([2]OUT_Electricity_CHP!$C$1:$C$10000="Var_Fout")*1,ISNUMBER(SEARCH("ELC",[2]OUT_Electricity_CHP!$D$1:$D$10000))*1,[2]OUT_Electricity_CHP!I$1:I$10000)</f>
        <v>71.52327812530406</v>
      </c>
      <c r="K13" s="1" cm="1">
        <f t="array" ref="K13">SUMPRODUCT(ISNUMBER(SEARCH("EHYD-DAM",[2]OUT_Electricity_CHP!$B$1:$B$10000))*1,([2]OUT_Electricity_CHP!$C$1:$C$10000="Var_Fout")*1,ISNUMBER(SEARCH("ELC",[2]OUT_Electricity_CHP!$D$1:$D$10000))*1,[2]OUT_Electricity_CHP!J$1:J$10000)</f>
        <v>72.607215568765483</v>
      </c>
      <c r="L13" s="1" cm="1">
        <f t="array" ref="L13">SUMPRODUCT(ISNUMBER(SEARCH("EHYD-DAM",[2]OUT_Electricity_CHP!$B$1:$B$10000))*1,([2]OUT_Electricity_CHP!$C$1:$C$10000="Var_Fout")*1,ISNUMBER(SEARCH("ELC",[2]OUT_Electricity_CHP!$D$1:$D$10000))*1,[2]OUT_Electricity_CHP!K$1:K$10000)</f>
        <v>74.776919064631173</v>
      </c>
      <c r="N13" s="1"/>
    </row>
    <row r="14" spans="1:14" x14ac:dyDescent="0.35">
      <c r="A14" s="5" t="str">
        <f t="shared" si="6"/>
        <v>STEM</v>
      </c>
      <c r="B14" s="5" t="str">
        <f t="shared" si="7"/>
        <v>SPS1</v>
      </c>
      <c r="C14" s="5" t="str">
        <f t="shared" si="8"/>
        <v>CH</v>
      </c>
      <c r="D14" t="s">
        <v>17</v>
      </c>
      <c r="E14" t="s">
        <v>8</v>
      </c>
      <c r="F14" s="1" cm="1">
        <f t="array" ref="F14">SUMPRODUCT(ISNUMBER(SEARCH("EHYD-RUN",[1]OUT_Electricity_CHP!$B$1:$B$10000))*1,([1]OUT_Electricity_CHP!$C$1:$C$10000="Var_Fout")*1,ISNUMBER(SEARCH("ELC",[1]OUT_Electricity_CHP!$D$1:$D$10000))*1,[1]OUT_Electricity_CHP!E$1:E$10000)</f>
        <v>66.632400218261907</v>
      </c>
      <c r="G14" s="1" cm="1">
        <f t="array" ref="G14">SUMPRODUCT(ISNUMBER(SEARCH("EHYD-RUN",[1]OUT_Electricity_CHP!$B$1:$B$10000))*1,([1]OUT_Electricity_CHP!$C$1:$C$10000="Var_Fout")*1,ISNUMBER(SEARCH("ELC",[1]OUT_Electricity_CHP!$D$1:$D$10000))*1,[1]OUT_Electricity_CHP!F$1:F$10000)</f>
        <v>55.76400049992705</v>
      </c>
      <c r="H14" s="1" cm="1">
        <f t="array" ref="H14">SUMPRODUCT(ISNUMBER(SEARCH("EHYD-RUN",[1]OUT_Electricity_CHP!$B$1:$B$10000))*1,([1]OUT_Electricity_CHP!$C$1:$C$10000="Var_Fout")*1,ISNUMBER(SEARCH("ELC",[1]OUT_Electricity_CHP!$D$1:$D$10000))*1,[1]OUT_Electricity_CHP!G$1:G$10000)</f>
        <v>65.549520725005422</v>
      </c>
      <c r="I14" s="1" cm="1">
        <f t="array" ref="I14">SUMPRODUCT(ISNUMBER(SEARCH("EHYD-RUN",[1]OUT_Electricity_CHP!$B$1:$B$10000))*1,([1]OUT_Electricity_CHP!$C$1:$C$10000="Var_Fout")*1,ISNUMBER(SEARCH("ELC",[1]OUT_Electricity_CHP!$D$1:$D$10000))*1,[1]OUT_Electricity_CHP!H$1:H$10000)</f>
        <v>64.46572592756182</v>
      </c>
      <c r="J14" s="1" cm="1">
        <f t="array" ref="J14">SUMPRODUCT(ISNUMBER(SEARCH("EHYD-RUN",[2]OUT_Electricity_CHP!$B$1:$B$10000))*1,([2]OUT_Electricity_CHP!$C$1:$C$10000="Var_Fout")*1,ISNUMBER(SEARCH("ELC",[2]OUT_Electricity_CHP!$D$1:$D$10000))*1,[2]OUT_Electricity_CHP!I$1:I$10000)</f>
        <v>63.385979563224339</v>
      </c>
      <c r="K14" s="1" cm="1">
        <f t="array" ref="K14">SUMPRODUCT(ISNUMBER(SEARCH("EHYD-RUN",[2]OUT_Electricity_CHP!$B$1:$B$10000))*1,([2]OUT_Electricity_CHP!$C$1:$C$10000="Var_Fout")*1,ISNUMBER(SEARCH("ELC",[2]OUT_Electricity_CHP!$D$1:$D$10000))*1,[2]OUT_Electricity_CHP!J$1:J$10000)</f>
        <v>62.302042598831932</v>
      </c>
      <c r="L14" s="1" cm="1">
        <f t="array" ref="L14">SUMPRODUCT(ISNUMBER(SEARCH("EHYD-RUN",[2]OUT_Electricity_CHP!$B$1:$B$10000))*1,([2]OUT_Electricity_CHP!$C$1:$C$10000="Var_Fout")*1,ISNUMBER(SEARCH("ELC",[2]OUT_Electricity_CHP!$D$1:$D$10000))*1,[2]OUT_Electricity_CHP!K$1:K$10000)</f>
        <v>60.132340541967814</v>
      </c>
      <c r="N14" s="1"/>
    </row>
    <row r="15" spans="1:14" x14ac:dyDescent="0.35">
      <c r="A15" s="5" t="str">
        <f t="shared" si="6"/>
        <v>STEM</v>
      </c>
      <c r="B15" s="5" t="str">
        <f t="shared" si="7"/>
        <v>SPS1</v>
      </c>
      <c r="C15" s="5" t="str">
        <f t="shared" si="8"/>
        <v>CH</v>
      </c>
      <c r="D15" t="s">
        <v>18</v>
      </c>
      <c r="E15" t="s">
        <v>8</v>
      </c>
      <c r="F15" s="1" cm="1">
        <f t="array" ref="F15">SUMPRODUCT(ISNUMBER(SEARCH("EHYD-PUM",[1]OUT_Electricity_CHP!$B$1:$B$10000))*1,([1]OUT_Electricity_CHP!$C$1:$C$10000="Var_Fin")*1,ISNUMBER(SEARCH("elc",[1]OUT_Electricity_CHP!$D$1:$D$10000))*1,[1]OUT_Electricity_CHP!E$1:E$10000)</f>
        <v>16.052401440315233</v>
      </c>
      <c r="G15" s="1" cm="1">
        <f t="array" ref="G15">SUMPRODUCT(ISNUMBER(SEARCH("EHYD-PUM",[1]OUT_Electricity_CHP!$B$1:$B$10000))*1,([1]OUT_Electricity_CHP!$C$1:$C$10000="Var_Fin")*1,ISNUMBER(SEARCH("elc",[1]OUT_Electricity_CHP!$D$1:$D$10000))*1,[1]OUT_Electricity_CHP!F$1:F$10000)</f>
        <v>20.041905375183251</v>
      </c>
      <c r="H15" s="1" cm="1">
        <f t="array" ref="H15">SUMPRODUCT(ISNUMBER(SEARCH("EHYD-PUM",[1]OUT_Electricity_CHP!$B$1:$B$10000))*1,([1]OUT_Electricity_CHP!$C$1:$C$10000="Var_Fin")*1,ISNUMBER(SEARCH("elc",[1]OUT_Electricity_CHP!$D$1:$D$10000))*1,[1]OUT_Electricity_CHP!G$1:G$10000)</f>
        <v>2.9761011567091971</v>
      </c>
      <c r="I15" s="1" cm="1">
        <f t="array" ref="I15">SUMPRODUCT(ISNUMBER(SEARCH("EHYD-PUM",[1]OUT_Electricity_CHP!$B$1:$B$10000))*1,([1]OUT_Electricity_CHP!$C$1:$C$10000="Var_Fin")*1,ISNUMBER(SEARCH("elc",[1]OUT_Electricity_CHP!$D$1:$D$10000))*1,[1]OUT_Electricity_CHP!H$1:H$10000)</f>
        <v>15.77416630619749</v>
      </c>
      <c r="J15" s="1" cm="1">
        <f t="array" ref="J15">SUMPRODUCT(ISNUMBER(SEARCH("EHYD-PUM",[2]OUT_Electricity_CHP!$B$1:$B$10000))*1,([2]OUT_Electricity_CHP!$C$1:$C$10000="Var_Fin")*1,ISNUMBER(SEARCH("elc",[2]OUT_Electricity_CHP!$D$1:$D$10000))*1,[2]OUT_Electricity_CHP!I$1:I$10000)</f>
        <v>15.783462379482728</v>
      </c>
      <c r="K15" s="1" cm="1">
        <f t="array" ref="K15">SUMPRODUCT(ISNUMBER(SEARCH("EHYD-PUM",[2]OUT_Electricity_CHP!$B$1:$B$10000))*1,([2]OUT_Electricity_CHP!$C$1:$C$10000="Var_Fin")*1,ISNUMBER(SEARCH("elc",[2]OUT_Electricity_CHP!$D$1:$D$10000))*1,[2]OUT_Electricity_CHP!J$1:J$10000)</f>
        <v>15.916207541021121</v>
      </c>
      <c r="L15" s="1" cm="1">
        <f t="array" ref="L15">SUMPRODUCT(ISNUMBER(SEARCH("EHYD-PUM",[2]OUT_Electricity_CHP!$B$1:$B$10000))*1,([2]OUT_Electricity_CHP!$C$1:$C$10000="Var_Fin")*1,ISNUMBER(SEARCH("elc",[2]OUT_Electricity_CHP!$D$1:$D$10000))*1,[2]OUT_Electricity_CHP!K$1:K$10000)</f>
        <v>16.157624132667632</v>
      </c>
      <c r="N15" s="1"/>
    </row>
    <row r="16" spans="1:14" x14ac:dyDescent="0.35">
      <c r="A16" s="5" t="str">
        <f t="shared" si="6"/>
        <v>STEM</v>
      </c>
      <c r="B16" s="5" t="str">
        <f t="shared" si="7"/>
        <v>SPS1</v>
      </c>
      <c r="C16" s="5" t="str">
        <f t="shared" si="8"/>
        <v>CH</v>
      </c>
      <c r="D16" t="s">
        <v>775</v>
      </c>
      <c r="E16" t="s">
        <v>8</v>
      </c>
      <c r="F16" s="1" cm="1">
        <f t="array" ref="F16">SUMPRODUCT(ISNUMBER(SEARCH("SOL",[1]OUT_PrimaryEnergyCons!$C$1:$C$1000))*1,[1]OUT_PrimaryEnergyCons!D$1:D$1000)</f>
        <v>12.556465000061728</v>
      </c>
      <c r="G16" s="1" cm="1">
        <f t="array" ref="G16">SUMPRODUCT(ISNUMBER(SEARCH("SOL",[1]OUT_PrimaryEnergyCons!$C$1:$C$1000))*1,[1]OUT_PrimaryEnergyCons!E$1:E$1000)</f>
        <v>16.522192758234073</v>
      </c>
      <c r="H16" s="1" cm="1">
        <f t="array" ref="H16">SUMPRODUCT(ISNUMBER(SEARCH("SOL",[1]OUT_PrimaryEnergyCons!$C$1:$C$1000))*1,[1]OUT_PrimaryEnergyCons!F$1:F$1000)</f>
        <v>30.34331457243988</v>
      </c>
      <c r="I16" s="1" cm="1">
        <f t="array" ref="I16">SUMPRODUCT(ISNUMBER(SEARCH("SOL",[1]OUT_PrimaryEnergyCons!$C$1:$C$1000))*1,[1]OUT_PrimaryEnergyCons!G$1:G$1000)</f>
        <v>40.766964163093263</v>
      </c>
      <c r="J16" s="1" cm="1">
        <f t="array" ref="J16">SUMPRODUCT(ISNUMBER(SEARCH("SOL",[2]OUT_PrimaryEnergyCons!$C$1:$C$1000))*1,[2]OUT_PrimaryEnergyCons!H$1:H$1000)</f>
        <v>42.651103352334808</v>
      </c>
      <c r="K16" s="1" cm="1">
        <f t="array" ref="K16">SUMPRODUCT(ISNUMBER(SEARCH("SOL",[2]OUT_PrimaryEnergyCons!$C$1:$C$1000))*1,[2]OUT_PrimaryEnergyCons!I$1:I$1000)</f>
        <v>52.374004325489423</v>
      </c>
      <c r="L16" s="1" cm="1">
        <f t="array" ref="L16">SUMPRODUCT(ISNUMBER(SEARCH("SOL",[2]OUT_PrimaryEnergyCons!$C$1:$C$1000))*1,[2]OUT_PrimaryEnergyCons!J$1:J$1000)</f>
        <v>70.01370716975218</v>
      </c>
      <c r="N16" s="1"/>
    </row>
    <row r="17" spans="1:18" x14ac:dyDescent="0.35">
      <c r="A17" s="5" t="str">
        <f t="shared" si="6"/>
        <v>STEM</v>
      </c>
      <c r="B17" s="5" t="str">
        <f t="shared" si="7"/>
        <v>SPS1</v>
      </c>
      <c r="C17" s="5" t="str">
        <f t="shared" si="8"/>
        <v>CH</v>
      </c>
      <c r="D17" t="s">
        <v>776</v>
      </c>
      <c r="E17" t="s">
        <v>8</v>
      </c>
      <c r="F17" s="1" cm="1">
        <f t="array" ref="F17">SUMPRODUCT(ISNUMBER(SEARCH("wnd",[1]OUT_PrimaryEnergyCons!$C$1:$C$1000))*1,[1]OUT_PrimaryEnergyCons!D$1:D$1000)</f>
        <v>0.52400642375679729</v>
      </c>
      <c r="G17" s="1" cm="1">
        <f t="array" ref="G17">SUMPRODUCT(ISNUMBER(SEARCH("wnd",[1]OUT_PrimaryEnergyCons!$C$1:$C$1000))*1,[1]OUT_PrimaryEnergyCons!E$1:E$1000)</f>
        <v>0.54529296852200548</v>
      </c>
      <c r="H17" s="1" cm="1">
        <f t="array" ref="H17">SUMPRODUCT(ISNUMBER(SEARCH("wnd",[1]OUT_PrimaryEnergyCons!$C$1:$C$1000))*1,[1]OUT_PrimaryEnergyCons!F$1:F$1000)</f>
        <v>0.50316556827708514</v>
      </c>
      <c r="I17" s="1" cm="1">
        <f t="array" ref="I17">SUMPRODUCT(ISNUMBER(SEARCH("wnd",[1]OUT_PrimaryEnergyCons!$C$1:$C$1000))*1,[1]OUT_PrimaryEnergyCons!G$1:G$1000)</f>
        <v>2.0502669905397286</v>
      </c>
      <c r="J17" s="1" cm="1">
        <f t="array" ref="J17">SUMPRODUCT(ISNUMBER(SEARCH("wnd",[2]OUT_PrimaryEnergyCons!$C$1:$C$1000))*1,[2]OUT_PrimaryEnergyCons!H$1:H$1000)</f>
        <v>0.93821047002472202</v>
      </c>
      <c r="K17" s="1" cm="1">
        <f t="array" ref="K17">SUMPRODUCT(ISNUMBER(SEARCH("wnd",[2]OUT_PrimaryEnergyCons!$C$1:$C$1000))*1,[2]OUT_PrimaryEnergyCons!I$1:I$1000)</f>
        <v>0.93822668666419484</v>
      </c>
      <c r="L17" s="1" cm="1">
        <f t="array" ref="L17">SUMPRODUCT(ISNUMBER(SEARCH("wnd",[2]OUT_PrimaryEnergyCons!$C$1:$C$1000))*1,[2]OUT_PrimaryEnergyCons!J$1:J$1000)</f>
        <v>0.93859980693928891</v>
      </c>
      <c r="N17" s="1"/>
    </row>
    <row r="18" spans="1:18" x14ac:dyDescent="0.35">
      <c r="A18" s="5" t="str">
        <f t="shared" si="6"/>
        <v>STEM</v>
      </c>
      <c r="B18" s="5" t="str">
        <f t="shared" si="7"/>
        <v>SPS1</v>
      </c>
      <c r="C18" s="5" t="str">
        <f t="shared" si="8"/>
        <v>CH</v>
      </c>
      <c r="D18" t="s">
        <v>777</v>
      </c>
      <c r="E18" t="s">
        <v>8</v>
      </c>
      <c r="F18" s="1">
        <f>[1]Overview!B$9-F19</f>
        <v>18.873044481613956</v>
      </c>
      <c r="G18" s="1">
        <f>[1]Overview!C$9-G19</f>
        <v>21.777499389657525</v>
      </c>
      <c r="H18" s="1">
        <f>[1]Overview!D$9-H19</f>
        <v>30.279618665040868</v>
      </c>
      <c r="I18" s="1">
        <f>[1]Overview!E$9-I19</f>
        <v>45.898068735404799</v>
      </c>
      <c r="J18" s="1">
        <f>[2]Overview!F$9-J19</f>
        <v>55.729803638735731</v>
      </c>
      <c r="K18" s="1">
        <f>[2]Overview!G$9-K19</f>
        <v>63.517401676433231</v>
      </c>
      <c r="L18" s="1">
        <f>[2]Overview!H$9-L19</f>
        <v>85.086384660448374</v>
      </c>
      <c r="N18" s="1"/>
    </row>
    <row r="19" spans="1:18" x14ac:dyDescent="0.35">
      <c r="A19" s="5" t="str">
        <f t="shared" si="6"/>
        <v>STEM</v>
      </c>
      <c r="B19" s="5" t="str">
        <f t="shared" si="7"/>
        <v>SPS1</v>
      </c>
      <c r="C19" s="5" t="str">
        <f t="shared" si="8"/>
        <v>CH</v>
      </c>
      <c r="D19" t="s">
        <v>778</v>
      </c>
      <c r="E19" t="s">
        <v>8</v>
      </c>
      <c r="F19" s="1">
        <f>+[1]Overview!B$28</f>
        <v>0</v>
      </c>
      <c r="G19" s="1">
        <f>+[1]Overview!C$28</f>
        <v>0</v>
      </c>
      <c r="H19" s="1">
        <f>+[1]Overview!D$28</f>
        <v>0</v>
      </c>
      <c r="I19" s="1">
        <f>+[1]Overview!E$28</f>
        <v>0</v>
      </c>
      <c r="J19" s="1">
        <f>+[2]Overview!F$28</f>
        <v>0</v>
      </c>
      <c r="K19" s="1">
        <f>+[2]Overview!G$28</f>
        <v>1.6764986827461054E-2</v>
      </c>
      <c r="L19" s="1">
        <f>+[2]Overview!H$28</f>
        <v>0.10657570949114312</v>
      </c>
      <c r="N19" s="1"/>
    </row>
    <row r="20" spans="1:18" x14ac:dyDescent="0.35">
      <c r="A20" s="9" t="str">
        <f t="shared" si="6"/>
        <v>STEM</v>
      </c>
      <c r="B20" s="9" t="str">
        <f t="shared" si="7"/>
        <v>SPS1</v>
      </c>
      <c r="C20" s="2" t="str">
        <f t="shared" si="8"/>
        <v>CH</v>
      </c>
      <c r="D20" s="2" t="s">
        <v>19</v>
      </c>
      <c r="E20" s="2" t="s">
        <v>8</v>
      </c>
      <c r="F20" s="3">
        <f t="shared" ref="F20:K20" si="13">SUM(F21:F22,F41,F50:F51,F56)</f>
        <v>779.29670168180587</v>
      </c>
      <c r="G20" s="3">
        <f t="shared" si="13"/>
        <v>700.84943638959157</v>
      </c>
      <c r="H20" s="3">
        <f t="shared" si="13"/>
        <v>657.91151382754924</v>
      </c>
      <c r="I20" s="3">
        <f t="shared" si="13"/>
        <v>553.0312341315248</v>
      </c>
      <c r="J20" s="3">
        <f t="shared" si="13"/>
        <v>467.07404690911881</v>
      </c>
      <c r="K20" s="3">
        <f t="shared" si="13"/>
        <v>370.78838100819036</v>
      </c>
      <c r="L20" s="3">
        <f t="shared" ref="L20" si="14">SUM(L21:L22,L41,L50:L51,L56)</f>
        <v>227.83896070883736</v>
      </c>
      <c r="M20" s="1"/>
      <c r="N20" s="1"/>
      <c r="O20" s="1"/>
      <c r="P20" s="1"/>
      <c r="Q20" s="1"/>
      <c r="R20" s="1"/>
    </row>
    <row r="21" spans="1:18" x14ac:dyDescent="0.35">
      <c r="A21" s="5" t="str">
        <f t="shared" si="6"/>
        <v>STEM</v>
      </c>
      <c r="B21" s="5" t="str">
        <f t="shared" si="7"/>
        <v>SPS1</v>
      </c>
      <c r="C21" s="5" t="str">
        <f t="shared" si="8"/>
        <v>CH</v>
      </c>
      <c r="D21" t="s">
        <v>779</v>
      </c>
      <c r="E21" t="s">
        <v>8</v>
      </c>
      <c r="F21" s="1" cm="1">
        <f t="array" ref="F21">SUMPRODUCT(("COA"=[1]OUT_PrimaryEnergyCons!$C$4:$C$10000)*1,[1]OUT_PrimaryEnergyCons!D$4:D$10000)</f>
        <v>3.6600053352139246</v>
      </c>
      <c r="G21" s="1" cm="1">
        <f t="array" ref="G21">SUMPRODUCT(("COA"=[1]OUT_PrimaryEnergyCons!$C$4:$C$10000)*1,[1]OUT_PrimaryEnergyCons!E$4:E$10000)</f>
        <v>3.5647180569304484</v>
      </c>
      <c r="H21" s="1" cm="1">
        <f t="array" ref="H21">SUMPRODUCT(("COA"=[1]OUT_PrimaryEnergyCons!$C$4:$C$10000)*1,[1]OUT_PrimaryEnergyCons!F$4:F$10000)</f>
        <v>3.3672800381153882</v>
      </c>
      <c r="I21" s="1" cm="1">
        <f t="array" ref="I21">SUMPRODUCT(("COA"=[1]OUT_PrimaryEnergyCons!$C$4:$C$10000)*1,[1]OUT_PrimaryEnergyCons!G$4:G$10000)</f>
        <v>6.2984430927136275E-3</v>
      </c>
      <c r="J21" s="1" cm="1">
        <f t="array" ref="J21">SUMPRODUCT(("COA"=[2]OUT_PrimaryEnergyCons!$C$4:$C$10000)*1,[2]OUT_PrimaryEnergyCons!H$4:H$10000)</f>
        <v>2.3452261786348957E-3</v>
      </c>
      <c r="K21" s="1" cm="1">
        <f t="array" ref="K21">SUMPRODUCT(("COA"=[2]OUT_PrimaryEnergyCons!$C$4:$C$10000)*1,[2]OUT_PrimaryEnergyCons!I$4:I$10000)</f>
        <v>6.9834283561204908E-4</v>
      </c>
      <c r="L21" s="1" cm="1">
        <f t="array" ref="L21">SUMPRODUCT(("COA"=[2]OUT_PrimaryEnergyCons!$C$4:$C$10000)*1,[2]OUT_PrimaryEnergyCons!J$4:J$10000)</f>
        <v>3.697954643951093E-4</v>
      </c>
      <c r="N21" s="1"/>
    </row>
    <row r="22" spans="1:18" x14ac:dyDescent="0.35">
      <c r="A22" s="5" t="str">
        <f t="shared" si="6"/>
        <v>STEM</v>
      </c>
      <c r="B22" s="5" t="str">
        <f t="shared" si="7"/>
        <v>SPS1</v>
      </c>
      <c r="C22" s="5" t="str">
        <f t="shared" si="8"/>
        <v>CH</v>
      </c>
      <c r="D22" t="s">
        <v>780</v>
      </c>
      <c r="E22" t="s">
        <v>8</v>
      </c>
      <c r="F22" s="1">
        <f>F23+F29</f>
        <v>310.48071753532099</v>
      </c>
      <c r="G22" s="1">
        <f t="shared" ref="G22:K22" si="15">G23+G29</f>
        <v>286.47395305645483</v>
      </c>
      <c r="H22" s="1">
        <f t="shared" si="15"/>
        <v>263.66721080045807</v>
      </c>
      <c r="I22" s="1">
        <f t="shared" si="15"/>
        <v>186.63073000034581</v>
      </c>
      <c r="J22" s="1">
        <f t="shared" si="15"/>
        <v>131.57428861519512</v>
      </c>
      <c r="K22" s="1">
        <f t="shared" si="15"/>
        <v>116.12756964166798</v>
      </c>
      <c r="L22" s="1">
        <f t="shared" ref="L22" si="16">L23+L29</f>
        <v>87.915197553522887</v>
      </c>
      <c r="N22" s="1"/>
    </row>
    <row r="23" spans="1:18" x14ac:dyDescent="0.35">
      <c r="A23" s="5" t="str">
        <f t="shared" ref="A23" si="17">A22</f>
        <v>STEM</v>
      </c>
      <c r="B23" s="5" t="str">
        <f t="shared" ref="B23" si="18">B22</f>
        <v>SPS1</v>
      </c>
      <c r="C23" s="5" t="str">
        <f t="shared" ref="C23" si="19">C22</f>
        <v>CH</v>
      </c>
      <c r="D23" t="s">
        <v>781</v>
      </c>
      <c r="E23" t="s">
        <v>8</v>
      </c>
      <c r="F23" s="1">
        <f>SUM(F24:F28)</f>
        <v>303.67559664876916</v>
      </c>
      <c r="G23" s="1">
        <f t="shared" ref="G23:K23" si="20">SUM(G24:G28)</f>
        <v>279.76995589187948</v>
      </c>
      <c r="H23" s="1">
        <f t="shared" si="20"/>
        <v>256.4863474859086</v>
      </c>
      <c r="I23" s="1">
        <f t="shared" si="20"/>
        <v>174.92568279325724</v>
      </c>
      <c r="J23" s="1">
        <f t="shared" si="20"/>
        <v>120.70620187607875</v>
      </c>
      <c r="K23" s="1">
        <f t="shared" si="20"/>
        <v>105.30664143974683</v>
      </c>
      <c r="L23" s="1">
        <f t="shared" ref="L23" si="21">SUM(L24:L28)</f>
        <v>77.379968517869216</v>
      </c>
      <c r="N23" s="1"/>
    </row>
    <row r="24" spans="1:18" x14ac:dyDescent="0.35">
      <c r="A24" s="5" t="str">
        <f>A22</f>
        <v>STEM</v>
      </c>
      <c r="B24" s="5" t="str">
        <f>B22</f>
        <v>SPS1</v>
      </c>
      <c r="C24" s="5" t="str">
        <f>C22</f>
        <v>CH</v>
      </c>
      <c r="D24" t="s">
        <v>509</v>
      </c>
      <c r="E24" t="s">
        <v>8</v>
      </c>
      <c r="F24" s="1" cm="1">
        <f t="array" ref="F24">SUMPRODUCT(("LFO"=[1]OUT_PrimaryEnergyCons!$C$4:$C$10000)*1,[1]OUT_PrimaryEnergyCons!D$4:D$10000)</f>
        <v>101.72708482972673</v>
      </c>
      <c r="G24" s="1" cm="1">
        <f t="array" ref="G24">SUMPRODUCT(("LFO"=[1]OUT_PrimaryEnergyCons!$C$4:$C$10000)*1,[1]OUT_PrimaryEnergyCons!E$4:E$10000)</f>
        <v>88.213218937770236</v>
      </c>
      <c r="H24" s="1" cm="1">
        <f t="array" ref="H24">SUMPRODUCT(("LFO"=[1]OUT_PrimaryEnergyCons!$C$4:$C$10000)*1,[1]OUT_PrimaryEnergyCons!F$4:F$10000)</f>
        <v>87.829415595172208</v>
      </c>
      <c r="I24" s="1" cm="1">
        <f t="array" ref="I24">SUMPRODUCT(("LFO"=[1]OUT_PrimaryEnergyCons!$C$4:$C$10000)*1,[1]OUT_PrimaryEnergyCons!G$4:G$10000)</f>
        <v>60.373687305546881</v>
      </c>
      <c r="J24" s="1" cm="1">
        <f t="array" ref="J24">SUMPRODUCT(("LFO"=[2]OUT_PrimaryEnergyCons!$C$4:$C$10000)*1,[2]OUT_PrimaryEnergyCons!H$4:H$10000)</f>
        <v>44.765996005392061</v>
      </c>
      <c r="K24" s="1" cm="1">
        <f t="array" ref="K24">SUMPRODUCT(("LFO"=[2]OUT_PrimaryEnergyCons!$C$4:$C$10000)*1,[2]OUT_PrimaryEnergyCons!I$4:I$10000)</f>
        <v>33.357016648655971</v>
      </c>
      <c r="L24" s="1" cm="1">
        <f t="array" ref="L24">SUMPRODUCT(("LFO"=[2]OUT_PrimaryEnergyCons!$C$4:$C$10000)*1,[2]OUT_PrimaryEnergyCons!J$4:J$10000)</f>
        <v>12.984924448041776</v>
      </c>
      <c r="N24" s="1"/>
    </row>
    <row r="25" spans="1:18" x14ac:dyDescent="0.35">
      <c r="A25" s="5" t="str">
        <f t="shared" si="6"/>
        <v>STEM</v>
      </c>
      <c r="B25" s="5" t="str">
        <f t="shared" si="7"/>
        <v>SPS1</v>
      </c>
      <c r="C25" s="5" t="str">
        <f t="shared" si="8"/>
        <v>CH</v>
      </c>
      <c r="D25" t="s">
        <v>510</v>
      </c>
      <c r="E25" t="s">
        <v>8</v>
      </c>
      <c r="F25" s="1" cm="1">
        <f t="array" ref="F25">SUMPRODUCT(("HFO"=[1]OUT_PrimaryEnergyCons!$C$4:$C$10000)*1,[1]OUT_PrimaryEnergyCons!D$4:D$10000)</f>
        <v>2.7763729691048495</v>
      </c>
      <c r="G25" s="1" cm="1">
        <f t="array" ref="G25">SUMPRODUCT(("HFO"=[1]OUT_PrimaryEnergyCons!$C$4:$C$10000)*1,[1]OUT_PrimaryEnergyCons!E$4:E$10000)</f>
        <v>2.7644096080017775</v>
      </c>
      <c r="H25" s="1" cm="1">
        <f t="array" ref="H25">SUMPRODUCT(("HFO"=[1]OUT_PrimaryEnergyCons!$C$4:$C$10000)*1,[1]OUT_PrimaryEnergyCons!F$4:F$10000)</f>
        <v>1.1874232333030327E-3</v>
      </c>
      <c r="I25" s="1" cm="1">
        <f t="array" ref="I25">SUMPRODUCT(("HFO"=[1]OUT_PrimaryEnergyCons!$C$4:$C$10000)*1,[1]OUT_PrimaryEnergyCons!G$4:G$10000)</f>
        <v>2.1723863373345604E-4</v>
      </c>
      <c r="J25" s="1" cm="1">
        <f t="array" ref="J25">SUMPRODUCT(("HFO"=[2]OUT_PrimaryEnergyCons!$C$4:$C$10000)*1,[2]OUT_PrimaryEnergyCons!H$4:H$10000)</f>
        <v>1.0803012795516564E-3</v>
      </c>
      <c r="K25" s="1" cm="1">
        <f t="array" ref="K25">SUMPRODUCT(("HFO"=[2]OUT_PrimaryEnergyCons!$C$4:$C$10000)*1,[2]OUT_PrimaryEnergyCons!I$4:I$10000)</f>
        <v>7.5511097622294214E-4</v>
      </c>
      <c r="L25" s="1" cm="1">
        <f t="array" ref="L25">SUMPRODUCT(("HFO"=[2]OUT_PrimaryEnergyCons!$C$4:$C$10000)*1,[2]OUT_PrimaryEnergyCons!J$4:J$10000)</f>
        <v>0</v>
      </c>
      <c r="N25" s="1"/>
    </row>
    <row r="26" spans="1:18" x14ac:dyDescent="0.35">
      <c r="A26" s="5" t="str">
        <f t="shared" si="6"/>
        <v>STEM</v>
      </c>
      <c r="B26" s="5" t="str">
        <f t="shared" si="7"/>
        <v>SPS1</v>
      </c>
      <c r="C26" s="5" t="str">
        <f t="shared" si="8"/>
        <v>CH</v>
      </c>
      <c r="D26" t="s">
        <v>511</v>
      </c>
      <c r="E26" t="s">
        <v>8</v>
      </c>
      <c r="F26" s="1" cm="1">
        <f t="array" ref="F26">SUMPRODUCT(("DSL"=[1]OUT_PrimaryEnergyCons!$C$4:$C$10000)*1,[1]OUT_PrimaryEnergyCons!D$4:D$10000)</f>
        <v>117.52488736368969</v>
      </c>
      <c r="G26" s="1" cm="1">
        <f t="array" ref="G26">SUMPRODUCT(("DSL"=[1]OUT_PrimaryEnergyCons!$C$4:$C$10000)*1,[1]OUT_PrimaryEnergyCons!E$4:E$10000)</f>
        <v>112.68583504147009</v>
      </c>
      <c r="H26" s="1" cm="1">
        <f t="array" ref="H26">SUMPRODUCT(("DSL"=[1]OUT_PrimaryEnergyCons!$C$4:$C$10000)*1,[1]OUT_PrimaryEnergyCons!F$4:F$10000)</f>
        <v>95.748445720999754</v>
      </c>
      <c r="I26" s="1" cm="1">
        <f t="array" ref="I26">SUMPRODUCT(("DSL"=[1]OUT_PrimaryEnergyCons!$C$4:$C$10000)*1,[1]OUT_PrimaryEnergyCons!G$4:G$10000)</f>
        <v>69.136065180247627</v>
      </c>
      <c r="J26" s="1" cm="1">
        <f t="array" ref="J26">SUMPRODUCT(("DSL"=[2]OUT_PrimaryEnergyCons!$C$4:$C$10000)*1,[2]OUT_PrimaryEnergyCons!H$4:H$10000)</f>
        <v>47.814421090423515</v>
      </c>
      <c r="K26" s="1" cm="1">
        <f t="array" ref="K26">SUMPRODUCT(("DSL"=[2]OUT_PrimaryEnergyCons!$C$4:$C$10000)*1,[2]OUT_PrimaryEnergyCons!I$4:I$10000)</f>
        <v>45.182592263173177</v>
      </c>
      <c r="L26" s="1" cm="1">
        <f t="array" ref="L26">SUMPRODUCT(("DSL"=[2]OUT_PrimaryEnergyCons!$C$4:$C$10000)*1,[2]OUT_PrimaryEnergyCons!J$4:J$10000)</f>
        <v>43.053152531609555</v>
      </c>
      <c r="N26" s="1"/>
    </row>
    <row r="27" spans="1:18" x14ac:dyDescent="0.35">
      <c r="A27" s="5" t="str">
        <f t="shared" si="6"/>
        <v>STEM</v>
      </c>
      <c r="B27" s="5" t="str">
        <f t="shared" si="7"/>
        <v>SPS1</v>
      </c>
      <c r="C27" s="5" t="str">
        <f t="shared" si="8"/>
        <v>CH</v>
      </c>
      <c r="D27" t="s">
        <v>512</v>
      </c>
      <c r="E27" t="s">
        <v>8</v>
      </c>
      <c r="F27" s="1" cm="1">
        <f t="array" ref="F27">SUMPRODUCT(("GSL"=[1]OUT_PrimaryEnergyCons!$C$4:$C$10000)*1,[1]OUT_PrimaryEnergyCons!D$4:D$10000)</f>
        <v>80.538262271559617</v>
      </c>
      <c r="G27" s="1" cm="1">
        <f t="array" ref="G27">SUMPRODUCT(("GSL"=[1]OUT_PrimaryEnergyCons!$C$4:$C$10000)*1,[1]OUT_PrimaryEnergyCons!E$4:E$10000)</f>
        <v>74.701288745619181</v>
      </c>
      <c r="H27" s="1" cm="1">
        <f t="array" ref="H27">SUMPRODUCT(("GSL"=[1]OUT_PrimaryEnergyCons!$C$4:$C$10000)*1,[1]OUT_PrimaryEnergyCons!F$4:F$10000)</f>
        <v>71.058841507539654</v>
      </c>
      <c r="I27" s="1" cm="1">
        <f t="array" ref="I27">SUMPRODUCT(("GSL"=[1]OUT_PrimaryEnergyCons!$C$4:$C$10000)*1,[1]OUT_PrimaryEnergyCons!G$4:G$10000)</f>
        <v>42.843897482028098</v>
      </c>
      <c r="J27" s="1" cm="1">
        <f t="array" ref="J27">SUMPRODUCT(("GSL"=[2]OUT_PrimaryEnergyCons!$C$4:$C$10000)*1,[2]OUT_PrimaryEnergyCons!H$4:H$10000)</f>
        <v>26.493193139048255</v>
      </c>
      <c r="K27" s="1" cm="1">
        <f t="array" ref="K27">SUMPRODUCT(("GSL"=[2]OUT_PrimaryEnergyCons!$C$4:$C$10000)*1,[2]OUT_PrimaryEnergyCons!I$4:I$10000)</f>
        <v>25.689377942042903</v>
      </c>
      <c r="L27" s="1" cm="1">
        <f t="array" ref="L27">SUMPRODUCT(("GSL"=[2]OUT_PrimaryEnergyCons!$C$4:$C$10000)*1,[2]OUT_PrimaryEnergyCons!J$4:J$10000)</f>
        <v>20.761590721883039</v>
      </c>
      <c r="N27" s="1"/>
    </row>
    <row r="28" spans="1:18" x14ac:dyDescent="0.35">
      <c r="A28" s="5" t="str">
        <f t="shared" ref="A28" si="22">A27</f>
        <v>STEM</v>
      </c>
      <c r="B28" s="5" t="str">
        <f t="shared" ref="B28" si="23">B27</f>
        <v>SPS1</v>
      </c>
      <c r="C28" s="5" t="str">
        <f t="shared" ref="C28" si="24">C27</f>
        <v>CH</v>
      </c>
      <c r="D28" t="s">
        <v>513</v>
      </c>
      <c r="E28" t="s">
        <v>8</v>
      </c>
      <c r="F28" s="1" cm="1">
        <f t="array" ref="F28">SUMPRODUCT(("KER"=[1]OUT_PrimaryEnergyCons!$C$4:$C$10000)*1,[1]OUT_PrimaryEnergyCons!D$4:D$10000)</f>
        <v>1.1089892146883049</v>
      </c>
      <c r="G28" s="1" cm="1">
        <f t="array" ref="G28">SUMPRODUCT(("KER"=[1]OUT_PrimaryEnergyCons!$C$4:$C$10000)*1,[1]OUT_PrimaryEnergyCons!E$4:E$10000)</f>
        <v>1.4052035590182419</v>
      </c>
      <c r="H28" s="1" cm="1">
        <f t="array" ref="H28">SUMPRODUCT(("KER"=[1]OUT_PrimaryEnergyCons!$C$4:$C$10000)*1,[1]OUT_PrimaryEnergyCons!F$4:F$10000)</f>
        <v>1.8484572389636504</v>
      </c>
      <c r="I28" s="1" cm="1">
        <f t="array" ref="I28">SUMPRODUCT(("KER"=[1]OUT_PrimaryEnergyCons!$C$4:$C$10000)*1,[1]OUT_PrimaryEnergyCons!G$4:G$10000)</f>
        <v>2.5718155868009052</v>
      </c>
      <c r="J28" s="1" cm="1">
        <f t="array" ref="J28">SUMPRODUCT(("KER"=[2]OUT_PrimaryEnergyCons!$C$4:$C$10000)*1,[2]OUT_PrimaryEnergyCons!H$4:H$10000)</f>
        <v>1.6315113399353696</v>
      </c>
      <c r="K28" s="1" cm="1">
        <f t="array" ref="K28">SUMPRODUCT(("KER"=[2]OUT_PrimaryEnergyCons!$C$4:$C$10000)*1,[2]OUT_PrimaryEnergyCons!I$4:I$10000)</f>
        <v>1.0768994748985496</v>
      </c>
      <c r="L28" s="1" cm="1">
        <f t="array" ref="L28">SUMPRODUCT(("KER"=[2]OUT_PrimaryEnergyCons!$C$4:$C$10000)*1,[2]OUT_PrimaryEnergyCons!J$4:J$10000)</f>
        <v>0.58030081633485397</v>
      </c>
      <c r="N28" s="1"/>
    </row>
    <row r="29" spans="1:18" x14ac:dyDescent="0.35">
      <c r="A29" s="5" t="str">
        <f>A50</f>
        <v>STEM</v>
      </c>
      <c r="B29" s="5" t="str">
        <f>B50</f>
        <v>SPS1</v>
      </c>
      <c r="C29" s="5" t="str">
        <f>C50</f>
        <v>CH</v>
      </c>
      <c r="D29" t="s">
        <v>782</v>
      </c>
      <c r="E29" t="s">
        <v>8</v>
      </c>
      <c r="F29" s="1">
        <f>SUM(F30:F32)</f>
        <v>6.8051208865518049</v>
      </c>
      <c r="G29" s="1">
        <f t="shared" ref="G29:K29" si="25">SUM(G30:G32)</f>
        <v>6.7039971645753589</v>
      </c>
      <c r="H29" s="1">
        <f t="shared" si="25"/>
        <v>7.1808633145494687</v>
      </c>
      <c r="I29" s="1">
        <f t="shared" si="25"/>
        <v>11.705047207088555</v>
      </c>
      <c r="J29" s="1">
        <f t="shared" si="25"/>
        <v>10.868086739116375</v>
      </c>
      <c r="K29" s="1">
        <f t="shared" si="25"/>
        <v>10.820928201921154</v>
      </c>
      <c r="L29" s="1">
        <f t="shared" ref="L29" si="26">SUM(L30:L32)</f>
        <v>10.535229035653675</v>
      </c>
      <c r="N29" s="1"/>
    </row>
    <row r="30" spans="1:18" x14ac:dyDescent="0.35">
      <c r="A30" s="5" t="str">
        <f>A37</f>
        <v>STEM</v>
      </c>
      <c r="B30" s="5" t="str">
        <f>B37</f>
        <v>SPS1</v>
      </c>
      <c r="C30" s="5" t="str">
        <f>C37</f>
        <v>CH</v>
      </c>
      <c r="D30" t="s">
        <v>530</v>
      </c>
      <c r="E30" t="s">
        <v>8</v>
      </c>
      <c r="F30" s="1" cm="1">
        <f t="array" ref="F30">SUMPRODUCT(ISNUMBER(SEARCH("IMPBDS",[1]OUT_SyntheticFuels!$C$4:$C$1000))*1,("Var_Fout"=[1]OUT_SyntheticFuels!$B$4:$B$1000)*1,[1]OUT_SyntheticFuels!E$4:E$1000)-F32</f>
        <v>2.3705794343086715</v>
      </c>
      <c r="G30" s="1" cm="1">
        <f t="array" ref="G30">SUMPRODUCT(ISNUMBER(SEARCH("IMPBDS",[1]OUT_SyntheticFuels!$C$4:$C$1000))*1,("Var_Fout"=[1]OUT_SyntheticFuels!$B$4:$B$1000)*1,[1]OUT_SyntheticFuels!F$4:F$1000)-G32</f>
        <v>2.3780005632590169</v>
      </c>
      <c r="H30" s="1" cm="1">
        <f t="array" ref="H30">SUMPRODUCT(ISNUMBER(SEARCH("IMPBDS",[1]OUT_SyntheticFuels!$C$4:$C$1000))*1,("Var_Fout"=[1]OUT_SyntheticFuels!$B$4:$B$1000)*1,[1]OUT_SyntheticFuels!G$4:G$1000)-H32</f>
        <v>3.295181723845106</v>
      </c>
      <c r="I30" s="1" cm="1">
        <f t="array" ref="I30">SUMPRODUCT(ISNUMBER(SEARCH("IMPBDS",[1]OUT_SyntheticFuels!$C$4:$C$1000))*1,("Var_Fout"=[1]OUT_SyntheticFuels!$B$4:$B$1000)*1,[1]OUT_SyntheticFuels!H$4:H$1000)-I32</f>
        <v>4.1472494018671</v>
      </c>
      <c r="J30" s="1" cm="1">
        <f t="array" ref="J30">SUMPRODUCT(ISNUMBER(SEARCH("IMPBDS",[2]OUT_SyntheticFuels!$C$4:$C$1000))*1,("Var_Fout"=[2]OUT_SyntheticFuels!$B$4:$B$1000)*1,[2]OUT_SyntheticFuels!I$4:I$1000)-J32</f>
        <v>3.3630014538355777</v>
      </c>
      <c r="K30" s="1" cm="1">
        <f t="array" ref="K30">SUMPRODUCT(ISNUMBER(SEARCH("IMPBDS",[2]OUT_SyntheticFuels!$C$4:$C$1000))*1,("Var_Fout"=[2]OUT_SyntheticFuels!$B$4:$B$1000)*1,[2]OUT_SyntheticFuels!J$4:J$1000)-K32</f>
        <v>3.2462451831199406</v>
      </c>
      <c r="L30" s="1" cm="1">
        <f t="array" ref="L30">SUMPRODUCT(ISNUMBER(SEARCH("IMPBDS",[2]OUT_SyntheticFuels!$C$4:$C$1000))*1,("Var_Fout"=[2]OUT_SyntheticFuels!$B$4:$B$1000)*1,[2]OUT_SyntheticFuels!K$4:K$1000)-L32</f>
        <v>3.1864924655104083</v>
      </c>
      <c r="N30" s="1"/>
    </row>
    <row r="31" spans="1:18" x14ac:dyDescent="0.35">
      <c r="A31" s="5" t="str">
        <f>A30</f>
        <v>STEM</v>
      </c>
      <c r="B31" s="5" t="str">
        <f>B30</f>
        <v>SPS1</v>
      </c>
      <c r="C31" s="5" t="str">
        <f>C30</f>
        <v>CH</v>
      </c>
      <c r="D31" t="s">
        <v>531</v>
      </c>
      <c r="E31" t="s">
        <v>8</v>
      </c>
      <c r="F31" s="1" cm="1">
        <f t="array" ref="F31">SUMPRODUCT(ISNUMBER(SEARCH("IMPeth",[1]OUT_SyntheticFuels!$C$4:$C$1000))*1,("Var_Fout"=[1]OUT_SyntheticFuels!$B$4:$B$1000)*1,[1]OUT_SyntheticFuels!E$4:E$1000)</f>
        <v>4.4341506418825913</v>
      </c>
      <c r="G31" s="1" cm="1">
        <f t="array" ref="G31">SUMPRODUCT(ISNUMBER(SEARCH("IMPeth",[1]OUT_SyntheticFuels!$C$4:$C$1000))*1,("Var_Fout"=[1]OUT_SyntheticFuels!$B$4:$B$1000)*1,[1]OUT_SyntheticFuels!F$4:F$1000)</f>
        <v>4.3259844240819616</v>
      </c>
      <c r="H31" s="1" cm="1">
        <f t="array" ref="H31">SUMPRODUCT(ISNUMBER(SEARCH("IMPeth",[1]OUT_SyntheticFuels!$C$4:$C$1000))*1,("Var_Fout"=[1]OUT_SyntheticFuels!$B$4:$B$1000)*1,[1]OUT_SyntheticFuels!G$4:G$1000)</f>
        <v>3.8851868700954437</v>
      </c>
      <c r="I31" s="1" cm="1">
        <f t="array" ref="I31">SUMPRODUCT(ISNUMBER(SEARCH("IMPeth",[1]OUT_SyntheticFuels!$C$4:$C$1000))*1,("Var_Fout"=[1]OUT_SyntheticFuels!$B$4:$B$1000)*1,[1]OUT_SyntheticFuels!H$4:H$1000)</f>
        <v>2.4820303883816024</v>
      </c>
      <c r="J31" s="1" cm="1">
        <f t="array" ref="J31">SUMPRODUCT(ISNUMBER(SEARCH("IMPeth",[2]OUT_SyntheticFuels!$C$4:$C$1000))*1,("Var_Fout"=[2]OUT_SyntheticFuels!$B$4:$B$1000)*1,[2]OUT_SyntheticFuels!I$4:I$1000)</f>
        <v>1.5351869352503935</v>
      </c>
      <c r="K31" s="1" cm="1">
        <f t="array" ref="K31">SUMPRODUCT(ISNUMBER(SEARCH("IMPeth",[2]OUT_SyntheticFuels!$C$4:$C$1000))*1,("Var_Fout"=[2]OUT_SyntheticFuels!$B$4:$B$1000)*1,[2]OUT_SyntheticFuels!J$4:J$1000)</f>
        <v>1.4881817584291834</v>
      </c>
      <c r="L31" s="1" cm="1">
        <f t="array" ref="L31">SUMPRODUCT(ISNUMBER(SEARCH("IMPeth",[2]OUT_SyntheticFuels!$C$4:$C$1000))*1,("Var_Fout"=[2]OUT_SyntheticFuels!$B$4:$B$1000)*1,[2]OUT_SyntheticFuels!K$4:K$1000)</f>
        <v>1.2027939036571993</v>
      </c>
      <c r="N31" s="1"/>
    </row>
    <row r="32" spans="1:18" x14ac:dyDescent="0.35">
      <c r="A32" s="5"/>
      <c r="B32" s="5" t="str">
        <f>B31</f>
        <v>SPS1</v>
      </c>
      <c r="C32" s="5" t="str">
        <f>C31</f>
        <v>CH</v>
      </c>
      <c r="D32" t="s">
        <v>2476</v>
      </c>
      <c r="E32" t="s">
        <v>8</v>
      </c>
      <c r="F32" s="1">
        <f>SUM([1]Transport_Aviation_Intl!B$12,[1]Transport!B$28)</f>
        <v>3.9081036054261899E-4</v>
      </c>
      <c r="G32" s="1">
        <f>SUM([1]Transport_Aviation_Intl!C$12,[1]Transport!C$28)</f>
        <v>1.2177234380080199E-5</v>
      </c>
      <c r="H32" s="1">
        <f>SUM([1]Transport_Aviation_Intl!D$12,[1]Transport!D$28)</f>
        <v>4.9472060891920101E-4</v>
      </c>
      <c r="I32" s="1">
        <f>SUM([1]Transport_Aviation_Intl!E$12,[1]Transport!E$28)</f>
        <v>5.0757674168398523</v>
      </c>
      <c r="J32" s="1">
        <f>SUM([2]Transport_Aviation_Intl!F$12,[2]Transport!F$28)</f>
        <v>5.9698983500304035</v>
      </c>
      <c r="K32" s="1">
        <f>SUM([2]Transport_Aviation_Intl!G$12,[2]Transport!G$28)</f>
        <v>6.0865012603720299</v>
      </c>
      <c r="L32" s="1">
        <f>SUM([2]Transport_Aviation_Intl!H$12,[2]Transport!H$28)</f>
        <v>6.1459426664860679</v>
      </c>
      <c r="N32" s="1"/>
    </row>
    <row r="33" spans="1:14" x14ac:dyDescent="0.35">
      <c r="A33" s="5" t="str">
        <f>A29</f>
        <v>STEM</v>
      </c>
      <c r="B33" s="5" t="str">
        <f>B29</f>
        <v>SPS1</v>
      </c>
      <c r="C33" s="5" t="str">
        <f>C29</f>
        <v>CH</v>
      </c>
      <c r="D33" t="s">
        <v>532</v>
      </c>
      <c r="E33" t="s">
        <v>8</v>
      </c>
      <c r="F33" s="1">
        <f t="shared" ref="F33:J33" si="27">SUM(F34:F36)</f>
        <v>6.8051208865518049</v>
      </c>
      <c r="G33" s="1">
        <f t="shared" si="27"/>
        <v>6.7039971645753589</v>
      </c>
      <c r="H33" s="1">
        <f t="shared" si="27"/>
        <v>7.1808633145494687</v>
      </c>
      <c r="I33" s="1">
        <f t="shared" si="27"/>
        <v>11.705047207088555</v>
      </c>
      <c r="J33" s="1">
        <f t="shared" si="27"/>
        <v>9.973955805925824</v>
      </c>
      <c r="K33" s="1">
        <f>SUM(K34:K36)</f>
        <v>10.704325291579528</v>
      </c>
      <c r="L33" s="1">
        <f>SUM(L34:L36)</f>
        <v>10.475787629539639</v>
      </c>
      <c r="N33" s="1"/>
    </row>
    <row r="34" spans="1:14" x14ac:dyDescent="0.35">
      <c r="A34" s="5" t="str">
        <f>A31</f>
        <v>STEM</v>
      </c>
      <c r="B34" s="5" t="str">
        <f>B31</f>
        <v>SPS1</v>
      </c>
      <c r="C34" s="5" t="str">
        <f>C31</f>
        <v>CH</v>
      </c>
      <c r="D34" t="s">
        <v>533</v>
      </c>
      <c r="E34" t="s">
        <v>8</v>
      </c>
      <c r="F34" s="1">
        <f t="shared" ref="F34:I35" si="28">F30</f>
        <v>2.3705794343086715</v>
      </c>
      <c r="G34" s="1">
        <f t="shared" si="28"/>
        <v>2.3780005632590169</v>
      </c>
      <c r="H34" s="1">
        <f t="shared" si="28"/>
        <v>3.295181723845106</v>
      </c>
      <c r="I34" s="1">
        <f t="shared" si="28"/>
        <v>4.1472494018671</v>
      </c>
      <c r="J34" s="1">
        <f>IF(J30-MAX(F30:I30)&lt;0,J30,MAX(F30:I30))</f>
        <v>3.3630014538355777</v>
      </c>
      <c r="K34" s="1">
        <f>IF(K30-MAX(F30:J30)&lt;0,K30,MAX(F30:J30))</f>
        <v>3.2462451831199406</v>
      </c>
      <c r="L34" s="1">
        <f>IF(L30-MAX(G30:K30)&lt;0,L30,MAX(G30:K30))</f>
        <v>3.1864924655104083</v>
      </c>
      <c r="N34" s="1"/>
    </row>
    <row r="35" spans="1:14" x14ac:dyDescent="0.35">
      <c r="A35" s="5" t="str">
        <f>A34</f>
        <v>STEM</v>
      </c>
      <c r="B35" s="5" t="str">
        <f>B34</f>
        <v>SPS1</v>
      </c>
      <c r="C35" s="5" t="str">
        <f>C34</f>
        <v>CH</v>
      </c>
      <c r="D35" t="s">
        <v>534</v>
      </c>
      <c r="E35" t="s">
        <v>8</v>
      </c>
      <c r="F35" s="1">
        <f t="shared" si="28"/>
        <v>4.4341506418825913</v>
      </c>
      <c r="G35" s="1">
        <f t="shared" si="28"/>
        <v>4.3259844240819616</v>
      </c>
      <c r="H35" s="1">
        <f t="shared" si="28"/>
        <v>3.8851868700954437</v>
      </c>
      <c r="I35" s="1">
        <f t="shared" si="28"/>
        <v>2.4820303883816024</v>
      </c>
      <c r="J35" s="1">
        <f>IF(J31-MAX(F31:I31)&lt;0,J31,MAX(F31:I31))</f>
        <v>1.5351869352503935</v>
      </c>
      <c r="K35" s="1">
        <f>IF(K31-MAX(F31:J31)&lt;0,K31,MAX(F31:J31))</f>
        <v>1.4881817584291834</v>
      </c>
      <c r="L35" s="1">
        <f>IF(L31-MAX(G31:K31)&lt;0,L31,MAX(G31:K31))</f>
        <v>1.2027939036571993</v>
      </c>
      <c r="N35" s="1"/>
    </row>
    <row r="36" spans="1:14" x14ac:dyDescent="0.35">
      <c r="A36" s="5"/>
      <c r="B36" s="5" t="str">
        <f>B35</f>
        <v>SPS1</v>
      </c>
      <c r="C36" s="5" t="str">
        <f>C35</f>
        <v>CH</v>
      </c>
      <c r="D36" t="s">
        <v>2478</v>
      </c>
      <c r="E36" t="s">
        <v>8</v>
      </c>
      <c r="F36" s="1">
        <f>SUM([1]Transport!B$28,[1]Transport_Aviation_Intl!B$12)</f>
        <v>3.9081036054261899E-4</v>
      </c>
      <c r="G36" s="1">
        <f>SUM([1]Transport!C$28,[1]Transport_Aviation_Intl!C$12)</f>
        <v>1.2177234380080199E-5</v>
      </c>
      <c r="H36" s="1">
        <f>SUM([1]Transport!D$28,[1]Transport_Aviation_Intl!D$12)</f>
        <v>4.9472060891920101E-4</v>
      </c>
      <c r="I36" s="1">
        <f>SUM([1]Transport!E$28,[1]Transport_Aviation_Intl!E$12)</f>
        <v>5.0757674168398523</v>
      </c>
      <c r="J36" s="1">
        <f>IF(J32-MAX(F32:I32)&lt;0,J32,MAX(F32:I32))</f>
        <v>5.0757674168398523</v>
      </c>
      <c r="K36" s="1">
        <f>IF(K32-MAX(G32:J32)&lt;0,K32,MAX(G32:J32))</f>
        <v>5.9698983500304035</v>
      </c>
      <c r="L36" s="1">
        <f>IF(L32-MAX(H32:K32)&lt;0,L32,MAX(H32:K32))</f>
        <v>6.0865012603720299</v>
      </c>
      <c r="N36" s="1"/>
    </row>
    <row r="37" spans="1:14" x14ac:dyDescent="0.35">
      <c r="A37" s="5" t="str">
        <f>A33</f>
        <v>STEM</v>
      </c>
      <c r="B37" s="5" t="str">
        <f>B33</f>
        <v>SPS1</v>
      </c>
      <c r="C37" s="5" t="str">
        <f>C33</f>
        <v>CH</v>
      </c>
      <c r="D37" t="s">
        <v>2477</v>
      </c>
      <c r="E37" t="s">
        <v>8</v>
      </c>
      <c r="F37" s="1">
        <f>SUM(F38:F40)</f>
        <v>0</v>
      </c>
      <c r="G37" s="1">
        <f t="shared" ref="G37:K37" si="29">SUM(G38:G40)</f>
        <v>0</v>
      </c>
      <c r="H37" s="1">
        <f t="shared" si="29"/>
        <v>0</v>
      </c>
      <c r="I37" s="1">
        <f t="shared" si="29"/>
        <v>0</v>
      </c>
      <c r="J37" s="1">
        <f t="shared" si="29"/>
        <v>0.89413093319055115</v>
      </c>
      <c r="K37" s="1">
        <f t="shared" si="29"/>
        <v>0.1166029103416264</v>
      </c>
      <c r="L37" s="1">
        <f t="shared" ref="L37" si="30">SUM(L38:L40)</f>
        <v>5.9441406114038031E-2</v>
      </c>
      <c r="N37" s="1"/>
    </row>
    <row r="38" spans="1:14" x14ac:dyDescent="0.35">
      <c r="A38" s="5" t="str">
        <f>A35</f>
        <v>STEM</v>
      </c>
      <c r="B38" s="5" t="str">
        <f>B35</f>
        <v>SPS1</v>
      </c>
      <c r="C38" s="5" t="str">
        <f>C35</f>
        <v>CH</v>
      </c>
      <c r="D38" t="s">
        <v>535</v>
      </c>
      <c r="E38" t="s">
        <v>8</v>
      </c>
      <c r="F38" s="1">
        <v>0</v>
      </c>
      <c r="G38" s="1">
        <v>0</v>
      </c>
      <c r="H38" s="1">
        <v>0</v>
      </c>
      <c r="I38" s="1">
        <v>0</v>
      </c>
      <c r="J38" s="1">
        <f t="shared" ref="J38:K40" si="31">J30-J34</f>
        <v>0</v>
      </c>
      <c r="K38" s="1">
        <f t="shared" si="31"/>
        <v>0</v>
      </c>
      <c r="L38" s="1">
        <f t="shared" ref="L38" si="32">L30-L34</f>
        <v>0</v>
      </c>
      <c r="N38" s="1"/>
    </row>
    <row r="39" spans="1:14" x14ac:dyDescent="0.35">
      <c r="A39" s="5" t="str">
        <f>A38</f>
        <v>STEM</v>
      </c>
      <c r="B39" s="5" t="str">
        <f>B38</f>
        <v>SPS1</v>
      </c>
      <c r="C39" s="5" t="str">
        <f>C38</f>
        <v>CH</v>
      </c>
      <c r="D39" t="s">
        <v>536</v>
      </c>
      <c r="E39" t="s">
        <v>8</v>
      </c>
      <c r="F39" s="1">
        <v>0</v>
      </c>
      <c r="G39" s="1">
        <v>0</v>
      </c>
      <c r="H39" s="1">
        <v>0</v>
      </c>
      <c r="I39" s="1">
        <v>0</v>
      </c>
      <c r="J39" s="1">
        <f t="shared" si="31"/>
        <v>0</v>
      </c>
      <c r="K39" s="1">
        <f t="shared" si="31"/>
        <v>0</v>
      </c>
      <c r="L39" s="1">
        <f t="shared" ref="L39" si="33">L31-L35</f>
        <v>0</v>
      </c>
      <c r="N39" s="1"/>
    </row>
    <row r="40" spans="1:14" x14ac:dyDescent="0.35">
      <c r="A40" s="5"/>
      <c r="B40" s="5" t="str">
        <f>B39</f>
        <v>SPS1</v>
      </c>
      <c r="C40" s="5" t="str">
        <f>C39</f>
        <v>CH</v>
      </c>
      <c r="D40" t="s">
        <v>537</v>
      </c>
      <c r="E40" t="s">
        <v>8</v>
      </c>
      <c r="F40" s="1">
        <v>0</v>
      </c>
      <c r="G40" s="1">
        <v>0</v>
      </c>
      <c r="H40" s="1">
        <v>0</v>
      </c>
      <c r="I40" s="1">
        <v>0</v>
      </c>
      <c r="J40" s="1">
        <f t="shared" si="31"/>
        <v>0.89413093319055115</v>
      </c>
      <c r="K40" s="1">
        <f t="shared" si="31"/>
        <v>0.1166029103416264</v>
      </c>
      <c r="L40" s="1">
        <f t="shared" ref="L40" si="34">L32-L36</f>
        <v>5.9441406114038031E-2</v>
      </c>
      <c r="N40" s="1"/>
    </row>
    <row r="41" spans="1:14" x14ac:dyDescent="0.35">
      <c r="A41" s="5" t="str">
        <f t="shared" ref="A41:C42" si="35">A28</f>
        <v>STEM</v>
      </c>
      <c r="B41" s="5" t="str">
        <f t="shared" si="35"/>
        <v>SPS1</v>
      </c>
      <c r="C41" s="5" t="str">
        <f t="shared" si="35"/>
        <v>CH</v>
      </c>
      <c r="D41" t="s">
        <v>783</v>
      </c>
      <c r="E41" t="s">
        <v>8</v>
      </c>
      <c r="F41" s="1">
        <f>F42+F45</f>
        <v>117.04779675687243</v>
      </c>
      <c r="G41" s="1">
        <f t="shared" ref="G41:K41" si="36">G42+G45</f>
        <v>107.23650069597142</v>
      </c>
      <c r="H41" s="1">
        <f t="shared" si="36"/>
        <v>107.19739835677576</v>
      </c>
      <c r="I41" s="1">
        <f t="shared" si="36"/>
        <v>103.74283725623924</v>
      </c>
      <c r="J41" s="1">
        <f t="shared" si="36"/>
        <v>111.59187032001689</v>
      </c>
      <c r="K41" s="1">
        <f t="shared" si="36"/>
        <v>112.9758099363316</v>
      </c>
      <c r="L41" s="1">
        <f t="shared" ref="L41" si="37">L42+L45</f>
        <v>102.98811951712985</v>
      </c>
      <c r="N41" s="1"/>
    </row>
    <row r="42" spans="1:14" x14ac:dyDescent="0.35">
      <c r="A42" s="5" t="str">
        <f t="shared" si="35"/>
        <v>STEM</v>
      </c>
      <c r="B42" s="5" t="str">
        <f t="shared" si="35"/>
        <v>SPS1</v>
      </c>
      <c r="C42" s="5" t="str">
        <f t="shared" si="35"/>
        <v>CH</v>
      </c>
      <c r="D42" t="s">
        <v>549</v>
      </c>
      <c r="E42" t="s">
        <v>8</v>
      </c>
      <c r="F42" s="1">
        <f>F43+F44</f>
        <v>117.04779675687243</v>
      </c>
      <c r="G42" s="1">
        <f t="shared" ref="G42:K42" si="38">G43+G44</f>
        <v>106.71999995850206</v>
      </c>
      <c r="H42" s="1">
        <f t="shared" si="38"/>
        <v>107.15776278528217</v>
      </c>
      <c r="I42" s="1">
        <f t="shared" si="38"/>
        <v>101.03270197674955</v>
      </c>
      <c r="J42" s="1">
        <f t="shared" si="38"/>
        <v>108.08710111100581</v>
      </c>
      <c r="K42" s="1">
        <f t="shared" si="38"/>
        <v>109.4232965734022</v>
      </c>
      <c r="L42" s="1">
        <f t="shared" ref="L42" si="39">L43+L44</f>
        <v>99.14960479885184</v>
      </c>
      <c r="N42" s="1"/>
    </row>
    <row r="43" spans="1:14" x14ac:dyDescent="0.35">
      <c r="A43" s="5" t="str">
        <f>A27</f>
        <v>STEM</v>
      </c>
      <c r="B43" s="5" t="str">
        <f>B27</f>
        <v>SPS1</v>
      </c>
      <c r="C43" s="5" t="str">
        <f>C27</f>
        <v>CH</v>
      </c>
      <c r="D43" t="s">
        <v>550</v>
      </c>
      <c r="E43" t="s">
        <v>8</v>
      </c>
      <c r="F43" s="1" cm="1">
        <f t="array" ref="F43">SUMPRODUCT(("NGA"=[1]OUT_PrimaryEnergyCons!$C$4:$C$10000)*1,[1]OUT_PrimaryEnergyCons!D$4:D$10000)</f>
        <v>117.04779675687243</v>
      </c>
      <c r="G43" s="1" cm="1">
        <f t="array" ref="G43">SUMPRODUCT(("NGA"=[1]OUT_PrimaryEnergyCons!$C$4:$C$10000)*1,[1]OUT_PrimaryEnergyCons!E$4:E$10000)</f>
        <v>106.71999995850206</v>
      </c>
      <c r="H43" s="1" cm="1">
        <f t="array" ref="H43">SUMPRODUCT(("NGA"=[1]OUT_PrimaryEnergyCons!$C$4:$C$10000)*1,[1]OUT_PrimaryEnergyCons!F$4:F$10000)</f>
        <v>107.15776278528217</v>
      </c>
      <c r="I43" s="1" cm="1">
        <f t="array" ref="I43">SUMPRODUCT(("NGA"=[1]OUT_PrimaryEnergyCons!$C$4:$C$10000)*1,[1]OUT_PrimaryEnergyCons!G$4:G$10000)</f>
        <v>101.03240281673969</v>
      </c>
      <c r="J43" s="1" cm="1">
        <f t="array" ref="J43">SUMPRODUCT(("NGA"=[2]OUT_PrimaryEnergyCons!$C$4:$C$10000)*1,[2]OUT_PrimaryEnergyCons!H$4:H$10000)</f>
        <v>108.08579834731759</v>
      </c>
      <c r="K43" s="1" cm="1">
        <f t="array" ref="K43">SUMPRODUCT(("NGA"=[2]OUT_PrimaryEnergyCons!$C$4:$C$10000)*1,[2]OUT_PrimaryEnergyCons!I$4:I$10000)</f>
        <v>109.42256816883426</v>
      </c>
      <c r="L43" s="1" cm="1">
        <f t="array" ref="L43">SUMPRODUCT(("NGA"=[2]OUT_PrimaryEnergyCons!$C$4:$C$10000)*1,[2]OUT_PrimaryEnergyCons!J$4:J$10000)</f>
        <v>99.149177671289451</v>
      </c>
      <c r="N43" s="1"/>
    </row>
    <row r="44" spans="1:14" x14ac:dyDescent="0.35">
      <c r="A44" s="5" t="str">
        <f t="shared" si="6"/>
        <v>STEM</v>
      </c>
      <c r="B44" s="5" t="str">
        <f t="shared" si="7"/>
        <v>SPS1</v>
      </c>
      <c r="C44" s="5" t="str">
        <f t="shared" si="8"/>
        <v>CH</v>
      </c>
      <c r="D44" t="s">
        <v>551</v>
      </c>
      <c r="E44" t="s">
        <v>8</v>
      </c>
      <c r="F44" s="1" cm="1">
        <f t="array" ref="F44">SUMPRODUCT(("LNGA"=[1]OUT_PrimaryEnergyCons!$C$4:$C$10000)*1,[1]OUT_PrimaryEnergyCons!D$4:D$10000)</f>
        <v>0</v>
      </c>
      <c r="G44" s="1" cm="1">
        <f t="array" ref="G44">SUMPRODUCT(("LNGA"=[1]OUT_PrimaryEnergyCons!$C$4:$C$10000)*1,[1]OUT_PrimaryEnergyCons!E$4:E$10000)</f>
        <v>0</v>
      </c>
      <c r="H44" s="1" cm="1">
        <f t="array" ref="H44">SUMPRODUCT(("LNGA"=[1]OUT_PrimaryEnergyCons!$C$4:$C$10000)*1,[1]OUT_PrimaryEnergyCons!F$4:F$10000)</f>
        <v>0</v>
      </c>
      <c r="I44" s="1" cm="1">
        <f t="array" ref="I44">SUMPRODUCT(("LNGA"=[1]OUT_PrimaryEnergyCons!$C$4:$C$10000)*1,[1]OUT_PrimaryEnergyCons!G$4:G$10000)</f>
        <v>2.991600098631315E-4</v>
      </c>
      <c r="J44" s="1" cm="1">
        <f t="array" ref="J44">SUMPRODUCT(("LNGA"=[2]OUT_PrimaryEnergyCons!$C$4:$C$10000)*1,[2]OUT_PrimaryEnergyCons!H$4:H$10000)</f>
        <v>1.3027636882107154E-3</v>
      </c>
      <c r="K44" s="1" cm="1">
        <f t="array" ref="K44">SUMPRODUCT(("LNGA"=[2]OUT_PrimaryEnergyCons!$C$4:$C$10000)*1,[2]OUT_PrimaryEnergyCons!I$4:I$10000)</f>
        <v>7.2840456793775107E-4</v>
      </c>
      <c r="L44" s="1" cm="1">
        <f t="array" ref="L44">SUMPRODUCT(("LNGA"=[2]OUT_PrimaryEnergyCons!$C$4:$C$10000)*1,[2]OUT_PrimaryEnergyCons!J$4:J$10000)</f>
        <v>4.2712756238823349E-4</v>
      </c>
      <c r="N44" s="1"/>
    </row>
    <row r="45" spans="1:14" x14ac:dyDescent="0.35">
      <c r="A45" s="5" t="str">
        <f>A39</f>
        <v>STEM</v>
      </c>
      <c r="B45" s="5" t="str">
        <f>B39</f>
        <v>SPS1</v>
      </c>
      <c r="C45" s="5" t="str">
        <f>C39</f>
        <v>CH</v>
      </c>
      <c r="D45" t="s">
        <v>784</v>
      </c>
      <c r="E45" t="s">
        <v>8</v>
      </c>
      <c r="F45" s="1" cm="1">
        <f t="array" ref="F45">SUMPRODUCT(("BIO"=[1]OUT_PrimaryEnergyCons!$C$4:$C$10000)*1+("LBIO"=[1]OUT_PrimaryEnergyCons!$C$4:$C$10000)*1,[1]OUT_PrimaryEnergyCons!D$4:D$10000)</f>
        <v>0</v>
      </c>
      <c r="G45" s="1" cm="1">
        <f t="array" ref="G45">SUMPRODUCT(("BIO"=[1]OUT_PrimaryEnergyCons!$C$4:$C$10000)*1+("LBIO"=[1]OUT_PrimaryEnergyCons!$C$4:$C$10000)*1,[1]OUT_PrimaryEnergyCons!E$4:E$10000)</f>
        <v>0.51650073746935232</v>
      </c>
      <c r="H45" s="1" cm="1">
        <f t="array" ref="H45">SUMPRODUCT(("BIO"=[1]OUT_PrimaryEnergyCons!$C$4:$C$10000)*1+("LBIO"=[1]OUT_PrimaryEnergyCons!$C$4:$C$10000)*1,[1]OUT_PrimaryEnergyCons!F$4:F$10000)</f>
        <v>3.9635571493592869E-2</v>
      </c>
      <c r="I45" s="1" cm="1">
        <f t="array" ref="I45">SUMPRODUCT(("BIO"=[1]OUT_PrimaryEnergyCons!$C$4:$C$10000)*1+("LBIO"=[1]OUT_PrimaryEnergyCons!$C$4:$C$10000)*1,[1]OUT_PrimaryEnergyCons!G$4:G$10000)</f>
        <v>2.7101352794896929</v>
      </c>
      <c r="J45" s="1" cm="1">
        <f t="array" ref="J45">SUMPRODUCT(("BIO"=[2]OUT_PrimaryEnergyCons!$C$4:$C$10000)*1+("LBIO"=[2]OUT_PrimaryEnergyCons!$C$4:$C$10000)*1,[2]OUT_PrimaryEnergyCons!H$4:H$10000)</f>
        <v>3.5047692090110916</v>
      </c>
      <c r="K45" s="1" cm="1">
        <f t="array" ref="K45">SUMPRODUCT(("BIO"=[2]OUT_PrimaryEnergyCons!$C$4:$C$10000)*1+("LBIO"=[2]OUT_PrimaryEnergyCons!$C$4:$C$10000)*1,[2]OUT_PrimaryEnergyCons!I$4:I$10000)</f>
        <v>3.5525133629294086</v>
      </c>
      <c r="L45" s="1" cm="1">
        <f t="array" ref="L45">SUMPRODUCT(("BIO"=[2]OUT_PrimaryEnergyCons!$C$4:$C$10000)*1+("LBIO"=[2]OUT_PrimaryEnergyCons!$C$4:$C$10000)*1,[2]OUT_PrimaryEnergyCons!J$4:J$10000)</f>
        <v>3.8385147182780064</v>
      </c>
      <c r="N45" s="1"/>
    </row>
    <row r="46" spans="1:14" x14ac:dyDescent="0.35">
      <c r="A46" s="5" t="str">
        <f t="shared" ref="A46:C47" si="40">A45</f>
        <v>STEM</v>
      </c>
      <c r="B46" s="5" t="str">
        <f t="shared" si="40"/>
        <v>SPS1</v>
      </c>
      <c r="C46" s="5" t="str">
        <f t="shared" si="40"/>
        <v>CH</v>
      </c>
      <c r="D46" t="s">
        <v>785</v>
      </c>
      <c r="E46" t="s">
        <v>8</v>
      </c>
      <c r="F46" s="1">
        <f t="shared" ref="F46:L46" si="41">F47</f>
        <v>0</v>
      </c>
      <c r="G46" s="1">
        <f t="shared" si="41"/>
        <v>0.51650073746935232</v>
      </c>
      <c r="H46" s="1">
        <f t="shared" si="41"/>
        <v>3.9635571493592869E-2</v>
      </c>
      <c r="I46" s="1">
        <f t="shared" si="41"/>
        <v>2.7101352794896929</v>
      </c>
      <c r="J46" s="1">
        <f t="shared" si="41"/>
        <v>2.7101352794896929</v>
      </c>
      <c r="K46" s="1">
        <f t="shared" si="41"/>
        <v>3.5047692090110916</v>
      </c>
      <c r="L46" s="1">
        <f t="shared" si="41"/>
        <v>3.5525133629294086</v>
      </c>
      <c r="N46" s="1"/>
    </row>
    <row r="47" spans="1:14" x14ac:dyDescent="0.35">
      <c r="A47" s="5" t="str">
        <f t="shared" si="40"/>
        <v>STEM</v>
      </c>
      <c r="B47" s="5" t="str">
        <f t="shared" si="40"/>
        <v>SPS1</v>
      </c>
      <c r="C47" s="5" t="str">
        <f t="shared" si="40"/>
        <v>CH</v>
      </c>
      <c r="D47" t="s">
        <v>611</v>
      </c>
      <c r="E47" t="s">
        <v>8</v>
      </c>
      <c r="F47" s="1">
        <f>F45</f>
        <v>0</v>
      </c>
      <c r="G47" s="1">
        <f>G45</f>
        <v>0.51650073746935232</v>
      </c>
      <c r="H47" s="1">
        <f>H45</f>
        <v>3.9635571493592869E-2</v>
      </c>
      <c r="I47" s="1">
        <f>I45</f>
        <v>2.7101352794896929</v>
      </c>
      <c r="J47" s="1">
        <f>IF(J45-MAX(F45:I45)&lt;0,J45,MAX(F45:I45))</f>
        <v>2.7101352794896929</v>
      </c>
      <c r="K47" s="1">
        <f>IF(K45-MAX(G45:J45)&lt;0,K45,MAX(G45:J45))</f>
        <v>3.5047692090110916</v>
      </c>
      <c r="L47" s="1">
        <f>IF(L45-MAX(H45:K45)&lt;0,L45,MAX(H45:K45))</f>
        <v>3.5525133629294086</v>
      </c>
      <c r="N47" s="1"/>
    </row>
    <row r="48" spans="1:14" x14ac:dyDescent="0.35">
      <c r="A48" s="5" t="str">
        <f>A46</f>
        <v>STEM</v>
      </c>
      <c r="B48" s="5" t="str">
        <f>B46</f>
        <v>SPS1</v>
      </c>
      <c r="C48" s="5" t="str">
        <f>C46</f>
        <v>CH</v>
      </c>
      <c r="D48" t="s">
        <v>786</v>
      </c>
      <c r="E48" t="s">
        <v>8</v>
      </c>
      <c r="F48" s="1">
        <f t="shared" ref="F48:L48" si="42">F49</f>
        <v>0</v>
      </c>
      <c r="G48" s="1">
        <f t="shared" si="42"/>
        <v>0</v>
      </c>
      <c r="H48" s="1">
        <f t="shared" si="42"/>
        <v>0</v>
      </c>
      <c r="I48" s="1">
        <f t="shared" si="42"/>
        <v>0</v>
      </c>
      <c r="J48" s="1">
        <f t="shared" si="42"/>
        <v>0.79463392952139866</v>
      </c>
      <c r="K48" s="1">
        <f t="shared" si="42"/>
        <v>4.7744153918316989E-2</v>
      </c>
      <c r="L48" s="1">
        <f t="shared" si="42"/>
        <v>0.28600135534859783</v>
      </c>
      <c r="N48" s="1"/>
    </row>
    <row r="49" spans="1:19" x14ac:dyDescent="0.35">
      <c r="A49" s="5" t="str">
        <f t="shared" ref="A49" si="43">A47</f>
        <v>STEM</v>
      </c>
      <c r="B49" s="5" t="str">
        <f t="shared" ref="B49" si="44">B47</f>
        <v>SPS1</v>
      </c>
      <c r="C49" s="5" t="str">
        <f t="shared" ref="C49" si="45">C47</f>
        <v>CH</v>
      </c>
      <c r="D49" t="s">
        <v>612</v>
      </c>
      <c r="E49" t="s">
        <v>8</v>
      </c>
      <c r="F49" s="1">
        <v>0</v>
      </c>
      <c r="G49" s="1">
        <v>0</v>
      </c>
      <c r="H49" s="1">
        <v>0</v>
      </c>
      <c r="I49" s="1">
        <v>0</v>
      </c>
      <c r="J49" s="1">
        <f>J45-J47</f>
        <v>0.79463392952139866</v>
      </c>
      <c r="K49" s="1">
        <f>K45-K47</f>
        <v>4.7744153918316989E-2</v>
      </c>
      <c r="L49" s="1">
        <f>L45-L47</f>
        <v>0.28600135534859783</v>
      </c>
      <c r="N49" s="1"/>
    </row>
    <row r="50" spans="1:19" x14ac:dyDescent="0.35">
      <c r="A50" s="5" t="str">
        <f>A44</f>
        <v>STEM</v>
      </c>
      <c r="B50" s="5" t="str">
        <f>B44</f>
        <v>SPS1</v>
      </c>
      <c r="C50" s="5" t="str">
        <f>C44</f>
        <v>CH</v>
      </c>
      <c r="D50" t="s">
        <v>787</v>
      </c>
      <c r="E50" t="s">
        <v>8</v>
      </c>
      <c r="F50" s="1" cm="1">
        <f t="array" ref="F50">SUMPRODUCT(("urn"=[1]OUT_PrimaryEnergyCons!$C$4:$C$10000)*1,[1]OUT_PrimaryEnergyCons!D$4:D$10000)</f>
        <v>250.94817811360252</v>
      </c>
      <c r="G50" s="1" cm="1">
        <f t="array" ref="G50">SUMPRODUCT(("urn"=[1]OUT_PrimaryEnergyCons!$C$4:$C$10000)*1,[1]OUT_PrimaryEnergyCons!E$4:E$10000)</f>
        <v>253.30007324334682</v>
      </c>
      <c r="H50" s="1" cm="1">
        <f t="array" ref="H50">SUMPRODUCT(("urn"=[1]OUT_PrimaryEnergyCons!$C$4:$C$10000)*1,[1]OUT_PrimaryEnergyCons!F$4:F$10000)</f>
        <v>233.22742609086151</v>
      </c>
      <c r="I50" s="1" cm="1">
        <f t="array" ref="I50">SUMPRODUCT(("urn"=[1]OUT_PrimaryEnergyCons!$C$4:$C$10000)*1,[1]OUT_PrimaryEnergyCons!G$4:G$10000)</f>
        <v>211.90228197968187</v>
      </c>
      <c r="J50" s="1" cm="1">
        <f t="array" ref="J50">SUMPRODUCT(("urn"=[2]OUT_PrimaryEnergyCons!$C$4:$C$10000)*1,[2]OUT_PrimaryEnergyCons!H$4:H$10000)</f>
        <v>167.60344994841279</v>
      </c>
      <c r="K50" s="1" cm="1">
        <f t="array" ref="K50">SUMPRODUCT(("urn"=[2]OUT_PrimaryEnergyCons!$C$4:$C$10000)*1,[2]OUT_PrimaryEnergyCons!I$4:I$10000)</f>
        <v>98.945503358515836</v>
      </c>
      <c r="L50" s="1" cm="1">
        <f t="array" ref="L50">SUMPRODUCT(("urn"=[2]OUT_PrimaryEnergyCons!$C$4:$C$10000)*1,[2]OUT_PrimaryEnergyCons!J$4:J$10000)</f>
        <v>0</v>
      </c>
      <c r="N50" s="1"/>
    </row>
    <row r="51" spans="1:19" x14ac:dyDescent="0.35">
      <c r="A51" s="5" t="str">
        <f>A39</f>
        <v>STEM</v>
      </c>
      <c r="B51" s="5" t="str">
        <f>B39</f>
        <v>SPS1</v>
      </c>
      <c r="C51" s="5" t="str">
        <f>C39</f>
        <v>CH</v>
      </c>
      <c r="D51" t="s">
        <v>788</v>
      </c>
      <c r="E51" t="s">
        <v>8</v>
      </c>
      <c r="F51" s="1">
        <f>SUM(F52:F55)</f>
        <v>97.160003940796088</v>
      </c>
      <c r="G51" s="1">
        <f t="shared" ref="G51:K51" si="46">SUM(G52:G55)</f>
        <v>50.274191336888087</v>
      </c>
      <c r="H51" s="1">
        <f t="shared" si="46"/>
        <v>50.452198541338433</v>
      </c>
      <c r="I51" s="1">
        <f t="shared" si="46"/>
        <v>50.749086452165166</v>
      </c>
      <c r="J51" s="1">
        <f t="shared" si="46"/>
        <v>56.302092799315339</v>
      </c>
      <c r="K51" s="1">
        <f t="shared" si="46"/>
        <v>42.738414976370834</v>
      </c>
      <c r="L51" s="1">
        <f t="shared" ref="L51" si="47">SUM(L52:L55)</f>
        <v>36.934886308899365</v>
      </c>
      <c r="N51" s="1"/>
    </row>
    <row r="52" spans="1:19" x14ac:dyDescent="0.35">
      <c r="A52" s="5" t="str">
        <f t="shared" si="6"/>
        <v>STEM</v>
      </c>
      <c r="B52" s="5" t="str">
        <f t="shared" si="7"/>
        <v>SPS1</v>
      </c>
      <c r="C52" s="5" t="str">
        <f t="shared" si="8"/>
        <v>CH</v>
      </c>
      <c r="D52" t="s">
        <v>20</v>
      </c>
      <c r="E52" t="s">
        <v>8</v>
      </c>
      <c r="F52" s="1" cm="1">
        <f t="array" ref="F52">SUMPRODUCT(([1]OUT_Electricity_CHP!$B$1:$B$10000="G-INTC-IMP00-AT")*1,([1]OUT_Electricity_CHP!$C$1:$C$10000="Var_Fout")*1,ISNUMBER(SEARCH("ELC",[1]OUT_Electricity_CHP!$D$1:$D$10000))*1,[1]OUT_Electricity_CHP!E$1:E$10000)</f>
        <v>15.013807044343766</v>
      </c>
      <c r="G52" s="1" cm="1">
        <f t="array" ref="G52">SUMPRODUCT(([1]OUT_Electricity_CHP!$B$1:$B$10000="G-INTC-IMP00-AT")*1,([1]OUT_Electricity_CHP!$C$1:$C$10000="Var_Fout")*1,ISNUMBER(SEARCH("ELC",[1]OUT_Electricity_CHP!$D$1:$D$10000))*1,[1]OUT_Electricity_CHP!F$1:F$10000)</f>
        <v>1.7706776567152544E-2</v>
      </c>
      <c r="H52" s="1" cm="1">
        <f t="array" ref="H52">SUMPRODUCT(([1]OUT_Electricity_CHP!$B$1:$B$10000="G-INTC-IMP00-AT")*1,([1]OUT_Electricity_CHP!$C$1:$C$10000="Var_Fout")*1,ISNUMBER(SEARCH("ELC",[1]OUT_Electricity_CHP!$D$1:$D$10000))*1,[1]OUT_Electricity_CHP!G$1:G$10000)</f>
        <v>1.3269253792695243E-2</v>
      </c>
      <c r="I52" s="1" cm="1">
        <f t="array" ref="I52">SUMPRODUCT(([1]OUT_Electricity_CHP!$B$1:$B$10000="G-INTC-IMP00-AT")*1,([1]OUT_Electricity_CHP!$C$1:$C$10000="Var_Fout")*1,ISNUMBER(SEARCH("ELC",[1]OUT_Electricity_CHP!$D$1:$D$10000))*1,[1]OUT_Electricity_CHP!H$1:H$10000)</f>
        <v>1.3016244561304119E-2</v>
      </c>
      <c r="J52" s="1" cm="1">
        <f t="array" ref="J52">SUMPRODUCT(([2]OUT_Electricity_CHP!$B$1:$B$10000="G-INTC-IMP00-AT")*1,([2]OUT_Electricity_CHP!$C$1:$C$10000="Var_Fout")*1,ISNUMBER(SEARCH("ELC",[2]OUT_Electricity_CHP!$D$1:$D$10000))*1,[2]OUT_Electricity_CHP!I$1:I$10000)</f>
        <v>8.7168089748295187E-3</v>
      </c>
      <c r="K52" s="1" cm="1">
        <f t="array" ref="K52">SUMPRODUCT(([2]OUT_Electricity_CHP!$B$1:$B$10000="G-INTC-IMP00-AT")*1,([2]OUT_Electricity_CHP!$C$1:$C$10000="Var_Fout")*1,ISNUMBER(SEARCH("ELC",[2]OUT_Electricity_CHP!$D$1:$D$10000))*1,[2]OUT_Electricity_CHP!J$1:J$10000)</f>
        <v>5.7906563738243178E-3</v>
      </c>
      <c r="L52" s="1" cm="1">
        <f t="array" ref="L52">SUMPRODUCT(([2]OUT_Electricity_CHP!$B$1:$B$10000="G-INTC-IMP00-AT")*1,([2]OUT_Electricity_CHP!$C$1:$C$10000="Var_Fout")*1,ISNUMBER(SEARCH("ELC",[2]OUT_Electricity_CHP!$D$1:$D$10000))*1,[2]OUT_Electricity_CHP!K$1:K$10000)</f>
        <v>3.4512566144094653E-3</v>
      </c>
      <c r="N52" s="1"/>
    </row>
    <row r="53" spans="1:19" x14ac:dyDescent="0.35">
      <c r="A53" s="5" t="str">
        <f t="shared" si="6"/>
        <v>STEM</v>
      </c>
      <c r="B53" s="5" t="str">
        <f t="shared" si="7"/>
        <v>SPS1</v>
      </c>
      <c r="C53" s="5" t="str">
        <f t="shared" si="8"/>
        <v>CH</v>
      </c>
      <c r="D53" t="s">
        <v>21</v>
      </c>
      <c r="E53" t="s">
        <v>8</v>
      </c>
      <c r="F53" s="1" cm="1">
        <f t="array" ref="F53">SUMPRODUCT(([1]OUT_Electricity_CHP!$B$1:$B$10000="G-INTC-IMP00-fr")*1,([1]OUT_Electricity_CHP!$C$1:$C$10000="Var_Fout")*1,ISNUMBER(SEARCH("ELC",[1]OUT_Electricity_CHP!$D$1:$D$10000))*1,[1]OUT_Electricity_CHP!E$1:E$10000)</f>
        <v>28.948622033497291</v>
      </c>
      <c r="G53" s="1" cm="1">
        <f t="array" ref="G53">SUMPRODUCT(([1]OUT_Electricity_CHP!$B$1:$B$10000="G-INTC-IMP00-fr")*1,([1]OUT_Electricity_CHP!$C$1:$C$10000="Var_Fout")*1,ISNUMBER(SEARCH("ELC",[1]OUT_Electricity_CHP!$D$1:$D$10000))*1,[1]OUT_Electricity_CHP!F$1:F$10000)</f>
        <v>17.237285963676449</v>
      </c>
      <c r="H53" s="1" cm="1">
        <f t="array" ref="H53">SUMPRODUCT(([1]OUT_Electricity_CHP!$B$1:$B$10000="G-INTC-IMP00-fr")*1,([1]OUT_Electricity_CHP!$C$1:$C$10000="Var_Fout")*1,ISNUMBER(SEARCH("ELC",[1]OUT_Electricity_CHP!$D$1:$D$10000))*1,[1]OUT_Electricity_CHP!G$1:G$10000)</f>
        <v>21.273359865652033</v>
      </c>
      <c r="I53" s="1" cm="1">
        <f t="array" ref="I53">SUMPRODUCT(([1]OUT_Electricity_CHP!$B$1:$B$10000="G-INTC-IMP00-fr")*1,([1]OUT_Electricity_CHP!$C$1:$C$10000="Var_Fout")*1,ISNUMBER(SEARCH("ELC",[1]OUT_Electricity_CHP!$D$1:$D$10000))*1,[1]OUT_Electricity_CHP!H$1:H$10000)</f>
        <v>14.83381277140796</v>
      </c>
      <c r="J53" s="1" cm="1">
        <f t="array" ref="J53">SUMPRODUCT(([2]OUT_Electricity_CHP!$B$1:$B$10000="G-INTC-IMP00-fr")*1,([2]OUT_Electricity_CHP!$C$1:$C$10000="Var_Fout")*1,ISNUMBER(SEARCH("ELC",[2]OUT_Electricity_CHP!$D$1:$D$10000))*1,[2]OUT_Electricity_CHP!I$1:I$10000)</f>
        <v>16.53269816641042</v>
      </c>
      <c r="K53" s="1" cm="1">
        <f t="array" ref="K53">SUMPRODUCT(([2]OUT_Electricity_CHP!$B$1:$B$10000="G-INTC-IMP00-fr")*1,([2]OUT_Electricity_CHP!$C$1:$C$10000="Var_Fout")*1,ISNUMBER(SEARCH("ELC",[2]OUT_Electricity_CHP!$D$1:$D$10000))*1,[2]OUT_Electricity_CHP!J$1:J$10000)</f>
        <v>10.200771984061106</v>
      </c>
      <c r="L53" s="1" cm="1">
        <f t="array" ref="L53">SUMPRODUCT(([2]OUT_Electricity_CHP!$B$1:$B$10000="G-INTC-IMP00-fr")*1,([2]OUT_Electricity_CHP!$C$1:$C$10000="Var_Fout")*1,ISNUMBER(SEARCH("ELC",[2]OUT_Electricity_CHP!$D$1:$D$10000))*1,[2]OUT_Electricity_CHP!K$1:K$10000)</f>
        <v>10.381060609426209</v>
      </c>
      <c r="N53" s="1"/>
    </row>
    <row r="54" spans="1:19" x14ac:dyDescent="0.35">
      <c r="A54" s="5" t="str">
        <f t="shared" si="6"/>
        <v>STEM</v>
      </c>
      <c r="B54" s="5" t="str">
        <f t="shared" si="7"/>
        <v>SPS1</v>
      </c>
      <c r="C54" s="5" t="str">
        <f t="shared" si="8"/>
        <v>CH</v>
      </c>
      <c r="D54" t="s">
        <v>22</v>
      </c>
      <c r="E54" t="s">
        <v>8</v>
      </c>
      <c r="F54" s="1" cm="1">
        <f t="array" ref="F54">SUMPRODUCT(([1]OUT_Electricity_CHP!$B$1:$B$10000="G-INTC-IMP00-de")*1,([1]OUT_Electricity_CHP!$C$1:$C$10000="Var_Fout")*1,ISNUMBER(SEARCH("ELC",[1]OUT_Electricity_CHP!$D$1:$D$10000))*1,[1]OUT_Electricity_CHP!E$1:E$10000)</f>
        <v>46.398476122575623</v>
      </c>
      <c r="G54" s="1" cm="1">
        <f t="array" ref="G54">SUMPRODUCT(([1]OUT_Electricity_CHP!$B$1:$B$10000="G-INTC-IMP00-de")*1,([1]OUT_Electricity_CHP!$C$1:$C$10000="Var_Fout")*1,ISNUMBER(SEARCH("ELC",[1]OUT_Electricity_CHP!$D$1:$D$10000))*1,[1]OUT_Electricity_CHP!F$1:F$10000)</f>
        <v>33.019061856164996</v>
      </c>
      <c r="H54" s="1" cm="1">
        <f t="array" ref="H54">SUMPRODUCT(([1]OUT_Electricity_CHP!$B$1:$B$10000="G-INTC-IMP00-de")*1,([1]OUT_Electricity_CHP!$C$1:$C$10000="Var_Fout")*1,ISNUMBER(SEARCH("ELC",[1]OUT_Electricity_CHP!$D$1:$D$10000))*1,[1]OUT_Electricity_CHP!G$1:G$10000)</f>
        <v>29.165457970151063</v>
      </c>
      <c r="I54" s="1" cm="1">
        <f t="array" ref="I54">SUMPRODUCT(([1]OUT_Electricity_CHP!$B$1:$B$10000="G-INTC-IMP00-de")*1,([1]OUT_Electricity_CHP!$C$1:$C$10000="Var_Fout")*1,ISNUMBER(SEARCH("ELC",[1]OUT_Electricity_CHP!$D$1:$D$10000))*1,[1]OUT_Electricity_CHP!H$1:H$10000)</f>
        <v>35.902209239879461</v>
      </c>
      <c r="J54" s="1" cm="1">
        <f t="array" ref="J54">SUMPRODUCT(([2]OUT_Electricity_CHP!$B$1:$B$10000="G-INTC-IMP00-de")*1,([2]OUT_Electricity_CHP!$C$1:$C$10000="Var_Fout")*1,ISNUMBER(SEARCH("ELC",[2]OUT_Electricity_CHP!$D$1:$D$10000))*1,[2]OUT_Electricity_CHP!I$1:I$10000)</f>
        <v>39.760489987373987</v>
      </c>
      <c r="K54" s="1" cm="1">
        <f t="array" ref="K54">SUMPRODUCT(([2]OUT_Electricity_CHP!$B$1:$B$10000="G-INTC-IMP00-de")*1,([2]OUT_Electricity_CHP!$C$1:$C$10000="Var_Fout")*1,ISNUMBER(SEARCH("ELC",[2]OUT_Electricity_CHP!$D$1:$D$10000))*1,[2]OUT_Electricity_CHP!J$1:J$10000)</f>
        <v>32.531683811701356</v>
      </c>
      <c r="L54" s="1" cm="1">
        <f t="array" ref="L54">SUMPRODUCT(([2]OUT_Electricity_CHP!$B$1:$B$10000="G-INTC-IMP00-de")*1,([2]OUT_Electricity_CHP!$C$1:$C$10000="Var_Fout")*1,ISNUMBER(SEARCH("ELC",[2]OUT_Electricity_CHP!$D$1:$D$10000))*1,[2]OUT_Electricity_CHP!K$1:K$10000)</f>
        <v>26.550224321020728</v>
      </c>
      <c r="N54" s="1"/>
    </row>
    <row r="55" spans="1:19" x14ac:dyDescent="0.35">
      <c r="A55" s="5" t="str">
        <f t="shared" si="6"/>
        <v>STEM</v>
      </c>
      <c r="B55" s="5" t="str">
        <f t="shared" si="7"/>
        <v>SPS1</v>
      </c>
      <c r="C55" s="5" t="str">
        <f t="shared" si="8"/>
        <v>CH</v>
      </c>
      <c r="D55" t="s">
        <v>23</v>
      </c>
      <c r="E55" t="s">
        <v>8</v>
      </c>
      <c r="F55" s="1" cm="1">
        <f t="array" ref="F55">SUMPRODUCT(([1]OUT_Electricity_CHP!$B$1:$B$10000="G-INTC-IMP00-it")*1,([1]OUT_Electricity_CHP!$C$1:$C$10000="Var_Fout")*1,ISNUMBER(SEARCH("ELC",[1]OUT_Electricity_CHP!$D$1:$D$10000))*1,[1]OUT_Electricity_CHP!E$1:E$10000)</f>
        <v>6.7990987403794056</v>
      </c>
      <c r="G55" s="1" cm="1">
        <f t="array" ref="G55">SUMPRODUCT(([1]OUT_Electricity_CHP!$B$1:$B$10000="G-INTC-IMP00-it")*1,([1]OUT_Electricity_CHP!$C$1:$C$10000="Var_Fout")*1,ISNUMBER(SEARCH("ELC",[1]OUT_Electricity_CHP!$D$1:$D$10000))*1,[1]OUT_Electricity_CHP!F$1:F$10000)</f>
        <v>1.3674047949247017E-4</v>
      </c>
      <c r="H55" s="1" cm="1">
        <f t="array" ref="H55">SUMPRODUCT(([1]OUT_Electricity_CHP!$B$1:$B$10000="G-INTC-IMP00-it")*1,([1]OUT_Electricity_CHP!$C$1:$C$10000="Var_Fout")*1,ISNUMBER(SEARCH("ELC",[1]OUT_Electricity_CHP!$D$1:$D$10000))*1,[1]OUT_Electricity_CHP!G$1:G$10000)</f>
        <v>1.1145174263870686E-4</v>
      </c>
      <c r="I55" s="1" cm="1">
        <f t="array" ref="I55">SUMPRODUCT(([1]OUT_Electricity_CHP!$B$1:$B$10000="G-INTC-IMP00-it")*1,([1]OUT_Electricity_CHP!$C$1:$C$10000="Var_Fout")*1,ISNUMBER(SEARCH("ELC",[1]OUT_Electricity_CHP!$D$1:$D$10000))*1,[1]OUT_Electricity_CHP!H$1:H$10000)</f>
        <v>4.8196316443690645E-5</v>
      </c>
      <c r="J55" s="1" cm="1">
        <f t="array" ref="J55">SUMPRODUCT(([2]OUT_Electricity_CHP!$B$1:$B$10000="G-INTC-IMP00-it")*1,([2]OUT_Electricity_CHP!$C$1:$C$10000="Var_Fout")*1,ISNUMBER(SEARCH("ELC",[2]OUT_Electricity_CHP!$D$1:$D$10000))*1,[2]OUT_Electricity_CHP!I$1:I$10000)</f>
        <v>1.8783655610214589E-4</v>
      </c>
      <c r="K55" s="1" cm="1">
        <f t="array" ref="K55">SUMPRODUCT(([2]OUT_Electricity_CHP!$B$1:$B$10000="G-INTC-IMP00-it")*1,([2]OUT_Electricity_CHP!$C$1:$C$10000="Var_Fout")*1,ISNUMBER(SEARCH("ELC",[2]OUT_Electricity_CHP!$D$1:$D$10000))*1,[2]OUT_Electricity_CHP!J$1:J$10000)</f>
        <v>1.6852423454338659E-4</v>
      </c>
      <c r="L55" s="1" cm="1">
        <f t="array" ref="L55">SUMPRODUCT(([2]OUT_Electricity_CHP!$B$1:$B$10000="G-INTC-IMP00-it")*1,([2]OUT_Electricity_CHP!$C$1:$C$10000="Var_Fout")*1,ISNUMBER(SEARCH("ELC",[2]OUT_Electricity_CHP!$D$1:$D$10000))*1,[2]OUT_Electricity_CHP!K$1:K$10000)</f>
        <v>1.5012183801789699E-4</v>
      </c>
      <c r="N55" s="1"/>
    </row>
    <row r="56" spans="1:19" x14ac:dyDescent="0.35">
      <c r="A56" s="5" t="str">
        <f t="shared" ref="A56" si="48">A55</f>
        <v>STEM</v>
      </c>
      <c r="B56" s="5" t="str">
        <f t="shared" ref="B56" si="49">B55</f>
        <v>SPS1</v>
      </c>
      <c r="C56" s="5" t="str">
        <f t="shared" ref="C56" si="50">C55</f>
        <v>CH</v>
      </c>
      <c r="D56" t="s">
        <v>789</v>
      </c>
      <c r="E56" t="s">
        <v>8</v>
      </c>
      <c r="F56" s="1" cm="1">
        <f t="array" ref="F56">SUMPRODUCT(("h2"=[1]OUT_PrimaryEnergyCons!$C$4:$C$10000)*1,[1]OUT_PrimaryEnergyCons!D$4:D$10000)</f>
        <v>0</v>
      </c>
      <c r="G56" s="1" cm="1">
        <f t="array" ref="G56">SUMPRODUCT(("h2"=[1]OUT_PrimaryEnergyCons!$C$4:$C$10000)*1,[1]OUT_PrimaryEnergyCons!E$4:E$10000)</f>
        <v>0</v>
      </c>
      <c r="H56" s="1" cm="1">
        <f t="array" ref="H56">SUMPRODUCT(("h2"=[1]OUT_PrimaryEnergyCons!$C$4:$C$10000)*1,[1]OUT_PrimaryEnergyCons!F$4:F$10000)</f>
        <v>0</v>
      </c>
      <c r="I56" s="1" cm="1">
        <f t="array" ref="I56">SUMPRODUCT(("h2"=[1]OUT_PrimaryEnergyCons!$C$4:$C$10000)*1,[1]OUT_PrimaryEnergyCons!G$4:G$10000)</f>
        <v>0</v>
      </c>
      <c r="J56" s="1" cm="1">
        <f t="array" ref="J56">SUMPRODUCT(("h2"=[2]OUT_PrimaryEnergyCons!$C$4:$C$10000)*1,[2]OUT_PrimaryEnergyCons!H$4:H$10000)</f>
        <v>0</v>
      </c>
      <c r="K56" s="1" cm="1">
        <f t="array" ref="K56">SUMPRODUCT(("h2"=[2]OUT_PrimaryEnergyCons!$C$4:$C$10000)*1,[2]OUT_PrimaryEnergyCons!I$4:I$10000)</f>
        <v>3.8475246849480662E-4</v>
      </c>
      <c r="L56" s="1" cm="1">
        <f t="array" ref="L56">SUMPRODUCT(("h2"=[2]OUT_PrimaryEnergyCons!$C$4:$C$10000)*1,[2]OUT_PrimaryEnergyCons!J$4:J$10000)</f>
        <v>3.8753382085759464E-4</v>
      </c>
      <c r="N56" s="1"/>
    </row>
    <row r="57" spans="1:19" x14ac:dyDescent="0.35">
      <c r="A57" s="9" t="str">
        <f>A55</f>
        <v>STEM</v>
      </c>
      <c r="B57" s="9" t="str">
        <f>B55</f>
        <v>SPS1</v>
      </c>
      <c r="C57" s="2" t="str">
        <f>C55</f>
        <v>CH</v>
      </c>
      <c r="D57" s="2" t="s">
        <v>24</v>
      </c>
      <c r="E57" s="2" t="s">
        <v>8</v>
      </c>
      <c r="F57" s="3">
        <f>F58</f>
        <v>117.17000544975915</v>
      </c>
      <c r="G57" s="3">
        <f t="shared" ref="G57:L57" si="51">G58</f>
        <v>35.622833874229897</v>
      </c>
      <c r="H57" s="3">
        <f t="shared" si="51"/>
        <v>74.625427784999971</v>
      </c>
      <c r="I57" s="3">
        <f t="shared" si="51"/>
        <v>58.784829070887952</v>
      </c>
      <c r="J57" s="3">
        <f t="shared" si="51"/>
        <v>44.075851865435496</v>
      </c>
      <c r="K57" s="3">
        <f t="shared" si="51"/>
        <v>19.720963637888602</v>
      </c>
      <c r="L57" s="3">
        <f t="shared" si="51"/>
        <v>14.129696905879099</v>
      </c>
      <c r="N57" s="1"/>
      <c r="O57" s="1"/>
      <c r="P57" s="1"/>
      <c r="Q57" s="1"/>
      <c r="R57" s="1"/>
      <c r="S57" s="1"/>
    </row>
    <row r="58" spans="1:19" x14ac:dyDescent="0.35">
      <c r="A58" s="5" t="str">
        <f>A57</f>
        <v>STEM</v>
      </c>
      <c r="B58" s="5" t="str">
        <f t="shared" si="7"/>
        <v>SPS1</v>
      </c>
      <c r="C58" s="5" t="str">
        <f t="shared" si="8"/>
        <v>CH</v>
      </c>
      <c r="D58" t="s">
        <v>790</v>
      </c>
      <c r="E58" t="str">
        <f>E57</f>
        <v>PJ/yr.</v>
      </c>
      <c r="F58" s="1">
        <f>SUM(F59:F62)</f>
        <v>117.17000544975915</v>
      </c>
      <c r="G58" s="1">
        <f t="shared" ref="G58:K58" si="52">SUM(G59:G62)</f>
        <v>35.622833874229897</v>
      </c>
      <c r="H58" s="1">
        <f t="shared" si="52"/>
        <v>74.625427784999971</v>
      </c>
      <c r="I58" s="1">
        <f t="shared" si="52"/>
        <v>58.784829070887952</v>
      </c>
      <c r="J58" s="1">
        <f t="shared" si="52"/>
        <v>44.075851865435496</v>
      </c>
      <c r="K58" s="1">
        <f t="shared" si="52"/>
        <v>19.720963637888602</v>
      </c>
      <c r="L58" s="1">
        <f t="shared" ref="L58" si="53">SUM(L59:L62)</f>
        <v>14.129696905879099</v>
      </c>
      <c r="N58" s="1"/>
    </row>
    <row r="59" spans="1:19" x14ac:dyDescent="0.35">
      <c r="A59" s="5" t="str">
        <f t="shared" ref="A59:A63" si="54">A58</f>
        <v>STEM</v>
      </c>
      <c r="B59" s="5" t="str">
        <f t="shared" si="7"/>
        <v>SPS1</v>
      </c>
      <c r="C59" s="5" t="str">
        <f t="shared" si="8"/>
        <v>CH</v>
      </c>
      <c r="D59" t="s">
        <v>25</v>
      </c>
      <c r="E59" t="str">
        <f t="shared" ref="E59:E62" si="55">E58</f>
        <v>PJ/yr.</v>
      </c>
      <c r="F59" s="1" cm="1">
        <f t="array" ref="F59">SUMPRODUCT(([1]OUT_Electricity_CHP!$B$1:$B$10000="G-INTC-exp00-AT")*1,([1]OUT_Electricity_CHP!$C$1:$C$10000="Var_Fout")*1,ISNUMBER(SEARCH("ELC",[1]OUT_Electricity_CHP!$D$1:$D$10000))*1,[1]OUT_Electricity_CHP!E$1:E$10000)</f>
        <v>6.2295572283639959</v>
      </c>
      <c r="G59" s="1" cm="1">
        <f t="array" ref="G59">SUMPRODUCT(([1]OUT_Electricity_CHP!$B$1:$B$10000="G-INTC-exp00-AT")*1,([1]OUT_Electricity_CHP!$C$1:$C$10000="Var_Fout")*1,ISNUMBER(SEARCH("ELC",[1]OUT_Electricity_CHP!$D$1:$D$10000))*1,[1]OUT_Electricity_CHP!F$1:F$10000)</f>
        <v>2.1183212872880283E-4</v>
      </c>
      <c r="H59" s="1" cm="1">
        <f t="array" ref="H59">SUMPRODUCT(([1]OUT_Electricity_CHP!$B$1:$B$10000="G-INTC-exp00-AT")*1,([1]OUT_Electricity_CHP!$C$1:$C$10000="Var_Fout")*1,ISNUMBER(SEARCH("ELC",[1]OUT_Electricity_CHP!$D$1:$D$10000))*1,[1]OUT_Electricity_CHP!G$1:G$10000)</f>
        <v>2.8078314982271364E-4</v>
      </c>
      <c r="I59" s="1" cm="1">
        <f t="array" ref="I59">SUMPRODUCT(([1]OUT_Electricity_CHP!$B$1:$B$10000="G-INTC-exp00-AT")*1,([1]OUT_Electricity_CHP!$C$1:$C$10000="Var_Fout")*1,ISNUMBER(SEARCH("ELC",[1]OUT_Electricity_CHP!$D$1:$D$10000))*1,[1]OUT_Electricity_CHP!H$1:H$10000)</f>
        <v>4.9032527210814143E-5</v>
      </c>
      <c r="J59" s="1" cm="1">
        <f t="array" ref="J59">SUMPRODUCT(([2]OUT_Electricity_CHP!$B$1:$B$10000="G-INTC-exp00-AT")*1,([2]OUT_Electricity_CHP!$C$1:$C$10000="Var_Fout")*1,ISNUMBER(SEARCH("ELC",[2]OUT_Electricity_CHP!$D$1:$D$10000))*1,[2]OUT_Electricity_CHP!I$1:I$10000)</f>
        <v>1.6092446955082008E-4</v>
      </c>
      <c r="K59" s="1" cm="1">
        <f t="array" ref="K59">SUMPRODUCT(([2]OUT_Electricity_CHP!$B$1:$B$10000="G-INTC-exp00-AT")*1,([2]OUT_Electricity_CHP!$C$1:$C$10000="Var_Fout")*1,ISNUMBER(SEARCH("ELC",[2]OUT_Electricity_CHP!$D$1:$D$10000))*1,[2]OUT_Electricity_CHP!J$1:J$10000)</f>
        <v>1.5525978531373032E-4</v>
      </c>
      <c r="L59" s="1" cm="1">
        <f t="array" ref="L59">SUMPRODUCT(([2]OUT_Electricity_CHP!$B$1:$B$10000="G-INTC-exp00-AT")*1,([2]OUT_Electricity_CHP!$C$1:$C$10000="Var_Fout")*1,ISNUMBER(SEARCH("ELC",[2]OUT_Electricity_CHP!$D$1:$D$10000))*1,[2]OUT_Electricity_CHP!K$1:K$10000)</f>
        <v>1.1670095461517139E-4</v>
      </c>
      <c r="N59" s="1"/>
    </row>
    <row r="60" spans="1:19" x14ac:dyDescent="0.35">
      <c r="A60" s="5" t="str">
        <f t="shared" si="54"/>
        <v>STEM</v>
      </c>
      <c r="B60" s="5" t="str">
        <f t="shared" si="7"/>
        <v>SPS1</v>
      </c>
      <c r="C60" s="5" t="str">
        <f t="shared" si="8"/>
        <v>CH</v>
      </c>
      <c r="D60" t="s">
        <v>26</v>
      </c>
      <c r="E60" t="str">
        <f t="shared" si="55"/>
        <v>PJ/yr.</v>
      </c>
      <c r="F60" s="1" cm="1">
        <f t="array" ref="F60">SUMPRODUCT(([1]OUT_Electricity_CHP!$B$1:$B$10000="G-INTC-exp00-fr")*1,([1]OUT_Electricity_CHP!$C$1:$C$10000="Var_Fout")*1,ISNUMBER(SEARCH("ELC",[1]OUT_Electricity_CHP!$D$1:$D$10000))*1,[1]OUT_Electricity_CHP!E$1:E$10000)</f>
        <v>12.75336069494074</v>
      </c>
      <c r="G60" s="1" cm="1">
        <f t="array" ref="G60">SUMPRODUCT(([1]OUT_Electricity_CHP!$B$1:$B$10000="G-INTC-exp00-fr")*1,([1]OUT_Electricity_CHP!$C$1:$C$10000="Var_Fout")*1,ISNUMBER(SEARCH("ELC",[1]OUT_Electricity_CHP!$D$1:$D$10000))*1,[1]OUT_Electricity_CHP!F$1:F$10000)</f>
        <v>2.1015038260549732E-4</v>
      </c>
      <c r="H60" s="1" cm="1">
        <f t="array" ref="H60">SUMPRODUCT(([1]OUT_Electricity_CHP!$B$1:$B$10000="G-INTC-exp00-fr")*1,([1]OUT_Electricity_CHP!$C$1:$C$10000="Var_Fout")*1,ISNUMBER(SEARCH("ELC",[1]OUT_Electricity_CHP!$D$1:$D$10000))*1,[1]OUT_Electricity_CHP!G$1:G$10000)</f>
        <v>2.2830026798602564E-4</v>
      </c>
      <c r="I60" s="1" cm="1">
        <f t="array" ref="I60">SUMPRODUCT(([1]OUT_Electricity_CHP!$B$1:$B$10000="G-INTC-exp00-fr")*1,([1]OUT_Electricity_CHP!$C$1:$C$10000="Var_Fout")*1,ISNUMBER(SEARCH("ELC",[1]OUT_Electricity_CHP!$D$1:$D$10000))*1,[1]OUT_Electricity_CHP!H$1:H$10000)</f>
        <v>1.070566004915412E-4</v>
      </c>
      <c r="J60" s="1" cm="1">
        <f t="array" ref="J60">SUMPRODUCT(([2]OUT_Electricity_CHP!$B$1:$B$10000="G-INTC-exp00-fr")*1,([2]OUT_Electricity_CHP!$C$1:$C$10000="Var_Fout")*1,ISNUMBER(SEARCH("ELC",[2]OUT_Electricity_CHP!$D$1:$D$10000))*1,[2]OUT_Electricity_CHP!I$1:I$10000)</f>
        <v>5.9153230660607774E-4</v>
      </c>
      <c r="K60" s="1" cm="1">
        <f t="array" ref="K60">SUMPRODUCT(([2]OUT_Electricity_CHP!$B$1:$B$10000="G-INTC-exp00-fr")*1,([2]OUT_Electricity_CHP!$C$1:$C$10000="Var_Fout")*1,ISNUMBER(SEARCH("ELC",[2]OUT_Electricity_CHP!$D$1:$D$10000))*1,[2]OUT_Electricity_CHP!J$1:J$10000)</f>
        <v>1.129698315548139E-3</v>
      </c>
      <c r="L60" s="1" cm="1">
        <f t="array" ref="L60">SUMPRODUCT(([2]OUT_Electricity_CHP!$B$1:$B$10000="G-INTC-exp00-fr")*1,([2]OUT_Electricity_CHP!$C$1:$C$10000="Var_Fout")*1,ISNUMBER(SEARCH("ELC",[2]OUT_Electricity_CHP!$D$1:$D$10000))*1,[2]OUT_Electricity_CHP!K$1:K$10000)</f>
        <v>6.3421579721996207E-4</v>
      </c>
      <c r="N60" s="1"/>
    </row>
    <row r="61" spans="1:19" x14ac:dyDescent="0.35">
      <c r="A61" s="5" t="str">
        <f t="shared" si="54"/>
        <v>STEM</v>
      </c>
      <c r="B61" s="5" t="str">
        <f t="shared" si="7"/>
        <v>SPS1</v>
      </c>
      <c r="C61" s="5" t="str">
        <f t="shared" si="8"/>
        <v>CH</v>
      </c>
      <c r="D61" t="s">
        <v>27</v>
      </c>
      <c r="E61" t="str">
        <f t="shared" si="55"/>
        <v>PJ/yr.</v>
      </c>
      <c r="F61" s="1" cm="1">
        <f t="array" ref="F61">SUMPRODUCT(([1]OUT_Electricity_CHP!$B$1:$B$10000="G-INTC-exp00-de")*1,([1]OUT_Electricity_CHP!$C$1:$C$10000="Var_Fout")*1,ISNUMBER(SEARCH("ELC",[1]OUT_Electricity_CHP!$D$1:$D$10000))*1,[1]OUT_Electricity_CHP!E$1:E$10000)</f>
        <v>26.492979688082254</v>
      </c>
      <c r="G61" s="1" cm="1">
        <f t="array" ref="G61">SUMPRODUCT(([1]OUT_Electricity_CHP!$B$1:$B$10000="G-INTC-exp00-de")*1,([1]OUT_Electricity_CHP!$C$1:$C$10000="Var_Fout")*1,ISNUMBER(SEARCH("ELC",[1]OUT_Electricity_CHP!$D$1:$D$10000))*1,[1]OUT_Electricity_CHP!F$1:F$10000)</f>
        <v>1.4857839317230039E-4</v>
      </c>
      <c r="H61" s="1" cm="1">
        <f t="array" ref="H61">SUMPRODUCT(([1]OUT_Electricity_CHP!$B$1:$B$10000="G-INTC-exp00-de")*1,([1]OUT_Electricity_CHP!$C$1:$C$10000="Var_Fout")*1,ISNUMBER(SEARCH("ELC",[1]OUT_Electricity_CHP!$D$1:$D$10000))*1,[1]OUT_Electricity_CHP!G$1:G$10000)</f>
        <v>1.7564354264258425E-4</v>
      </c>
      <c r="I61" s="1" cm="1">
        <f t="array" ref="I61">SUMPRODUCT(([1]OUT_Electricity_CHP!$B$1:$B$10000="G-INTC-exp00-de")*1,([1]OUT_Electricity_CHP!$C$1:$C$10000="Var_Fout")*1,ISNUMBER(SEARCH("ELC",[1]OUT_Electricity_CHP!$D$1:$D$10000))*1,[1]OUT_Electricity_CHP!H$1:H$10000)</f>
        <v>1.1159473634113997E-4</v>
      </c>
      <c r="J61" s="1" cm="1">
        <f t="array" ref="J61">SUMPRODUCT(([2]OUT_Electricity_CHP!$B$1:$B$10000="G-INTC-exp00-de")*1,([2]OUT_Electricity_CHP!$C$1:$C$10000="Var_Fout")*1,ISNUMBER(SEARCH("ELC",[2]OUT_Electricity_CHP!$D$1:$D$10000))*1,[2]OUT_Electricity_CHP!I$1:I$10000)</f>
        <v>5.838038775267825E-4</v>
      </c>
      <c r="K61" s="1" cm="1">
        <f t="array" ref="K61">SUMPRODUCT(([2]OUT_Electricity_CHP!$B$1:$B$10000="G-INTC-exp00-de")*1,([2]OUT_Electricity_CHP!$C$1:$C$10000="Var_Fout")*1,ISNUMBER(SEARCH("ELC",[2]OUT_Electricity_CHP!$D$1:$D$10000))*1,[2]OUT_Electricity_CHP!J$1:J$10000)</f>
        <v>9.1029675338660798E-4</v>
      </c>
      <c r="L61" s="1" cm="1">
        <f t="array" ref="L61">SUMPRODUCT(([2]OUT_Electricity_CHP!$B$1:$B$10000="G-INTC-exp00-de")*1,([2]OUT_Electricity_CHP!$C$1:$C$10000="Var_Fout")*1,ISNUMBER(SEARCH("ELC",[2]OUT_Electricity_CHP!$D$1:$D$10000))*1,[2]OUT_Electricity_CHP!K$1:K$10000)</f>
        <v>2.6692407442305044E-4</v>
      </c>
      <c r="N61" s="1"/>
    </row>
    <row r="62" spans="1:19" x14ac:dyDescent="0.35">
      <c r="A62" s="5" t="str">
        <f t="shared" si="54"/>
        <v>STEM</v>
      </c>
      <c r="B62" s="5" t="str">
        <f t="shared" si="7"/>
        <v>SPS1</v>
      </c>
      <c r="C62" s="5" t="str">
        <f t="shared" si="8"/>
        <v>CH</v>
      </c>
      <c r="D62" t="s">
        <v>28</v>
      </c>
      <c r="E62" t="str">
        <f t="shared" si="55"/>
        <v>PJ/yr.</v>
      </c>
      <c r="F62" s="1" cm="1">
        <f t="array" ref="F62">SUMPRODUCT(([1]OUT_Electricity_CHP!$B$1:$B$10000="G-INTC-exp00-it")*1,([1]OUT_Electricity_CHP!$C$1:$C$10000="Var_Fout")*1,ISNUMBER(SEARCH("ELC",[1]OUT_Electricity_CHP!$D$1:$D$10000))*1,[1]OUT_Electricity_CHP!E$1:E$10000)</f>
        <v>71.694107838372162</v>
      </c>
      <c r="G62" s="1" cm="1">
        <f t="array" ref="G62">SUMPRODUCT(([1]OUT_Electricity_CHP!$B$1:$B$10000="G-INTC-exp00-it")*1,([1]OUT_Electricity_CHP!$C$1:$C$10000="Var_Fout")*1,ISNUMBER(SEARCH("ELC",[1]OUT_Electricity_CHP!$D$1:$D$10000))*1,[1]OUT_Electricity_CHP!F$1:F$10000)</f>
        <v>35.622263313325391</v>
      </c>
      <c r="H62" s="1" cm="1">
        <f t="array" ref="H62">SUMPRODUCT(([1]OUT_Electricity_CHP!$B$1:$B$10000="G-INTC-exp00-it")*1,([1]OUT_Electricity_CHP!$C$1:$C$10000="Var_Fout")*1,ISNUMBER(SEARCH("ELC",[1]OUT_Electricity_CHP!$D$1:$D$10000))*1,[1]OUT_Electricity_CHP!G$1:G$10000)</f>
        <v>74.624743058039513</v>
      </c>
      <c r="I62" s="1" cm="1">
        <f t="array" ref="I62">SUMPRODUCT(([1]OUT_Electricity_CHP!$B$1:$B$10000="G-INTC-exp00-it")*1,([1]OUT_Electricity_CHP!$C$1:$C$10000="Var_Fout")*1,ISNUMBER(SEARCH("ELC",[1]OUT_Electricity_CHP!$D$1:$D$10000))*1,[1]OUT_Electricity_CHP!H$1:H$10000)</f>
        <v>58.784561387023906</v>
      </c>
      <c r="J62" s="1" cm="1">
        <f t="array" ref="J62">SUMPRODUCT(([2]OUT_Electricity_CHP!$B$1:$B$10000="G-INTC-exp00-it")*1,([2]OUT_Electricity_CHP!$C$1:$C$10000="Var_Fout")*1,ISNUMBER(SEARCH("ELC",[2]OUT_Electricity_CHP!$D$1:$D$10000))*1,[2]OUT_Electricity_CHP!I$1:I$10000)</f>
        <v>44.074515604781816</v>
      </c>
      <c r="K62" s="1" cm="1">
        <f t="array" ref="K62">SUMPRODUCT(([2]OUT_Electricity_CHP!$B$1:$B$10000="G-INTC-exp00-it")*1,([2]OUT_Electricity_CHP!$C$1:$C$10000="Var_Fout")*1,ISNUMBER(SEARCH("ELC",[2]OUT_Electricity_CHP!$D$1:$D$10000))*1,[2]OUT_Electricity_CHP!J$1:J$10000)</f>
        <v>19.718768383034352</v>
      </c>
      <c r="L62" s="1" cm="1">
        <f t="array" ref="L62">SUMPRODUCT(([2]OUT_Electricity_CHP!$B$1:$B$10000="G-INTC-exp00-it")*1,([2]OUT_Electricity_CHP!$C$1:$C$10000="Var_Fout")*1,ISNUMBER(SEARCH("ELC",[2]OUT_Electricity_CHP!$D$1:$D$10000))*1,[2]OUT_Electricity_CHP!K$1:K$10000)</f>
        <v>14.128679065052841</v>
      </c>
      <c r="N62" s="1"/>
    </row>
    <row r="63" spans="1:19" x14ac:dyDescent="0.35">
      <c r="A63" s="9" t="str">
        <f t="shared" si="54"/>
        <v>STEM</v>
      </c>
      <c r="B63" s="9" t="str">
        <f t="shared" ref="B63:B64" si="56">B62</f>
        <v>SPS1</v>
      </c>
      <c r="C63" s="2" t="str">
        <f t="shared" ref="C63:C64" si="57">C62</f>
        <v>CH</v>
      </c>
      <c r="D63" s="2" t="s">
        <v>29</v>
      </c>
      <c r="E63" s="2" t="s">
        <v>8</v>
      </c>
      <c r="F63" s="3">
        <f>SUM(F64,F66,F70,F82,F130,F151,F159,F161,F169,F173,F167)</f>
        <v>251.11459163145716</v>
      </c>
      <c r="G63" s="3">
        <f t="shared" ref="G63:K63" si="58">SUM(G64,G66,G74,G82,G130,G151,G159,G161,G169,G173,G167)</f>
        <v>229.28936363702906</v>
      </c>
      <c r="H63" s="3">
        <f t="shared" si="58"/>
        <v>256.02747330987063</v>
      </c>
      <c r="I63" s="3">
        <f t="shared" si="58"/>
        <v>273.11411191917546</v>
      </c>
      <c r="J63" s="3">
        <f t="shared" si="58"/>
        <v>266.57511208035424</v>
      </c>
      <c r="K63" s="3">
        <f t="shared" si="58"/>
        <v>258.17771454790562</v>
      </c>
      <c r="L63" s="3">
        <f t="shared" ref="L63" si="59">SUM(L64,L66,L74,L82,L130,L151,L159,L161,L169,L173,L167)</f>
        <v>261.90019753255899</v>
      </c>
      <c r="N63" s="1"/>
    </row>
    <row r="64" spans="1:19" x14ac:dyDescent="0.35">
      <c r="A64" s="5" t="str">
        <f>A63</f>
        <v>STEM</v>
      </c>
      <c r="B64" s="5" t="str">
        <f t="shared" si="56"/>
        <v>SPS1</v>
      </c>
      <c r="C64" s="5" t="str">
        <f t="shared" si="57"/>
        <v>CH</v>
      </c>
      <c r="D64" t="s">
        <v>791</v>
      </c>
      <c r="E64" t="str">
        <f>E62</f>
        <v>PJ/yr.</v>
      </c>
      <c r="F64" s="1">
        <f>+F65</f>
        <v>82.760000148976332</v>
      </c>
      <c r="G64" s="1">
        <f t="shared" ref="G64:L64" si="60">+G65</f>
        <v>82.759995330706502</v>
      </c>
      <c r="H64" s="1">
        <f t="shared" si="60"/>
        <v>76.101924503147643</v>
      </c>
      <c r="I64" s="1">
        <f t="shared" si="60"/>
        <v>69.934413130818442</v>
      </c>
      <c r="J64" s="1">
        <f t="shared" si="60"/>
        <v>55.379439768513635</v>
      </c>
      <c r="K64" s="1">
        <f t="shared" si="60"/>
        <v>32.820801310852644</v>
      </c>
      <c r="L64" s="1">
        <f t="shared" si="60"/>
        <v>0</v>
      </c>
      <c r="N64" s="1"/>
    </row>
    <row r="65" spans="1:14" x14ac:dyDescent="0.35">
      <c r="A65" s="5" t="str">
        <f t="shared" ref="A65:A149" si="61">A64</f>
        <v>STEM</v>
      </c>
      <c r="B65" s="5" t="str">
        <f t="shared" ref="B65:B149" si="62">B64</f>
        <v>SPS1</v>
      </c>
      <c r="C65" s="5" t="str">
        <f t="shared" ref="C65:C149" si="63">C64</f>
        <v>CH</v>
      </c>
      <c r="D65" t="s">
        <v>30</v>
      </c>
      <c r="E65" t="str">
        <f>E63</f>
        <v>PJ/yr.</v>
      </c>
      <c r="F65" s="1">
        <f>'[1]Electricity and CHPs'!B14</f>
        <v>82.760000148976332</v>
      </c>
      <c r="G65" s="1">
        <f>'[1]Electricity and CHPs'!C14</f>
        <v>82.759995330706502</v>
      </c>
      <c r="H65" s="1">
        <f>'[1]Electricity and CHPs'!D14</f>
        <v>76.101924503147643</v>
      </c>
      <c r="I65" s="1">
        <f>'[1]Electricity and CHPs'!E14</f>
        <v>69.934413130818442</v>
      </c>
      <c r="J65" s="1">
        <f>'[2]Electricity and CHPs'!F14</f>
        <v>55.379439768513635</v>
      </c>
      <c r="K65" s="1">
        <f>'[2]Electricity and CHPs'!G14</f>
        <v>32.820801310852644</v>
      </c>
      <c r="L65" s="1">
        <f>'[2]Electricity and CHPs'!H14</f>
        <v>0</v>
      </c>
      <c r="N65" s="1"/>
    </row>
    <row r="66" spans="1:14" x14ac:dyDescent="0.35">
      <c r="A66" s="5" t="str">
        <f t="shared" si="61"/>
        <v>STEM</v>
      </c>
      <c r="B66" s="5" t="str">
        <f t="shared" si="62"/>
        <v>SPS1</v>
      </c>
      <c r="C66" s="5" t="str">
        <f t="shared" si="63"/>
        <v>CH</v>
      </c>
      <c r="D66" t="s">
        <v>792</v>
      </c>
      <c r="E66" t="str">
        <f>E65</f>
        <v>PJ/yr.</v>
      </c>
      <c r="F66" s="1">
        <f>SUM(F67:F69)</f>
        <v>146.22000084198157</v>
      </c>
      <c r="G66" s="1">
        <f t="shared" ref="G66:K66" si="64">SUM(G67:G69)</f>
        <v>121.59632363938036</v>
      </c>
      <c r="H66" s="1">
        <f t="shared" si="64"/>
        <v>137.02849334108171</v>
      </c>
      <c r="I66" s="1">
        <f t="shared" si="64"/>
        <v>147.46971691651433</v>
      </c>
      <c r="J66" s="1">
        <f t="shared" si="64"/>
        <v>147.5360276520897</v>
      </c>
      <c r="K66" s="1">
        <f t="shared" si="64"/>
        <v>147.64222429995641</v>
      </c>
      <c r="L66" s="1">
        <f t="shared" ref="L66" si="65">SUM(L67:L69)</f>
        <v>147.835359012917</v>
      </c>
      <c r="N66" s="1"/>
    </row>
    <row r="67" spans="1:14" x14ac:dyDescent="0.35">
      <c r="A67" s="5" t="str">
        <f t="shared" si="61"/>
        <v>STEM</v>
      </c>
      <c r="B67" s="5" t="str">
        <f t="shared" si="62"/>
        <v>SPS1</v>
      </c>
      <c r="C67" s="5" t="str">
        <f t="shared" si="63"/>
        <v>CH</v>
      </c>
      <c r="D67" t="s">
        <v>31</v>
      </c>
      <c r="E67" t="str">
        <f>E65</f>
        <v>PJ/yr.</v>
      </c>
      <c r="F67" s="1">
        <f>'[1]Electricity and CHPs'!B15</f>
        <v>66.745679999995161</v>
      </c>
      <c r="G67" s="1">
        <f>'[1]Electricity and CHPs'!C15</f>
        <v>49.798799902568817</v>
      </c>
      <c r="H67" s="1">
        <f>'[1]Electricity and CHPs'!D15</f>
        <v>69.098091987387846</v>
      </c>
      <c r="I67" s="1">
        <f>'[1]Electricity and CHPs'!E15</f>
        <v>70.384657838973283</v>
      </c>
      <c r="J67" s="1">
        <f>'[2]Electricity and CHPs'!F15</f>
        <v>71.52327812530406</v>
      </c>
      <c r="K67" s="1">
        <f>'[2]Electricity and CHPs'!G15</f>
        <v>72.607215568765483</v>
      </c>
      <c r="L67" s="1">
        <f>'[2]Electricity and CHPs'!H15</f>
        <v>74.776919064631173</v>
      </c>
      <c r="N67" s="1"/>
    </row>
    <row r="68" spans="1:14" x14ac:dyDescent="0.35">
      <c r="A68" s="5" t="str">
        <f t="shared" si="61"/>
        <v>STEM</v>
      </c>
      <c r="B68" s="5" t="str">
        <f t="shared" si="62"/>
        <v>SPS1</v>
      </c>
      <c r="C68" s="5" t="str">
        <f t="shared" si="63"/>
        <v>CH</v>
      </c>
      <c r="D68" t="s">
        <v>32</v>
      </c>
      <c r="E68" t="str">
        <f t="shared" ref="E68:E69" si="66">E67</f>
        <v>PJ/yr.</v>
      </c>
      <c r="F68" s="1">
        <f>'[1]Electricity and CHPs'!B16</f>
        <v>66.632400218261907</v>
      </c>
      <c r="G68" s="1">
        <f>'[1]Electricity and CHPs'!C16</f>
        <v>55.76400049992705</v>
      </c>
      <c r="H68" s="1">
        <f>'[1]Electricity and CHPs'!D16</f>
        <v>65.549520725005422</v>
      </c>
      <c r="I68" s="1">
        <f>'[1]Electricity and CHPs'!E16</f>
        <v>64.46572592756182</v>
      </c>
      <c r="J68" s="1">
        <f>'[2]Electricity and CHPs'!F16</f>
        <v>63.385979563224339</v>
      </c>
      <c r="K68" s="1">
        <f>'[2]Electricity and CHPs'!G16</f>
        <v>62.302042598831932</v>
      </c>
      <c r="L68" s="1">
        <f>'[2]Electricity and CHPs'!H16</f>
        <v>60.132340541967814</v>
      </c>
      <c r="N68" s="1"/>
    </row>
    <row r="69" spans="1:14" x14ac:dyDescent="0.35">
      <c r="A69" s="5" t="str">
        <f t="shared" si="61"/>
        <v>STEM</v>
      </c>
      <c r="B69" s="5" t="str">
        <f t="shared" si="62"/>
        <v>SPS1</v>
      </c>
      <c r="C69" s="5" t="str">
        <f t="shared" si="63"/>
        <v>CH</v>
      </c>
      <c r="D69" t="s">
        <v>33</v>
      </c>
      <c r="E69" t="str">
        <f t="shared" si="66"/>
        <v>PJ/yr.</v>
      </c>
      <c r="F69" s="1">
        <f>'[1]Electricity and CHPs'!B17</f>
        <v>12.841920623724477</v>
      </c>
      <c r="G69" s="1">
        <f>'[1]Electricity and CHPs'!C17</f>
        <v>16.033523236884484</v>
      </c>
      <c r="H69" s="1">
        <f>'[1]Electricity and CHPs'!D17</f>
        <v>2.3808806286884696</v>
      </c>
      <c r="I69" s="1">
        <f>'[1]Electricity and CHPs'!E17</f>
        <v>12.619333149979209</v>
      </c>
      <c r="J69" s="1">
        <f>'[2]Electricity and CHPs'!F17</f>
        <v>12.626769963561312</v>
      </c>
      <c r="K69" s="1">
        <f>'[2]Electricity and CHPs'!G17</f>
        <v>12.732966132358984</v>
      </c>
      <c r="L69" s="1">
        <f>'[2]Electricity and CHPs'!H17</f>
        <v>12.926099406317991</v>
      </c>
      <c r="N69" s="1"/>
    </row>
    <row r="70" spans="1:14" x14ac:dyDescent="0.35">
      <c r="A70" s="5" t="str">
        <f>A61</f>
        <v>STEM</v>
      </c>
      <c r="B70" s="5" t="str">
        <f>B61</f>
        <v>SPS1</v>
      </c>
      <c r="C70" s="5" t="str">
        <f>C61</f>
        <v>CH</v>
      </c>
      <c r="D70" t="s">
        <v>793</v>
      </c>
      <c r="E70" t="str">
        <f>E61</f>
        <v>PJ/yr.</v>
      </c>
      <c r="F70" s="1">
        <f>SUM(F71:F73)</f>
        <v>0.11190474051810419</v>
      </c>
      <c r="G70" s="1">
        <f t="shared" ref="G70" si="67">SUM(G71:G73)</f>
        <v>0.17152872904444336</v>
      </c>
      <c r="H70" s="1">
        <f t="shared" ref="H70" si="68">SUM(H71:H73)</f>
        <v>1.4187889602118937E-2</v>
      </c>
      <c r="I70" s="1">
        <f t="shared" ref="I70" si="69">SUM(I71:I73)</f>
        <v>0.17153070144118482</v>
      </c>
      <c r="J70" s="1">
        <f t="shared" ref="J70" si="70">SUM(J71:J73)</f>
        <v>0.17153224813463666</v>
      </c>
      <c r="K70" s="1">
        <f t="shared" ref="K70:L70" si="71">SUM(K71:K73)</f>
        <v>1.8061021437427636E-2</v>
      </c>
      <c r="L70" s="1">
        <f t="shared" si="71"/>
        <v>0.15376789703376542</v>
      </c>
      <c r="N70" s="1"/>
    </row>
    <row r="71" spans="1:14" x14ac:dyDescent="0.35">
      <c r="A71" s="5" t="str">
        <f>A70</f>
        <v>STEM</v>
      </c>
      <c r="B71" s="5" t="str">
        <f>B70</f>
        <v>SPS1</v>
      </c>
      <c r="C71" s="5" t="str">
        <f>C70</f>
        <v>CH</v>
      </c>
      <c r="D71" t="s">
        <v>34</v>
      </c>
      <c r="E71" t="str">
        <f>E61</f>
        <v>PJ/yr.</v>
      </c>
      <c r="F71" s="1">
        <f>'[1]Electricity and CHPs'!B18</f>
        <v>3.960103094555574E-2</v>
      </c>
      <c r="G71" s="1">
        <f>'[1]Electricity and CHPs'!C18</f>
        <v>4.0467292091570133E-5</v>
      </c>
      <c r="H71" s="1">
        <f>'[1]Electricity and CHPs'!D18</f>
        <v>3.9569265600404883E-3</v>
      </c>
      <c r="I71" s="1">
        <f>'[1]Electricity and CHPs'!E18</f>
        <v>2.3315827825481447E-4</v>
      </c>
      <c r="J71" s="1">
        <f>'[2]Electricity and CHPs'!F18</f>
        <v>1.2444753889778869E-3</v>
      </c>
      <c r="K71" s="1">
        <f>'[2]Electricity and CHPs'!G18</f>
        <v>1.7086383416788713E-3</v>
      </c>
      <c r="L71" s="1">
        <f>'[2]Electricity and CHPs'!H18</f>
        <v>2.7812282238228302E-3</v>
      </c>
      <c r="N71" s="1"/>
    </row>
    <row r="72" spans="1:14" x14ac:dyDescent="0.35">
      <c r="A72" s="5" t="str">
        <f t="shared" ref="A72:A73" si="72">A71</f>
        <v>STEM</v>
      </c>
      <c r="B72" s="5" t="str">
        <f t="shared" ref="B72:B73" si="73">B71</f>
        <v>SPS1</v>
      </c>
      <c r="C72" s="5" t="str">
        <f t="shared" ref="C72:C73" si="74">C71</f>
        <v>CH</v>
      </c>
      <c r="D72" t="s">
        <v>228</v>
      </c>
      <c r="E72" t="str">
        <f>E126</f>
        <v>PJ/yr.</v>
      </c>
      <c r="F72" s="1">
        <f>'[1]Electricity and CHPs'!B28</f>
        <v>1.8009909297917062E-3</v>
      </c>
      <c r="G72" s="1">
        <f>'[1]Electricity and CHPs'!C28</f>
        <v>4.2907107324721099E-5</v>
      </c>
      <c r="H72" s="1">
        <f>'[1]Electricity and CHPs'!D28</f>
        <v>4.742982662441835E-4</v>
      </c>
      <c r="I72" s="1">
        <f>'[1]Electricity and CHPs'!E28</f>
        <v>1.2521024452642618E-4</v>
      </c>
      <c r="J72" s="1">
        <f>'[2]Electricity and CHPs'!F28</f>
        <v>6.5866117584543376E-4</v>
      </c>
      <c r="K72" s="1">
        <f>'[2]Electricity and CHPs'!G28</f>
        <v>6.2099276774271392E-4</v>
      </c>
      <c r="L72" s="1">
        <f>'[2]Electricity and CHPs'!H28</f>
        <v>3.3876898091718708E-4</v>
      </c>
      <c r="N72" s="1"/>
    </row>
    <row r="73" spans="1:14" x14ac:dyDescent="0.35">
      <c r="A73" s="5" t="str">
        <f t="shared" si="72"/>
        <v>STEM</v>
      </c>
      <c r="B73" s="5" t="str">
        <f t="shared" si="73"/>
        <v>SPS1</v>
      </c>
      <c r="C73" s="5" t="str">
        <f t="shared" si="74"/>
        <v>CH</v>
      </c>
      <c r="D73" t="s">
        <v>40</v>
      </c>
      <c r="E73" t="str">
        <f>E81</f>
        <v>PJ/yr.</v>
      </c>
      <c r="F73" s="1">
        <f>'[1]Electricity and CHPs'!B41</f>
        <v>7.0502718642756743E-2</v>
      </c>
      <c r="G73" s="1">
        <f>'[1]Electricity and CHPs'!C41</f>
        <v>0.17144535464502705</v>
      </c>
      <c r="H73" s="1">
        <f>'[1]Electricity and CHPs'!D41</f>
        <v>9.7566647758342648E-3</v>
      </c>
      <c r="I73" s="1">
        <f>'[1]Electricity and CHPs'!E41</f>
        <v>0.17117233291840359</v>
      </c>
      <c r="J73" s="1">
        <f>'[2]Electricity and CHPs'!F41</f>
        <v>0.16962911156981333</v>
      </c>
      <c r="K73" s="1">
        <f>'[2]Electricity and CHPs'!G41</f>
        <v>1.5731390328006051E-2</v>
      </c>
      <c r="L73" s="1">
        <f>'[2]Electricity and CHPs'!H41</f>
        <v>0.15064789982902541</v>
      </c>
      <c r="N73" s="1"/>
    </row>
    <row r="74" spans="1:14" x14ac:dyDescent="0.35">
      <c r="A74" s="5" t="str">
        <f>A69</f>
        <v>STEM</v>
      </c>
      <c r="B74" s="5" t="str">
        <f>B69</f>
        <v>SPS1</v>
      </c>
      <c r="C74" s="5" t="str">
        <f>C69</f>
        <v>CH</v>
      </c>
      <c r="D74" t="s">
        <v>794</v>
      </c>
      <c r="E74" t="str">
        <f>E69</f>
        <v>PJ/yr.</v>
      </c>
      <c r="F74" s="1">
        <f>SUM(F75:F77)</f>
        <v>0.11190474051810419</v>
      </c>
      <c r="G74" s="1">
        <f t="shared" ref="G74:K74" si="75">SUM(G75:G77)</f>
        <v>0.17152872904444336</v>
      </c>
      <c r="H74" s="1">
        <f t="shared" si="75"/>
        <v>1.4187889602118937E-2</v>
      </c>
      <c r="I74" s="1">
        <f t="shared" si="75"/>
        <v>0.17153070144118482</v>
      </c>
      <c r="J74" s="1">
        <f t="shared" si="75"/>
        <v>0.17153224813463666</v>
      </c>
      <c r="K74" s="1">
        <f t="shared" si="75"/>
        <v>1.8061021437427636E-2</v>
      </c>
      <c r="L74" s="1">
        <f t="shared" ref="L74" si="76">SUM(L75:L77)</f>
        <v>0.15376789703376542</v>
      </c>
      <c r="N74" s="1"/>
    </row>
    <row r="75" spans="1:14" x14ac:dyDescent="0.35">
      <c r="A75" s="5" t="str">
        <f>A74</f>
        <v>STEM</v>
      </c>
      <c r="B75" s="5" t="str">
        <f>B74</f>
        <v>SPS1</v>
      </c>
      <c r="C75" s="5" t="str">
        <f>C74</f>
        <v>CH</v>
      </c>
      <c r="D75" t="s">
        <v>514</v>
      </c>
      <c r="E75" t="str">
        <f>E69</f>
        <v>PJ/yr.</v>
      </c>
      <c r="F75" s="1">
        <f>F71</f>
        <v>3.960103094555574E-2</v>
      </c>
      <c r="G75" s="1">
        <f t="shared" ref="G75:K75" si="77">G71</f>
        <v>4.0467292091570133E-5</v>
      </c>
      <c r="H75" s="1">
        <f t="shared" si="77"/>
        <v>3.9569265600404883E-3</v>
      </c>
      <c r="I75" s="1">
        <f t="shared" si="77"/>
        <v>2.3315827825481447E-4</v>
      </c>
      <c r="J75" s="1">
        <f t="shared" si="77"/>
        <v>1.2444753889778869E-3</v>
      </c>
      <c r="K75" s="1">
        <f t="shared" si="77"/>
        <v>1.7086383416788713E-3</v>
      </c>
      <c r="L75" s="1">
        <f t="shared" ref="L75" si="78">L71</f>
        <v>2.7812282238228302E-3</v>
      </c>
      <c r="N75" s="1"/>
    </row>
    <row r="76" spans="1:14" x14ac:dyDescent="0.35">
      <c r="A76" s="5" t="str">
        <f t="shared" si="61"/>
        <v>STEM</v>
      </c>
      <c r="B76" s="5" t="str">
        <f t="shared" si="62"/>
        <v>SPS1</v>
      </c>
      <c r="C76" s="5" t="str">
        <f t="shared" si="63"/>
        <v>CH</v>
      </c>
      <c r="D76" t="s">
        <v>515</v>
      </c>
      <c r="E76" t="str">
        <f>E134</f>
        <v>PJ/yr.</v>
      </c>
      <c r="F76" s="1">
        <f>'[1]Electricity and CHPs'!B28</f>
        <v>1.8009909297917062E-3</v>
      </c>
      <c r="G76" s="1">
        <f>'[1]Electricity and CHPs'!C28</f>
        <v>4.2907107324721099E-5</v>
      </c>
      <c r="H76" s="1">
        <f>'[1]Electricity and CHPs'!D28</f>
        <v>4.742982662441835E-4</v>
      </c>
      <c r="I76" s="1">
        <f>'[1]Electricity and CHPs'!E28</f>
        <v>1.2521024452642618E-4</v>
      </c>
      <c r="J76" s="1">
        <f>'[2]Electricity and CHPs'!F28</f>
        <v>6.5866117584543376E-4</v>
      </c>
      <c r="K76" s="1">
        <f>'[2]Electricity and CHPs'!G28</f>
        <v>6.2099276774271392E-4</v>
      </c>
      <c r="L76" s="1">
        <f>'[2]Electricity and CHPs'!H28</f>
        <v>3.3876898091718708E-4</v>
      </c>
      <c r="N76" s="1"/>
    </row>
    <row r="77" spans="1:14" x14ac:dyDescent="0.35">
      <c r="A77" s="5" t="str">
        <f t="shared" si="61"/>
        <v>STEM</v>
      </c>
      <c r="B77" s="5" t="str">
        <f t="shared" si="62"/>
        <v>SPS1</v>
      </c>
      <c r="C77" s="5" t="str">
        <f t="shared" si="63"/>
        <v>CH</v>
      </c>
      <c r="D77" t="s">
        <v>516</v>
      </c>
      <c r="E77" t="str">
        <f>E89</f>
        <v>PJ/yr.</v>
      </c>
      <c r="F77" s="1">
        <f>'[1]Electricity and CHPs'!B41</f>
        <v>7.0502718642756743E-2</v>
      </c>
      <c r="G77" s="1">
        <f>'[1]Electricity and CHPs'!C41</f>
        <v>0.17144535464502705</v>
      </c>
      <c r="H77" s="1">
        <f>'[1]Electricity and CHPs'!D41</f>
        <v>9.7566647758342648E-3</v>
      </c>
      <c r="I77" s="1">
        <f>'[1]Electricity and CHPs'!E41</f>
        <v>0.17117233291840359</v>
      </c>
      <c r="J77" s="1">
        <f>'[2]Electricity and CHPs'!F41</f>
        <v>0.16962911156981333</v>
      </c>
      <c r="K77" s="1">
        <f>'[2]Electricity and CHPs'!G41</f>
        <v>1.5731390328006051E-2</v>
      </c>
      <c r="L77" s="1">
        <f>'[2]Electricity and CHPs'!H41</f>
        <v>0.15064789982902541</v>
      </c>
      <c r="N77" s="1"/>
    </row>
    <row r="78" spans="1:14" x14ac:dyDescent="0.35">
      <c r="A78" s="5" t="str">
        <f t="shared" ref="A78:C79" si="79">A76</f>
        <v>STEM</v>
      </c>
      <c r="B78" s="5" t="str">
        <f t="shared" si="79"/>
        <v>SPS1</v>
      </c>
      <c r="C78" s="5" t="str">
        <f t="shared" si="79"/>
        <v>CH</v>
      </c>
      <c r="D78" t="s">
        <v>795</v>
      </c>
      <c r="E78" t="str">
        <f>E75</f>
        <v>PJ/yr.</v>
      </c>
      <c r="F78" s="1">
        <f>SUM(F79:F81)</f>
        <v>0</v>
      </c>
      <c r="G78" s="1">
        <f t="shared" ref="G78:K78" si="80">SUM(G79:G81)</f>
        <v>0</v>
      </c>
      <c r="H78" s="1">
        <f t="shared" si="80"/>
        <v>0</v>
      </c>
      <c r="I78" s="1">
        <f t="shared" si="80"/>
        <v>0</v>
      </c>
      <c r="J78" s="1">
        <f t="shared" si="80"/>
        <v>0</v>
      </c>
      <c r="K78" s="1">
        <f t="shared" si="80"/>
        <v>0</v>
      </c>
      <c r="L78" s="1">
        <f t="shared" ref="L78" si="81">SUM(L79:L81)</f>
        <v>0</v>
      </c>
      <c r="N78" s="1"/>
    </row>
    <row r="79" spans="1:14" x14ac:dyDescent="0.35">
      <c r="A79" s="5" t="str">
        <f t="shared" si="79"/>
        <v>STEM</v>
      </c>
      <c r="B79" s="5" t="str">
        <f t="shared" si="79"/>
        <v>SPS1</v>
      </c>
      <c r="C79" s="5" t="str">
        <f t="shared" si="79"/>
        <v>CH</v>
      </c>
      <c r="D79" t="s">
        <v>538</v>
      </c>
      <c r="E79" t="str">
        <f>E76</f>
        <v>PJ/yr.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N79" s="1"/>
    </row>
    <row r="80" spans="1:14" x14ac:dyDescent="0.35">
      <c r="A80" s="5" t="str">
        <f t="shared" si="61"/>
        <v>STEM</v>
      </c>
      <c r="B80" s="5" t="str">
        <f t="shared" si="62"/>
        <v>SPS1</v>
      </c>
      <c r="C80" s="5" t="str">
        <f t="shared" si="63"/>
        <v>CH</v>
      </c>
      <c r="D80" t="s">
        <v>539</v>
      </c>
      <c r="E80" t="str">
        <f>E137</f>
        <v>PJ/yr.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N80" s="1"/>
    </row>
    <row r="81" spans="1:14" x14ac:dyDescent="0.35">
      <c r="A81" s="5" t="str">
        <f t="shared" si="61"/>
        <v>STEM</v>
      </c>
      <c r="B81" s="5" t="str">
        <f t="shared" si="62"/>
        <v>SPS1</v>
      </c>
      <c r="C81" s="5" t="str">
        <f t="shared" si="63"/>
        <v>CH</v>
      </c>
      <c r="D81" t="s">
        <v>540</v>
      </c>
      <c r="E81" t="str">
        <f>E92</f>
        <v>PJ/yr.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N81" s="1"/>
    </row>
    <row r="82" spans="1:14" x14ac:dyDescent="0.35">
      <c r="A82" s="5" t="str">
        <f t="shared" si="61"/>
        <v>STEM</v>
      </c>
      <c r="B82" s="5" t="str">
        <f t="shared" si="62"/>
        <v>SPS1</v>
      </c>
      <c r="C82" s="5" t="str">
        <f t="shared" si="63"/>
        <v>CH</v>
      </c>
      <c r="D82" t="s">
        <v>796</v>
      </c>
      <c r="E82" t="str">
        <f>E131</f>
        <v>PJ/yr.</v>
      </c>
      <c r="F82" s="1">
        <f>SUM(F83:F97)</f>
        <v>3.2304496937153853</v>
      </c>
      <c r="G82" s="1">
        <f t="shared" ref="G82:K82" si="82">SUM(G83:G97)</f>
        <v>1.9001474268312837</v>
      </c>
      <c r="H82" s="1">
        <f t="shared" si="82"/>
        <v>2.1549582799776084</v>
      </c>
      <c r="I82" s="1">
        <f t="shared" si="82"/>
        <v>2.530465476164319</v>
      </c>
      <c r="J82" s="1">
        <f t="shared" si="82"/>
        <v>8.8993438988081994</v>
      </c>
      <c r="K82" s="1">
        <f t="shared" si="82"/>
        <v>12.176359606548068</v>
      </c>
      <c r="L82" s="1">
        <f t="shared" ref="L82" si="83">SUM(L83:L97)</f>
        <v>27.554496324942345</v>
      </c>
      <c r="N82" s="1"/>
    </row>
    <row r="83" spans="1:14" x14ac:dyDescent="0.35">
      <c r="A83" s="5" t="str">
        <f t="shared" si="61"/>
        <v>STEM</v>
      </c>
      <c r="B83" s="5" t="str">
        <f t="shared" si="62"/>
        <v>SPS1</v>
      </c>
      <c r="C83" s="5" t="str">
        <f t="shared" si="63"/>
        <v>CH</v>
      </c>
      <c r="D83" t="s">
        <v>35</v>
      </c>
      <c r="E83" t="str">
        <f>E132</f>
        <v>PJ/yr.</v>
      </c>
      <c r="F83" s="1">
        <f>'[1]Electricity and CHPs'!B21</f>
        <v>0</v>
      </c>
      <c r="G83" s="1">
        <f>'[1]Electricity and CHPs'!C21</f>
        <v>0</v>
      </c>
      <c r="H83" s="1">
        <f>'[1]Electricity and CHPs'!D21</f>
        <v>0</v>
      </c>
      <c r="I83" s="1">
        <f>'[1]Electricity and CHPs'!E21</f>
        <v>0</v>
      </c>
      <c r="J83" s="1">
        <f>'[2]Electricity and CHPs'!F21</f>
        <v>0</v>
      </c>
      <c r="K83" s="1">
        <f>'[2]Electricity and CHPs'!G21</f>
        <v>1.0810941971560712</v>
      </c>
      <c r="L83" s="1">
        <f>'[2]Electricity and CHPs'!H21</f>
        <v>12.666540722796354</v>
      </c>
      <c r="N83" s="1"/>
    </row>
    <row r="84" spans="1:14" x14ac:dyDescent="0.35">
      <c r="A84" s="5" t="str">
        <f t="shared" si="61"/>
        <v>STEM</v>
      </c>
      <c r="B84" s="5" t="str">
        <f t="shared" si="62"/>
        <v>SPS1</v>
      </c>
      <c r="C84" s="5" t="str">
        <f t="shared" si="63"/>
        <v>CH</v>
      </c>
      <c r="D84" t="s">
        <v>36</v>
      </c>
      <c r="E84" t="str">
        <f>E83</f>
        <v>PJ/yr.</v>
      </c>
      <c r="F84" s="1">
        <f>'[1]Electricity and CHPs'!B22</f>
        <v>0</v>
      </c>
      <c r="G84" s="1">
        <f>'[1]Electricity and CHPs'!C22</f>
        <v>0</v>
      </c>
      <c r="H84" s="1">
        <f>'[1]Electricity and CHPs'!D22</f>
        <v>0</v>
      </c>
      <c r="I84" s="1">
        <f>'[1]Electricity and CHPs'!E22</f>
        <v>0</v>
      </c>
      <c r="J84" s="1">
        <f>'[2]Electricity and CHPs'!F22</f>
        <v>3.3485952938731296E-3</v>
      </c>
      <c r="K84" s="1">
        <f>'[2]Electricity and CHPs'!G22</f>
        <v>3.614751804984378E-3</v>
      </c>
      <c r="L84" s="1">
        <f>'[2]Electricity and CHPs'!H22</f>
        <v>4.2374413894576751E-3</v>
      </c>
      <c r="N84" s="1"/>
    </row>
    <row r="85" spans="1:14" x14ac:dyDescent="0.35">
      <c r="A85" s="5" t="str">
        <f t="shared" si="61"/>
        <v>STEM</v>
      </c>
      <c r="B85" s="5" t="str">
        <f t="shared" si="62"/>
        <v>SPS1</v>
      </c>
      <c r="C85" s="5" t="str">
        <f t="shared" si="63"/>
        <v>CH</v>
      </c>
      <c r="D85" t="s">
        <v>37</v>
      </c>
      <c r="E85" t="str">
        <f>E84</f>
        <v>PJ/yr.</v>
      </c>
      <c r="F85" s="1">
        <f>'[1]Electricity and CHPs'!B23</f>
        <v>0</v>
      </c>
      <c r="G85" s="1">
        <f>'[1]Electricity and CHPs'!C23</f>
        <v>0</v>
      </c>
      <c r="H85" s="1">
        <f>'[1]Electricity and CHPs'!D23</f>
        <v>0</v>
      </c>
      <c r="I85" s="1">
        <f>'[1]Electricity and CHPs'!E23</f>
        <v>0</v>
      </c>
      <c r="J85" s="1">
        <f>'[2]Electricity and CHPs'!F23</f>
        <v>0</v>
      </c>
      <c r="K85" s="1">
        <f>'[2]Electricity and CHPs'!G23</f>
        <v>0</v>
      </c>
      <c r="L85" s="1">
        <f>'[2]Electricity and CHPs'!H23</f>
        <v>0</v>
      </c>
      <c r="N85" s="1"/>
    </row>
    <row r="86" spans="1:14" x14ac:dyDescent="0.35">
      <c r="A86" s="5" t="str">
        <f t="shared" si="61"/>
        <v>STEM</v>
      </c>
      <c r="B86" s="5" t="str">
        <f t="shared" si="62"/>
        <v>SPS1</v>
      </c>
      <c r="C86" s="5" t="str">
        <f t="shared" si="63"/>
        <v>CH</v>
      </c>
      <c r="D86" t="s">
        <v>38</v>
      </c>
      <c r="E86" t="str">
        <f>E85</f>
        <v>PJ/yr.</v>
      </c>
      <c r="F86" s="1">
        <f>'[1]Electricity and CHPs'!B24</f>
        <v>0.96588145389344926</v>
      </c>
      <c r="G86" s="1">
        <f>'[1]Electricity and CHPs'!C24</f>
        <v>1.709298336433726E-4</v>
      </c>
      <c r="H86" s="1">
        <f>'[1]Electricity and CHPs'!D24</f>
        <v>7.4197658419084378E-2</v>
      </c>
      <c r="I86" s="1">
        <f>'[1]Electricity and CHPs'!E24</f>
        <v>8.2432140627669778E-3</v>
      </c>
      <c r="J86" s="1">
        <f>'[2]Electricity and CHPs'!F24</f>
        <v>1.5097439401076607E-2</v>
      </c>
      <c r="K86" s="1">
        <f>'[2]Electricity and CHPs'!G24</f>
        <v>0.28720759305979465</v>
      </c>
      <c r="L86" s="1">
        <f>'[2]Electricity and CHPs'!H24</f>
        <v>0.18379107536310185</v>
      </c>
      <c r="N86" s="1"/>
    </row>
    <row r="87" spans="1:14" x14ac:dyDescent="0.35">
      <c r="A87" s="5" t="str">
        <f t="shared" si="61"/>
        <v>STEM</v>
      </c>
      <c r="B87" s="5" t="str">
        <f t="shared" si="62"/>
        <v>SPS1</v>
      </c>
      <c r="C87" s="5" t="str">
        <f t="shared" si="63"/>
        <v>CH</v>
      </c>
      <c r="D87" t="s">
        <v>39</v>
      </c>
      <c r="E87" t="str">
        <f>E76</f>
        <v>PJ/yr.</v>
      </c>
      <c r="F87" s="1">
        <f>'[1]Electricity and CHPs'!B29</f>
        <v>0</v>
      </c>
      <c r="G87" s="1">
        <f>'[1]Electricity and CHPs'!C29</f>
        <v>0</v>
      </c>
      <c r="H87" s="1">
        <f>'[1]Electricity and CHPs'!D29</f>
        <v>0</v>
      </c>
      <c r="I87" s="1">
        <f>'[1]Electricity and CHPs'!E29</f>
        <v>0</v>
      </c>
      <c r="J87" s="1">
        <f>'[2]Electricity and CHPs'!F29</f>
        <v>0</v>
      </c>
      <c r="K87" s="1">
        <f>'[2]Electricity and CHPs'!G29</f>
        <v>0.32830827367515492</v>
      </c>
      <c r="L87" s="1">
        <f>'[2]Electricity and CHPs'!H29</f>
        <v>1.7193894128006502</v>
      </c>
      <c r="N87" s="1"/>
    </row>
    <row r="88" spans="1:14" x14ac:dyDescent="0.35">
      <c r="A88" s="5" t="str">
        <f t="shared" si="61"/>
        <v>STEM</v>
      </c>
      <c r="B88" s="5" t="str">
        <f t="shared" si="62"/>
        <v>SPS1</v>
      </c>
      <c r="C88" s="5" t="str">
        <f t="shared" si="63"/>
        <v>CH</v>
      </c>
      <c r="D88" t="s">
        <v>41</v>
      </c>
      <c r="E88" t="str">
        <f>E166</f>
        <v>PJ/yr.</v>
      </c>
      <c r="F88" s="1">
        <f>'[1]Electricity and CHPs'!B39</f>
        <v>0.66996706142721818</v>
      </c>
      <c r="G88" s="1">
        <f>'[1]Electricity and CHPs'!C39</f>
        <v>0.16578928313456487</v>
      </c>
      <c r="H88" s="1">
        <f>'[1]Electricity and CHPs'!D39</f>
        <v>0.95518478301099263</v>
      </c>
      <c r="I88" s="1">
        <f>'[1]Electricity and CHPs'!E39</f>
        <v>1.4159657289009404</v>
      </c>
      <c r="J88" s="1">
        <f>'[2]Electricity and CHPs'!F39</f>
        <v>1.0219901487534169</v>
      </c>
      <c r="K88" s="1">
        <f>'[2]Electricity and CHPs'!G39</f>
        <v>0.20222578720951212</v>
      </c>
      <c r="L88" s="1">
        <f>'[2]Electricity and CHPs'!H39</f>
        <v>4.4553195051633132E-2</v>
      </c>
      <c r="N88" s="1"/>
    </row>
    <row r="89" spans="1:14" x14ac:dyDescent="0.35">
      <c r="A89" s="5" t="str">
        <f t="shared" si="61"/>
        <v>STEM</v>
      </c>
      <c r="B89" s="5" t="str">
        <f t="shared" si="62"/>
        <v>SPS1</v>
      </c>
      <c r="C89" s="5" t="str">
        <f t="shared" si="63"/>
        <v>CH</v>
      </c>
      <c r="D89" t="s">
        <v>42</v>
      </c>
      <c r="E89" t="str">
        <f>E88</f>
        <v>PJ/yr.</v>
      </c>
      <c r="F89" s="1">
        <f>'[1]Electricity and CHPs'!B40</f>
        <v>0</v>
      </c>
      <c r="G89" s="1">
        <f>'[1]Electricity and CHPs'!C40</f>
        <v>0</v>
      </c>
      <c r="H89" s="1">
        <f>'[1]Electricity and CHPs'!D40</f>
        <v>0</v>
      </c>
      <c r="I89" s="1">
        <f>'[1]Electricity and CHPs'!E40</f>
        <v>0</v>
      </c>
      <c r="J89" s="1">
        <f>'[2]Electricity and CHPs'!F40</f>
        <v>0</v>
      </c>
      <c r="K89" s="1">
        <f>'[2]Electricity and CHPs'!G40</f>
        <v>0</v>
      </c>
      <c r="L89" s="1">
        <f>'[2]Electricity and CHPs'!H40</f>
        <v>0</v>
      </c>
      <c r="N89" s="1"/>
    </row>
    <row r="90" spans="1:14" x14ac:dyDescent="0.35">
      <c r="A90" s="5" t="str">
        <f t="shared" si="61"/>
        <v>STEM</v>
      </c>
      <c r="B90" s="5" t="str">
        <f t="shared" si="62"/>
        <v>SPS1</v>
      </c>
      <c r="C90" s="5" t="str">
        <f t="shared" si="63"/>
        <v>CH</v>
      </c>
      <c r="D90" t="s">
        <v>43</v>
      </c>
      <c r="E90" t="str">
        <f>E171</f>
        <v>PJ/yr.</v>
      </c>
      <c r="F90" s="1">
        <f>'[1]Electricity and CHPs'!B47</f>
        <v>0</v>
      </c>
      <c r="G90" s="1">
        <f>'[1]Electricity and CHPs'!C47</f>
        <v>0</v>
      </c>
      <c r="H90" s="1">
        <f>'[1]Electricity and CHPs'!D47</f>
        <v>0</v>
      </c>
      <c r="I90" s="1">
        <f>'[1]Electricity and CHPs'!E47</f>
        <v>3.1198220526869157E-4</v>
      </c>
      <c r="J90" s="1">
        <f>'[2]Electricity and CHPs'!F47</f>
        <v>1.2400838028425391E-3</v>
      </c>
      <c r="K90" s="1">
        <f>'[2]Electricity and CHPs'!G47</f>
        <v>3.1016664342680307E-3</v>
      </c>
      <c r="L90" s="1">
        <f>'[2]Electricity and CHPs'!H47</f>
        <v>1.7856088393576042E-3</v>
      </c>
      <c r="N90" s="1"/>
    </row>
    <row r="91" spans="1:14" x14ac:dyDescent="0.35">
      <c r="A91" s="5" t="str">
        <f t="shared" si="61"/>
        <v>STEM</v>
      </c>
      <c r="B91" s="5" t="str">
        <f t="shared" si="62"/>
        <v>SPS1</v>
      </c>
      <c r="C91" s="5" t="str">
        <f t="shared" si="63"/>
        <v>CH</v>
      </c>
      <c r="D91" t="s">
        <v>44</v>
      </c>
      <c r="E91" t="str">
        <f>E90</f>
        <v>PJ/yr.</v>
      </c>
      <c r="F91" s="1">
        <f>'[1]Electricity and CHPs'!B48</f>
        <v>1.3144636281895751E-2</v>
      </c>
      <c r="G91" s="1">
        <f>'[1]Electricity and CHPs'!C48</f>
        <v>8.5641395012026143E-4</v>
      </c>
      <c r="H91" s="1">
        <f>'[1]Electricity and CHPs'!D48</f>
        <v>1.9970662080508964E-3</v>
      </c>
      <c r="I91" s="1">
        <f>'[1]Electricity and CHPs'!E48</f>
        <v>0</v>
      </c>
      <c r="J91" s="1">
        <f>'[2]Electricity and CHPs'!F48</f>
        <v>6.7280261191231591E-3</v>
      </c>
      <c r="K91" s="1">
        <f>'[2]Electricity and CHPs'!G48</f>
        <v>3.7902159690305966E-3</v>
      </c>
      <c r="L91" s="1">
        <f>'[2]Electricity and CHPs'!H48</f>
        <v>1.973619656981803E-3</v>
      </c>
      <c r="N91" s="1"/>
    </row>
    <row r="92" spans="1:14" x14ac:dyDescent="0.35">
      <c r="A92" s="5" t="str">
        <f t="shared" si="61"/>
        <v>STEM</v>
      </c>
      <c r="B92" s="5" t="str">
        <f t="shared" si="62"/>
        <v>SPS1</v>
      </c>
      <c r="C92" s="5" t="str">
        <f t="shared" si="63"/>
        <v>CH</v>
      </c>
      <c r="D92" t="s">
        <v>45</v>
      </c>
      <c r="E92" t="str">
        <f>E91</f>
        <v>PJ/yr.</v>
      </c>
      <c r="F92" s="1">
        <f>'[1]Electricity and CHPs'!B49</f>
        <v>0</v>
      </c>
      <c r="G92" s="1">
        <f>'[1]Electricity and CHPs'!C49</f>
        <v>0</v>
      </c>
      <c r="H92" s="1">
        <f>'[1]Electricity and CHPs'!D49</f>
        <v>0</v>
      </c>
      <c r="I92" s="1">
        <f>'[1]Electricity and CHPs'!E49</f>
        <v>0</v>
      </c>
      <c r="J92" s="1">
        <f>'[2]Electricity and CHPs'!F49</f>
        <v>6.6285067986942311E-4</v>
      </c>
      <c r="K92" s="1">
        <f>'[2]Electricity and CHPs'!G49</f>
        <v>6.6889257165841953E-4</v>
      </c>
      <c r="L92" s="1">
        <f>'[2]Electricity and CHPs'!H49</f>
        <v>6.4361725752828079E-4</v>
      </c>
      <c r="N92" s="1"/>
    </row>
    <row r="93" spans="1:14" x14ac:dyDescent="0.35">
      <c r="A93" s="5" t="str">
        <f t="shared" si="61"/>
        <v>STEM</v>
      </c>
      <c r="B93" s="5" t="str">
        <f t="shared" si="62"/>
        <v>SPS1</v>
      </c>
      <c r="C93" s="5" t="str">
        <f t="shared" si="63"/>
        <v>CH</v>
      </c>
      <c r="D93" t="s">
        <v>46</v>
      </c>
      <c r="E93" t="str">
        <f>E156</f>
        <v>PJ/yr.</v>
      </c>
      <c r="F93" s="1">
        <f>'[1]Electricity and CHPs'!B51</f>
        <v>2.7688806333293497E-2</v>
      </c>
      <c r="G93" s="1">
        <f>'[1]Electricity and CHPs'!C51</f>
        <v>1.5160623731566888E-3</v>
      </c>
      <c r="H93" s="1">
        <f>'[1]Electricity and CHPs'!D51</f>
        <v>2.5605282946524121E-3</v>
      </c>
      <c r="I93" s="1">
        <f>'[1]Electricity and CHPs'!E51</f>
        <v>0</v>
      </c>
      <c r="J93" s="1">
        <f>'[2]Electricity and CHPs'!F51</f>
        <v>1.1936378160514147</v>
      </c>
      <c r="K93" s="1">
        <f>'[2]Electricity and CHPs'!G51</f>
        <v>3.8609431423959881</v>
      </c>
      <c r="L93" s="1">
        <f>'[2]Electricity and CHPs'!H51</f>
        <v>3.0655517324633443</v>
      </c>
      <c r="N93" s="1"/>
    </row>
    <row r="94" spans="1:14" x14ac:dyDescent="0.35">
      <c r="A94" s="5" t="str">
        <f t="shared" si="61"/>
        <v>STEM</v>
      </c>
      <c r="B94" s="5" t="str">
        <f t="shared" si="62"/>
        <v>SPS1</v>
      </c>
      <c r="C94" s="5" t="str">
        <f t="shared" si="63"/>
        <v>CH</v>
      </c>
      <c r="D94" t="s">
        <v>47</v>
      </c>
      <c r="E94" t="str">
        <f>E93</f>
        <v>PJ/yr.</v>
      </c>
      <c r="F94" s="1">
        <f>'[1]Electricity and CHPs'!B52</f>
        <v>0</v>
      </c>
      <c r="G94" s="1">
        <f>'[1]Electricity and CHPs'!C52</f>
        <v>0</v>
      </c>
      <c r="H94" s="1">
        <f>'[1]Electricity and CHPs'!D52</f>
        <v>0</v>
      </c>
      <c r="I94" s="1">
        <f>'[1]Electricity and CHPs'!E52</f>
        <v>0</v>
      </c>
      <c r="J94" s="1">
        <f>'[2]Electricity and CHPs'!F52</f>
        <v>3.9524425859144598E-3</v>
      </c>
      <c r="K94" s="1">
        <f>'[2]Electricity and CHPs'!G52</f>
        <v>5.5884279028687537E-3</v>
      </c>
      <c r="L94" s="1">
        <f>'[2]Electricity and CHPs'!H52</f>
        <v>1.3216823401329578</v>
      </c>
      <c r="N94" s="1"/>
    </row>
    <row r="95" spans="1:14" x14ac:dyDescent="0.35">
      <c r="A95" s="5" t="str">
        <f t="shared" si="61"/>
        <v>STEM</v>
      </c>
      <c r="B95" s="5" t="str">
        <f t="shared" si="62"/>
        <v>SPS1</v>
      </c>
      <c r="C95" s="5" t="str">
        <f t="shared" si="63"/>
        <v>CH</v>
      </c>
      <c r="D95" t="s">
        <v>84</v>
      </c>
      <c r="E95" t="str">
        <f>E157</f>
        <v>PJ/yr.</v>
      </c>
      <c r="F95" s="1">
        <f>'[1]Electricity and CHPs'!B54</f>
        <v>0.9593676447766335</v>
      </c>
      <c r="G95" s="1">
        <f>'[1]Electricity and CHPs'!C54</f>
        <v>1.1059448075564708</v>
      </c>
      <c r="H95" s="1">
        <f>'[1]Electricity and CHPs'!D54</f>
        <v>1.1059444382561738</v>
      </c>
      <c r="I95" s="1">
        <f>'[1]Electricity and CHPs'!E54</f>
        <v>1.1059445509953427</v>
      </c>
      <c r="J95" s="1">
        <f>'[2]Electricity and CHPs'!F54</f>
        <v>1.1059596743147138</v>
      </c>
      <c r="K95" s="1">
        <f>'[2]Electricity and CHPs'!G54</f>
        <v>1.1059597635634657</v>
      </c>
      <c r="L95" s="1">
        <f>'[2]Electricity and CHPs'!H54</f>
        <v>1.1059598508386868</v>
      </c>
      <c r="N95" s="1"/>
    </row>
    <row r="96" spans="1:14" x14ac:dyDescent="0.35">
      <c r="A96" s="5" t="str">
        <f t="shared" si="61"/>
        <v>STEM</v>
      </c>
      <c r="B96" s="5" t="str">
        <f t="shared" si="62"/>
        <v>SPS1</v>
      </c>
      <c r="C96" s="5" t="str">
        <f t="shared" si="63"/>
        <v>CH</v>
      </c>
      <c r="D96" t="s">
        <v>85</v>
      </c>
      <c r="E96" t="str">
        <f>E95</f>
        <v>PJ/yr.</v>
      </c>
      <c r="F96" s="1">
        <f>'[1]Electricity and CHPs'!B55</f>
        <v>0.59440009100289515</v>
      </c>
      <c r="G96" s="1">
        <f>'[1]Electricity and CHPs'!C55</f>
        <v>0.6258699299833278</v>
      </c>
      <c r="H96" s="1">
        <f>'[1]Electricity and CHPs'!D55</f>
        <v>1.5073805788654335E-2</v>
      </c>
      <c r="I96" s="1">
        <f>'[1]Electricity and CHPs'!E55</f>
        <v>0</v>
      </c>
      <c r="J96" s="1">
        <f>'[2]Electricity and CHPs'!F55</f>
        <v>5.544949361314309</v>
      </c>
      <c r="K96" s="1">
        <f>'[2]Electricity and CHPs'!G55</f>
        <v>5.2871768804646475</v>
      </c>
      <c r="L96" s="1">
        <f>'[2]Electricity and CHPs'!H55</f>
        <v>5.8382465125811952E-4</v>
      </c>
      <c r="N96" s="1"/>
    </row>
    <row r="97" spans="1:14" x14ac:dyDescent="0.35">
      <c r="A97" s="5" t="str">
        <f t="shared" si="61"/>
        <v>STEM</v>
      </c>
      <c r="B97" s="5" t="str">
        <f t="shared" si="62"/>
        <v>SPS1</v>
      </c>
      <c r="C97" s="5" t="str">
        <f t="shared" si="63"/>
        <v>CH</v>
      </c>
      <c r="D97" t="s">
        <v>88</v>
      </c>
      <c r="E97" t="str">
        <f>E172</f>
        <v>PJ/yr.</v>
      </c>
      <c r="F97" s="1">
        <f>'[1]Electricity and CHPs'!B58</f>
        <v>0</v>
      </c>
      <c r="G97" s="1">
        <f>'[1]Electricity and CHPs'!C58</f>
        <v>0</v>
      </c>
      <c r="H97" s="1">
        <f>'[1]Electricity and CHPs'!D58</f>
        <v>0</v>
      </c>
      <c r="I97" s="1">
        <f>'[1]Electricity and CHPs'!E58</f>
        <v>0</v>
      </c>
      <c r="J97" s="1">
        <f>'[2]Electricity and CHPs'!F58</f>
        <v>1.7774604916462764E-3</v>
      </c>
      <c r="K97" s="1">
        <f>'[2]Electricity and CHPs'!G58</f>
        <v>6.680014340623497E-3</v>
      </c>
      <c r="L97" s="1">
        <f>'[2]Electricity and CHPs'!H58</f>
        <v>7.4378038837010338</v>
      </c>
      <c r="N97" s="1"/>
    </row>
    <row r="98" spans="1:14" x14ac:dyDescent="0.35">
      <c r="A98" s="5" t="str">
        <f t="shared" ref="A98:A113" si="84">A97</f>
        <v>STEM</v>
      </c>
      <c r="B98" s="5" t="str">
        <f t="shared" ref="B98:B113" si="85">B97</f>
        <v>SPS1</v>
      </c>
      <c r="C98" s="5" t="str">
        <f t="shared" ref="C98:C113" si="86">C97</f>
        <v>CH</v>
      </c>
      <c r="D98" t="s">
        <v>797</v>
      </c>
      <c r="E98" t="str">
        <f t="shared" ref="E98:E108" si="87">E173</f>
        <v>PJ/yr.</v>
      </c>
      <c r="F98" s="1">
        <f>F82-F114</f>
        <v>2.213215753466196</v>
      </c>
      <c r="G98" s="1">
        <f t="shared" ref="G98:K98" si="88">G82-G114</f>
        <v>0.77086561921549634</v>
      </c>
      <c r="H98" s="1">
        <f t="shared" si="88"/>
        <v>0.96173064579543688</v>
      </c>
      <c r="I98" s="1">
        <f t="shared" si="88"/>
        <v>1.233840034702435</v>
      </c>
      <c r="J98" s="1">
        <f t="shared" si="88"/>
        <v>7.6722632288373394</v>
      </c>
      <c r="K98" s="1">
        <f t="shared" si="88"/>
        <v>11.019348637035874</v>
      </c>
      <c r="L98" s="1">
        <f t="shared" ref="L98" si="89">L82-L114</f>
        <v>26.385034829665965</v>
      </c>
      <c r="N98" s="1"/>
    </row>
    <row r="99" spans="1:14" x14ac:dyDescent="0.35">
      <c r="A99" s="5" t="str">
        <f t="shared" si="84"/>
        <v>STEM</v>
      </c>
      <c r="B99" s="5" t="str">
        <f t="shared" si="85"/>
        <v>SPS1</v>
      </c>
      <c r="C99" s="5" t="str">
        <f t="shared" si="86"/>
        <v>CH</v>
      </c>
      <c r="D99" t="s">
        <v>552</v>
      </c>
      <c r="E99" t="str">
        <f t="shared" si="87"/>
        <v>PJ/yr.</v>
      </c>
      <c r="F99" s="1">
        <f t="shared" ref="F99:K99" si="90">F83-F115</f>
        <v>0</v>
      </c>
      <c r="G99" s="1">
        <f t="shared" si="90"/>
        <v>0</v>
      </c>
      <c r="H99" s="1">
        <f t="shared" si="90"/>
        <v>0</v>
      </c>
      <c r="I99" s="1">
        <f t="shared" si="90"/>
        <v>0</v>
      </c>
      <c r="J99" s="1">
        <f t="shared" si="90"/>
        <v>0</v>
      </c>
      <c r="K99" s="1">
        <f t="shared" si="90"/>
        <v>1.0761087256923676</v>
      </c>
      <c r="L99" s="1">
        <f t="shared" ref="L99" si="91">L83-L115</f>
        <v>12.636128977102141</v>
      </c>
      <c r="N99" s="1"/>
    </row>
    <row r="100" spans="1:14" x14ac:dyDescent="0.35">
      <c r="A100" s="5" t="str">
        <f t="shared" si="84"/>
        <v>STEM</v>
      </c>
      <c r="B100" s="5" t="str">
        <f t="shared" si="85"/>
        <v>SPS1</v>
      </c>
      <c r="C100" s="5" t="str">
        <f t="shared" si="86"/>
        <v>CH</v>
      </c>
      <c r="D100" t="s">
        <v>553</v>
      </c>
      <c r="E100" t="str">
        <f t="shared" si="87"/>
        <v>PJ/yr.</v>
      </c>
      <c r="F100" s="1">
        <f t="shared" ref="F100:K100" si="92">F84-F116</f>
        <v>0</v>
      </c>
      <c r="G100" s="1">
        <f t="shared" si="92"/>
        <v>0</v>
      </c>
      <c r="H100" s="1">
        <f t="shared" si="92"/>
        <v>0</v>
      </c>
      <c r="I100" s="1">
        <f t="shared" si="92"/>
        <v>0</v>
      </c>
      <c r="J100" s="1">
        <f t="shared" si="92"/>
        <v>3.2965530508166788E-3</v>
      </c>
      <c r="K100" s="1">
        <f t="shared" si="92"/>
        <v>3.5980823584000491E-3</v>
      </c>
      <c r="L100" s="1">
        <f t="shared" ref="L100" si="93">L84-L116</f>
        <v>4.2272674996206181E-3</v>
      </c>
      <c r="N100" s="1"/>
    </row>
    <row r="101" spans="1:14" x14ac:dyDescent="0.35">
      <c r="A101" s="5" t="str">
        <f t="shared" si="84"/>
        <v>STEM</v>
      </c>
      <c r="B101" s="5" t="str">
        <f t="shared" si="85"/>
        <v>SPS1</v>
      </c>
      <c r="C101" s="5" t="str">
        <f t="shared" si="86"/>
        <v>CH</v>
      </c>
      <c r="D101" t="s">
        <v>554</v>
      </c>
      <c r="E101" t="str">
        <f t="shared" si="87"/>
        <v>PJ/yr.</v>
      </c>
      <c r="F101" s="1">
        <f t="shared" ref="F101:K101" si="94">F85-F117</f>
        <v>0</v>
      </c>
      <c r="G101" s="1">
        <f t="shared" si="94"/>
        <v>0</v>
      </c>
      <c r="H101" s="1">
        <f t="shared" si="94"/>
        <v>0</v>
      </c>
      <c r="I101" s="1">
        <f t="shared" si="94"/>
        <v>0</v>
      </c>
      <c r="J101" s="1">
        <f t="shared" si="94"/>
        <v>0</v>
      </c>
      <c r="K101" s="1">
        <f t="shared" si="94"/>
        <v>0</v>
      </c>
      <c r="L101" s="1">
        <f t="shared" ref="L101" si="95">L85-L117</f>
        <v>0</v>
      </c>
      <c r="N101" s="1"/>
    </row>
    <row r="102" spans="1:14" x14ac:dyDescent="0.35">
      <c r="A102" s="5" t="str">
        <f t="shared" si="84"/>
        <v>STEM</v>
      </c>
      <c r="B102" s="5" t="str">
        <f t="shared" si="85"/>
        <v>SPS1</v>
      </c>
      <c r="C102" s="5" t="str">
        <f t="shared" si="86"/>
        <v>CH</v>
      </c>
      <c r="D102" t="s">
        <v>555</v>
      </c>
      <c r="E102" t="str">
        <f t="shared" si="87"/>
        <v>PJ/yr.</v>
      </c>
      <c r="F102" s="1">
        <f t="shared" ref="F102:K102" si="96">F86-F118</f>
        <v>0.94127116663915222</v>
      </c>
      <c r="G102" s="1">
        <f t="shared" si="96"/>
        <v>1.6590719906491114E-4</v>
      </c>
      <c r="H102" s="1">
        <f t="shared" si="96"/>
        <v>6.8024042305100868E-2</v>
      </c>
      <c r="I102" s="1">
        <f t="shared" si="96"/>
        <v>7.139809142542114E-3</v>
      </c>
      <c r="J102" s="1">
        <f t="shared" si="96"/>
        <v>1.4862802324366126E-2</v>
      </c>
      <c r="K102" s="1">
        <f t="shared" si="96"/>
        <v>0.28588313376371732</v>
      </c>
      <c r="L102" s="1">
        <f t="shared" ref="L102" si="97">L86-L118</f>
        <v>0.18334980196674752</v>
      </c>
      <c r="N102" s="1"/>
    </row>
    <row r="103" spans="1:14" x14ac:dyDescent="0.35">
      <c r="A103" s="5" t="str">
        <f t="shared" si="84"/>
        <v>STEM</v>
      </c>
      <c r="B103" s="5" t="str">
        <f t="shared" si="85"/>
        <v>SPS1</v>
      </c>
      <c r="C103" s="5" t="str">
        <f t="shared" si="86"/>
        <v>CH</v>
      </c>
      <c r="D103" t="s">
        <v>556</v>
      </c>
      <c r="E103" t="str">
        <f t="shared" si="87"/>
        <v>PJ/yr.</v>
      </c>
      <c r="F103" s="1">
        <f t="shared" ref="F103:K103" si="98">F87-F119</f>
        <v>0</v>
      </c>
      <c r="G103" s="1">
        <f t="shared" si="98"/>
        <v>0</v>
      </c>
      <c r="H103" s="1">
        <f t="shared" si="98"/>
        <v>0</v>
      </c>
      <c r="I103" s="1">
        <f t="shared" si="98"/>
        <v>0</v>
      </c>
      <c r="J103" s="1">
        <f t="shared" si="98"/>
        <v>0</v>
      </c>
      <c r="K103" s="1">
        <f t="shared" si="98"/>
        <v>0.32679427837852765</v>
      </c>
      <c r="L103" s="1">
        <f t="shared" ref="L103" si="99">L87-L119</f>
        <v>1.7152612427883509</v>
      </c>
      <c r="N103" s="1"/>
    </row>
    <row r="104" spans="1:14" x14ac:dyDescent="0.35">
      <c r="A104" s="5" t="str">
        <f t="shared" si="84"/>
        <v>STEM</v>
      </c>
      <c r="B104" s="5" t="str">
        <f t="shared" si="85"/>
        <v>SPS1</v>
      </c>
      <c r="C104" s="5" t="str">
        <f t="shared" si="86"/>
        <v>CH</v>
      </c>
      <c r="D104" t="s">
        <v>557</v>
      </c>
      <c r="E104" t="str">
        <f t="shared" si="87"/>
        <v>PJ/yr.</v>
      </c>
      <c r="F104" s="1">
        <f t="shared" ref="F104:K104" si="100">F88-F120</f>
        <v>0.65289655886587594</v>
      </c>
      <c r="G104" s="1">
        <f t="shared" si="100"/>
        <v>0.16091769946504969</v>
      </c>
      <c r="H104" s="1">
        <f t="shared" si="100"/>
        <v>0.87570863384572795</v>
      </c>
      <c r="I104" s="1">
        <f t="shared" si="100"/>
        <v>1.2264300040923284</v>
      </c>
      <c r="J104" s="1">
        <f t="shared" si="100"/>
        <v>1.0061068738112229</v>
      </c>
      <c r="K104" s="1">
        <f t="shared" si="100"/>
        <v>0.20129322194923213</v>
      </c>
      <c r="L104" s="1">
        <f t="shared" ref="L104" si="101">L88-L120</f>
        <v>4.4446225006107093E-2</v>
      </c>
      <c r="N104" s="1"/>
    </row>
    <row r="105" spans="1:14" x14ac:dyDescent="0.35">
      <c r="A105" s="5" t="str">
        <f t="shared" si="84"/>
        <v>STEM</v>
      </c>
      <c r="B105" s="5" t="str">
        <f t="shared" si="85"/>
        <v>SPS1</v>
      </c>
      <c r="C105" s="5" t="str">
        <f t="shared" si="86"/>
        <v>CH</v>
      </c>
      <c r="D105" t="s">
        <v>558</v>
      </c>
      <c r="E105" t="str">
        <f t="shared" si="87"/>
        <v>PJ/yr.</v>
      </c>
      <c r="F105" s="1">
        <f t="shared" ref="F105:K105" si="102">F89-F121</f>
        <v>0</v>
      </c>
      <c r="G105" s="1">
        <f t="shared" si="102"/>
        <v>0</v>
      </c>
      <c r="H105" s="1">
        <f t="shared" si="102"/>
        <v>0</v>
      </c>
      <c r="I105" s="1">
        <f t="shared" si="102"/>
        <v>0</v>
      </c>
      <c r="J105" s="1">
        <f t="shared" si="102"/>
        <v>0</v>
      </c>
      <c r="K105" s="1">
        <f t="shared" si="102"/>
        <v>0</v>
      </c>
      <c r="L105" s="1">
        <f t="shared" ref="L105" si="103">L89-L121</f>
        <v>0</v>
      </c>
      <c r="N105" s="1"/>
    </row>
    <row r="106" spans="1:14" x14ac:dyDescent="0.35">
      <c r="A106" s="5" t="str">
        <f t="shared" si="84"/>
        <v>STEM</v>
      </c>
      <c r="B106" s="5" t="str">
        <f t="shared" si="85"/>
        <v>SPS1</v>
      </c>
      <c r="C106" s="5" t="str">
        <f t="shared" si="86"/>
        <v>CH</v>
      </c>
      <c r="D106" t="s">
        <v>559</v>
      </c>
      <c r="E106" t="str">
        <f t="shared" si="87"/>
        <v>PJ/yr.</v>
      </c>
      <c r="F106" s="1">
        <f t="shared" ref="F106:K106" si="104">F90-F122</f>
        <v>0</v>
      </c>
      <c r="G106" s="1">
        <f t="shared" si="104"/>
        <v>0</v>
      </c>
      <c r="H106" s="1">
        <f t="shared" si="104"/>
        <v>0</v>
      </c>
      <c r="I106" s="1">
        <f t="shared" si="104"/>
        <v>2.702214675643347E-4</v>
      </c>
      <c r="J106" s="1">
        <f t="shared" si="104"/>
        <v>1.2208110221646289E-3</v>
      </c>
      <c r="K106" s="1">
        <f t="shared" si="104"/>
        <v>3.0873630835159421E-3</v>
      </c>
      <c r="L106" s="1">
        <f t="shared" ref="L106" si="105">L90-L122</f>
        <v>1.7813216797360233E-3</v>
      </c>
      <c r="N106" s="1"/>
    </row>
    <row r="107" spans="1:14" x14ac:dyDescent="0.35">
      <c r="A107" s="5" t="str">
        <f t="shared" si="84"/>
        <v>STEM</v>
      </c>
      <c r="B107" s="5" t="str">
        <f t="shared" si="85"/>
        <v>SPS1</v>
      </c>
      <c r="C107" s="5" t="str">
        <f t="shared" si="86"/>
        <v>CH</v>
      </c>
      <c r="D107" t="s">
        <v>560</v>
      </c>
      <c r="E107" t="str">
        <f t="shared" si="87"/>
        <v>PJ/yr.</v>
      </c>
      <c r="F107" s="1">
        <f t="shared" ref="F107:K107" si="106">F91-F123</f>
        <v>1.2809716014561998E-2</v>
      </c>
      <c r="G107" s="1">
        <f t="shared" si="106"/>
        <v>8.3124892054253817E-4</v>
      </c>
      <c r="H107" s="1">
        <f t="shared" si="106"/>
        <v>1.8309003156843553E-3</v>
      </c>
      <c r="I107" s="1">
        <f t="shared" si="106"/>
        <v>0</v>
      </c>
      <c r="J107" s="1">
        <f t="shared" si="106"/>
        <v>6.6234624021454143E-3</v>
      </c>
      <c r="K107" s="1">
        <f t="shared" si="106"/>
        <v>3.7727373685491734E-3</v>
      </c>
      <c r="L107" s="1">
        <f t="shared" ref="L107" si="107">L91-L123</f>
        <v>1.9688810925687734E-3</v>
      </c>
      <c r="N107" s="1"/>
    </row>
    <row r="108" spans="1:14" x14ac:dyDescent="0.35">
      <c r="A108" s="5" t="str">
        <f t="shared" si="84"/>
        <v>STEM</v>
      </c>
      <c r="B108" s="5" t="str">
        <f t="shared" si="85"/>
        <v>SPS1</v>
      </c>
      <c r="C108" s="5" t="str">
        <f t="shared" si="86"/>
        <v>CH</v>
      </c>
      <c r="D108" t="s">
        <v>561</v>
      </c>
      <c r="E108" t="str">
        <f t="shared" si="87"/>
        <v>PJ/yr.</v>
      </c>
      <c r="F108" s="1">
        <f t="shared" ref="F108:K108" si="108">F92-F124</f>
        <v>0</v>
      </c>
      <c r="G108" s="1">
        <f t="shared" si="108"/>
        <v>0</v>
      </c>
      <c r="H108" s="1">
        <f t="shared" si="108"/>
        <v>0</v>
      </c>
      <c r="I108" s="1">
        <f t="shared" si="108"/>
        <v>0</v>
      </c>
      <c r="J108" s="1">
        <f t="shared" si="108"/>
        <v>6.5254897627000177E-4</v>
      </c>
      <c r="K108" s="1">
        <f t="shared" si="108"/>
        <v>6.6580797011577984E-4</v>
      </c>
      <c r="L108" s="1">
        <f t="shared" ref="L108" si="109">L92-L124</f>
        <v>6.4207196392454806E-4</v>
      </c>
      <c r="N108" s="1"/>
    </row>
    <row r="109" spans="1:14" x14ac:dyDescent="0.35">
      <c r="A109" s="5" t="str">
        <f t="shared" si="84"/>
        <v>STEM</v>
      </c>
      <c r="B109" s="5" t="str">
        <f t="shared" si="85"/>
        <v>SPS1</v>
      </c>
      <c r="C109" s="5" t="str">
        <f t="shared" si="86"/>
        <v>CH</v>
      </c>
      <c r="D109" t="s">
        <v>562</v>
      </c>
      <c r="E109" t="str">
        <f>E185</f>
        <v>PJ/yr.</v>
      </c>
      <c r="F109" s="1">
        <f t="shared" ref="F109:K109" si="110">F93-F125</f>
        <v>2.698330621747274E-2</v>
      </c>
      <c r="G109" s="1">
        <f t="shared" si="110"/>
        <v>1.4715141094848931E-3</v>
      </c>
      <c r="H109" s="1">
        <f t="shared" si="110"/>
        <v>2.3474795397861676E-3</v>
      </c>
      <c r="I109" s="1">
        <f t="shared" si="110"/>
        <v>0</v>
      </c>
      <c r="J109" s="1">
        <f t="shared" si="110"/>
        <v>1.1750868763609785</v>
      </c>
      <c r="K109" s="1">
        <f t="shared" si="110"/>
        <v>3.8431383831899604</v>
      </c>
      <c r="L109" s="1">
        <f t="shared" ref="L109" si="111">L93-L125</f>
        <v>3.0581914924625093</v>
      </c>
      <c r="N109" s="1"/>
    </row>
    <row r="110" spans="1:14" x14ac:dyDescent="0.35">
      <c r="A110" s="5" t="str">
        <f t="shared" si="84"/>
        <v>STEM</v>
      </c>
      <c r="B110" s="5" t="str">
        <f t="shared" si="85"/>
        <v>SPS1</v>
      </c>
      <c r="C110" s="5" t="str">
        <f t="shared" si="86"/>
        <v>CH</v>
      </c>
      <c r="D110" t="s">
        <v>563</v>
      </c>
      <c r="E110" t="str">
        <f>E187</f>
        <v>PJ/yr.</v>
      </c>
      <c r="F110" s="1">
        <f t="shared" ref="F110:K110" si="112">F94-F126</f>
        <v>0</v>
      </c>
      <c r="G110" s="1">
        <f t="shared" si="112"/>
        <v>0</v>
      </c>
      <c r="H110" s="1">
        <f t="shared" si="112"/>
        <v>0</v>
      </c>
      <c r="I110" s="1">
        <f t="shared" si="112"/>
        <v>0</v>
      </c>
      <c r="J110" s="1">
        <f t="shared" si="112"/>
        <v>3.8910156412791429E-3</v>
      </c>
      <c r="K110" s="1">
        <f t="shared" si="112"/>
        <v>5.5626568387838584E-3</v>
      </c>
      <c r="L110" s="1">
        <f t="shared" ref="L110" si="113">L94-L126</f>
        <v>1.3185090453797725</v>
      </c>
      <c r="N110" s="1"/>
    </row>
    <row r="111" spans="1:14" x14ac:dyDescent="0.35">
      <c r="A111" s="5" t="str">
        <f t="shared" si="84"/>
        <v>STEM</v>
      </c>
      <c r="B111" s="5" t="str">
        <f t="shared" si="85"/>
        <v>SPS1</v>
      </c>
      <c r="C111" s="5" t="str">
        <f t="shared" si="86"/>
        <v>CH</v>
      </c>
      <c r="D111" t="s">
        <v>564</v>
      </c>
      <c r="E111" t="str">
        <f>E189</f>
        <v>PJ/yr.</v>
      </c>
      <c r="F111" s="1">
        <f t="shared" ref="F111:K111" si="114">F95-F127</f>
        <v>0</v>
      </c>
      <c r="G111" s="1">
        <f t="shared" si="114"/>
        <v>0</v>
      </c>
      <c r="H111" s="1">
        <f t="shared" si="114"/>
        <v>0</v>
      </c>
      <c r="I111" s="1">
        <f t="shared" si="114"/>
        <v>0</v>
      </c>
      <c r="J111" s="1">
        <f t="shared" si="114"/>
        <v>0</v>
      </c>
      <c r="K111" s="1">
        <f t="shared" si="114"/>
        <v>0</v>
      </c>
      <c r="L111" s="1">
        <f t="shared" ref="L111" si="115">L95-L127</f>
        <v>0</v>
      </c>
      <c r="N111" s="1"/>
    </row>
    <row r="112" spans="1:14" x14ac:dyDescent="0.35">
      <c r="A112" s="5" t="str">
        <f t="shared" si="84"/>
        <v>STEM</v>
      </c>
      <c r="B112" s="5" t="str">
        <f t="shared" si="85"/>
        <v>SPS1</v>
      </c>
      <c r="C112" s="5" t="str">
        <f t="shared" si="86"/>
        <v>CH</v>
      </c>
      <c r="D112" t="s">
        <v>565</v>
      </c>
      <c r="E112" t="str">
        <f>E190</f>
        <v>PJ/yr.</v>
      </c>
      <c r="F112" s="1">
        <f t="shared" ref="F112:K112" si="116">F96-F128</f>
        <v>0.57925500572913313</v>
      </c>
      <c r="G112" s="1">
        <f t="shared" si="116"/>
        <v>0.60747924952135457</v>
      </c>
      <c r="H112" s="1">
        <f t="shared" si="116"/>
        <v>1.3819589789137585E-2</v>
      </c>
      <c r="I112" s="1">
        <f t="shared" si="116"/>
        <v>0</v>
      </c>
      <c r="J112" s="1">
        <f t="shared" si="116"/>
        <v>5.4587724491848482</v>
      </c>
      <c r="K112" s="1">
        <f t="shared" si="116"/>
        <v>5.2627950370226504</v>
      </c>
      <c r="L112" s="1">
        <f t="shared" ref="L112" si="117">L96-L128</f>
        <v>5.8242291678201898E-4</v>
      </c>
      <c r="N112" s="1"/>
    </row>
    <row r="113" spans="1:14" x14ac:dyDescent="0.35">
      <c r="A113" s="5" t="str">
        <f t="shared" si="84"/>
        <v>STEM</v>
      </c>
      <c r="B113" s="5" t="str">
        <f t="shared" si="85"/>
        <v>SPS1</v>
      </c>
      <c r="C113" s="5" t="str">
        <f t="shared" si="86"/>
        <v>CH</v>
      </c>
      <c r="D113" t="s">
        <v>566</v>
      </c>
      <c r="E113" t="str">
        <f>E195</f>
        <v>PJ/yr.</v>
      </c>
      <c r="F113" s="1">
        <f t="shared" ref="F113:K113" si="118">F97-F129</f>
        <v>0</v>
      </c>
      <c r="G113" s="1">
        <f t="shared" si="118"/>
        <v>0</v>
      </c>
      <c r="H113" s="1">
        <f t="shared" si="118"/>
        <v>0</v>
      </c>
      <c r="I113" s="1">
        <f t="shared" si="118"/>
        <v>0</v>
      </c>
      <c r="J113" s="1">
        <f t="shared" si="118"/>
        <v>1.7498360632482717E-3</v>
      </c>
      <c r="K113" s="1">
        <f t="shared" si="118"/>
        <v>6.6492094200532852E-3</v>
      </c>
      <c r="L113" s="1">
        <f t="shared" ref="L113" si="119">L97-L129</f>
        <v>7.4199460798077057</v>
      </c>
      <c r="N113" s="1"/>
    </row>
    <row r="114" spans="1:14" x14ac:dyDescent="0.35">
      <c r="A114" s="5" t="str">
        <f>A97</f>
        <v>STEM</v>
      </c>
      <c r="B114" s="5" t="str">
        <f>B97</f>
        <v>SPS1</v>
      </c>
      <c r="C114" s="5" t="str">
        <f>C97</f>
        <v>CH</v>
      </c>
      <c r="D114" t="s">
        <v>798</v>
      </c>
      <c r="E114" t="str">
        <f>E97</f>
        <v>PJ/yr.</v>
      </c>
      <c r="F114" s="1">
        <f>SUM(F115:F129)</f>
        <v>1.0172339402491892</v>
      </c>
      <c r="G114" s="1">
        <f t="shared" ref="G114:K114" si="120">SUM(G115:G129)</f>
        <v>1.1292818076157873</v>
      </c>
      <c r="H114" s="1">
        <f t="shared" si="120"/>
        <v>1.1932276341821715</v>
      </c>
      <c r="I114" s="1">
        <f t="shared" si="120"/>
        <v>1.2966254414618841</v>
      </c>
      <c r="J114" s="1">
        <f t="shared" si="120"/>
        <v>1.2270806699708601</v>
      </c>
      <c r="K114" s="1">
        <f t="shared" si="120"/>
        <v>1.157010969512194</v>
      </c>
      <c r="L114" s="1">
        <f t="shared" ref="L114" si="121">SUM(L115:L129)</f>
        <v>1.1694614952763793</v>
      </c>
      <c r="N114" s="1"/>
    </row>
    <row r="115" spans="1:14" x14ac:dyDescent="0.35">
      <c r="A115" s="5" t="str">
        <f t="shared" si="61"/>
        <v>STEM</v>
      </c>
      <c r="B115" s="5" t="str">
        <f t="shared" si="62"/>
        <v>SPS1</v>
      </c>
      <c r="C115" s="5" t="str">
        <f t="shared" si="63"/>
        <v>CH</v>
      </c>
      <c r="D115" t="s">
        <v>613</v>
      </c>
      <c r="E115" t="str">
        <f t="shared" ref="E115:E130" si="122">E114</f>
        <v>PJ/yr.</v>
      </c>
      <c r="F115" s="1">
        <f>'[1]Electricity and CHPs_IN'!L$23/SUM('[1]Electricity and CHPs_IN'!L$22:L$23)*F83</f>
        <v>0</v>
      </c>
      <c r="G115" s="1">
        <f>'[1]Electricity and CHPs_IN'!M$23/SUM('[1]Electricity and CHPs_IN'!M$22:M$23)*G83</f>
        <v>0</v>
      </c>
      <c r="H115" s="1">
        <f>'[1]Electricity and CHPs_IN'!N$23/SUM('[1]Electricity and CHPs_IN'!N$22:N$23)*H83</f>
        <v>0</v>
      </c>
      <c r="I115" s="1">
        <f>'[1]Electricity and CHPs_IN'!O$23/SUM('[1]Electricity and CHPs_IN'!O$22:O$23)*I83</f>
        <v>0</v>
      </c>
      <c r="J115" s="1">
        <f>'[2]Electricity and CHPs_IN'!P$23/SUM('[2]Electricity and CHPs_IN'!P$22:P$23)*J83</f>
        <v>0</v>
      </c>
      <c r="K115" s="1">
        <f>'[2]Electricity and CHPs_IN'!Q$23/SUM('[2]Electricity and CHPs_IN'!Q$22:Q$23)*K83</f>
        <v>4.985471463703697E-3</v>
      </c>
      <c r="L115" s="1">
        <f>'[2]Electricity and CHPs_IN'!R$23/SUM('[2]Electricity and CHPs_IN'!R$22:R$23)*L83</f>
        <v>3.0411745694213375E-2</v>
      </c>
      <c r="N115" s="1"/>
    </row>
    <row r="116" spans="1:14" x14ac:dyDescent="0.35">
      <c r="A116" s="5" t="str">
        <f t="shared" si="61"/>
        <v>STEM</v>
      </c>
      <c r="B116" s="5" t="str">
        <f t="shared" si="62"/>
        <v>SPS1</v>
      </c>
      <c r="C116" s="5" t="str">
        <f t="shared" si="63"/>
        <v>CH</v>
      </c>
      <c r="D116" t="s">
        <v>614</v>
      </c>
      <c r="E116" t="str">
        <f t="shared" si="122"/>
        <v>PJ/yr.</v>
      </c>
      <c r="F116" s="1">
        <f>'[1]Electricity and CHPs_IN'!L$23/SUM('[1]Electricity and CHPs_IN'!L$22:L$23)*F84</f>
        <v>0</v>
      </c>
      <c r="G116" s="1">
        <f>'[1]Electricity and CHPs_IN'!M$23/SUM('[1]Electricity and CHPs_IN'!M$22:M$23)*G84</f>
        <v>0</v>
      </c>
      <c r="H116" s="1">
        <f>'[1]Electricity and CHPs_IN'!N$23/SUM('[1]Electricity and CHPs_IN'!N$22:N$23)*H84</f>
        <v>0</v>
      </c>
      <c r="I116" s="1">
        <f>'[1]Electricity and CHPs_IN'!O$23/SUM('[1]Electricity and CHPs_IN'!O$22:O$23)*I84</f>
        <v>0</v>
      </c>
      <c r="J116" s="1">
        <f>'[2]Electricity and CHPs_IN'!P$23/SUM('[2]Electricity and CHPs_IN'!P$22:P$23)*J84</f>
        <v>5.2042243056450808E-5</v>
      </c>
      <c r="K116" s="1">
        <f>'[2]Electricity and CHPs_IN'!Q$23/SUM('[2]Electricity and CHPs_IN'!Q$22:Q$23)*K84</f>
        <v>1.6669446584328883E-5</v>
      </c>
      <c r="L116" s="1">
        <f>'[2]Electricity and CHPs_IN'!R$23/SUM('[2]Electricity and CHPs_IN'!R$22:R$23)*L84</f>
        <v>1.0173889837056569E-5</v>
      </c>
      <c r="N116" s="1"/>
    </row>
    <row r="117" spans="1:14" x14ac:dyDescent="0.35">
      <c r="A117" s="5" t="str">
        <f t="shared" si="61"/>
        <v>STEM</v>
      </c>
      <c r="B117" s="5" t="str">
        <f t="shared" si="62"/>
        <v>SPS1</v>
      </c>
      <c r="C117" s="5" t="str">
        <f t="shared" si="63"/>
        <v>CH</v>
      </c>
      <c r="D117" t="s">
        <v>615</v>
      </c>
      <c r="E117" t="str">
        <f t="shared" si="122"/>
        <v>PJ/yr.</v>
      </c>
      <c r="F117" s="1">
        <f>'[1]Electricity and CHPs_IN'!L$23/SUM('[1]Electricity and CHPs_IN'!L$22:L$23)*F85</f>
        <v>0</v>
      </c>
      <c r="G117" s="1">
        <f>'[1]Electricity and CHPs_IN'!M$23/SUM('[1]Electricity and CHPs_IN'!M$22:M$23)*G85</f>
        <v>0</v>
      </c>
      <c r="H117" s="1">
        <f>'[1]Electricity and CHPs_IN'!N$23/SUM('[1]Electricity and CHPs_IN'!N$22:N$23)*H85</f>
        <v>0</v>
      </c>
      <c r="I117" s="1">
        <f>'[1]Electricity and CHPs_IN'!O$23/SUM('[1]Electricity and CHPs_IN'!O$22:O$23)*I85</f>
        <v>0</v>
      </c>
      <c r="J117" s="1">
        <f>'[2]Electricity and CHPs_IN'!P$23/SUM('[2]Electricity and CHPs_IN'!P$22:P$23)*J85</f>
        <v>0</v>
      </c>
      <c r="K117" s="1">
        <f>'[2]Electricity and CHPs_IN'!Q$23/SUM('[2]Electricity and CHPs_IN'!Q$22:Q$23)*K85</f>
        <v>0</v>
      </c>
      <c r="L117" s="1">
        <f>'[2]Electricity and CHPs_IN'!R$23/SUM('[2]Electricity and CHPs_IN'!R$22:R$23)*L85</f>
        <v>0</v>
      </c>
      <c r="N117" s="1"/>
    </row>
    <row r="118" spans="1:14" x14ac:dyDescent="0.35">
      <c r="A118" s="5" t="str">
        <f t="shared" si="61"/>
        <v>STEM</v>
      </c>
      <c r="B118" s="5" t="str">
        <f t="shared" si="62"/>
        <v>SPS1</v>
      </c>
      <c r="C118" s="5" t="str">
        <f t="shared" si="63"/>
        <v>CH</v>
      </c>
      <c r="D118" t="s">
        <v>616</v>
      </c>
      <c r="E118" t="str">
        <f t="shared" si="122"/>
        <v>PJ/yr.</v>
      </c>
      <c r="F118" s="1">
        <f>'[1]Electricity and CHPs_IN'!L$23/SUM('[1]Electricity and CHPs_IN'!L$22:L$23)*F86</f>
        <v>2.4610287254296998E-2</v>
      </c>
      <c r="G118" s="1">
        <f>'[1]Electricity and CHPs_IN'!M$23/SUM('[1]Electricity and CHPs_IN'!M$22:M$23)*G86</f>
        <v>5.0226345784614566E-6</v>
      </c>
      <c r="H118" s="1">
        <f>'[1]Electricity and CHPs_IN'!N$23/SUM('[1]Electricity and CHPs_IN'!N$22:N$23)*H86</f>
        <v>6.1736161139835082E-3</v>
      </c>
      <c r="I118" s="1">
        <f>'[1]Electricity and CHPs_IN'!O$23/SUM('[1]Electricity and CHPs_IN'!O$22:O$23)*I86</f>
        <v>1.1034049202248634E-3</v>
      </c>
      <c r="J118" s="1">
        <f>'[2]Electricity and CHPs_IN'!P$23/SUM('[2]Electricity and CHPs_IN'!P$22:P$23)*J86</f>
        <v>2.346370767104812E-4</v>
      </c>
      <c r="K118" s="1">
        <f>'[2]Electricity and CHPs_IN'!Q$23/SUM('[2]Electricity and CHPs_IN'!Q$22:Q$23)*K86</f>
        <v>1.3244592960773428E-3</v>
      </c>
      <c r="L118" s="1">
        <f>'[2]Electricity and CHPs_IN'!R$23/SUM('[2]Electricity and CHPs_IN'!R$22:R$23)*L86</f>
        <v>4.4127339635432062E-4</v>
      </c>
      <c r="N118" s="1"/>
    </row>
    <row r="119" spans="1:14" x14ac:dyDescent="0.35">
      <c r="A119" s="5" t="str">
        <f t="shared" si="61"/>
        <v>STEM</v>
      </c>
      <c r="B119" s="5" t="str">
        <f t="shared" si="62"/>
        <v>SPS1</v>
      </c>
      <c r="C119" s="5" t="str">
        <f t="shared" si="63"/>
        <v>CH</v>
      </c>
      <c r="D119" t="s">
        <v>617</v>
      </c>
      <c r="E119" t="str">
        <f t="shared" si="122"/>
        <v>PJ/yr.</v>
      </c>
      <c r="F119" s="1">
        <f>'[1]Electricity and CHPs_IN'!L$23/SUM('[1]Electricity and CHPs_IN'!L$22:L$23)*F87</f>
        <v>0</v>
      </c>
      <c r="G119" s="1">
        <f>'[1]Electricity and CHPs_IN'!M$23/SUM('[1]Electricity and CHPs_IN'!M$22:M$23)*G87</f>
        <v>0</v>
      </c>
      <c r="H119" s="1">
        <f>'[1]Electricity and CHPs_IN'!N$23/SUM('[1]Electricity and CHPs_IN'!N$22:N$23)*H87</f>
        <v>0</v>
      </c>
      <c r="I119" s="1">
        <f>'[1]Electricity and CHPs_IN'!O$23/SUM('[1]Electricity and CHPs_IN'!O$22:O$23)*I87</f>
        <v>0</v>
      </c>
      <c r="J119" s="1">
        <f>'[2]Electricity and CHPs_IN'!P$23/SUM('[2]Electricity and CHPs_IN'!P$22:P$23)*J87</f>
        <v>0</v>
      </c>
      <c r="K119" s="1">
        <f>'[2]Electricity and CHPs_IN'!Q$23/SUM('[2]Electricity and CHPs_IN'!Q$22:Q$23)*K87</f>
        <v>1.5139952966272535E-3</v>
      </c>
      <c r="L119" s="1">
        <f>'[2]Electricity and CHPs_IN'!R$23/SUM('[2]Electricity and CHPs_IN'!R$22:R$23)*L87</f>
        <v>4.1281700122993339E-3</v>
      </c>
      <c r="N119" s="1"/>
    </row>
    <row r="120" spans="1:14" x14ac:dyDescent="0.35">
      <c r="A120" s="5" t="str">
        <f t="shared" si="61"/>
        <v>STEM</v>
      </c>
      <c r="B120" s="5" t="str">
        <f t="shared" si="62"/>
        <v>SPS1</v>
      </c>
      <c r="C120" s="5" t="str">
        <f t="shared" si="63"/>
        <v>CH</v>
      </c>
      <c r="D120" t="s">
        <v>618</v>
      </c>
      <c r="E120" t="str">
        <f t="shared" si="122"/>
        <v>PJ/yr.</v>
      </c>
      <c r="F120" s="1">
        <f>'[1]Electricity and CHPs_IN'!L$23/SUM('[1]Electricity and CHPs_IN'!L$22:L$23)*F88</f>
        <v>1.7070502561342231E-2</v>
      </c>
      <c r="G120" s="1">
        <f>'[1]Electricity and CHPs_IN'!M$23/SUM('[1]Electricity and CHPs_IN'!M$22:M$23)*G88</f>
        <v>4.8715836695151912E-3</v>
      </c>
      <c r="H120" s="1">
        <f>'[1]Electricity and CHPs_IN'!N$23/SUM('[1]Electricity and CHPs_IN'!N$22:N$23)*H88</f>
        <v>7.9476149165264659E-2</v>
      </c>
      <c r="I120" s="1">
        <f>'[1]Electricity and CHPs_IN'!O$23/SUM('[1]Electricity and CHPs_IN'!O$22:O$23)*I88</f>
        <v>0.18953572480861203</v>
      </c>
      <c r="J120" s="1">
        <f>'[2]Electricity and CHPs_IN'!P$23/SUM('[2]Electricity and CHPs_IN'!P$22:P$23)*J88</f>
        <v>1.588327494219394E-2</v>
      </c>
      <c r="K120" s="1">
        <f>'[2]Electricity and CHPs_IN'!Q$23/SUM('[2]Electricity and CHPs_IN'!Q$22:Q$23)*K88</f>
        <v>9.3256526027999038E-4</v>
      </c>
      <c r="L120" s="1">
        <f>'[2]Electricity and CHPs_IN'!R$23/SUM('[2]Electricity and CHPs_IN'!R$22:R$23)*L88</f>
        <v>1.0697004552603897E-4</v>
      </c>
      <c r="N120" s="1"/>
    </row>
    <row r="121" spans="1:14" x14ac:dyDescent="0.35">
      <c r="A121" s="5" t="str">
        <f t="shared" si="61"/>
        <v>STEM</v>
      </c>
      <c r="B121" s="5" t="str">
        <f t="shared" si="62"/>
        <v>SPS1</v>
      </c>
      <c r="C121" s="5" t="str">
        <f t="shared" si="63"/>
        <v>CH</v>
      </c>
      <c r="D121" t="s">
        <v>619</v>
      </c>
      <c r="E121" t="str">
        <f t="shared" si="122"/>
        <v>PJ/yr.</v>
      </c>
      <c r="F121" s="1">
        <f>'[1]Electricity and CHPs_IN'!L$23/SUM('[1]Electricity and CHPs_IN'!L$22:L$23)*F89</f>
        <v>0</v>
      </c>
      <c r="G121" s="1">
        <f>'[1]Electricity and CHPs_IN'!M$23/SUM('[1]Electricity and CHPs_IN'!M$22:M$23)*G89</f>
        <v>0</v>
      </c>
      <c r="H121" s="1">
        <f>'[1]Electricity and CHPs_IN'!N$23/SUM('[1]Electricity and CHPs_IN'!N$22:N$23)*H89</f>
        <v>0</v>
      </c>
      <c r="I121" s="1">
        <f>'[1]Electricity and CHPs_IN'!O$23/SUM('[1]Electricity and CHPs_IN'!O$22:O$23)*I89</f>
        <v>0</v>
      </c>
      <c r="J121" s="1">
        <f>'[2]Electricity and CHPs_IN'!P$23/SUM('[2]Electricity and CHPs_IN'!P$22:P$23)*J89</f>
        <v>0</v>
      </c>
      <c r="K121" s="1">
        <f>'[2]Electricity and CHPs_IN'!Q$23/SUM('[2]Electricity and CHPs_IN'!Q$22:Q$23)*K89</f>
        <v>0</v>
      </c>
      <c r="L121" s="1">
        <f>'[2]Electricity and CHPs_IN'!R$23/SUM('[2]Electricity and CHPs_IN'!R$22:R$23)*L89</f>
        <v>0</v>
      </c>
      <c r="N121" s="1"/>
    </row>
    <row r="122" spans="1:14" x14ac:dyDescent="0.35">
      <c r="A122" s="5" t="str">
        <f t="shared" si="61"/>
        <v>STEM</v>
      </c>
      <c r="B122" s="5" t="str">
        <f t="shared" si="62"/>
        <v>SPS1</v>
      </c>
      <c r="C122" s="5" t="str">
        <f t="shared" si="63"/>
        <v>CH</v>
      </c>
      <c r="D122" t="s">
        <v>620</v>
      </c>
      <c r="E122" t="str">
        <f t="shared" si="122"/>
        <v>PJ/yr.</v>
      </c>
      <c r="F122" s="1">
        <f>'[1]Electricity and CHPs_IN'!L$23/SUM('[1]Electricity and CHPs_IN'!L$22:L$23)*F90</f>
        <v>0</v>
      </c>
      <c r="G122" s="1">
        <f>'[1]Electricity and CHPs_IN'!M$23/SUM('[1]Electricity and CHPs_IN'!M$22:M$23)*G90</f>
        <v>0</v>
      </c>
      <c r="H122" s="1">
        <f>'[1]Electricity and CHPs_IN'!N$23/SUM('[1]Electricity and CHPs_IN'!N$22:N$23)*H90</f>
        <v>0</v>
      </c>
      <c r="I122" s="1">
        <f>'[1]Electricity and CHPs_IN'!O$23/SUM('[1]Electricity and CHPs_IN'!O$22:O$23)*I90</f>
        <v>4.176073770435685E-5</v>
      </c>
      <c r="J122" s="1">
        <f>'[2]Electricity and CHPs_IN'!P$23/SUM('[2]Electricity and CHPs_IN'!P$22:P$23)*J90</f>
        <v>1.9272780677910247E-5</v>
      </c>
      <c r="K122" s="1">
        <f>'[2]Electricity and CHPs_IN'!Q$23/SUM('[2]Electricity and CHPs_IN'!Q$22:Q$23)*K90</f>
        <v>1.4303350752088558E-5</v>
      </c>
      <c r="L122" s="1">
        <f>'[2]Electricity and CHPs_IN'!R$23/SUM('[2]Electricity and CHPs_IN'!R$22:R$23)*L90</f>
        <v>4.2871596215809225E-6</v>
      </c>
      <c r="N122" s="1"/>
    </row>
    <row r="123" spans="1:14" x14ac:dyDescent="0.35">
      <c r="A123" s="5" t="str">
        <f t="shared" si="61"/>
        <v>STEM</v>
      </c>
      <c r="B123" s="5" t="str">
        <f t="shared" si="62"/>
        <v>SPS1</v>
      </c>
      <c r="C123" s="5" t="str">
        <f t="shared" si="63"/>
        <v>CH</v>
      </c>
      <c r="D123" t="s">
        <v>621</v>
      </c>
      <c r="E123" t="str">
        <f t="shared" si="122"/>
        <v>PJ/yr.</v>
      </c>
      <c r="F123" s="1">
        <f>'[1]Electricity and CHPs_IN'!L$23/SUM('[1]Electricity and CHPs_IN'!L$22:L$23)*F91</f>
        <v>3.3492026733375387E-4</v>
      </c>
      <c r="G123" s="1">
        <f>'[1]Electricity and CHPs_IN'!M$23/SUM('[1]Electricity and CHPs_IN'!M$22:M$23)*G91</f>
        <v>2.5165029577723273E-5</v>
      </c>
      <c r="H123" s="1">
        <f>'[1]Electricity and CHPs_IN'!N$23/SUM('[1]Electricity and CHPs_IN'!N$22:N$23)*H91</f>
        <v>1.6616589236654109E-4</v>
      </c>
      <c r="I123" s="1">
        <f>'[1]Electricity and CHPs_IN'!O$23/SUM('[1]Electricity and CHPs_IN'!O$22:O$23)*I91</f>
        <v>0</v>
      </c>
      <c r="J123" s="1">
        <f>'[2]Electricity and CHPs_IN'!P$23/SUM('[2]Electricity and CHPs_IN'!P$22:P$23)*J91</f>
        <v>1.0456371697774444E-4</v>
      </c>
      <c r="K123" s="1">
        <f>'[2]Electricity and CHPs_IN'!Q$23/SUM('[2]Electricity and CHPs_IN'!Q$22:Q$23)*K91</f>
        <v>1.7478600481423348E-5</v>
      </c>
      <c r="L123" s="1">
        <f>'[2]Electricity and CHPs_IN'!R$23/SUM('[2]Electricity and CHPs_IN'!R$22:R$23)*L91</f>
        <v>4.7385644130294575E-6</v>
      </c>
      <c r="N123" s="1"/>
    </row>
    <row r="124" spans="1:14" x14ac:dyDescent="0.35">
      <c r="A124" s="5" t="str">
        <f t="shared" si="61"/>
        <v>STEM</v>
      </c>
      <c r="B124" s="5" t="str">
        <f t="shared" si="62"/>
        <v>SPS1</v>
      </c>
      <c r="C124" s="5" t="str">
        <f t="shared" si="63"/>
        <v>CH</v>
      </c>
      <c r="D124" t="s">
        <v>622</v>
      </c>
      <c r="E124" t="str">
        <f t="shared" si="122"/>
        <v>PJ/yr.</v>
      </c>
      <c r="F124" s="1">
        <f>'[1]Electricity and CHPs_IN'!L$23/SUM('[1]Electricity and CHPs_IN'!L$22:L$23)*F92</f>
        <v>0</v>
      </c>
      <c r="G124" s="1">
        <f>'[1]Electricity and CHPs_IN'!M$23/SUM('[1]Electricity and CHPs_IN'!M$22:M$23)*G92</f>
        <v>0</v>
      </c>
      <c r="H124" s="1">
        <f>'[1]Electricity and CHPs_IN'!N$23/SUM('[1]Electricity and CHPs_IN'!N$22:N$23)*H92</f>
        <v>0</v>
      </c>
      <c r="I124" s="1">
        <f>'[1]Electricity and CHPs_IN'!O$23/SUM('[1]Electricity and CHPs_IN'!O$22:O$23)*I92</f>
        <v>0</v>
      </c>
      <c r="J124" s="1">
        <f>'[2]Electricity and CHPs_IN'!P$23/SUM('[2]Electricity and CHPs_IN'!P$22:P$23)*J92</f>
        <v>1.030170359942134E-5</v>
      </c>
      <c r="K124" s="1">
        <f>'[2]Electricity and CHPs_IN'!Q$23/SUM('[2]Electricity and CHPs_IN'!Q$22:Q$23)*K92</f>
        <v>3.0846015426396869E-6</v>
      </c>
      <c r="L124" s="1">
        <f>'[2]Electricity and CHPs_IN'!R$23/SUM('[2]Electricity and CHPs_IN'!R$22:R$23)*L92</f>
        <v>1.5452936037327109E-6</v>
      </c>
      <c r="N124" s="1"/>
    </row>
    <row r="125" spans="1:14" x14ac:dyDescent="0.35">
      <c r="A125" s="5" t="str">
        <f t="shared" si="61"/>
        <v>STEM</v>
      </c>
      <c r="B125" s="5" t="str">
        <f t="shared" si="62"/>
        <v>SPS1</v>
      </c>
      <c r="C125" s="5" t="str">
        <f t="shared" si="63"/>
        <v>CH</v>
      </c>
      <c r="D125" t="s">
        <v>623</v>
      </c>
      <c r="E125" t="str">
        <f t="shared" si="122"/>
        <v>PJ/yr.</v>
      </c>
      <c r="F125" s="1">
        <f>'[1]Electricity and CHPs_IN'!L$23/SUM('[1]Electricity and CHPs_IN'!L$22:L$23)*F93</f>
        <v>7.0550011582075844E-4</v>
      </c>
      <c r="G125" s="1">
        <f>'[1]Electricity and CHPs_IN'!M$23/SUM('[1]Electricity and CHPs_IN'!M$22:M$23)*G93</f>
        <v>4.45482636717956E-5</v>
      </c>
      <c r="H125" s="1">
        <f>'[1]Electricity and CHPs_IN'!N$23/SUM('[1]Electricity and CHPs_IN'!N$22:N$23)*H93</f>
        <v>2.1304875486624443E-4</v>
      </c>
      <c r="I125" s="1">
        <f>'[1]Electricity and CHPs_IN'!O$23/SUM('[1]Electricity and CHPs_IN'!O$22:O$23)*I93</f>
        <v>0</v>
      </c>
      <c r="J125" s="1">
        <f>'[2]Electricity and CHPs_IN'!P$23/SUM('[2]Electricity and CHPs_IN'!P$22:P$23)*J93</f>
        <v>1.8550939690436179E-2</v>
      </c>
      <c r="K125" s="1">
        <f>'[2]Electricity and CHPs_IN'!Q$23/SUM('[2]Electricity and CHPs_IN'!Q$22:Q$23)*K93</f>
        <v>1.7804759206027695E-2</v>
      </c>
      <c r="L125" s="1">
        <f>'[2]Electricity and CHPs_IN'!R$23/SUM('[2]Electricity and CHPs_IN'!R$22:R$23)*L93</f>
        <v>7.360240000834942E-3</v>
      </c>
      <c r="N125" s="1"/>
    </row>
    <row r="126" spans="1:14" x14ac:dyDescent="0.35">
      <c r="A126" s="5" t="str">
        <f t="shared" si="61"/>
        <v>STEM</v>
      </c>
      <c r="B126" s="5" t="str">
        <f t="shared" si="62"/>
        <v>SPS1</v>
      </c>
      <c r="C126" s="5" t="str">
        <f t="shared" si="63"/>
        <v>CH</v>
      </c>
      <c r="D126" t="s">
        <v>624</v>
      </c>
      <c r="E126" t="str">
        <f t="shared" si="122"/>
        <v>PJ/yr.</v>
      </c>
      <c r="F126" s="1">
        <f>'[1]Electricity and CHPs_IN'!L$23/SUM('[1]Electricity and CHPs_IN'!L$22:L$23)*F94</f>
        <v>0</v>
      </c>
      <c r="G126" s="1">
        <f>'[1]Electricity and CHPs_IN'!M$23/SUM('[1]Electricity and CHPs_IN'!M$22:M$23)*G94</f>
        <v>0</v>
      </c>
      <c r="H126" s="1">
        <f>'[1]Electricity and CHPs_IN'!N$23/SUM('[1]Electricity and CHPs_IN'!N$22:N$23)*H94</f>
        <v>0</v>
      </c>
      <c r="I126" s="1">
        <f>'[1]Electricity and CHPs_IN'!O$23/SUM('[1]Electricity and CHPs_IN'!O$22:O$23)*I94</f>
        <v>0</v>
      </c>
      <c r="J126" s="1">
        <f>'[2]Electricity and CHPs_IN'!P$23/SUM('[2]Electricity and CHPs_IN'!P$22:P$23)*J94</f>
        <v>6.1426944635316845E-5</v>
      </c>
      <c r="K126" s="1">
        <f>'[2]Electricity and CHPs_IN'!Q$23/SUM('[2]Electricity and CHPs_IN'!Q$22:Q$23)*K94</f>
        <v>2.5771064084895411E-5</v>
      </c>
      <c r="L126" s="1">
        <f>'[2]Electricity and CHPs_IN'!R$23/SUM('[2]Electricity and CHPs_IN'!R$22:R$23)*L94</f>
        <v>3.1732947531851997E-3</v>
      </c>
      <c r="N126" s="1"/>
    </row>
    <row r="127" spans="1:14" x14ac:dyDescent="0.35">
      <c r="A127" s="5" t="str">
        <f t="shared" si="61"/>
        <v>STEM</v>
      </c>
      <c r="B127" s="5" t="str">
        <f t="shared" si="62"/>
        <v>SPS1</v>
      </c>
      <c r="C127" s="5" t="str">
        <f t="shared" si="63"/>
        <v>CH</v>
      </c>
      <c r="D127" t="s">
        <v>625</v>
      </c>
      <c r="E127" t="str">
        <f t="shared" si="122"/>
        <v>PJ/yr.</v>
      </c>
      <c r="F127" s="1">
        <f t="shared" ref="F127:K127" si="123">F95</f>
        <v>0.9593676447766335</v>
      </c>
      <c r="G127" s="1">
        <f t="shared" si="123"/>
        <v>1.1059448075564708</v>
      </c>
      <c r="H127" s="1">
        <f t="shared" si="123"/>
        <v>1.1059444382561738</v>
      </c>
      <c r="I127" s="1">
        <f t="shared" si="123"/>
        <v>1.1059445509953427</v>
      </c>
      <c r="J127" s="1">
        <f t="shared" si="123"/>
        <v>1.1059596743147138</v>
      </c>
      <c r="K127" s="1">
        <f t="shared" si="123"/>
        <v>1.1059597635634657</v>
      </c>
      <c r="L127" s="1">
        <f t="shared" ref="L127" si="124">L95</f>
        <v>1.1059598508386868</v>
      </c>
      <c r="N127" s="1"/>
    </row>
    <row r="128" spans="1:14" x14ac:dyDescent="0.35">
      <c r="A128" s="5" t="str">
        <f t="shared" si="61"/>
        <v>STEM</v>
      </c>
      <c r="B128" s="5" t="str">
        <f t="shared" si="62"/>
        <v>SPS1</v>
      </c>
      <c r="C128" s="5" t="str">
        <f t="shared" si="63"/>
        <v>CH</v>
      </c>
      <c r="D128" t="s">
        <v>626</v>
      </c>
      <c r="E128" t="str">
        <f t="shared" si="122"/>
        <v>PJ/yr.</v>
      </c>
      <c r="F128" s="1">
        <f>'[1]Electricity and CHPs_IN'!L$23/SUM('[1]Electricity and CHPs_IN'!L$22:L$23)*F96</f>
        <v>1.5145085273762019E-2</v>
      </c>
      <c r="G128" s="1">
        <f>'[1]Electricity and CHPs_IN'!M$23/SUM('[1]Electricity and CHPs_IN'!M$22:M$23)*G96</f>
        <v>1.8390680461973265E-2</v>
      </c>
      <c r="H128" s="1">
        <f>'[1]Electricity and CHPs_IN'!N$23/SUM('[1]Electricity and CHPs_IN'!N$22:N$23)*H96</f>
        <v>1.2542159995167497E-3</v>
      </c>
      <c r="I128" s="1">
        <f>'[1]Electricity and CHPs_IN'!O$23/SUM('[1]Electricity and CHPs_IN'!O$22:O$23)*I96</f>
        <v>0</v>
      </c>
      <c r="J128" s="1">
        <f>'[2]Electricity and CHPs_IN'!P$23/SUM('[2]Electricity and CHPs_IN'!P$22:P$23)*J96</f>
        <v>8.6176912129460881E-2</v>
      </c>
      <c r="K128" s="1">
        <f>'[2]Electricity and CHPs_IN'!Q$23/SUM('[2]Electricity and CHPs_IN'!Q$22:Q$23)*K96</f>
        <v>2.4381843441996693E-2</v>
      </c>
      <c r="L128" s="1">
        <f>'[2]Electricity and CHPs_IN'!R$23/SUM('[2]Electricity and CHPs_IN'!R$22:R$23)*L96</f>
        <v>1.4017344761005114E-6</v>
      </c>
      <c r="N128" s="1"/>
    </row>
    <row r="129" spans="1:17" x14ac:dyDescent="0.35">
      <c r="A129" s="5" t="str">
        <f t="shared" si="61"/>
        <v>STEM</v>
      </c>
      <c r="B129" s="5" t="str">
        <f t="shared" si="62"/>
        <v>SPS1</v>
      </c>
      <c r="C129" s="5" t="str">
        <f t="shared" si="63"/>
        <v>CH</v>
      </c>
      <c r="D129" t="s">
        <v>627</v>
      </c>
      <c r="E129" t="str">
        <f t="shared" si="122"/>
        <v>PJ/yr.</v>
      </c>
      <c r="F129" s="1">
        <f>'[1]Electricity and CHPs_IN'!L$23/SUM('[1]Electricity and CHPs_IN'!L$22:L$23)*F97</f>
        <v>0</v>
      </c>
      <c r="G129" s="1">
        <f>'[1]Electricity and CHPs_IN'!M$23/SUM('[1]Electricity and CHPs_IN'!M$22:M$23)*G97</f>
        <v>0</v>
      </c>
      <c r="H129" s="1">
        <f>'[1]Electricity and CHPs_IN'!N$23/SUM('[1]Electricity and CHPs_IN'!N$22:N$23)*H97</f>
        <v>0</v>
      </c>
      <c r="I129" s="1">
        <f>'[1]Electricity and CHPs_IN'!O$23/SUM('[1]Electricity and CHPs_IN'!O$22:O$23)*I97</f>
        <v>0</v>
      </c>
      <c r="J129" s="1">
        <f>'[2]Electricity and CHPs_IN'!P$23/SUM('[2]Electricity and CHPs_IN'!P$22:P$23)*J97</f>
        <v>2.7624428398004786E-5</v>
      </c>
      <c r="K129" s="1">
        <f>'[2]Electricity and CHPs_IN'!Q$23/SUM('[2]Electricity and CHPs_IN'!Q$22:Q$23)*K97</f>
        <v>3.0804920570212025E-5</v>
      </c>
      <c r="L129" s="1">
        <f>'[2]Electricity and CHPs_IN'!R$23/SUM('[2]Electricity and CHPs_IN'!R$22:R$23)*L97</f>
        <v>1.7857803893327844E-2</v>
      </c>
      <c r="N129" s="1"/>
    </row>
    <row r="130" spans="1:17" x14ac:dyDescent="0.35">
      <c r="A130" s="5" t="str">
        <f t="shared" si="61"/>
        <v>STEM</v>
      </c>
      <c r="B130" s="5" t="str">
        <f t="shared" si="62"/>
        <v>SPS1</v>
      </c>
      <c r="C130" s="5" t="str">
        <f t="shared" si="63"/>
        <v>CH</v>
      </c>
      <c r="D130" t="s">
        <v>799</v>
      </c>
      <c r="E130" t="str">
        <f t="shared" si="122"/>
        <v>PJ/yr.</v>
      </c>
      <c r="F130" s="1">
        <f>SUM(F131:F136)</f>
        <v>8.2845938137722523</v>
      </c>
      <c r="G130" s="1">
        <f t="shared" ref="G130:K130" si="125">SUM(G131:G136)</f>
        <v>8.9572265410345917</v>
      </c>
      <c r="H130" s="1">
        <f t="shared" si="125"/>
        <v>9.5355186438021473</v>
      </c>
      <c r="I130" s="1">
        <f t="shared" si="125"/>
        <v>8.81295438826489</v>
      </c>
      <c r="J130" s="1">
        <f t="shared" si="125"/>
        <v>8.8973177566506418</v>
      </c>
      <c r="K130" s="1">
        <f t="shared" si="125"/>
        <v>9.0724477474728644</v>
      </c>
      <c r="L130" s="1">
        <f t="shared" ref="L130" si="126">SUM(L131:L136)</f>
        <v>9.4346280590267657</v>
      </c>
      <c r="N130" s="1"/>
    </row>
    <row r="131" spans="1:17" x14ac:dyDescent="0.35">
      <c r="A131" s="5" t="str">
        <f t="shared" si="61"/>
        <v>STEM</v>
      </c>
      <c r="B131" s="5" t="str">
        <f t="shared" si="62"/>
        <v>SPS1</v>
      </c>
      <c r="C131" s="5" t="str">
        <f t="shared" si="63"/>
        <v>CH</v>
      </c>
      <c r="D131" t="s">
        <v>53</v>
      </c>
      <c r="E131" t="str">
        <f>E75</f>
        <v>PJ/yr.</v>
      </c>
      <c r="F131" s="1">
        <f>'[1]Electricity and CHPs'!B19</f>
        <v>6.5070001520524157</v>
      </c>
      <c r="G131" s="1">
        <f>'[1]Electricity and CHPs'!C19</f>
        <v>7.3027684791455458</v>
      </c>
      <c r="H131" s="1">
        <f>'[1]Electricity and CHPs'!D19</f>
        <v>8.1988180793970962</v>
      </c>
      <c r="I131" s="1">
        <f>'[1]Electricity and CHPs'!E19</f>
        <v>7.3981388411421944</v>
      </c>
      <c r="J131" s="1">
        <f>'[2]Electricity and CHPs'!F19</f>
        <v>7.4918617591238821</v>
      </c>
      <c r="K131" s="1">
        <f>'[2]Electricity and CHPs'!G19</f>
        <v>7.6680274178790357</v>
      </c>
      <c r="L131" s="1">
        <f>'[2]Electricity and CHPs'!H19</f>
        <v>8.0332780826657935</v>
      </c>
      <c r="N131" s="1"/>
    </row>
    <row r="132" spans="1:17" x14ac:dyDescent="0.35">
      <c r="A132" s="5" t="str">
        <f t="shared" si="61"/>
        <v>STEM</v>
      </c>
      <c r="B132" s="5" t="str">
        <f t="shared" si="62"/>
        <v>SPS1</v>
      </c>
      <c r="C132" s="5" t="str">
        <f t="shared" si="63"/>
        <v>CH</v>
      </c>
      <c r="D132" t="s">
        <v>52</v>
      </c>
      <c r="E132" t="str">
        <f>E131</f>
        <v>PJ/yr.</v>
      </c>
      <c r="F132" s="1">
        <f>'[1]Electricity and CHPs'!B20</f>
        <v>0</v>
      </c>
      <c r="G132" s="1">
        <f>'[1]Electricity and CHPs'!C20</f>
        <v>0</v>
      </c>
      <c r="H132" s="1">
        <f>'[1]Electricity and CHPs'!D20</f>
        <v>0</v>
      </c>
      <c r="I132" s="1">
        <f>'[1]Electricity and CHPs'!E20</f>
        <v>0</v>
      </c>
      <c r="J132" s="1">
        <f>'[2]Electricity and CHPs'!F20</f>
        <v>0</v>
      </c>
      <c r="K132" s="1">
        <f>'[2]Electricity and CHPs'!G20</f>
        <v>0</v>
      </c>
      <c r="L132" s="1">
        <f>'[2]Electricity and CHPs'!H20</f>
        <v>0</v>
      </c>
      <c r="N132" s="1"/>
    </row>
    <row r="133" spans="1:17" x14ac:dyDescent="0.35">
      <c r="A133" s="5" t="str">
        <f t="shared" si="61"/>
        <v>STEM</v>
      </c>
      <c r="B133" s="5" t="str">
        <f t="shared" si="62"/>
        <v>SPS1</v>
      </c>
      <c r="C133" s="5" t="str">
        <f t="shared" si="63"/>
        <v>CH</v>
      </c>
      <c r="D133" t="s">
        <v>51</v>
      </c>
      <c r="E133" t="str">
        <f>E152</f>
        <v>PJ/yr.</v>
      </c>
      <c r="F133" s="1">
        <f>'[1]Electricity and CHPs'!B26</f>
        <v>1.5475485809514915</v>
      </c>
      <c r="G133" s="1">
        <f>'[1]Electricity and CHPs'!C26</f>
        <v>1.4243000803949111</v>
      </c>
      <c r="H133" s="1">
        <f>'[1]Electricity and CHPs'!D26</f>
        <v>1.3364046724518277</v>
      </c>
      <c r="I133" s="1">
        <f>'[1]Electricity and CHPs'!E26</f>
        <v>1.4145516217731176</v>
      </c>
      <c r="J133" s="1">
        <f>'[2]Electricity and CHPs'!F26</f>
        <v>1.4039875528198102</v>
      </c>
      <c r="K133" s="1">
        <f>'[2]Electricity and CHPs'!G26</f>
        <v>1.4035722940731743</v>
      </c>
      <c r="L133" s="1">
        <f>'[2]Electricity and CHPs'!H26</f>
        <v>1.4010587225307682</v>
      </c>
      <c r="N133" s="1"/>
    </row>
    <row r="134" spans="1:17" x14ac:dyDescent="0.35">
      <c r="A134" s="5" t="str">
        <f t="shared" si="61"/>
        <v>STEM</v>
      </c>
      <c r="B134" s="5" t="str">
        <f t="shared" si="62"/>
        <v>SPS1</v>
      </c>
      <c r="C134" s="5" t="str">
        <f t="shared" si="63"/>
        <v>CH</v>
      </c>
      <c r="D134" t="s">
        <v>50</v>
      </c>
      <c r="E134" t="str">
        <f>E133</f>
        <v>PJ/yr.</v>
      </c>
      <c r="F134" s="1">
        <f>'[1]Electricity and CHPs'!B27</f>
        <v>0</v>
      </c>
      <c r="G134" s="1">
        <f>'[1]Electricity and CHPs'!C27</f>
        <v>0</v>
      </c>
      <c r="H134" s="1">
        <f>'[1]Electricity and CHPs'!D27</f>
        <v>0</v>
      </c>
      <c r="I134" s="1">
        <f>'[1]Electricity and CHPs'!E27</f>
        <v>0</v>
      </c>
      <c r="J134" s="1">
        <f>'[2]Electricity and CHPs'!F27</f>
        <v>0</v>
      </c>
      <c r="K134" s="1">
        <f>'[2]Electricity and CHPs'!G27</f>
        <v>0</v>
      </c>
      <c r="L134" s="1">
        <f>'[2]Electricity and CHPs'!H27</f>
        <v>0</v>
      </c>
      <c r="N134" s="1"/>
    </row>
    <row r="135" spans="1:17" x14ac:dyDescent="0.35">
      <c r="A135" s="5" t="str">
        <f t="shared" si="61"/>
        <v>STEM</v>
      </c>
      <c r="B135" s="5" t="str">
        <f t="shared" si="62"/>
        <v>SPS1</v>
      </c>
      <c r="C135" s="5" t="str">
        <f t="shared" si="63"/>
        <v>CH</v>
      </c>
      <c r="D135" t="s">
        <v>48</v>
      </c>
      <c r="E135" t="str">
        <f>E155</f>
        <v>PJ/yr.</v>
      </c>
      <c r="F135" s="1">
        <f>'[1]Electricity and CHPs'!B44</f>
        <v>0.23004508076834598</v>
      </c>
      <c r="G135" s="1">
        <f>'[1]Electricity and CHPs'!C44</f>
        <v>0.23015798149413452</v>
      </c>
      <c r="H135" s="1">
        <f>'[1]Electricity and CHPs'!D44</f>
        <v>2.958919532228629E-4</v>
      </c>
      <c r="I135" s="1">
        <f>'[1]Electricity and CHPs'!E44</f>
        <v>2.6392534957786484E-4</v>
      </c>
      <c r="J135" s="1">
        <f>'[2]Electricity and CHPs'!F44</f>
        <v>1.4684447069493606E-3</v>
      </c>
      <c r="K135" s="1">
        <f>'[2]Electricity and CHPs'!G44</f>
        <v>8.4803552065460615E-4</v>
      </c>
      <c r="L135" s="1">
        <f>'[2]Electricity and CHPs'!H44</f>
        <v>2.9125383020319585E-4</v>
      </c>
      <c r="N135" s="1"/>
    </row>
    <row r="136" spans="1:17" x14ac:dyDescent="0.35">
      <c r="A136" s="5" t="str">
        <f t="shared" si="61"/>
        <v>STEM</v>
      </c>
      <c r="B136" s="5" t="str">
        <f t="shared" si="62"/>
        <v>SPS1</v>
      </c>
      <c r="C136" s="5" t="str">
        <f t="shared" si="63"/>
        <v>CH</v>
      </c>
      <c r="D136" t="s">
        <v>49</v>
      </c>
      <c r="E136" t="str">
        <f>E135</f>
        <v>PJ/yr.</v>
      </c>
      <c r="F136" s="1">
        <f>'[1]Electricity and CHPs'!B45</f>
        <v>0</v>
      </c>
      <c r="G136" s="1">
        <f>'[1]Electricity and CHPs'!C45</f>
        <v>0</v>
      </c>
      <c r="H136" s="1">
        <f>'[1]Electricity and CHPs'!D45</f>
        <v>0</v>
      </c>
      <c r="I136" s="1">
        <f>'[1]Electricity and CHPs'!E45</f>
        <v>0</v>
      </c>
      <c r="J136" s="1">
        <f>'[2]Electricity and CHPs'!F45</f>
        <v>0</v>
      </c>
      <c r="K136" s="1">
        <f>'[2]Electricity and CHPs'!G45</f>
        <v>0</v>
      </c>
      <c r="L136" s="1">
        <f>'[2]Electricity and CHPs'!H45</f>
        <v>0</v>
      </c>
      <c r="N136" s="1"/>
    </row>
    <row r="137" spans="1:17" x14ac:dyDescent="0.35">
      <c r="A137" s="5" t="str">
        <f t="shared" si="61"/>
        <v>STEM</v>
      </c>
      <c r="B137" s="5" t="str">
        <f t="shared" si="62"/>
        <v>SPS1</v>
      </c>
      <c r="C137" s="5" t="str">
        <f t="shared" si="63"/>
        <v>CH</v>
      </c>
      <c r="D137" t="s">
        <v>89</v>
      </c>
      <c r="E137" t="str">
        <f t="shared" ref="E137:E151" si="127">E136</f>
        <v>PJ/yr.</v>
      </c>
      <c r="F137" s="1">
        <f>SUM(F138:F141)</f>
        <v>4.0272743665019535</v>
      </c>
      <c r="G137" s="1">
        <f t="shared" ref="G137:K137" si="128">SUM(G138:G141)</f>
        <v>4.3635342797702279</v>
      </c>
      <c r="H137" s="1">
        <f t="shared" si="128"/>
        <v>4.7676113759244618</v>
      </c>
      <c r="I137" s="1">
        <f t="shared" si="128"/>
        <v>4.4063452314576557</v>
      </c>
      <c r="J137" s="1">
        <f t="shared" si="128"/>
        <v>4.4479246559718462</v>
      </c>
      <c r="K137" s="1">
        <f t="shared" si="128"/>
        <v>4.535799855976105</v>
      </c>
      <c r="L137" s="1">
        <f t="shared" ref="L137" si="129">SUM(L138:L141)</f>
        <v>4.717168402598281</v>
      </c>
      <c r="M137" s="1"/>
      <c r="N137" s="1"/>
      <c r="O137" s="1"/>
      <c r="P137" s="1"/>
      <c r="Q137" s="1"/>
    </row>
    <row r="138" spans="1:17" x14ac:dyDescent="0.35">
      <c r="A138" s="5" t="str">
        <f t="shared" si="61"/>
        <v>STEM</v>
      </c>
      <c r="B138" s="5" t="str">
        <f t="shared" si="62"/>
        <v>SPS1</v>
      </c>
      <c r="C138" s="5" t="str">
        <f t="shared" si="63"/>
        <v>CH</v>
      </c>
      <c r="D138" t="s">
        <v>60</v>
      </c>
      <c r="E138" t="str">
        <f>E137</f>
        <v>PJ/yr.</v>
      </c>
      <c r="F138" s="1" cm="1">
        <f t="array" ref="F138">F131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3.2535000760262078</v>
      </c>
      <c r="G138" s="1" cm="1">
        <f t="array" ref="G138">G131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3.6513842395727725</v>
      </c>
      <c r="H138" s="1" cm="1">
        <f t="array" ref="H138">H131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4.0994090396985481</v>
      </c>
      <c r="I138" s="1" cm="1">
        <f t="array" ref="I138">I131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3.6990694205710968</v>
      </c>
      <c r="J138" s="1" cm="1">
        <f t="array" ref="J138">J131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3.7459308795619415</v>
      </c>
      <c r="K138" s="1" cm="1">
        <f t="array" ref="K138">K131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3.8340137089395179</v>
      </c>
      <c r="L138" s="1" cm="1">
        <f t="array" ref="L138">L131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4.0166390413328967</v>
      </c>
      <c r="N138" s="1"/>
    </row>
    <row r="139" spans="1:17" x14ac:dyDescent="0.35">
      <c r="A139" s="5" t="str">
        <f t="shared" si="61"/>
        <v>STEM</v>
      </c>
      <c r="B139" s="5" t="str">
        <f t="shared" si="62"/>
        <v>SPS1</v>
      </c>
      <c r="C139" s="5" t="str">
        <f t="shared" si="63"/>
        <v>CH</v>
      </c>
      <c r="D139" t="s">
        <v>61</v>
      </c>
      <c r="E139" t="str">
        <f t="shared" si="127"/>
        <v>PJ/yr.</v>
      </c>
      <c r="F139" s="1" cm="1">
        <f t="array" ref="F139">F132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9" s="1" cm="1">
        <f t="array" ref="G139">G132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9" s="1" cm="1">
        <f t="array" ref="H139">H132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9" s="1" cm="1">
        <f t="array" ref="I139">I132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9" s="1" cm="1">
        <f t="array" ref="J139">J132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39" s="1" cm="1">
        <f t="array" ref="K139">K132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</v>
      </c>
      <c r="L139" s="1" cm="1">
        <f t="array" ref="L139">L132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0</v>
      </c>
      <c r="N139" s="1"/>
    </row>
    <row r="140" spans="1:17" x14ac:dyDescent="0.35">
      <c r="A140" s="5" t="str">
        <f t="shared" si="61"/>
        <v>STEM</v>
      </c>
      <c r="B140" s="5" t="str">
        <f t="shared" si="62"/>
        <v>SPS1</v>
      </c>
      <c r="C140" s="5" t="str">
        <f t="shared" si="63"/>
        <v>CH</v>
      </c>
      <c r="D140" t="s">
        <v>62</v>
      </c>
      <c r="E140" t="str">
        <f t="shared" si="127"/>
        <v>PJ/yr.</v>
      </c>
      <c r="F140" s="1" cm="1">
        <f t="array" ref="F140">F133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0.77377429047574586</v>
      </c>
      <c r="G140" s="1" cm="1">
        <f t="array" ref="G140">G133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0.71215004019745554</v>
      </c>
      <c r="H140" s="1" cm="1">
        <f t="array" ref="H140">H133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0.66820233622591385</v>
      </c>
      <c r="I140" s="1" cm="1">
        <f t="array" ref="I140">I133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0.70727581088655878</v>
      </c>
      <c r="J140" s="1" cm="1">
        <f t="array" ref="J140">J133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0.70199377640990512</v>
      </c>
      <c r="K140" s="1" cm="1">
        <f t="array" ref="K140">K133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0.70178614703658715</v>
      </c>
      <c r="L140" s="1" cm="1">
        <f t="array" ref="L140">L133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0.70052936126538412</v>
      </c>
      <c r="N140" s="1"/>
    </row>
    <row r="141" spans="1:17" x14ac:dyDescent="0.35">
      <c r="A141" s="5" t="str">
        <f t="shared" si="61"/>
        <v>STEM</v>
      </c>
      <c r="B141" s="5" t="str">
        <f t="shared" si="62"/>
        <v>SPS1</v>
      </c>
      <c r="C141" s="5" t="str">
        <f t="shared" si="63"/>
        <v>CH</v>
      </c>
      <c r="D141" t="s">
        <v>63</v>
      </c>
      <c r="E141" t="str">
        <f t="shared" si="127"/>
        <v>PJ/yr.</v>
      </c>
      <c r="F141" s="1" cm="1">
        <f t="array" ref="F141">F134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41" s="1" cm="1">
        <f t="array" ref="G141">G134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41" s="1" cm="1">
        <f t="array" ref="H141">H134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41" s="1" cm="1">
        <f t="array" ref="I141">I134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41" s="1" cm="1">
        <f t="array" ref="J141">J134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41" s="1" cm="1">
        <f t="array" ref="K141">K134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</v>
      </c>
      <c r="L141" s="1" cm="1">
        <f t="array" ref="L141">L134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0</v>
      </c>
      <c r="N141" s="1"/>
    </row>
    <row r="142" spans="1:17" x14ac:dyDescent="0.35">
      <c r="A142" s="5" t="str">
        <f t="shared" si="61"/>
        <v>STEM</v>
      </c>
      <c r="B142" s="5" t="str">
        <f t="shared" si="62"/>
        <v>SPS1</v>
      </c>
      <c r="C142" s="5" t="str">
        <f t="shared" si="63"/>
        <v>CH</v>
      </c>
      <c r="D142" t="s">
        <v>64</v>
      </c>
      <c r="E142" t="str">
        <f t="shared" si="127"/>
        <v>PJ/yr.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N142" s="1"/>
    </row>
    <row r="143" spans="1:17" x14ac:dyDescent="0.35">
      <c r="A143" s="5" t="str">
        <f t="shared" si="61"/>
        <v>STEM</v>
      </c>
      <c r="B143" s="5" t="str">
        <f t="shared" si="62"/>
        <v>SPS1</v>
      </c>
      <c r="C143" s="5" t="str">
        <f t="shared" si="63"/>
        <v>CH</v>
      </c>
      <c r="D143" t="s">
        <v>65</v>
      </c>
      <c r="E143" t="str">
        <f t="shared" si="127"/>
        <v>PJ/yr.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N143" s="1"/>
    </row>
    <row r="144" spans="1:17" x14ac:dyDescent="0.35">
      <c r="A144" s="5" t="str">
        <f t="shared" si="61"/>
        <v>STEM</v>
      </c>
      <c r="B144" s="5" t="str">
        <f t="shared" si="62"/>
        <v>SPS1</v>
      </c>
      <c r="C144" s="5" t="str">
        <f t="shared" si="63"/>
        <v>CH</v>
      </c>
      <c r="D144" t="s">
        <v>800</v>
      </c>
      <c r="E144" t="str">
        <f>E143</f>
        <v>PJ/yr.</v>
      </c>
      <c r="F144" s="1">
        <f>SUM(F145:F150)</f>
        <v>4.2573194472702998</v>
      </c>
      <c r="G144" s="1">
        <f t="shared" ref="G144:K144" si="130">SUM(G145:G150)</f>
        <v>4.5936922612643629</v>
      </c>
      <c r="H144" s="1">
        <f t="shared" si="130"/>
        <v>4.7679072678776846</v>
      </c>
      <c r="I144" s="1">
        <f t="shared" si="130"/>
        <v>4.4066091568072343</v>
      </c>
      <c r="J144" s="1">
        <f t="shared" si="130"/>
        <v>4.4493931006787957</v>
      </c>
      <c r="K144" s="1">
        <f t="shared" si="130"/>
        <v>4.5366478914967594</v>
      </c>
      <c r="L144" s="1">
        <f t="shared" ref="L144" si="131">SUM(L145:L150)</f>
        <v>4.7174596564284839</v>
      </c>
      <c r="N144" s="1"/>
    </row>
    <row r="145" spans="1:14" x14ac:dyDescent="0.35">
      <c r="A145" s="5" t="str">
        <f t="shared" si="61"/>
        <v>STEM</v>
      </c>
      <c r="B145" s="5" t="str">
        <f t="shared" si="62"/>
        <v>SPS1</v>
      </c>
      <c r="C145" s="5" t="str">
        <f t="shared" si="63"/>
        <v>CH</v>
      </c>
      <c r="D145" t="s">
        <v>56</v>
      </c>
      <c r="E145" t="str">
        <f>E144</f>
        <v>PJ/yr.</v>
      </c>
      <c r="F145" s="1">
        <f>F131-F138</f>
        <v>3.2535000760262078</v>
      </c>
      <c r="G145" s="1">
        <f t="shared" ref="G145:K145" si="132">G131-G138</f>
        <v>3.6513842395727734</v>
      </c>
      <c r="H145" s="1">
        <f t="shared" si="132"/>
        <v>4.0994090396985481</v>
      </c>
      <c r="I145" s="1">
        <f t="shared" si="132"/>
        <v>3.6990694205710977</v>
      </c>
      <c r="J145" s="1">
        <f t="shared" si="132"/>
        <v>3.7459308795619406</v>
      </c>
      <c r="K145" s="1">
        <f t="shared" si="132"/>
        <v>3.8340137089395179</v>
      </c>
      <c r="L145" s="1">
        <f t="shared" ref="L145" si="133">L131-L138</f>
        <v>4.0166390413328967</v>
      </c>
      <c r="N145" s="1"/>
    </row>
    <row r="146" spans="1:14" x14ac:dyDescent="0.35">
      <c r="A146" s="5" t="str">
        <f t="shared" si="61"/>
        <v>STEM</v>
      </c>
      <c r="B146" s="5" t="str">
        <f t="shared" si="62"/>
        <v>SPS1</v>
      </c>
      <c r="C146" s="5" t="str">
        <f t="shared" si="63"/>
        <v>CH</v>
      </c>
      <c r="D146" t="s">
        <v>57</v>
      </c>
      <c r="E146" t="str">
        <f t="shared" si="127"/>
        <v>PJ/yr.</v>
      </c>
      <c r="F146" s="1">
        <f t="shared" ref="F146:K146" si="134">F132-F139</f>
        <v>0</v>
      </c>
      <c r="G146" s="1">
        <f t="shared" si="134"/>
        <v>0</v>
      </c>
      <c r="H146" s="1">
        <f t="shared" si="134"/>
        <v>0</v>
      </c>
      <c r="I146" s="1">
        <f t="shared" si="134"/>
        <v>0</v>
      </c>
      <c r="J146" s="1">
        <f t="shared" si="134"/>
        <v>0</v>
      </c>
      <c r="K146" s="1">
        <f t="shared" si="134"/>
        <v>0</v>
      </c>
      <c r="L146" s="1">
        <f t="shared" ref="L146" si="135">L132-L139</f>
        <v>0</v>
      </c>
      <c r="N146" s="1"/>
    </row>
    <row r="147" spans="1:14" x14ac:dyDescent="0.35">
      <c r="A147" s="5" t="str">
        <f t="shared" si="61"/>
        <v>STEM</v>
      </c>
      <c r="B147" s="5" t="str">
        <f t="shared" si="62"/>
        <v>SPS1</v>
      </c>
      <c r="C147" s="5" t="str">
        <f t="shared" si="63"/>
        <v>CH</v>
      </c>
      <c r="D147" t="s">
        <v>58</v>
      </c>
      <c r="E147" t="str">
        <f t="shared" si="127"/>
        <v>PJ/yr.</v>
      </c>
      <c r="F147" s="1">
        <f t="shared" ref="F147:K147" si="136">F133-F140</f>
        <v>0.77377429047574564</v>
      </c>
      <c r="G147" s="1">
        <f t="shared" si="136"/>
        <v>0.71215004019745554</v>
      </c>
      <c r="H147" s="1">
        <f t="shared" si="136"/>
        <v>0.66820233622591385</v>
      </c>
      <c r="I147" s="1">
        <f t="shared" si="136"/>
        <v>0.70727581088655878</v>
      </c>
      <c r="J147" s="1">
        <f t="shared" si="136"/>
        <v>0.70199377640990512</v>
      </c>
      <c r="K147" s="1">
        <f t="shared" si="136"/>
        <v>0.70178614703658715</v>
      </c>
      <c r="L147" s="1">
        <f t="shared" ref="L147" si="137">L133-L140</f>
        <v>0.70052936126538412</v>
      </c>
      <c r="N147" s="1"/>
    </row>
    <row r="148" spans="1:14" x14ac:dyDescent="0.35">
      <c r="A148" s="5" t="str">
        <f t="shared" si="61"/>
        <v>STEM</v>
      </c>
      <c r="B148" s="5" t="str">
        <f t="shared" si="62"/>
        <v>SPS1</v>
      </c>
      <c r="C148" s="5" t="str">
        <f t="shared" si="63"/>
        <v>CH</v>
      </c>
      <c r="D148" t="s">
        <v>59</v>
      </c>
      <c r="E148" t="str">
        <f t="shared" si="127"/>
        <v>PJ/yr.</v>
      </c>
      <c r="F148" s="1">
        <f t="shared" ref="F148:K148" si="138">F134-F141</f>
        <v>0</v>
      </c>
      <c r="G148" s="1">
        <f t="shared" si="138"/>
        <v>0</v>
      </c>
      <c r="H148" s="1">
        <f t="shared" si="138"/>
        <v>0</v>
      </c>
      <c r="I148" s="1">
        <f t="shared" si="138"/>
        <v>0</v>
      </c>
      <c r="J148" s="1">
        <f t="shared" si="138"/>
        <v>0</v>
      </c>
      <c r="K148" s="1">
        <f t="shared" si="138"/>
        <v>0</v>
      </c>
      <c r="L148" s="1">
        <f t="shared" ref="L148" si="139">L134-L141</f>
        <v>0</v>
      </c>
      <c r="N148" s="1"/>
    </row>
    <row r="149" spans="1:14" x14ac:dyDescent="0.35">
      <c r="A149" s="5" t="str">
        <f t="shared" si="61"/>
        <v>STEM</v>
      </c>
      <c r="B149" s="5" t="str">
        <f t="shared" si="62"/>
        <v>SPS1</v>
      </c>
      <c r="C149" s="5" t="str">
        <f t="shared" si="63"/>
        <v>CH</v>
      </c>
      <c r="D149" t="s">
        <v>54</v>
      </c>
      <c r="E149" t="str">
        <f t="shared" si="127"/>
        <v>PJ/yr.</v>
      </c>
      <c r="F149" s="1">
        <f t="shared" ref="F149:K149" si="140">F135-F142</f>
        <v>0.23004508076834598</v>
      </c>
      <c r="G149" s="1">
        <f t="shared" si="140"/>
        <v>0.23015798149413452</v>
      </c>
      <c r="H149" s="1">
        <f t="shared" si="140"/>
        <v>2.958919532228629E-4</v>
      </c>
      <c r="I149" s="1">
        <f t="shared" si="140"/>
        <v>2.6392534957786484E-4</v>
      </c>
      <c r="J149" s="1">
        <f t="shared" si="140"/>
        <v>1.4684447069493606E-3</v>
      </c>
      <c r="K149" s="1">
        <f t="shared" si="140"/>
        <v>8.4803552065460615E-4</v>
      </c>
      <c r="L149" s="1">
        <f t="shared" ref="L149" si="141">L135-L142</f>
        <v>2.9125383020319585E-4</v>
      </c>
      <c r="N149" s="1"/>
    </row>
    <row r="150" spans="1:14" x14ac:dyDescent="0.35">
      <c r="A150" s="5" t="str">
        <f t="shared" ref="A150:A181" si="142">A149</f>
        <v>STEM</v>
      </c>
      <c r="B150" s="5" t="str">
        <f t="shared" ref="B150:B181" si="143">B149</f>
        <v>SPS1</v>
      </c>
      <c r="C150" s="5" t="str">
        <f t="shared" ref="C150:C181" si="144">C149</f>
        <v>CH</v>
      </c>
      <c r="D150" t="s">
        <v>55</v>
      </c>
      <c r="E150" t="str">
        <f t="shared" si="127"/>
        <v>PJ/yr.</v>
      </c>
      <c r="F150" s="1">
        <f t="shared" ref="F150:K150" si="145">F136-F143</f>
        <v>0</v>
      </c>
      <c r="G150" s="1">
        <f t="shared" si="145"/>
        <v>0</v>
      </c>
      <c r="H150" s="1">
        <f t="shared" si="145"/>
        <v>0</v>
      </c>
      <c r="I150" s="1">
        <f t="shared" si="145"/>
        <v>0</v>
      </c>
      <c r="J150" s="1">
        <f t="shared" si="145"/>
        <v>0</v>
      </c>
      <c r="K150" s="1">
        <f t="shared" si="145"/>
        <v>0</v>
      </c>
      <c r="L150" s="1">
        <f t="shared" ref="L150" si="146">L136-L143</f>
        <v>0</v>
      </c>
      <c r="N150" s="1"/>
    </row>
    <row r="151" spans="1:14" x14ac:dyDescent="0.35">
      <c r="A151" s="5" t="str">
        <f t="shared" si="142"/>
        <v>STEM</v>
      </c>
      <c r="B151" s="5" t="str">
        <f t="shared" si="143"/>
        <v>SPS1</v>
      </c>
      <c r="C151" s="5" t="str">
        <f t="shared" si="144"/>
        <v>CH</v>
      </c>
      <c r="D151" t="s">
        <v>801</v>
      </c>
      <c r="E151" t="str">
        <f t="shared" si="127"/>
        <v>PJ/yr.</v>
      </c>
      <c r="F151" s="1">
        <f>SUM(F152:F158)</f>
        <v>0.52924920450747637</v>
      </c>
      <c r="G151" s="1">
        <f t="shared" ref="G151:K151" si="147">SUM(G152:G158)</f>
        <v>0.52924598682194857</v>
      </c>
      <c r="H151" s="1">
        <f t="shared" si="147"/>
        <v>1.2711650197590809</v>
      </c>
      <c r="I151" s="1">
        <f t="shared" si="147"/>
        <v>2.6712838783445259</v>
      </c>
      <c r="J151" s="1">
        <f t="shared" si="147"/>
        <v>3.3315059480674201</v>
      </c>
      <c r="K151" s="1">
        <f t="shared" si="147"/>
        <v>4.542249855569036</v>
      </c>
      <c r="L151" s="1">
        <f t="shared" ref="L151" si="148">SUM(L152:L158)</f>
        <v>5.8867308813108323</v>
      </c>
      <c r="N151" s="1"/>
    </row>
    <row r="152" spans="1:14" x14ac:dyDescent="0.35">
      <c r="A152" s="5" t="str">
        <f t="shared" si="142"/>
        <v>STEM</v>
      </c>
      <c r="B152" s="5" t="str">
        <f t="shared" si="143"/>
        <v>SPS1</v>
      </c>
      <c r="C152" s="5" t="str">
        <f t="shared" si="144"/>
        <v>CH</v>
      </c>
      <c r="D152" t="s">
        <v>66</v>
      </c>
      <c r="E152" t="str">
        <f>E86</f>
        <v>PJ/yr.</v>
      </c>
      <c r="F152" s="1">
        <f>'[1]Electricity and CHPs'!B25</f>
        <v>0.35678446084797527</v>
      </c>
      <c r="G152" s="1">
        <f>'[1]Electricity and CHPs'!C25</f>
        <v>7.0788979913009337E-2</v>
      </c>
      <c r="H152" s="1">
        <f>'[1]Electricity and CHPs'!D25</f>
        <v>1.5026042914924159E-2</v>
      </c>
      <c r="I152" s="1">
        <f>'[1]Electricity and CHPs'!E25</f>
        <v>1.0672528061508546</v>
      </c>
      <c r="J152" s="1">
        <f>'[2]Electricity and CHPs'!F25</f>
        <v>1.0857486645438525</v>
      </c>
      <c r="K152" s="1">
        <f>'[2]Electricity and CHPs'!G25</f>
        <v>1.05600938343544</v>
      </c>
      <c r="L152" s="1">
        <f>'[2]Electricity and CHPs'!H25</f>
        <v>1.9680874845303147</v>
      </c>
      <c r="N152" s="1"/>
    </row>
    <row r="153" spans="1:14" x14ac:dyDescent="0.35">
      <c r="A153" s="5" t="str">
        <f t="shared" si="142"/>
        <v>STEM</v>
      </c>
      <c r="B153" s="5" t="str">
        <f t="shared" si="143"/>
        <v>SPS1</v>
      </c>
      <c r="C153" s="5" t="str">
        <f t="shared" si="144"/>
        <v>CH</v>
      </c>
      <c r="D153" t="s">
        <v>67</v>
      </c>
      <c r="E153" t="str">
        <f>E170</f>
        <v>PJ/yr.</v>
      </c>
      <c r="F153" s="1">
        <f>'[1]Electricity and CHPs'!B31</f>
        <v>0</v>
      </c>
      <c r="G153" s="1">
        <f>'[1]Electricity and CHPs'!C31</f>
        <v>0</v>
      </c>
      <c r="H153" s="1">
        <f>'[1]Electricity and CHPs'!D31</f>
        <v>0</v>
      </c>
      <c r="I153" s="1">
        <f>'[1]Electricity and CHPs'!E31</f>
        <v>0</v>
      </c>
      <c r="J153" s="1">
        <f>'[2]Electricity and CHPs'!F31</f>
        <v>0</v>
      </c>
      <c r="K153" s="1">
        <f>'[2]Electricity and CHPs'!G31</f>
        <v>0</v>
      </c>
      <c r="L153" s="1">
        <f>'[2]Electricity and CHPs'!H31</f>
        <v>0</v>
      </c>
      <c r="N153" s="1"/>
    </row>
    <row r="154" spans="1:14" x14ac:dyDescent="0.35">
      <c r="A154" s="5" t="str">
        <f t="shared" si="142"/>
        <v>STEM</v>
      </c>
      <c r="B154" s="5" t="str">
        <f t="shared" si="143"/>
        <v>SPS1</v>
      </c>
      <c r="C154" s="5" t="str">
        <f t="shared" si="144"/>
        <v>CH</v>
      </c>
      <c r="D154" t="s">
        <v>68</v>
      </c>
      <c r="E154" t="str">
        <f>E77</f>
        <v>PJ/yr.</v>
      </c>
      <c r="F154" s="1">
        <f>'[1]Electricity and CHPs'!B42</f>
        <v>0.17246474365950104</v>
      </c>
      <c r="G154" s="1">
        <f>'[1]Electricity and CHPs'!C42</f>
        <v>0.4584570069089392</v>
      </c>
      <c r="H154" s="1">
        <f>'[1]Electricity and CHPs'!D42</f>
        <v>1.2561389768441567</v>
      </c>
      <c r="I154" s="1">
        <f>'[1]Electricity and CHPs'!E42</f>
        <v>1.604031072193671</v>
      </c>
      <c r="J154" s="1">
        <f>'[2]Electricity and CHPs'!F42</f>
        <v>2.2410189907611899</v>
      </c>
      <c r="K154" s="1">
        <f>'[2]Electricity and CHPs'!G42</f>
        <v>3.4828551476222125</v>
      </c>
      <c r="L154" s="1">
        <f>'[2]Electricity and CHPs'!H42</f>
        <v>3.9167568273605533</v>
      </c>
      <c r="N154" s="1"/>
    </row>
    <row r="155" spans="1:14" x14ac:dyDescent="0.35">
      <c r="A155" s="5" t="str">
        <f t="shared" si="142"/>
        <v>STEM</v>
      </c>
      <c r="B155" s="5" t="str">
        <f t="shared" si="143"/>
        <v>SPS1</v>
      </c>
      <c r="C155" s="5" t="str">
        <f t="shared" si="144"/>
        <v>CH</v>
      </c>
      <c r="D155" t="s">
        <v>69</v>
      </c>
      <c r="E155" t="str">
        <f>E154</f>
        <v>PJ/yr.</v>
      </c>
      <c r="F155" s="1">
        <f>'[1]Electricity and CHPs'!B43</f>
        <v>0</v>
      </c>
      <c r="G155" s="1">
        <f>'[1]Electricity and CHPs'!C43</f>
        <v>0</v>
      </c>
      <c r="H155" s="1">
        <f>'[1]Electricity and CHPs'!D43</f>
        <v>0</v>
      </c>
      <c r="I155" s="1">
        <f>'[1]Electricity and CHPs'!E43</f>
        <v>0</v>
      </c>
      <c r="J155" s="1">
        <f>'[2]Electricity and CHPs'!F43</f>
        <v>0</v>
      </c>
      <c r="K155" s="1">
        <f>'[2]Electricity and CHPs'!G43</f>
        <v>0</v>
      </c>
      <c r="L155" s="1">
        <f>'[2]Electricity and CHPs'!H43</f>
        <v>0</v>
      </c>
      <c r="N155" s="1"/>
    </row>
    <row r="156" spans="1:14" x14ac:dyDescent="0.35">
      <c r="A156" s="5" t="str">
        <f t="shared" si="142"/>
        <v>STEM</v>
      </c>
      <c r="B156" s="5" t="str">
        <f t="shared" si="143"/>
        <v>SPS1</v>
      </c>
      <c r="C156" s="5" t="str">
        <f t="shared" si="144"/>
        <v>CH</v>
      </c>
      <c r="D156" t="s">
        <v>70</v>
      </c>
      <c r="E156" t="str">
        <f>E92</f>
        <v>PJ/yr.</v>
      </c>
      <c r="F156" s="1">
        <f>'[1]Electricity and CHPs'!B50</f>
        <v>0</v>
      </c>
      <c r="G156" s="1">
        <f>'[1]Electricity and CHPs'!C50</f>
        <v>0</v>
      </c>
      <c r="H156" s="1">
        <f>'[1]Electricity and CHPs'!D50</f>
        <v>0</v>
      </c>
      <c r="I156" s="1">
        <f>'[1]Electricity and CHPs'!E50</f>
        <v>0</v>
      </c>
      <c r="J156" s="1">
        <f>'[2]Electricity and CHPs'!F50</f>
        <v>1.1963284076038413E-3</v>
      </c>
      <c r="K156" s="1">
        <f>'[2]Electricity and CHPs'!G50</f>
        <v>9.4889386525571942E-4</v>
      </c>
      <c r="L156" s="1">
        <f>'[2]Electricity and CHPs'!H50</f>
        <v>5.7699282211626127E-4</v>
      </c>
      <c r="N156" s="1"/>
    </row>
    <row r="157" spans="1:14" x14ac:dyDescent="0.35">
      <c r="A157" s="5" t="str">
        <f t="shared" si="142"/>
        <v>STEM</v>
      </c>
      <c r="B157" s="5" t="str">
        <f t="shared" si="143"/>
        <v>SPS1</v>
      </c>
      <c r="C157" s="5" t="str">
        <f t="shared" si="144"/>
        <v>CH</v>
      </c>
      <c r="D157" t="s">
        <v>71</v>
      </c>
      <c r="E157" t="str">
        <f>E94</f>
        <v>PJ/yr.</v>
      </c>
      <c r="F157" s="1">
        <f>'[1]Electricity and CHPs'!B53</f>
        <v>0</v>
      </c>
      <c r="G157" s="1">
        <f>'[1]Electricity and CHPs'!C53</f>
        <v>0</v>
      </c>
      <c r="H157" s="1">
        <f>'[1]Electricity and CHPs'!D53</f>
        <v>0</v>
      </c>
      <c r="I157" s="1">
        <f>'[1]Electricity and CHPs'!E53</f>
        <v>0</v>
      </c>
      <c r="J157" s="1">
        <f>'[2]Electricity and CHPs'!F53</f>
        <v>2.2924800569336353E-3</v>
      </c>
      <c r="K157" s="1">
        <f>'[2]Electricity and CHPs'!G53</f>
        <v>1.4640395771277855E-3</v>
      </c>
      <c r="L157" s="1">
        <f>'[2]Electricity and CHPs'!H53</f>
        <v>9.6684264432746821E-4</v>
      </c>
      <c r="N157" s="1"/>
    </row>
    <row r="158" spans="1:14" x14ac:dyDescent="0.35">
      <c r="A158" s="5" t="str">
        <f t="shared" si="142"/>
        <v>STEM</v>
      </c>
      <c r="B158" s="5" t="str">
        <f t="shared" si="143"/>
        <v>SPS1</v>
      </c>
      <c r="C158" s="5" t="str">
        <f t="shared" si="144"/>
        <v>CH</v>
      </c>
      <c r="D158" t="s">
        <v>295</v>
      </c>
      <c r="E158" t="str">
        <f>E96</f>
        <v>PJ/yr.</v>
      </c>
      <c r="F158" s="1">
        <f>'[1]Electricity and CHPs'!B56</f>
        <v>0</v>
      </c>
      <c r="G158" s="1">
        <f>'[1]Electricity and CHPs'!C56</f>
        <v>0</v>
      </c>
      <c r="H158" s="1">
        <f>'[1]Electricity and CHPs'!D56</f>
        <v>0</v>
      </c>
      <c r="I158" s="1">
        <f>'[1]Electricity and CHPs'!E56</f>
        <v>0</v>
      </c>
      <c r="J158" s="1">
        <f>'[2]Electricity and CHPs'!F56</f>
        <v>1.24948429783998E-3</v>
      </c>
      <c r="K158" s="1">
        <f>'[2]Electricity and CHPs'!G56</f>
        <v>9.7239106900041884E-4</v>
      </c>
      <c r="L158" s="1">
        <f>'[2]Electricity and CHPs'!H56</f>
        <v>3.4273395351983168E-4</v>
      </c>
      <c r="N158" s="1"/>
    </row>
    <row r="159" spans="1:14" x14ac:dyDescent="0.35">
      <c r="A159" s="5" t="str">
        <f t="shared" si="142"/>
        <v>STEM</v>
      </c>
      <c r="B159" s="5" t="str">
        <f t="shared" si="143"/>
        <v>SPS1</v>
      </c>
      <c r="C159" s="5" t="str">
        <f t="shared" si="144"/>
        <v>CH</v>
      </c>
      <c r="D159" t="s">
        <v>802</v>
      </c>
      <c r="E159" t="str">
        <f>E97</f>
        <v>PJ/yr.</v>
      </c>
      <c r="F159" s="1">
        <f>F160</f>
        <v>0.52400000000000047</v>
      </c>
      <c r="G159" s="1">
        <f t="shared" ref="G159:L159" si="149">G160</f>
        <v>0.54529210298713582</v>
      </c>
      <c r="H159" s="1">
        <f t="shared" si="149"/>
        <v>0.50316470132068525</v>
      </c>
      <c r="I159" s="1">
        <f t="shared" si="149"/>
        <v>2.0502622389415159</v>
      </c>
      <c r="J159" s="1">
        <f t="shared" si="149"/>
        <v>0.93820609161671309</v>
      </c>
      <c r="K159" s="1">
        <f t="shared" si="149"/>
        <v>0.9382219448306599</v>
      </c>
      <c r="L159" s="1">
        <f t="shared" si="149"/>
        <v>0.93859680267837819</v>
      </c>
      <c r="N159" s="1"/>
    </row>
    <row r="160" spans="1:14" x14ac:dyDescent="0.35">
      <c r="A160" s="5" t="str">
        <f t="shared" si="142"/>
        <v>STEM</v>
      </c>
      <c r="B160" s="5" t="str">
        <f t="shared" si="143"/>
        <v>SPS1</v>
      </c>
      <c r="C160" s="5" t="str">
        <f t="shared" si="144"/>
        <v>CH</v>
      </c>
      <c r="D160" t="s">
        <v>72</v>
      </c>
      <c r="E160" t="str">
        <f>E167</f>
        <v>PJ/yr.</v>
      </c>
      <c r="F160" s="1">
        <f>'[1]Electricity and CHPs'!B33</f>
        <v>0.52400000000000047</v>
      </c>
      <c r="G160" s="1">
        <f>'[1]Electricity and CHPs'!C33</f>
        <v>0.54529210298713582</v>
      </c>
      <c r="H160" s="1">
        <f>'[1]Electricity and CHPs'!D33</f>
        <v>0.50316470132068525</v>
      </c>
      <c r="I160" s="1">
        <f>'[1]Electricity and CHPs'!E33</f>
        <v>2.0502622389415159</v>
      </c>
      <c r="J160" s="1">
        <f>'[2]Electricity and CHPs'!F33</f>
        <v>0.93820609161671309</v>
      </c>
      <c r="K160" s="1">
        <f>'[2]Electricity and CHPs'!G33</f>
        <v>0.9382219448306599</v>
      </c>
      <c r="L160" s="1">
        <f>'[2]Electricity and CHPs'!H33</f>
        <v>0.93859680267837819</v>
      </c>
      <c r="N160" s="1"/>
    </row>
    <row r="161" spans="1:14" x14ac:dyDescent="0.35">
      <c r="A161" s="5" t="str">
        <f t="shared" si="142"/>
        <v>STEM</v>
      </c>
      <c r="B161" s="5" t="str">
        <f t="shared" si="143"/>
        <v>SPS1</v>
      </c>
      <c r="C161" s="5" t="str">
        <f t="shared" si="144"/>
        <v>CH</v>
      </c>
      <c r="D161" t="s">
        <v>803</v>
      </c>
      <c r="E161" t="str">
        <f>E171</f>
        <v>PJ/yr.</v>
      </c>
      <c r="F161" s="1">
        <f>SUM(F162:F166)</f>
        <v>9.3550000000000111</v>
      </c>
      <c r="G161" s="1">
        <f t="shared" ref="G161:K161" si="150">SUM(G162:G166)</f>
        <v>12.821350215597745</v>
      </c>
      <c r="H161" s="1">
        <f t="shared" si="150"/>
        <v>28.80000326476668</v>
      </c>
      <c r="I161" s="1">
        <f t="shared" si="150"/>
        <v>38.961031099395207</v>
      </c>
      <c r="J161" s="1">
        <f t="shared" si="150"/>
        <v>40.739993916703696</v>
      </c>
      <c r="K161" s="1">
        <f t="shared" si="150"/>
        <v>50.268347935970368</v>
      </c>
      <c r="L161" s="1">
        <f t="shared" ref="L161" si="151">SUM(L162:L166)</f>
        <v>67.594551387136789</v>
      </c>
      <c r="N161" s="1"/>
    </row>
    <row r="162" spans="1:14" x14ac:dyDescent="0.35">
      <c r="A162" s="5" t="str">
        <f t="shared" si="142"/>
        <v>STEM</v>
      </c>
      <c r="B162" s="5" t="str">
        <f t="shared" si="143"/>
        <v>SPS1</v>
      </c>
      <c r="C162" s="5" t="str">
        <f t="shared" si="144"/>
        <v>CH</v>
      </c>
      <c r="D162" t="s">
        <v>73</v>
      </c>
      <c r="E162" t="str">
        <f>E160</f>
        <v>PJ/yr.</v>
      </c>
      <c r="F162" s="1">
        <f>'[1]Electricity and CHPs'!B34</f>
        <v>0</v>
      </c>
      <c r="G162" s="1">
        <f>'[1]Electricity and CHPs'!C34</f>
        <v>0</v>
      </c>
      <c r="H162" s="1">
        <f>'[1]Electricity and CHPs'!D34</f>
        <v>0.14080626641931424</v>
      </c>
      <c r="I162" s="1">
        <f>'[1]Electricity and CHPs'!E34</f>
        <v>0.57934225734925171</v>
      </c>
      <c r="J162" s="1">
        <f>'[2]Electricity and CHPs'!F34</f>
        <v>0.74388538144217486</v>
      </c>
      <c r="K162" s="1">
        <f>'[2]Electricity and CHPs'!G34</f>
        <v>1.9123462178523085</v>
      </c>
      <c r="L162" s="1">
        <f>'[2]Electricity and CHPs'!H34</f>
        <v>14.071412094280996</v>
      </c>
      <c r="N162" s="1"/>
    </row>
    <row r="163" spans="1:14" x14ac:dyDescent="0.35">
      <c r="A163" s="5" t="str">
        <f t="shared" si="142"/>
        <v>STEM</v>
      </c>
      <c r="B163" s="5" t="str">
        <f t="shared" si="143"/>
        <v>SPS1</v>
      </c>
      <c r="C163" s="5" t="str">
        <f t="shared" si="144"/>
        <v>CH</v>
      </c>
      <c r="D163" t="s">
        <v>74</v>
      </c>
      <c r="E163" t="str">
        <f>E162</f>
        <v>PJ/yr.</v>
      </c>
      <c r="F163" s="1">
        <f>'[1]Electricity and CHPs'!B35</f>
        <v>3.517953999707534</v>
      </c>
      <c r="G163" s="1">
        <f>'[1]Electricity and CHPs'!C35</f>
        <v>4.8486222706482938</v>
      </c>
      <c r="H163" s="1">
        <f>'[1]Electricity and CHPs'!D35</f>
        <v>11.161492733716585</v>
      </c>
      <c r="I163" s="1">
        <f>'[1]Electricity and CHPs'!E35</f>
        <v>19.477109007315924</v>
      </c>
      <c r="J163" s="1">
        <f>'[2]Electricity and CHPs'!F35</f>
        <v>20.08180433791442</v>
      </c>
      <c r="K163" s="1">
        <f>'[2]Electricity and CHPs'!G35</f>
        <v>27.377685036436606</v>
      </c>
      <c r="L163" s="1">
        <f>'[2]Electricity and CHPs'!H35</f>
        <v>30.242000072569606</v>
      </c>
      <c r="N163" s="1"/>
    </row>
    <row r="164" spans="1:14" x14ac:dyDescent="0.35">
      <c r="A164" s="5" t="str">
        <f t="shared" si="142"/>
        <v>STEM</v>
      </c>
      <c r="B164" s="5" t="str">
        <f t="shared" si="143"/>
        <v>SPS1</v>
      </c>
      <c r="C164" s="5" t="str">
        <f t="shared" si="144"/>
        <v>CH</v>
      </c>
      <c r="D164" t="s">
        <v>75</v>
      </c>
      <c r="E164" t="str">
        <f>E163</f>
        <v>PJ/yr.</v>
      </c>
      <c r="F164" s="1">
        <f>'[1]Electricity and CHPs'!B36</f>
        <v>2.1349390887346629</v>
      </c>
      <c r="G164" s="1">
        <f>'[1]Electricity and CHPs'!C36</f>
        <v>3.3906769249173712</v>
      </c>
      <c r="H164" s="1">
        <f>'[1]Electricity and CHPs'!D36</f>
        <v>4.0409717607174107</v>
      </c>
      <c r="I164" s="1">
        <f>'[1]Electricity and CHPs'!E36</f>
        <v>4.3446264915594917</v>
      </c>
      <c r="J164" s="1">
        <f>'[2]Electricity and CHPs'!F36</f>
        <v>4.6125010467243017</v>
      </c>
      <c r="K164" s="1">
        <f>'[2]Electricity and CHPs'!G36</f>
        <v>4.8959606453910061</v>
      </c>
      <c r="L164" s="1">
        <f>'[2]Electricity and CHPs'!H36</f>
        <v>5.5162078620712576</v>
      </c>
      <c r="N164" s="1"/>
    </row>
    <row r="165" spans="1:14" x14ac:dyDescent="0.35">
      <c r="A165" s="5" t="str">
        <f t="shared" si="142"/>
        <v>STEM</v>
      </c>
      <c r="B165" s="5" t="str">
        <f t="shared" si="143"/>
        <v>SPS1</v>
      </c>
      <c r="C165" s="5" t="str">
        <f t="shared" si="144"/>
        <v>CH</v>
      </c>
      <c r="D165" t="s">
        <v>76</v>
      </c>
      <c r="E165" t="str">
        <f>E164</f>
        <v>PJ/yr.</v>
      </c>
      <c r="F165" s="1">
        <f>'[1]Electricity and CHPs'!B37</f>
        <v>0.86248322578584768</v>
      </c>
      <c r="G165" s="1">
        <f>'[1]Electricity and CHPs'!C37</f>
        <v>1.2875959332939062</v>
      </c>
      <c r="H165" s="1">
        <f>'[1]Electricity and CHPs'!D37</f>
        <v>3.4901269439935434</v>
      </c>
      <c r="I165" s="1">
        <f>'[1]Electricity and CHPs'!E37</f>
        <v>3.822219782981545</v>
      </c>
      <c r="J165" s="1">
        <f>'[2]Electricity and CHPs'!F37</f>
        <v>4.0163360724323276</v>
      </c>
      <c r="K165" s="1">
        <f>'[2]Electricity and CHPs'!G37</f>
        <v>4.2212127056799451</v>
      </c>
      <c r="L165" s="1">
        <f>'[2]Electricity and CHPs'!H37</f>
        <v>4.6628477422086343</v>
      </c>
      <c r="N165" s="1"/>
    </row>
    <row r="166" spans="1:14" x14ac:dyDescent="0.35">
      <c r="A166" s="5" t="str">
        <f t="shared" si="142"/>
        <v>STEM</v>
      </c>
      <c r="B166" s="5" t="str">
        <f t="shared" si="143"/>
        <v>SPS1</v>
      </c>
      <c r="C166" s="5" t="str">
        <f t="shared" si="144"/>
        <v>CH</v>
      </c>
      <c r="D166" t="s">
        <v>86</v>
      </c>
      <c r="E166" t="str">
        <f>E165</f>
        <v>PJ/yr.</v>
      </c>
      <c r="F166" s="1">
        <f>'[1]Electricity and CHPs'!B38</f>
        <v>2.8396236857719668</v>
      </c>
      <c r="G166" s="1">
        <f>'[1]Electricity and CHPs'!C38</f>
        <v>3.2944550867381746</v>
      </c>
      <c r="H166" s="1">
        <f>'[1]Electricity and CHPs'!D38</f>
        <v>9.966605559919822</v>
      </c>
      <c r="I166" s="1">
        <f>'[1]Electricity and CHPs'!E38</f>
        <v>10.737733560188992</v>
      </c>
      <c r="J166" s="1">
        <f>'[2]Electricity and CHPs'!F38</f>
        <v>11.285467078190468</v>
      </c>
      <c r="K166" s="1">
        <f>'[2]Electricity and CHPs'!G38</f>
        <v>11.861143330610505</v>
      </c>
      <c r="L166" s="1">
        <f>'[2]Electricity and CHPs'!H38</f>
        <v>13.102083616006292</v>
      </c>
      <c r="N166" s="1"/>
    </row>
    <row r="167" spans="1:14" x14ac:dyDescent="0.35">
      <c r="A167" s="5" t="str">
        <f>A170</f>
        <v>STEM</v>
      </c>
      <c r="B167" s="5" t="str">
        <f>B170</f>
        <v>SPS1</v>
      </c>
      <c r="C167" s="5" t="str">
        <f>C170</f>
        <v>CH</v>
      </c>
      <c r="D167" t="s">
        <v>804</v>
      </c>
      <c r="E167" t="str">
        <f>E153</f>
        <v>PJ/yr.</v>
      </c>
      <c r="F167" s="1">
        <f>'[1]Electricity and CHPs'!B32</f>
        <v>0</v>
      </c>
      <c r="G167" s="1">
        <f>'[1]Electricity and CHPs'!C32</f>
        <v>0</v>
      </c>
      <c r="H167" s="1">
        <f>'[1]Electricity and CHPs'!D32</f>
        <v>0</v>
      </c>
      <c r="I167" s="1">
        <f>'[1]Electricity and CHPs'!E32</f>
        <v>0</v>
      </c>
      <c r="J167" s="1">
        <f>'[2]Electricity and CHPs'!F32</f>
        <v>0</v>
      </c>
      <c r="K167" s="1">
        <f>'[2]Electricity and CHPs'!G32</f>
        <v>2.4993093027214312E-3</v>
      </c>
      <c r="L167" s="1">
        <f>'[2]Electricity and CHPs'!H32</f>
        <v>1.5970244263781477E-2</v>
      </c>
      <c r="N167" s="1"/>
    </row>
    <row r="168" spans="1:14" x14ac:dyDescent="0.35">
      <c r="A168" s="5" t="str">
        <f t="shared" ref="A168" si="152">A167</f>
        <v>STEM</v>
      </c>
      <c r="B168" s="5" t="str">
        <f t="shared" ref="B168" si="153">B167</f>
        <v>SPS1</v>
      </c>
      <c r="C168" s="5" t="str">
        <f t="shared" ref="C168" si="154">C167</f>
        <v>CH</v>
      </c>
      <c r="D168" t="s">
        <v>90</v>
      </c>
      <c r="E168" t="str">
        <f>E154</f>
        <v>PJ/yr.</v>
      </c>
      <c r="F168" s="1">
        <f>F167</f>
        <v>0</v>
      </c>
      <c r="G168" s="1">
        <f t="shared" ref="G168:K168" si="155">G167</f>
        <v>0</v>
      </c>
      <c r="H168" s="1">
        <f t="shared" si="155"/>
        <v>0</v>
      </c>
      <c r="I168" s="1">
        <f t="shared" si="155"/>
        <v>0</v>
      </c>
      <c r="J168" s="1">
        <f t="shared" si="155"/>
        <v>0</v>
      </c>
      <c r="K168" s="1">
        <f t="shared" si="155"/>
        <v>2.4993093027214312E-3</v>
      </c>
      <c r="L168" s="1">
        <f t="shared" ref="L168" si="156">L167</f>
        <v>1.5970244263781477E-2</v>
      </c>
      <c r="N168" s="1"/>
    </row>
    <row r="169" spans="1:14" x14ac:dyDescent="0.35">
      <c r="A169" s="5" t="str">
        <f>A166</f>
        <v>STEM</v>
      </c>
      <c r="B169" s="5" t="str">
        <f>B166</f>
        <v>SPS1</v>
      </c>
      <c r="C169" s="5" t="str">
        <f>C166</f>
        <v>CH</v>
      </c>
      <c r="D169" t="s">
        <v>805</v>
      </c>
      <c r="E169" t="str">
        <f>E166</f>
        <v>PJ/yr.</v>
      </c>
      <c r="F169" s="1">
        <f t="shared" ref="F169:K169" si="157">SUM(F170:F172)</f>
        <v>0</v>
      </c>
      <c r="G169" s="1">
        <f t="shared" si="157"/>
        <v>0</v>
      </c>
      <c r="H169" s="1">
        <f t="shared" si="157"/>
        <v>0</v>
      </c>
      <c r="I169" s="1">
        <f t="shared" si="157"/>
        <v>0</v>
      </c>
      <c r="J169" s="1">
        <f t="shared" si="157"/>
        <v>0</v>
      </c>
      <c r="K169" s="1">
        <f t="shared" si="157"/>
        <v>0</v>
      </c>
      <c r="L169" s="1">
        <f t="shared" ref="L169" si="158">SUM(L170:L172)</f>
        <v>0</v>
      </c>
      <c r="N169" s="1"/>
    </row>
    <row r="170" spans="1:14" x14ac:dyDescent="0.35">
      <c r="A170" s="5" t="str">
        <f t="shared" si="142"/>
        <v>STEM</v>
      </c>
      <c r="B170" s="5" t="str">
        <f t="shared" si="143"/>
        <v>SPS1</v>
      </c>
      <c r="C170" s="5" t="str">
        <f t="shared" si="144"/>
        <v>CH</v>
      </c>
      <c r="D170" t="s">
        <v>77</v>
      </c>
      <c r="E170" t="str">
        <f>E87</f>
        <v>PJ/yr.</v>
      </c>
      <c r="F170" s="1">
        <f>'[1]Electricity and CHPs'!B30</f>
        <v>0</v>
      </c>
      <c r="G170" s="1">
        <f>'[1]Electricity and CHPs'!C30</f>
        <v>0</v>
      </c>
      <c r="H170" s="1">
        <f>'[1]Electricity and CHPs'!D30</f>
        <v>0</v>
      </c>
      <c r="I170" s="1">
        <f>'[1]Electricity and CHPs'!E30</f>
        <v>0</v>
      </c>
      <c r="J170" s="1">
        <f>'[2]Electricity and CHPs'!F30</f>
        <v>0</v>
      </c>
      <c r="K170" s="1">
        <f>'[2]Electricity and CHPs'!G30</f>
        <v>0</v>
      </c>
      <c r="L170" s="1">
        <f>'[2]Electricity and CHPs'!H30</f>
        <v>0</v>
      </c>
      <c r="N170" s="1"/>
    </row>
    <row r="171" spans="1:14" x14ac:dyDescent="0.35">
      <c r="A171" s="5" t="str">
        <f>A167</f>
        <v>STEM</v>
      </c>
      <c r="B171" s="5" t="str">
        <f>B167</f>
        <v>SPS1</v>
      </c>
      <c r="C171" s="5" t="str">
        <f>C167</f>
        <v>CH</v>
      </c>
      <c r="D171" t="s">
        <v>78</v>
      </c>
      <c r="E171" t="str">
        <f>E136</f>
        <v>PJ/yr.</v>
      </c>
      <c r="F171" s="1">
        <f>'[1]Electricity and CHPs'!B46</f>
        <v>0</v>
      </c>
      <c r="G171" s="1">
        <f>'[1]Electricity and CHPs'!C46</f>
        <v>0</v>
      </c>
      <c r="H171" s="1">
        <f>'[1]Electricity and CHPs'!D46</f>
        <v>0</v>
      </c>
      <c r="I171" s="1">
        <f>'[1]Electricity and CHPs'!E46</f>
        <v>0</v>
      </c>
      <c r="J171" s="1">
        <f>'[2]Electricity and CHPs'!F46</f>
        <v>0</v>
      </c>
      <c r="K171" s="1">
        <f>'[2]Electricity and CHPs'!G46</f>
        <v>0</v>
      </c>
      <c r="L171" s="1">
        <f>'[2]Electricity and CHPs'!H46</f>
        <v>0</v>
      </c>
      <c r="N171" s="1"/>
    </row>
    <row r="172" spans="1:14" x14ac:dyDescent="0.35">
      <c r="A172" s="5" t="str">
        <f t="shared" si="142"/>
        <v>STEM</v>
      </c>
      <c r="B172" s="5" t="str">
        <f t="shared" si="143"/>
        <v>SPS1</v>
      </c>
      <c r="C172" s="5" t="str">
        <f t="shared" si="144"/>
        <v>CH</v>
      </c>
      <c r="D172" t="s">
        <v>234</v>
      </c>
      <c r="E172" t="str">
        <f t="shared" ref="E172:E180" si="159">E158</f>
        <v>PJ/yr.</v>
      </c>
      <c r="F172" s="1">
        <f>'[1]Electricity and CHPs'!B57</f>
        <v>0</v>
      </c>
      <c r="G172" s="1">
        <f>'[1]Electricity and CHPs'!C57</f>
        <v>0</v>
      </c>
      <c r="H172" s="1">
        <f>'[1]Electricity and CHPs'!D57</f>
        <v>0</v>
      </c>
      <c r="I172" s="1">
        <f>'[1]Electricity and CHPs'!E57</f>
        <v>0</v>
      </c>
      <c r="J172" s="1">
        <f>'[2]Electricity and CHPs'!F57</f>
        <v>0</v>
      </c>
      <c r="K172" s="1">
        <f>'[2]Electricity and CHPs'!G57</f>
        <v>0</v>
      </c>
      <c r="L172" s="1">
        <f>'[2]Electricity and CHPs'!H57</f>
        <v>0</v>
      </c>
      <c r="N172" s="1"/>
    </row>
    <row r="173" spans="1:14" x14ac:dyDescent="0.35">
      <c r="A173" s="5" t="str">
        <f t="shared" si="142"/>
        <v>STEM</v>
      </c>
      <c r="B173" s="5" t="str">
        <f t="shared" si="143"/>
        <v>SPS1</v>
      </c>
      <c r="C173" s="5" t="str">
        <f t="shared" si="144"/>
        <v>CH</v>
      </c>
      <c r="D173" t="s">
        <v>806</v>
      </c>
      <c r="E173" t="str">
        <f t="shared" si="159"/>
        <v>PJ/yr.</v>
      </c>
      <c r="F173" s="1">
        <f>SUM(F174:F180)</f>
        <v>9.9393187986047182E-2</v>
      </c>
      <c r="G173" s="1">
        <f t="shared" ref="G173:K173" si="160">SUM(G174:G180)</f>
        <v>8.2536646250096178E-3</v>
      </c>
      <c r="H173" s="1">
        <f t="shared" si="160"/>
        <v>0.61805766641295556</v>
      </c>
      <c r="I173" s="1">
        <f t="shared" si="160"/>
        <v>0.51245408929098013</v>
      </c>
      <c r="J173" s="1">
        <f t="shared" si="160"/>
        <v>0.68174479976957625</v>
      </c>
      <c r="K173" s="1">
        <f t="shared" si="160"/>
        <v>0.69650151596546417</v>
      </c>
      <c r="L173" s="1">
        <f t="shared" ref="L173" si="161">SUM(L174:L180)</f>
        <v>2.4860969232493528</v>
      </c>
      <c r="N173" s="1"/>
    </row>
    <row r="174" spans="1:14" x14ac:dyDescent="0.35">
      <c r="A174" s="5" t="str">
        <f t="shared" si="142"/>
        <v>STEM</v>
      </c>
      <c r="B174" s="5" t="str">
        <f t="shared" si="143"/>
        <v>SPS1</v>
      </c>
      <c r="C174" s="5" t="str">
        <f t="shared" si="144"/>
        <v>CH</v>
      </c>
      <c r="D174" t="s">
        <v>79</v>
      </c>
      <c r="E174" t="str">
        <f t="shared" si="159"/>
        <v>PJ/yr.</v>
      </c>
      <c r="F174" s="1">
        <f>'[1]Electricity and CHPs'!B70</f>
        <v>9.4514589055027284E-2</v>
      </c>
      <c r="G174" s="1">
        <f>'[1]Electricity and CHPs'!C70</f>
        <v>4.0065384849682327E-3</v>
      </c>
      <c r="H174" s="1">
        <f>'[1]Electricity and CHPs'!D70</f>
        <v>1.9592865137364069E-2</v>
      </c>
      <c r="I174" s="1">
        <f>'[1]Electricity and CHPs'!E70</f>
        <v>2.1973018464116881E-2</v>
      </c>
      <c r="J174" s="1">
        <f>'[2]Electricity and CHPs'!F70</f>
        <v>3.531116073457232E-3</v>
      </c>
      <c r="K174" s="1">
        <f>'[2]Electricity and CHPs'!G70</f>
        <v>1.2799544813923043E-3</v>
      </c>
      <c r="L174" s="1">
        <f>'[2]Electricity and CHPs'!H70</f>
        <v>9.4493728677808947E-2</v>
      </c>
      <c r="N174" s="1"/>
    </row>
    <row r="175" spans="1:14" x14ac:dyDescent="0.35">
      <c r="A175" s="5" t="str">
        <f t="shared" si="142"/>
        <v>STEM</v>
      </c>
      <c r="B175" s="5" t="str">
        <f t="shared" si="143"/>
        <v>SPS1</v>
      </c>
      <c r="C175" s="5" t="str">
        <f t="shared" si="144"/>
        <v>CH</v>
      </c>
      <c r="D175" t="s">
        <v>80</v>
      </c>
      <c r="E175" t="str">
        <f t="shared" si="159"/>
        <v>PJ/yr.</v>
      </c>
      <c r="F175" s="1">
        <f>'[1]Electricity and CHPs'!B71</f>
        <v>1.3317454006918146E-3</v>
      </c>
      <c r="G175" s="1">
        <f>'[1]Electricity and CHPs'!C71</f>
        <v>9.9708434125425258E-4</v>
      </c>
      <c r="H175" s="1">
        <f>'[1]Electricity and CHPs'!D71</f>
        <v>1.7309873094720901E-2</v>
      </c>
      <c r="I175" s="1">
        <f>'[1]Electricity and CHPs'!E71</f>
        <v>4.3766006679706572E-2</v>
      </c>
      <c r="J175" s="1">
        <f>'[2]Electricity and CHPs'!F71</f>
        <v>2.5438672954529871E-2</v>
      </c>
      <c r="K175" s="1">
        <f>'[2]Electricity and CHPs'!G71</f>
        <v>2.5478302426121494E-2</v>
      </c>
      <c r="L175" s="1">
        <f>'[2]Electricity and CHPs'!H71</f>
        <v>0.24833865030499117</v>
      </c>
      <c r="N175" s="1"/>
    </row>
    <row r="176" spans="1:14" x14ac:dyDescent="0.35">
      <c r="A176" s="5" t="str">
        <f t="shared" si="142"/>
        <v>STEM</v>
      </c>
      <c r="B176" s="5" t="str">
        <f t="shared" si="143"/>
        <v>SPS1</v>
      </c>
      <c r="C176" s="5" t="str">
        <f t="shared" si="144"/>
        <v>CH</v>
      </c>
      <c r="D176" t="s">
        <v>81</v>
      </c>
      <c r="E176" t="str">
        <f t="shared" si="159"/>
        <v>PJ/yr.</v>
      </c>
      <c r="F176" s="1">
        <f>'[1]Electricity and CHPs'!B72</f>
        <v>1.196373329620501E-3</v>
      </c>
      <c r="G176" s="1">
        <f>'[1]Electricity and CHPs'!C72</f>
        <v>9.1410815747314776E-4</v>
      </c>
      <c r="H176" s="1">
        <f>'[1]Electricity and CHPs'!D72</f>
        <v>1.6591688888070725E-2</v>
      </c>
      <c r="I176" s="1">
        <f>'[1]Electricity and CHPs'!E72</f>
        <v>3.3233102588472271E-2</v>
      </c>
      <c r="J176" s="1">
        <f>'[2]Electricity and CHPs'!F72</f>
        <v>4.4075359057631242E-2</v>
      </c>
      <c r="K176" s="1">
        <f>'[2]Electricity and CHPs'!G72</f>
        <v>2.6039844039494098E-2</v>
      </c>
      <c r="L176" s="1">
        <f>'[2]Electricity and CHPs'!H72</f>
        <v>0.36501340106579194</v>
      </c>
      <c r="N176" s="1"/>
    </row>
    <row r="177" spans="1:14" x14ac:dyDescent="0.35">
      <c r="A177" s="5" t="str">
        <f t="shared" si="142"/>
        <v>STEM</v>
      </c>
      <c r="B177" s="5" t="str">
        <f t="shared" si="143"/>
        <v>SPS1</v>
      </c>
      <c r="C177" s="5" t="str">
        <f t="shared" si="144"/>
        <v>CH</v>
      </c>
      <c r="D177" t="s">
        <v>82</v>
      </c>
      <c r="E177" t="str">
        <f t="shared" si="159"/>
        <v>PJ/yr.</v>
      </c>
      <c r="F177" s="1">
        <f>'[1]Electricity and CHPs'!B73</f>
        <v>3.9501986098739036E-4</v>
      </c>
      <c r="G177" s="1">
        <f>'[1]Electricity and CHPs'!C73</f>
        <v>3.927010851207019E-4</v>
      </c>
      <c r="H177" s="1">
        <f>'[1]Electricity and CHPs'!D73</f>
        <v>0.11085669778146721</v>
      </c>
      <c r="I177" s="1">
        <f>'[1]Electricity and CHPs'!E73</f>
        <v>0.19966215499985171</v>
      </c>
      <c r="J177" s="1">
        <f>'[2]Electricity and CHPs'!F73</f>
        <v>0.20785319338933811</v>
      </c>
      <c r="K177" s="1">
        <f>'[2]Electricity and CHPs'!G73</f>
        <v>0.31809205515757505</v>
      </c>
      <c r="L177" s="1">
        <f>'[2]Electricity and CHPs'!H73</f>
        <v>0.73082936276574462</v>
      </c>
      <c r="N177" s="1"/>
    </row>
    <row r="178" spans="1:14" x14ac:dyDescent="0.35">
      <c r="A178" s="5" t="str">
        <f t="shared" si="142"/>
        <v>STEM</v>
      </c>
      <c r="B178" s="5" t="str">
        <f t="shared" si="143"/>
        <v>SPS1</v>
      </c>
      <c r="C178" s="5" t="str">
        <f t="shared" si="144"/>
        <v>CH</v>
      </c>
      <c r="D178" t="s">
        <v>1852</v>
      </c>
      <c r="E178" t="str">
        <f t="shared" si="159"/>
        <v>PJ/yr.</v>
      </c>
      <c r="F178" s="1">
        <f>'[1]Electricity and CHPs'!B74</f>
        <v>7.8679156802894746E-4</v>
      </c>
      <c r="G178" s="1">
        <f>'[1]Electricity and CHPs'!C74</f>
        <v>7.8182836716881763E-4</v>
      </c>
      <c r="H178" s="1">
        <f>'[1]Electricity and CHPs'!D74</f>
        <v>0.20015719087856509</v>
      </c>
      <c r="I178" s="1">
        <f>'[1]Electricity and CHPs'!E74</f>
        <v>8.7966392368422491E-2</v>
      </c>
      <c r="J178" s="1">
        <f>'[2]Electricity and CHPs'!F74</f>
        <v>0.16911157676454736</v>
      </c>
      <c r="K178" s="1">
        <f>'[2]Electricity and CHPs'!G74</f>
        <v>0.13638381962204849</v>
      </c>
      <c r="L178" s="1">
        <f>'[2]Electricity and CHPs'!H74</f>
        <v>0.46658701011328435</v>
      </c>
      <c r="N178" s="1"/>
    </row>
    <row r="179" spans="1:14" x14ac:dyDescent="0.35">
      <c r="A179" s="5" t="str">
        <f t="shared" si="142"/>
        <v>STEM</v>
      </c>
      <c r="B179" s="5" t="str">
        <f t="shared" si="143"/>
        <v>SPS1</v>
      </c>
      <c r="C179" s="5" t="str">
        <f t="shared" si="144"/>
        <v>CH</v>
      </c>
      <c r="D179" t="s">
        <v>83</v>
      </c>
      <c r="E179" t="str">
        <f t="shared" si="159"/>
        <v>PJ/yr.</v>
      </c>
      <c r="F179" s="1">
        <f>'[1]Electricity and CHPs'!B75</f>
        <v>7.717521283479062E-4</v>
      </c>
      <c r="G179" s="1">
        <f>'[1]Electricity and CHPs'!C75</f>
        <v>7.6683661121047277E-4</v>
      </c>
      <c r="H179" s="1">
        <f>'[1]Electricity and CHPs'!D75</f>
        <v>6.139790945112765E-2</v>
      </c>
      <c r="I179" s="1">
        <f>'[1]Electricity and CHPs'!E75</f>
        <v>3.1806120436836852E-2</v>
      </c>
      <c r="J179" s="1">
        <f>'[2]Electricity and CHPs'!F75</f>
        <v>7.6159850766547924E-2</v>
      </c>
      <c r="K179" s="1">
        <f>'[2]Electricity and CHPs'!G75</f>
        <v>6.101003001030561E-2</v>
      </c>
      <c r="L179" s="1">
        <f>'[2]Electricity and CHPs'!H75</f>
        <v>0.14541169003438073</v>
      </c>
      <c r="N179" s="1"/>
    </row>
    <row r="180" spans="1:14" x14ac:dyDescent="0.35">
      <c r="A180" s="5" t="str">
        <f t="shared" si="142"/>
        <v>STEM</v>
      </c>
      <c r="B180" s="5" t="str">
        <f t="shared" si="143"/>
        <v>SPS1</v>
      </c>
      <c r="C180" s="5" t="str">
        <f t="shared" si="144"/>
        <v>CH</v>
      </c>
      <c r="D180" t="s">
        <v>87</v>
      </c>
      <c r="E180" t="str">
        <f t="shared" si="159"/>
        <v>PJ/yr.</v>
      </c>
      <c r="F180" s="1">
        <f>'[1]Electricity and CHPs'!B76</f>
        <v>3.9691664334334993E-4</v>
      </c>
      <c r="G180" s="1">
        <f>'[1]Electricity and CHPs'!C76</f>
        <v>3.9456757781399236E-4</v>
      </c>
      <c r="H180" s="1">
        <f>'[1]Electricity and CHPs'!D76</f>
        <v>0.19215144118163985</v>
      </c>
      <c r="I180" s="1">
        <f>'[1]Electricity and CHPs'!E76</f>
        <v>9.4047293753573305E-2</v>
      </c>
      <c r="J180" s="1">
        <f>'[2]Electricity and CHPs'!F76</f>
        <v>0.15557503076352458</v>
      </c>
      <c r="K180" s="1">
        <f>'[2]Electricity and CHPs'!G76</f>
        <v>0.12821751022852729</v>
      </c>
      <c r="L180" s="1">
        <f>'[2]Electricity and CHPs'!H76</f>
        <v>0.43542308028735127</v>
      </c>
      <c r="N180" s="1"/>
    </row>
    <row r="181" spans="1:14" x14ac:dyDescent="0.35">
      <c r="A181" s="9" t="str">
        <f t="shared" si="142"/>
        <v>STEM</v>
      </c>
      <c r="B181" s="9" t="str">
        <f t="shared" si="143"/>
        <v>SPS1</v>
      </c>
      <c r="C181" s="2" t="str">
        <f t="shared" si="144"/>
        <v>CH</v>
      </c>
      <c r="D181" s="2" t="s">
        <v>152</v>
      </c>
      <c r="E181" s="2" t="str">
        <f>E169</f>
        <v>PJ/yr.</v>
      </c>
      <c r="F181" s="3">
        <f>SUM(F182,F233)</f>
        <v>31.008856218128223</v>
      </c>
      <c r="G181" s="3">
        <f t="shared" ref="G181:K181" si="162">SUM(G182,G233)</f>
        <v>37.394709560187053</v>
      </c>
      <c r="H181" s="3">
        <f t="shared" si="162"/>
        <v>34.206695255508073</v>
      </c>
      <c r="I181" s="3">
        <f t="shared" si="162"/>
        <v>34.906068368587981</v>
      </c>
      <c r="J181" s="3">
        <f t="shared" si="162"/>
        <v>44.323854203067313</v>
      </c>
      <c r="K181" s="3">
        <f t="shared" si="162"/>
        <v>49.439508642789193</v>
      </c>
      <c r="L181" s="3">
        <f t="shared" ref="L181" si="163">SUM(L182,L233)</f>
        <v>47.698277555979374</v>
      </c>
      <c r="N181" s="1"/>
    </row>
    <row r="182" spans="1:14" x14ac:dyDescent="0.35">
      <c r="A182" s="5" t="s">
        <v>5</v>
      </c>
      <c r="B182" s="5" t="s">
        <v>6</v>
      </c>
      <c r="C182" s="5" t="s">
        <v>7</v>
      </c>
      <c r="D182" t="s">
        <v>807</v>
      </c>
      <c r="E182" t="str">
        <f>E170</f>
        <v>PJ/yr.</v>
      </c>
      <c r="F182" s="1">
        <f t="shared" ref="F182:K182" si="164">F183+F210</f>
        <v>24.507909140893275</v>
      </c>
      <c r="G182" s="1">
        <f t="shared" si="164"/>
        <v>29.346025839459308</v>
      </c>
      <c r="H182" s="1">
        <f t="shared" si="164"/>
        <v>27.797030678905212</v>
      </c>
      <c r="I182" s="1">
        <f t="shared" si="164"/>
        <v>27.335164962162466</v>
      </c>
      <c r="J182" s="1">
        <f t="shared" si="164"/>
        <v>25.577580150051894</v>
      </c>
      <c r="K182" s="1">
        <f t="shared" si="164"/>
        <v>25.048868869434656</v>
      </c>
      <c r="L182" s="1">
        <f t="shared" ref="L182" si="165">L183+L210</f>
        <v>27.176107003163253</v>
      </c>
      <c r="N182" s="1"/>
    </row>
    <row r="183" spans="1:14" x14ac:dyDescent="0.35">
      <c r="A183" s="5" t="s">
        <v>5</v>
      </c>
      <c r="B183" s="5" t="s">
        <v>6</v>
      </c>
      <c r="C183" s="5" t="s">
        <v>7</v>
      </c>
      <c r="D183" t="s">
        <v>822</v>
      </c>
      <c r="E183" t="str">
        <f>E167</f>
        <v>PJ/yr.</v>
      </c>
      <c r="F183" s="1">
        <f t="shared" ref="F183:K183" si="166">SUM(F185,F189,F190,F198,F199,F207,F209)</f>
        <v>17.458707819281983</v>
      </c>
      <c r="G183" s="1">
        <f t="shared" si="166"/>
        <v>13.485855454855779</v>
      </c>
      <c r="H183" s="1">
        <f t="shared" si="166"/>
        <v>12.807843116413085</v>
      </c>
      <c r="I183" s="1">
        <f t="shared" si="166"/>
        <v>15.588992461363155</v>
      </c>
      <c r="J183" s="1">
        <f t="shared" si="166"/>
        <v>15.217932278108357</v>
      </c>
      <c r="K183" s="1">
        <f t="shared" si="166"/>
        <v>15.825928586185466</v>
      </c>
      <c r="L183" s="1">
        <f t="shared" ref="L183" si="167">SUM(L185,L189,L190,L198,L199,L207,L209)</f>
        <v>19.210663568449554</v>
      </c>
      <c r="N183" s="1"/>
    </row>
    <row r="184" spans="1:14" x14ac:dyDescent="0.35">
      <c r="A184" s="5" t="s">
        <v>5</v>
      </c>
      <c r="B184" s="5" t="s">
        <v>6</v>
      </c>
      <c r="C184" s="5" t="s">
        <v>7</v>
      </c>
      <c r="D184" t="s">
        <v>808</v>
      </c>
      <c r="E184" t="s">
        <v>8</v>
      </c>
      <c r="F184" s="1">
        <f>F185</f>
        <v>9.262239067500188E-3</v>
      </c>
      <c r="G184" s="1">
        <f t="shared" ref="G184:L184" si="168">G185</f>
        <v>2.2066512338427986E-4</v>
      </c>
      <c r="H184" s="1">
        <f t="shared" si="168"/>
        <v>2.4392482263986548E-3</v>
      </c>
      <c r="I184" s="1">
        <f t="shared" si="168"/>
        <v>6.4393840042161995E-4</v>
      </c>
      <c r="J184" s="1">
        <f t="shared" si="168"/>
        <v>3.3874003329193701E-3</v>
      </c>
      <c r="K184" s="1">
        <f t="shared" si="168"/>
        <v>3.1936770912482397E-3</v>
      </c>
      <c r="L184" s="1">
        <f t="shared" si="168"/>
        <v>1.7422404732883895E-3</v>
      </c>
      <c r="N184" s="1"/>
    </row>
    <row r="185" spans="1:14" x14ac:dyDescent="0.35">
      <c r="A185" s="5" t="s">
        <v>5</v>
      </c>
      <c r="B185" s="5" t="s">
        <v>6</v>
      </c>
      <c r="C185" s="5" t="s">
        <v>7</v>
      </c>
      <c r="D185" t="s">
        <v>229</v>
      </c>
      <c r="E185" t="s">
        <v>8</v>
      </c>
      <c r="F185" s="1">
        <f>'[1]Electricity and CHPs'!B$94</f>
        <v>9.262239067500188E-3</v>
      </c>
      <c r="G185" s="1">
        <f>'[1]Electricity and CHPs'!C$94</f>
        <v>2.2066512338427986E-4</v>
      </c>
      <c r="H185" s="1">
        <f>'[1]Electricity and CHPs'!D$94</f>
        <v>2.4392482263986548E-3</v>
      </c>
      <c r="I185" s="1">
        <f>'[1]Electricity and CHPs'!E$94</f>
        <v>6.4393840042161995E-4</v>
      </c>
      <c r="J185" s="1">
        <f>'[2]Electricity and CHPs'!F$94</f>
        <v>3.3874003329193701E-3</v>
      </c>
      <c r="K185" s="1">
        <f>'[2]Electricity and CHPs'!G$94</f>
        <v>3.1936770912482397E-3</v>
      </c>
      <c r="L185" s="1">
        <f>'[2]Electricity and CHPs'!H$94</f>
        <v>1.7422404732883895E-3</v>
      </c>
      <c r="N185" s="1"/>
    </row>
    <row r="186" spans="1:14" x14ac:dyDescent="0.35">
      <c r="A186" s="5" t="s">
        <v>5</v>
      </c>
      <c r="B186" s="5" t="s">
        <v>6</v>
      </c>
      <c r="C186" s="5" t="s">
        <v>7</v>
      </c>
      <c r="D186" t="s">
        <v>517</v>
      </c>
      <c r="E186" t="s">
        <v>8</v>
      </c>
      <c r="F186" s="1">
        <f>F185-F187</f>
        <v>9.262239067500188E-3</v>
      </c>
      <c r="G186" s="1">
        <f t="shared" ref="G186:K186" si="169">G185-G187</f>
        <v>2.2066512338427986E-4</v>
      </c>
      <c r="H186" s="1">
        <f t="shared" si="169"/>
        <v>2.4392482263986548E-3</v>
      </c>
      <c r="I186" s="1">
        <f t="shared" si="169"/>
        <v>6.4393840042161995E-4</v>
      </c>
      <c r="J186" s="1">
        <f t="shared" si="169"/>
        <v>3.3874003329193701E-3</v>
      </c>
      <c r="K186" s="1">
        <f t="shared" si="169"/>
        <v>3.1936770912482397E-3</v>
      </c>
      <c r="L186" s="1">
        <f t="shared" ref="L186" si="170">L185-L187</f>
        <v>1.7422404732883895E-3</v>
      </c>
      <c r="N186" s="1"/>
    </row>
    <row r="187" spans="1:14" x14ac:dyDescent="0.35">
      <c r="A187" s="5" t="s">
        <v>5</v>
      </c>
      <c r="B187" s="5" t="s">
        <v>6</v>
      </c>
      <c r="C187" s="5" t="s">
        <v>7</v>
      </c>
      <c r="D187" t="s">
        <v>541</v>
      </c>
      <c r="E187" t="s">
        <v>8</v>
      </c>
      <c r="F187" s="1">
        <f t="shared" ref="F187:K187" si="171">F185*IFERROR(F80/F76,0)</f>
        <v>0</v>
      </c>
      <c r="G187" s="1">
        <f t="shared" si="171"/>
        <v>0</v>
      </c>
      <c r="H187" s="1">
        <f t="shared" si="171"/>
        <v>0</v>
      </c>
      <c r="I187" s="1">
        <f t="shared" si="171"/>
        <v>0</v>
      </c>
      <c r="J187" s="1">
        <f t="shared" si="171"/>
        <v>0</v>
      </c>
      <c r="K187" s="1">
        <f t="shared" si="171"/>
        <v>0</v>
      </c>
      <c r="L187" s="1">
        <f t="shared" ref="L187" si="172">L185*IFERROR(L80/L76,0)</f>
        <v>0</v>
      </c>
      <c r="N187" s="1"/>
    </row>
    <row r="188" spans="1:14" x14ac:dyDescent="0.35">
      <c r="A188" s="5" t="s">
        <v>5</v>
      </c>
      <c r="B188" s="5" t="s">
        <v>6</v>
      </c>
      <c r="C188" s="5" t="s">
        <v>7</v>
      </c>
      <c r="D188" t="s">
        <v>809</v>
      </c>
      <c r="E188" t="s">
        <v>8</v>
      </c>
      <c r="F188" s="1">
        <f>SUM(F189:F190)</f>
        <v>1.8035525350352892</v>
      </c>
      <c r="G188" s="1">
        <f t="shared" ref="G188:K188" si="173">SUM(G189:G190)</f>
        <v>3.2845107055776769E-4</v>
      </c>
      <c r="H188" s="1">
        <f t="shared" si="173"/>
        <v>0.1486176336031976</v>
      </c>
      <c r="I188" s="1">
        <f t="shared" si="173"/>
        <v>1.7630024029392188E-2</v>
      </c>
      <c r="J188" s="1">
        <f t="shared" si="173"/>
        <v>3.2115774924086571E-2</v>
      </c>
      <c r="K188" s="1">
        <f t="shared" si="173"/>
        <v>1.0262481143247264</v>
      </c>
      <c r="L188" s="1">
        <f t="shared" ref="L188" si="174">SUM(L189:L190)</f>
        <v>2.6629073885700776</v>
      </c>
      <c r="N188" s="1"/>
    </row>
    <row r="189" spans="1:14" x14ac:dyDescent="0.35">
      <c r="A189" s="5" t="s">
        <v>5</v>
      </c>
      <c r="B189" s="5" t="s">
        <v>6</v>
      </c>
      <c r="C189" s="5" t="s">
        <v>7</v>
      </c>
      <c r="D189" t="s">
        <v>153</v>
      </c>
      <c r="E189" t="s">
        <v>8</v>
      </c>
      <c r="F189" s="1">
        <f>'[1]Electricity and CHPs'!B$91</f>
        <v>1.8035525350352892</v>
      </c>
      <c r="G189" s="1">
        <f>'[1]Electricity and CHPs'!C$91</f>
        <v>3.2845107055776769E-4</v>
      </c>
      <c r="H189" s="1">
        <f>'[1]Electricity and CHPs'!D$91</f>
        <v>0.1486176336031976</v>
      </c>
      <c r="I189" s="1">
        <f>'[1]Electricity and CHPs'!E$91</f>
        <v>1.7630024029392188E-2</v>
      </c>
      <c r="J189" s="1">
        <f>'[2]Electricity and CHPs'!F$91</f>
        <v>3.2115774924086571E-2</v>
      </c>
      <c r="K189" s="1">
        <f>'[2]Electricity and CHPs'!G$91</f>
        <v>0.60765506538890379</v>
      </c>
      <c r="L189" s="1">
        <f>'[2]Electricity and CHPs'!H$91</f>
        <v>0.38471641660921568</v>
      </c>
      <c r="N189" s="1"/>
    </row>
    <row r="190" spans="1:14" x14ac:dyDescent="0.35">
      <c r="A190" s="5" t="s">
        <v>5</v>
      </c>
      <c r="B190" s="5" t="s">
        <v>6</v>
      </c>
      <c r="C190" s="5" t="s">
        <v>7</v>
      </c>
      <c r="D190" t="s">
        <v>154</v>
      </c>
      <c r="E190" t="s">
        <v>8</v>
      </c>
      <c r="F190" s="1">
        <f>'[1]Electricity and CHPs'!B$95</f>
        <v>0</v>
      </c>
      <c r="G190" s="1">
        <f>'[1]Electricity and CHPs'!C$95</f>
        <v>0</v>
      </c>
      <c r="H190" s="1">
        <f>'[1]Electricity and CHPs'!D$95</f>
        <v>0</v>
      </c>
      <c r="I190" s="1">
        <f>'[1]Electricity and CHPs'!E$95</f>
        <v>0</v>
      </c>
      <c r="J190" s="1">
        <f>'[2]Electricity and CHPs'!F$95</f>
        <v>0</v>
      </c>
      <c r="K190" s="1">
        <f>'[2]Electricity and CHPs'!G$95</f>
        <v>0.41859304893582261</v>
      </c>
      <c r="L190" s="1">
        <f>'[2]Electricity and CHPs'!H$95</f>
        <v>2.278190971960862</v>
      </c>
      <c r="N190" s="1"/>
    </row>
    <row r="191" spans="1:14" x14ac:dyDescent="0.35">
      <c r="A191" s="5"/>
      <c r="B191" s="5" t="str">
        <f>B190</f>
        <v>SPS1</v>
      </c>
      <c r="C191" s="5" t="str">
        <f>C190</f>
        <v>CH</v>
      </c>
      <c r="D191" t="s">
        <v>810</v>
      </c>
      <c r="E191" t="s">
        <v>8</v>
      </c>
      <c r="F191" s="1">
        <f>SUM(F192:F193)</f>
        <v>1.7575987114200669</v>
      </c>
      <c r="G191" s="1">
        <f t="shared" ref="G191:K191" si="175">SUM(G192:G193)</f>
        <v>3.1879980214456587E-4</v>
      </c>
      <c r="H191" s="1">
        <f t="shared" si="175"/>
        <v>0.13625190350896049</v>
      </c>
      <c r="I191" s="1">
        <f t="shared" si="175"/>
        <v>1.5270136841022346E-2</v>
      </c>
      <c r="J191" s="1">
        <f t="shared" si="175"/>
        <v>3.1616647135307895E-2</v>
      </c>
      <c r="K191" s="1">
        <f t="shared" si="175"/>
        <v>1.0215155658547552</v>
      </c>
      <c r="L191" s="1">
        <f t="shared" ref="L191" si="176">SUM(L192:L193)</f>
        <v>2.6565138779754536</v>
      </c>
      <c r="N191" s="1"/>
    </row>
    <row r="192" spans="1:14" x14ac:dyDescent="0.35">
      <c r="A192" s="5" t="s">
        <v>5</v>
      </c>
      <c r="B192" s="5" t="s">
        <v>6</v>
      </c>
      <c r="C192" s="5" t="s">
        <v>7</v>
      </c>
      <c r="D192" t="s">
        <v>567</v>
      </c>
      <c r="E192" t="s">
        <v>8</v>
      </c>
      <c r="F192" s="1">
        <f>F189-F195</f>
        <v>1.7575987114200669</v>
      </c>
      <c r="G192" s="1">
        <f t="shared" ref="G192:K192" si="177">G189-G195</f>
        <v>3.1879980214456587E-4</v>
      </c>
      <c r="H192" s="1">
        <f t="shared" si="177"/>
        <v>0.13625190350896049</v>
      </c>
      <c r="I192" s="1">
        <f t="shared" si="177"/>
        <v>1.5270136841022346E-2</v>
      </c>
      <c r="J192" s="1">
        <f t="shared" si="177"/>
        <v>3.1616647135307895E-2</v>
      </c>
      <c r="K192" s="1">
        <f t="shared" si="177"/>
        <v>0.60485286092213242</v>
      </c>
      <c r="L192" s="1">
        <f t="shared" ref="L192" si="178">L189-L195</f>
        <v>0.38379273128088831</v>
      </c>
      <c r="N192" s="1"/>
    </row>
    <row r="193" spans="1:14" x14ac:dyDescent="0.35">
      <c r="A193" s="5" t="s">
        <v>5</v>
      </c>
      <c r="B193" s="5" t="s">
        <v>6</v>
      </c>
      <c r="C193" s="5" t="s">
        <v>7</v>
      </c>
      <c r="D193" t="s">
        <v>568</v>
      </c>
      <c r="E193" t="s">
        <v>8</v>
      </c>
      <c r="F193" s="1">
        <f t="shared" ref="F193:K193" si="179">F190-F196</f>
        <v>0</v>
      </c>
      <c r="G193" s="1">
        <f t="shared" si="179"/>
        <v>0</v>
      </c>
      <c r="H193" s="1">
        <f t="shared" si="179"/>
        <v>0</v>
      </c>
      <c r="I193" s="1">
        <f t="shared" si="179"/>
        <v>0</v>
      </c>
      <c r="J193" s="1">
        <f t="shared" si="179"/>
        <v>0</v>
      </c>
      <c r="K193" s="1">
        <f t="shared" si="179"/>
        <v>0.41666270493262286</v>
      </c>
      <c r="L193" s="1">
        <f t="shared" ref="L193" si="180">L190-L196</f>
        <v>2.2727211466945652</v>
      </c>
      <c r="N193" s="1"/>
    </row>
    <row r="194" spans="1:14" x14ac:dyDescent="0.35">
      <c r="A194" s="5"/>
      <c r="B194" s="5" t="s">
        <v>6</v>
      </c>
      <c r="C194" s="5" t="s">
        <v>7</v>
      </c>
      <c r="D194" t="s">
        <v>811</v>
      </c>
      <c r="E194" t="s">
        <v>8</v>
      </c>
      <c r="F194" s="1">
        <f>SUM(F195:F196)</f>
        <v>4.5953823615222281E-2</v>
      </c>
      <c r="G194" s="1">
        <f t="shared" ref="G194:K194" si="181">SUM(G195:G196)</f>
        <v>9.6512684132018428E-6</v>
      </c>
      <c r="H194" s="1">
        <f t="shared" si="181"/>
        <v>1.2365730094237116E-2</v>
      </c>
      <c r="I194" s="1">
        <f t="shared" si="181"/>
        <v>2.3598871883698429E-3</v>
      </c>
      <c r="J194" s="1">
        <f t="shared" si="181"/>
        <v>4.9912778877867761E-4</v>
      </c>
      <c r="K194" s="1">
        <f t="shared" si="181"/>
        <v>4.7325484699711493E-3</v>
      </c>
      <c r="L194" s="1">
        <f t="shared" ref="L194" si="182">SUM(L195:L196)</f>
        <v>6.3935105946240174E-3</v>
      </c>
      <c r="N194" s="1"/>
    </row>
    <row r="195" spans="1:14" x14ac:dyDescent="0.35">
      <c r="A195" s="5" t="s">
        <v>5</v>
      </c>
      <c r="B195" s="5" t="s">
        <v>6</v>
      </c>
      <c r="C195" s="5" t="s">
        <v>7</v>
      </c>
      <c r="D195" t="s">
        <v>628</v>
      </c>
      <c r="E195" t="s">
        <v>8</v>
      </c>
      <c r="F195" s="1">
        <f t="shared" ref="F195:K196" si="183">F189*IFERROR(F118/F86,0)</f>
        <v>4.5953823615222281E-2</v>
      </c>
      <c r="G195" s="1">
        <f t="shared" si="183"/>
        <v>9.6512684132018428E-6</v>
      </c>
      <c r="H195" s="1">
        <f t="shared" si="183"/>
        <v>1.2365730094237116E-2</v>
      </c>
      <c r="I195" s="1">
        <f t="shared" si="183"/>
        <v>2.3598871883698429E-3</v>
      </c>
      <c r="J195" s="1">
        <f t="shared" si="183"/>
        <v>4.9912778877867761E-4</v>
      </c>
      <c r="K195" s="1">
        <f t="shared" si="183"/>
        <v>2.8022044667714006E-3</v>
      </c>
      <c r="L195" s="1">
        <f t="shared" ref="L195" si="184">L189*IFERROR(L118/L86,0)</f>
        <v>9.2368532832739852E-4</v>
      </c>
      <c r="N195" s="1"/>
    </row>
    <row r="196" spans="1:14" x14ac:dyDescent="0.35">
      <c r="A196" s="5" t="s">
        <v>5</v>
      </c>
      <c r="B196" s="5" t="s">
        <v>6</v>
      </c>
      <c r="C196" s="5" t="s">
        <v>7</v>
      </c>
      <c r="D196" t="s">
        <v>629</v>
      </c>
      <c r="E196" t="s">
        <v>8</v>
      </c>
      <c r="F196" s="1">
        <f t="shared" si="183"/>
        <v>0</v>
      </c>
      <c r="G196" s="1">
        <f t="shared" si="183"/>
        <v>0</v>
      </c>
      <c r="H196" s="1">
        <f t="shared" si="183"/>
        <v>0</v>
      </c>
      <c r="I196" s="1">
        <f t="shared" si="183"/>
        <v>0</v>
      </c>
      <c r="J196" s="1">
        <f t="shared" si="183"/>
        <v>0</v>
      </c>
      <c r="K196" s="1">
        <f t="shared" si="183"/>
        <v>1.9303440031997487E-3</v>
      </c>
      <c r="L196" s="1">
        <f t="shared" ref="L196" si="185">L190*IFERROR(L119/L87,0)</f>
        <v>5.4698252662966186E-3</v>
      </c>
      <c r="N196" s="1"/>
    </row>
    <row r="197" spans="1:14" x14ac:dyDescent="0.35">
      <c r="A197" s="5" t="s">
        <v>5</v>
      </c>
      <c r="B197" s="5" t="s">
        <v>6</v>
      </c>
      <c r="C197" s="5" t="s">
        <v>7</v>
      </c>
      <c r="D197" t="s">
        <v>812</v>
      </c>
      <c r="E197" t="s">
        <v>8</v>
      </c>
      <c r="F197" s="1">
        <f>SUM(F198:F199)</f>
        <v>14.461262506045051</v>
      </c>
      <c r="G197" s="1">
        <f t="shared" ref="G197:K197" si="186">SUM(G198:G199)</f>
        <v>13.051648122990354</v>
      </c>
      <c r="H197" s="1">
        <f t="shared" si="186"/>
        <v>12.14799542740662</v>
      </c>
      <c r="I197" s="1">
        <f t="shared" si="186"/>
        <v>12.779635147773988</v>
      </c>
      <c r="J197" s="1">
        <f t="shared" si="186"/>
        <v>12.342947363866385</v>
      </c>
      <c r="K197" s="1">
        <f t="shared" si="186"/>
        <v>12.034787076913705</v>
      </c>
      <c r="L197" s="1">
        <f t="shared" ref="L197" si="187">SUM(L198:L199)</f>
        <v>11.399072216130314</v>
      </c>
      <c r="N197" s="1"/>
    </row>
    <row r="198" spans="1:14" x14ac:dyDescent="0.35">
      <c r="A198" s="5" t="s">
        <v>5</v>
      </c>
      <c r="B198" s="5" t="s">
        <v>6</v>
      </c>
      <c r="C198" s="5" t="s">
        <v>7</v>
      </c>
      <c r="D198" t="s">
        <v>155</v>
      </c>
      <c r="E198" t="s">
        <v>8</v>
      </c>
      <c r="F198" s="1">
        <f>'[1]Electricity and CHPs'!B$93-F199</f>
        <v>14.461262506045051</v>
      </c>
      <c r="G198" s="1">
        <f>'[1]Electricity and CHPs'!C$93-G199</f>
        <v>13.051648122990354</v>
      </c>
      <c r="H198" s="1">
        <f>'[1]Electricity and CHPs'!D$93-H199</f>
        <v>12.14799542740662</v>
      </c>
      <c r="I198" s="1">
        <f>'[1]Electricity and CHPs'!E$93-I199</f>
        <v>12.779635147773988</v>
      </c>
      <c r="J198" s="1">
        <f>'[2]Electricity and CHPs'!F$93-J199</f>
        <v>12.342947363866385</v>
      </c>
      <c r="K198" s="1">
        <f>'[2]Electricity and CHPs'!G$93-K199</f>
        <v>12.034787076913705</v>
      </c>
      <c r="L198" s="1">
        <f>'[2]Electricity and CHPs'!H$93-L199</f>
        <v>11.399072216130314</v>
      </c>
      <c r="N198" s="1"/>
    </row>
    <row r="199" spans="1:14" x14ac:dyDescent="0.35">
      <c r="A199" s="5" t="s">
        <v>5</v>
      </c>
      <c r="B199" s="5" t="s">
        <v>6</v>
      </c>
      <c r="C199" s="5" t="s">
        <v>7</v>
      </c>
      <c r="D199" t="s">
        <v>156</v>
      </c>
      <c r="E199" t="s">
        <v>8</v>
      </c>
      <c r="F199" s="1" cm="1">
        <f t="array" ref="F199">SUMPRODUCT(("CHPWSTCCS"=[1]OUT_Electricity_CHP!$B$1:$B$10000)*1,([1]OUT_Electricity_CHP!$C$1:$C$10000="Var_Fout")*1,([1]OUT_Electricity_CHP!$D$1:$D$10000="LTH")*1,[1]OUT_Electricity_CHP!E$1:E$10000)</f>
        <v>0</v>
      </c>
      <c r="G199" s="1" cm="1">
        <f t="array" ref="G199">SUMPRODUCT(("CHPWSTCCS"=[1]OUT_Electricity_CHP!$B$1:$B$10000)*1,([1]OUT_Electricity_CHP!$C$1:$C$10000="Var_Fout")*1,([1]OUT_Electricity_CHP!$D$1:$D$10000="LTH")*1,[1]OUT_Electricity_CHP!F$1:F$10000)</f>
        <v>0</v>
      </c>
      <c r="H199" s="1" cm="1">
        <f t="array" ref="H199">SUMPRODUCT(("CHPWSTCCS"=[1]OUT_Electricity_CHP!$B$1:$B$10000)*1,([1]OUT_Electricity_CHP!$C$1:$C$10000="Var_Fout")*1,([1]OUT_Electricity_CHP!$D$1:$D$10000="LTH")*1,[1]OUT_Electricity_CHP!G$1:G$10000)</f>
        <v>0</v>
      </c>
      <c r="I199" s="1" cm="1">
        <f t="array" ref="I199">SUMPRODUCT(("CHPWSTCCS"=[1]OUT_Electricity_CHP!$B$1:$B$10000)*1,([1]OUT_Electricity_CHP!$C$1:$C$10000="Var_Fout")*1,([1]OUT_Electricity_CHP!$D$1:$D$10000="LTH")*1,[1]OUT_Electricity_CHP!H$1:H$10000)</f>
        <v>0</v>
      </c>
      <c r="J199" s="1" cm="1">
        <f t="array" ref="J199">SUMPRODUCT(("CHPWSTCCS"=[2]OUT_Electricity_CHP!$B$1:$B$10000)*1,([2]OUT_Electricity_CHP!$C$1:$C$10000="Var_Fout")*1,([2]OUT_Electricity_CHP!$D$1:$D$10000="LTH")*1,[2]OUT_Electricity_CHP!I$1:I$10000)</f>
        <v>0</v>
      </c>
      <c r="K199" s="1" cm="1">
        <f t="array" ref="K199">SUMPRODUCT(("CHPWSTCCS"=[2]OUT_Electricity_CHP!$B$1:$B$10000)*1,([2]OUT_Electricity_CHP!$C$1:$C$10000="Var_Fout")*1,([2]OUT_Electricity_CHP!$D$1:$D$10000="LTH")*1,[2]OUT_Electricity_CHP!J$1:J$10000)</f>
        <v>0</v>
      </c>
      <c r="L199" s="1" cm="1">
        <f t="array" ref="L199">SUMPRODUCT(("CHPWSTCCS"=[2]OUT_Electricity_CHP!$B$1:$B$10000)*1,([2]OUT_Electricity_CHP!$C$1:$C$10000="Var_Fout")*1,([2]OUT_Electricity_CHP!$D$1:$D$10000="LTH")*1,[2]OUT_Electricity_CHP!K$1:K$10000)</f>
        <v>0</v>
      </c>
      <c r="N199" s="1"/>
    </row>
    <row r="200" spans="1:14" x14ac:dyDescent="0.35">
      <c r="A200" s="5" t="s">
        <v>5</v>
      </c>
      <c r="B200" s="5" t="s">
        <v>6</v>
      </c>
      <c r="C200" s="5" t="s">
        <v>7</v>
      </c>
      <c r="D200" t="s">
        <v>813</v>
      </c>
      <c r="E200" t="s">
        <v>8</v>
      </c>
      <c r="F200" s="1">
        <f>SUM(F201:F202)</f>
        <v>7.2306312530225263</v>
      </c>
      <c r="G200" s="1">
        <f t="shared" ref="G200:K200" si="188">SUM(G201:G202)</f>
        <v>6.525824061495177</v>
      </c>
      <c r="H200" s="1">
        <f t="shared" si="188"/>
        <v>6.0739977137033101</v>
      </c>
      <c r="I200" s="1">
        <f t="shared" si="188"/>
        <v>6.3898175738869938</v>
      </c>
      <c r="J200" s="1">
        <f t="shared" si="188"/>
        <v>6.1714736819331923</v>
      </c>
      <c r="K200" s="1">
        <f t="shared" si="188"/>
        <v>6.0173935384568527</v>
      </c>
      <c r="L200" s="1">
        <f t="shared" ref="L200" si="189">SUM(L201:L202)</f>
        <v>5.699536108065157</v>
      </c>
      <c r="N200" s="1"/>
    </row>
    <row r="201" spans="1:14" x14ac:dyDescent="0.35">
      <c r="A201" s="5" t="s">
        <v>5</v>
      </c>
      <c r="B201" s="5" t="s">
        <v>6</v>
      </c>
      <c r="C201" s="5" t="s">
        <v>7</v>
      </c>
      <c r="D201" t="s">
        <v>157</v>
      </c>
      <c r="E201" t="s">
        <v>8</v>
      </c>
      <c r="F201" s="1">
        <f t="shared" ref="F201:K201" si="190">F198*F140/F133</f>
        <v>7.2306312530225263</v>
      </c>
      <c r="G201" s="1">
        <f t="shared" si="190"/>
        <v>6.525824061495177</v>
      </c>
      <c r="H201" s="1">
        <f t="shared" si="190"/>
        <v>6.0739977137033101</v>
      </c>
      <c r="I201" s="1">
        <f t="shared" si="190"/>
        <v>6.3898175738869938</v>
      </c>
      <c r="J201" s="1">
        <f t="shared" si="190"/>
        <v>6.1714736819331923</v>
      </c>
      <c r="K201" s="1">
        <f t="shared" si="190"/>
        <v>6.0173935384568527</v>
      </c>
      <c r="L201" s="1">
        <f t="shared" ref="L201" si="191">L198*L140/L133</f>
        <v>5.699536108065157</v>
      </c>
      <c r="N201" s="1"/>
    </row>
    <row r="202" spans="1:14" x14ac:dyDescent="0.35">
      <c r="A202" s="5" t="s">
        <v>5</v>
      </c>
      <c r="B202" s="5" t="s">
        <v>6</v>
      </c>
      <c r="C202" s="5" t="s">
        <v>7</v>
      </c>
      <c r="D202" t="s">
        <v>158</v>
      </c>
      <c r="E202" t="s">
        <v>8</v>
      </c>
      <c r="F202" s="1">
        <f t="shared" ref="F202:K202" si="192">F199*IFERROR(F141/F134,0)</f>
        <v>0</v>
      </c>
      <c r="G202" s="1">
        <f t="shared" si="192"/>
        <v>0</v>
      </c>
      <c r="H202" s="1">
        <f t="shared" si="192"/>
        <v>0</v>
      </c>
      <c r="I202" s="1">
        <f t="shared" si="192"/>
        <v>0</v>
      </c>
      <c r="J202" s="1">
        <f t="shared" si="192"/>
        <v>0</v>
      </c>
      <c r="K202" s="1">
        <f t="shared" si="192"/>
        <v>0</v>
      </c>
      <c r="L202" s="1">
        <f t="shared" ref="L202" si="193">L199*IFERROR(L141/L134,0)</f>
        <v>0</v>
      </c>
      <c r="N202" s="1"/>
    </row>
    <row r="203" spans="1:14" x14ac:dyDescent="0.35">
      <c r="A203" s="5" t="s">
        <v>5</v>
      </c>
      <c r="B203" s="5" t="s">
        <v>6</v>
      </c>
      <c r="C203" s="5" t="s">
        <v>7</v>
      </c>
      <c r="D203" t="s">
        <v>814</v>
      </c>
      <c r="E203" t="s">
        <v>8</v>
      </c>
      <c r="F203" s="1">
        <f>SUM(F204:F205)</f>
        <v>7.2306312530225245</v>
      </c>
      <c r="G203" s="1">
        <f t="shared" ref="G203:K203" si="194">SUM(G204:G205)</f>
        <v>6.525824061495177</v>
      </c>
      <c r="H203" s="1">
        <f t="shared" si="194"/>
        <v>6.0739977137033101</v>
      </c>
      <c r="I203" s="1">
        <f t="shared" si="194"/>
        <v>6.3898175738869938</v>
      </c>
      <c r="J203" s="1">
        <f t="shared" si="194"/>
        <v>6.1714736819331923</v>
      </c>
      <c r="K203" s="1">
        <f t="shared" si="194"/>
        <v>6.0173935384568527</v>
      </c>
      <c r="L203" s="1">
        <f t="shared" ref="L203" si="195">SUM(L204:L205)</f>
        <v>5.699536108065157</v>
      </c>
      <c r="N203" s="1"/>
    </row>
    <row r="204" spans="1:14" x14ac:dyDescent="0.35">
      <c r="A204" s="5" t="s">
        <v>5</v>
      </c>
      <c r="B204" s="5" t="s">
        <v>6</v>
      </c>
      <c r="C204" s="5" t="s">
        <v>7</v>
      </c>
      <c r="D204" t="s">
        <v>159</v>
      </c>
      <c r="E204" t="s">
        <v>8</v>
      </c>
      <c r="F204" s="1">
        <f t="shared" ref="F204:K205" si="196">F198-F201</f>
        <v>7.2306312530225245</v>
      </c>
      <c r="G204" s="1">
        <f t="shared" si="196"/>
        <v>6.525824061495177</v>
      </c>
      <c r="H204" s="1">
        <f t="shared" si="196"/>
        <v>6.0739977137033101</v>
      </c>
      <c r="I204" s="1">
        <f t="shared" si="196"/>
        <v>6.3898175738869938</v>
      </c>
      <c r="J204" s="1">
        <f t="shared" si="196"/>
        <v>6.1714736819331923</v>
      </c>
      <c r="K204" s="1">
        <f t="shared" si="196"/>
        <v>6.0173935384568527</v>
      </c>
      <c r="L204" s="1">
        <f t="shared" ref="L204" si="197">L198-L201</f>
        <v>5.699536108065157</v>
      </c>
      <c r="N204" s="1"/>
    </row>
    <row r="205" spans="1:14" x14ac:dyDescent="0.35">
      <c r="A205" s="5" t="s">
        <v>5</v>
      </c>
      <c r="B205" s="5" t="s">
        <v>6</v>
      </c>
      <c r="C205" s="5" t="s">
        <v>7</v>
      </c>
      <c r="D205" t="s">
        <v>160</v>
      </c>
      <c r="E205" t="s">
        <v>8</v>
      </c>
      <c r="F205" s="1">
        <f t="shared" si="196"/>
        <v>0</v>
      </c>
      <c r="G205" s="1">
        <f t="shared" si="196"/>
        <v>0</v>
      </c>
      <c r="H205" s="1">
        <f t="shared" si="196"/>
        <v>0</v>
      </c>
      <c r="I205" s="1">
        <f t="shared" si="196"/>
        <v>0</v>
      </c>
      <c r="J205" s="1">
        <f t="shared" si="196"/>
        <v>0</v>
      </c>
      <c r="K205" s="1">
        <f t="shared" si="196"/>
        <v>0</v>
      </c>
      <c r="L205" s="1">
        <f t="shared" ref="L205" si="198">L199-L202</f>
        <v>0</v>
      </c>
      <c r="N205" s="1"/>
    </row>
    <row r="206" spans="1:14" x14ac:dyDescent="0.35">
      <c r="A206" s="5" t="s">
        <v>5</v>
      </c>
      <c r="B206" s="5" t="s">
        <v>6</v>
      </c>
      <c r="C206" s="5" t="s">
        <v>7</v>
      </c>
      <c r="D206" t="s">
        <v>815</v>
      </c>
      <c r="E206" t="s">
        <v>8</v>
      </c>
      <c r="F206" s="1">
        <f>F207</f>
        <v>1.1846305391341421</v>
      </c>
      <c r="G206" s="1">
        <f t="shared" ref="G206:L206" si="199">G207</f>
        <v>0.43365821567148233</v>
      </c>
      <c r="H206" s="1">
        <f t="shared" si="199"/>
        <v>0.50879080717686853</v>
      </c>
      <c r="I206" s="1">
        <f t="shared" si="199"/>
        <v>2.7910833511593554</v>
      </c>
      <c r="J206" s="1">
        <f t="shared" si="199"/>
        <v>2.8394817389849676</v>
      </c>
      <c r="K206" s="1">
        <f t="shared" si="199"/>
        <v>2.7616997178557865</v>
      </c>
      <c r="L206" s="1">
        <f t="shared" si="199"/>
        <v>5.1469417232758765</v>
      </c>
      <c r="N206" s="1"/>
    </row>
    <row r="207" spans="1:14" x14ac:dyDescent="0.35">
      <c r="A207" s="5" t="s">
        <v>5</v>
      </c>
      <c r="B207" s="5" t="s">
        <v>6</v>
      </c>
      <c r="C207" s="5" t="s">
        <v>7</v>
      </c>
      <c r="D207" t="s">
        <v>161</v>
      </c>
      <c r="E207" t="s">
        <v>8</v>
      </c>
      <c r="F207" s="1">
        <f>'[1]Electricity and CHPs'!B$92</f>
        <v>1.1846305391341421</v>
      </c>
      <c r="G207" s="1">
        <f>'[1]Electricity and CHPs'!C$92</f>
        <v>0.43365821567148233</v>
      </c>
      <c r="H207" s="1">
        <f>'[1]Electricity and CHPs'!D$92</f>
        <v>0.50879080717686853</v>
      </c>
      <c r="I207" s="1">
        <f>'[1]Electricity and CHPs'!E$92</f>
        <v>2.7910833511593554</v>
      </c>
      <c r="J207" s="1">
        <f>'[2]Electricity and CHPs'!F$92</f>
        <v>2.8394817389849676</v>
      </c>
      <c r="K207" s="1">
        <f>'[2]Electricity and CHPs'!G$92</f>
        <v>2.7616997178557865</v>
      </c>
      <c r="L207" s="1">
        <f>'[2]Electricity and CHPs'!H$92</f>
        <v>5.1469417232758765</v>
      </c>
      <c r="N207" s="1"/>
    </row>
    <row r="208" spans="1:14" x14ac:dyDescent="0.35">
      <c r="A208" s="5" t="s">
        <v>5</v>
      </c>
      <c r="B208" s="5" t="s">
        <v>6</v>
      </c>
      <c r="C208" s="5" t="s">
        <v>7</v>
      </c>
      <c r="D208" t="s">
        <v>816</v>
      </c>
      <c r="E208" t="s">
        <v>8</v>
      </c>
      <c r="F208" s="1">
        <f>+F209</f>
        <v>0</v>
      </c>
      <c r="G208" s="1">
        <f t="shared" ref="G208:L208" si="200">+G209</f>
        <v>0</v>
      </c>
      <c r="H208" s="1">
        <f t="shared" si="200"/>
        <v>0</v>
      </c>
      <c r="I208" s="1">
        <f t="shared" si="200"/>
        <v>0</v>
      </c>
      <c r="J208" s="1">
        <f t="shared" si="200"/>
        <v>0</v>
      </c>
      <c r="K208" s="1">
        <f t="shared" si="200"/>
        <v>0</v>
      </c>
      <c r="L208" s="1">
        <f t="shared" si="200"/>
        <v>0</v>
      </c>
      <c r="N208" s="1"/>
    </row>
    <row r="209" spans="1:14" x14ac:dyDescent="0.35">
      <c r="A209" s="5" t="s">
        <v>5</v>
      </c>
      <c r="B209" s="5" t="s">
        <v>6</v>
      </c>
      <c r="C209" s="5" t="s">
        <v>7</v>
      </c>
      <c r="D209" t="s">
        <v>162</v>
      </c>
      <c r="E209" t="s">
        <v>8</v>
      </c>
      <c r="F209" s="1">
        <f>'[1]Electricity and CHPs'!B$96</f>
        <v>0</v>
      </c>
      <c r="G209" s="1">
        <f>'[1]Electricity and CHPs'!C$96</f>
        <v>0</v>
      </c>
      <c r="H209" s="1">
        <f>'[1]Electricity and CHPs'!D$96</f>
        <v>0</v>
      </c>
      <c r="I209" s="1">
        <f>'[1]Electricity and CHPs'!E$96</f>
        <v>0</v>
      </c>
      <c r="J209" s="1">
        <f>'[2]Electricity and CHPs'!F$96</f>
        <v>0</v>
      </c>
      <c r="K209" s="1">
        <f>'[2]Electricity and CHPs'!G$96</f>
        <v>0</v>
      </c>
      <c r="L209" s="1">
        <f>'[2]Electricity and CHPs'!H$96</f>
        <v>0</v>
      </c>
      <c r="N209" s="1"/>
    </row>
    <row r="210" spans="1:14" x14ac:dyDescent="0.35">
      <c r="A210" s="5" t="s">
        <v>5</v>
      </c>
      <c r="B210" s="5" t="s">
        <v>6</v>
      </c>
      <c r="C210" s="5" t="s">
        <v>7</v>
      </c>
      <c r="D210" t="s">
        <v>817</v>
      </c>
      <c r="E210" t="str">
        <f>E167</f>
        <v>PJ/yr.</v>
      </c>
      <c r="F210" s="1">
        <f>SUM(F211,F217,F219,F225,F227,F229,F231)</f>
        <v>7.0492013216112905</v>
      </c>
      <c r="G210" s="1">
        <f t="shared" ref="G210:K210" si="201">SUM(G211,G217,G219,G225,G227,G229,G231)</f>
        <v>15.860170384603528</v>
      </c>
      <c r="H210" s="1">
        <f t="shared" si="201"/>
        <v>14.989187562492127</v>
      </c>
      <c r="I210" s="1">
        <f t="shared" si="201"/>
        <v>11.746172500799309</v>
      </c>
      <c r="J210" s="1">
        <f t="shared" si="201"/>
        <v>10.359647871943537</v>
      </c>
      <c r="K210" s="1">
        <f t="shared" si="201"/>
        <v>9.2229402832491925</v>
      </c>
      <c r="L210" s="1">
        <f t="shared" ref="L210" si="202">SUM(L211,L217,L219,L225,L227,L229,L231)</f>
        <v>7.9654434347136984</v>
      </c>
      <c r="N210" s="1"/>
    </row>
    <row r="211" spans="1:14" x14ac:dyDescent="0.35">
      <c r="A211" s="5" t="s">
        <v>5</v>
      </c>
      <c r="B211" s="5" t="s">
        <v>6</v>
      </c>
      <c r="C211" s="5" t="s">
        <v>7</v>
      </c>
      <c r="D211" t="s">
        <v>818</v>
      </c>
      <c r="E211" t="str">
        <f>E170</f>
        <v>PJ/yr.</v>
      </c>
      <c r="F211" s="1">
        <f>+F212</f>
        <v>2.6346799777219534</v>
      </c>
      <c r="G211" s="1">
        <f t="shared" ref="G211:L211" si="203">+G212</f>
        <v>2.3674893024133521</v>
      </c>
      <c r="H211" s="1">
        <f t="shared" si="203"/>
        <v>1.7176073155507117</v>
      </c>
      <c r="I211" s="1">
        <f t="shared" si="203"/>
        <v>3.9346728002151905</v>
      </c>
      <c r="J211" s="1">
        <f t="shared" si="203"/>
        <v>2.7483274064790968</v>
      </c>
      <c r="K211" s="1">
        <f t="shared" si="203"/>
        <v>2.7482848659101586</v>
      </c>
      <c r="L211" s="1">
        <f t="shared" si="203"/>
        <v>1.0376994391136813</v>
      </c>
      <c r="N211" s="1"/>
    </row>
    <row r="212" spans="1:14" x14ac:dyDescent="0.35">
      <c r="A212" s="5" t="s">
        <v>5</v>
      </c>
      <c r="B212" s="5" t="s">
        <v>6</v>
      </c>
      <c r="C212" s="5" t="s">
        <v>7</v>
      </c>
      <c r="D212" t="s">
        <v>163</v>
      </c>
      <c r="E212" t="str">
        <f>E171</f>
        <v>PJ/yr.</v>
      </c>
      <c r="F212" s="1">
        <f>'[1]Electricity and CHPs'!B$97+F216</f>
        <v>2.6346799777219534</v>
      </c>
      <c r="G212" s="1">
        <f>'[1]Electricity and CHPs'!C$97+G216</f>
        <v>2.3674893024133521</v>
      </c>
      <c r="H212" s="1">
        <f>'[1]Electricity and CHPs'!D$97+H216</f>
        <v>1.7176073155507117</v>
      </c>
      <c r="I212" s="1">
        <f>'[1]Electricity and CHPs'!E$97+I216</f>
        <v>3.9346728002151905</v>
      </c>
      <c r="J212" s="1">
        <f>'[2]Electricity and CHPs'!F$97+J216</f>
        <v>2.7483274064790968</v>
      </c>
      <c r="K212" s="1">
        <f>'[2]Electricity and CHPs'!G$97+K216</f>
        <v>2.7482848659101586</v>
      </c>
      <c r="L212" s="1">
        <f>'[2]Electricity and CHPs'!H$97+L216</f>
        <v>1.0376994391136813</v>
      </c>
      <c r="N212" s="1"/>
    </row>
    <row r="213" spans="1:14" x14ac:dyDescent="0.35">
      <c r="A213" s="5"/>
      <c r="B213" s="5" t="str">
        <f>B212</f>
        <v>SPS1</v>
      </c>
      <c r="C213" s="5" t="str">
        <f>C212</f>
        <v>CH</v>
      </c>
      <c r="D213" t="s">
        <v>821</v>
      </c>
      <c r="E213" t="str">
        <f>E172</f>
        <v>PJ/yr.</v>
      </c>
      <c r="F213" s="1">
        <f>F214</f>
        <v>1.7329034351756449</v>
      </c>
      <c r="G213" s="1">
        <f t="shared" ref="G213:L213" si="204">G214</f>
        <v>1.4657145158969569</v>
      </c>
      <c r="H213" s="1">
        <f t="shared" si="204"/>
        <v>0.8158321377751796</v>
      </c>
      <c r="I213" s="1">
        <f t="shared" si="204"/>
        <v>3.032898443710117</v>
      </c>
      <c r="J213" s="1">
        <f t="shared" si="204"/>
        <v>1.8465504698050141</v>
      </c>
      <c r="K213" s="1">
        <f t="shared" si="204"/>
        <v>1.8465074754863415</v>
      </c>
      <c r="L213" s="1">
        <f t="shared" si="204"/>
        <v>0.13592016190928269</v>
      </c>
      <c r="N213" s="1"/>
    </row>
    <row r="214" spans="1:14" x14ac:dyDescent="0.35">
      <c r="A214" s="5" t="s">
        <v>5</v>
      </c>
      <c r="B214" s="5" t="s">
        <v>6</v>
      </c>
      <c r="C214" s="5" t="s">
        <v>7</v>
      </c>
      <c r="D214" t="s">
        <v>819</v>
      </c>
      <c r="E214" t="str">
        <f>E171</f>
        <v>PJ/yr.</v>
      </c>
      <c r="F214" s="1">
        <f>F212-F216</f>
        <v>1.7329034351756449</v>
      </c>
      <c r="G214" s="1">
        <f t="shared" ref="G214:K214" si="205">G212-G216</f>
        <v>1.4657145158969569</v>
      </c>
      <c r="H214" s="1">
        <f t="shared" si="205"/>
        <v>0.8158321377751796</v>
      </c>
      <c r="I214" s="1">
        <f t="shared" si="205"/>
        <v>3.032898443710117</v>
      </c>
      <c r="J214" s="1">
        <f t="shared" si="205"/>
        <v>1.8465504698050141</v>
      </c>
      <c r="K214" s="1">
        <f t="shared" si="205"/>
        <v>1.8465074754863415</v>
      </c>
      <c r="L214" s="1">
        <f t="shared" ref="L214" si="206">L212-L216</f>
        <v>0.13592016190928269</v>
      </c>
      <c r="N214" s="1"/>
    </row>
    <row r="215" spans="1:14" x14ac:dyDescent="0.35">
      <c r="A215" s="5"/>
      <c r="B215" s="5" t="str">
        <f>B214</f>
        <v>SPS1</v>
      </c>
      <c r="C215" s="5" t="str">
        <f>C214</f>
        <v>CH</v>
      </c>
      <c r="D215" t="s">
        <v>823</v>
      </c>
      <c r="E215" t="str">
        <f>E172</f>
        <v>PJ/yr.</v>
      </c>
      <c r="F215" s="1">
        <f>F216</f>
        <v>0.90177654254630846</v>
      </c>
      <c r="G215" s="1">
        <f t="shared" ref="G215:L215" si="207">G216</f>
        <v>0.9017747865163952</v>
      </c>
      <c r="H215" s="1">
        <f t="shared" si="207"/>
        <v>0.90177517777553207</v>
      </c>
      <c r="I215" s="1">
        <f t="shared" si="207"/>
        <v>0.90177435650507365</v>
      </c>
      <c r="J215" s="1">
        <f t="shared" si="207"/>
        <v>0.90177693667408276</v>
      </c>
      <c r="K215" s="1">
        <f t="shared" si="207"/>
        <v>0.9017773904238171</v>
      </c>
      <c r="L215" s="1">
        <f t="shared" si="207"/>
        <v>0.90177927720439865</v>
      </c>
      <c r="N215" s="1"/>
    </row>
    <row r="216" spans="1:14" x14ac:dyDescent="0.35">
      <c r="A216" s="5" t="s">
        <v>5</v>
      </c>
      <c r="B216" s="5" t="s">
        <v>6</v>
      </c>
      <c r="C216" s="5" t="s">
        <v>7</v>
      </c>
      <c r="D216" t="s">
        <v>820</v>
      </c>
      <c r="E216" t="str">
        <f>E172</f>
        <v>PJ/yr.</v>
      </c>
      <c r="F216" s="1">
        <f>'[1]Electricity and CHPs'!B$98</f>
        <v>0.90177654254630846</v>
      </c>
      <c r="G216" s="1">
        <f>'[1]Electricity and CHPs'!C$98</f>
        <v>0.9017747865163952</v>
      </c>
      <c r="H216" s="1">
        <f>'[1]Electricity and CHPs'!D$98</f>
        <v>0.90177517777553207</v>
      </c>
      <c r="I216" s="1">
        <f>'[1]Electricity and CHPs'!E$98</f>
        <v>0.90177435650507365</v>
      </c>
      <c r="J216" s="1">
        <f>'[2]Electricity and CHPs'!F$98</f>
        <v>0.90177693667408276</v>
      </c>
      <c r="K216" s="1">
        <f>'[2]Electricity and CHPs'!G$98</f>
        <v>0.9017773904238171</v>
      </c>
      <c r="L216" s="1">
        <f>'[2]Electricity and CHPs'!H$98</f>
        <v>0.90177927720439865</v>
      </c>
      <c r="N216" s="1"/>
    </row>
    <row r="217" spans="1:14" x14ac:dyDescent="0.35">
      <c r="A217" s="5" t="s">
        <v>5</v>
      </c>
      <c r="B217" s="5" t="s">
        <v>6</v>
      </c>
      <c r="C217" s="5" t="s">
        <v>7</v>
      </c>
      <c r="D217" t="s">
        <v>824</v>
      </c>
      <c r="E217" t="str">
        <f>E172</f>
        <v>PJ/yr.</v>
      </c>
      <c r="F217" s="1">
        <f>+F218</f>
        <v>2.9000157579919024</v>
      </c>
      <c r="G217" s="1">
        <f t="shared" ref="G217:L217" si="208">+G218</f>
        <v>7.6038350689429333</v>
      </c>
      <c r="H217" s="1">
        <f t="shared" si="208"/>
        <v>7.6029700964530829</v>
      </c>
      <c r="I217" s="1">
        <f t="shared" si="208"/>
        <v>2.1392835595942317</v>
      </c>
      <c r="J217" s="1">
        <f t="shared" si="208"/>
        <v>1.2999674176172669</v>
      </c>
      <c r="K217" s="1">
        <f t="shared" si="208"/>
        <v>0</v>
      </c>
      <c r="L217" s="1">
        <f t="shared" si="208"/>
        <v>0</v>
      </c>
      <c r="N217" s="1"/>
    </row>
    <row r="218" spans="1:14" x14ac:dyDescent="0.35">
      <c r="A218" s="5" t="s">
        <v>5</v>
      </c>
      <c r="B218" s="5" t="s">
        <v>6</v>
      </c>
      <c r="C218" s="5" t="s">
        <v>7</v>
      </c>
      <c r="D218" t="s">
        <v>164</v>
      </c>
      <c r="E218" t="str">
        <f>E173</f>
        <v>PJ/yr.</v>
      </c>
      <c r="F218" s="1">
        <f>'[1]Electricity and CHPs'!B$99</f>
        <v>2.9000157579919024</v>
      </c>
      <c r="G218" s="1">
        <f>'[1]Electricity and CHPs'!C$99</f>
        <v>7.6038350689429333</v>
      </c>
      <c r="H218" s="1">
        <f>'[1]Electricity and CHPs'!D$99</f>
        <v>7.6029700964530829</v>
      </c>
      <c r="I218" s="1">
        <f>'[1]Electricity and CHPs'!E$99</f>
        <v>2.1392835595942317</v>
      </c>
      <c r="J218" s="1">
        <f>'[2]Electricity and CHPs'!F$99</f>
        <v>1.2999674176172669</v>
      </c>
      <c r="K218" s="1">
        <f>'[2]Electricity and CHPs'!G$99</f>
        <v>0</v>
      </c>
      <c r="L218" s="1">
        <f>'[2]Electricity and CHPs'!H$99</f>
        <v>0</v>
      </c>
      <c r="N218" s="1"/>
    </row>
    <row r="219" spans="1:14" x14ac:dyDescent="0.35">
      <c r="A219" s="5" t="s">
        <v>5</v>
      </c>
      <c r="B219" s="5" t="s">
        <v>6</v>
      </c>
      <c r="C219" s="5" t="s">
        <v>7</v>
      </c>
      <c r="D219" t="s">
        <v>825</v>
      </c>
      <c r="E219" t="str">
        <f>E173</f>
        <v>PJ/yr.</v>
      </c>
      <c r="F219" s="1">
        <f>+F220</f>
        <v>0.18406930057918613</v>
      </c>
      <c r="G219" s="1">
        <f t="shared" ref="G219:L219" si="209">+G220</f>
        <v>0.18582287704850181</v>
      </c>
      <c r="H219" s="1">
        <f t="shared" si="209"/>
        <v>4.1569472738406187E-4</v>
      </c>
      <c r="I219" s="1">
        <f t="shared" si="209"/>
        <v>2.707221857956106E-4</v>
      </c>
      <c r="J219" s="1">
        <f t="shared" si="209"/>
        <v>3.0102025494782364E-4</v>
      </c>
      <c r="K219" s="1">
        <f t="shared" si="209"/>
        <v>3.1780138769486698E-4</v>
      </c>
      <c r="L219" s="1">
        <f t="shared" si="209"/>
        <v>1.7865420483973349E-4</v>
      </c>
      <c r="N219" s="1"/>
    </row>
    <row r="220" spans="1:14" x14ac:dyDescent="0.35">
      <c r="A220" s="5" t="s">
        <v>5</v>
      </c>
      <c r="B220" s="5" t="s">
        <v>6</v>
      </c>
      <c r="C220" s="5" t="s">
        <v>7</v>
      </c>
      <c r="D220" t="s">
        <v>165</v>
      </c>
      <c r="E220" t="str">
        <f>E174</f>
        <v>PJ/yr.</v>
      </c>
      <c r="F220" s="1">
        <f>'[1]Electricity and CHPs'!B$100</f>
        <v>0.18406930057918613</v>
      </c>
      <c r="G220" s="1">
        <f>'[1]Electricity and CHPs'!C$100</f>
        <v>0.18582287704850181</v>
      </c>
      <c r="H220" s="1">
        <f>'[1]Electricity and CHPs'!D$100</f>
        <v>4.1569472738406187E-4</v>
      </c>
      <c r="I220" s="1">
        <f>'[1]Electricity and CHPs'!E$100</f>
        <v>2.707221857956106E-4</v>
      </c>
      <c r="J220" s="1">
        <f>'[2]Electricity and CHPs'!F$100</f>
        <v>3.0102025494782364E-4</v>
      </c>
      <c r="K220" s="1">
        <f>'[2]Electricity and CHPs'!G$100</f>
        <v>3.1780138769486698E-4</v>
      </c>
      <c r="L220" s="1">
        <f>'[2]Electricity and CHPs'!H$100</f>
        <v>1.7865420483973349E-4</v>
      </c>
      <c r="N220" s="1"/>
    </row>
    <row r="221" spans="1:14" x14ac:dyDescent="0.35">
      <c r="A221" s="5"/>
      <c r="B221" s="5" t="s">
        <v>6</v>
      </c>
      <c r="C221" s="5" t="s">
        <v>7</v>
      </c>
      <c r="D221" t="s">
        <v>826</v>
      </c>
      <c r="E221" t="str">
        <f>E173</f>
        <v>PJ/yr.</v>
      </c>
      <c r="F221" s="1">
        <f>F222</f>
        <v>0.18406930057918613</v>
      </c>
      <c r="G221" s="1">
        <f t="shared" ref="G221:L221" si="210">G222</f>
        <v>0.18582287704850181</v>
      </c>
      <c r="H221" s="1">
        <f t="shared" si="210"/>
        <v>4.1569472738406187E-4</v>
      </c>
      <c r="I221" s="1">
        <f t="shared" si="210"/>
        <v>2.707221857956106E-4</v>
      </c>
      <c r="J221" s="1">
        <f t="shared" si="210"/>
        <v>3.0102025494782364E-4</v>
      </c>
      <c r="K221" s="1">
        <f t="shared" si="210"/>
        <v>3.1780138769486698E-4</v>
      </c>
      <c r="L221" s="1">
        <f t="shared" si="210"/>
        <v>1.7865420483973349E-4</v>
      </c>
      <c r="N221" s="1"/>
    </row>
    <row r="222" spans="1:14" x14ac:dyDescent="0.35">
      <c r="A222" s="5" t="s">
        <v>5</v>
      </c>
      <c r="B222" s="5" t="s">
        <v>6</v>
      </c>
      <c r="C222" s="5" t="s">
        <v>7</v>
      </c>
      <c r="D222" t="s">
        <v>518</v>
      </c>
      <c r="E222" t="str">
        <f>E174</f>
        <v>PJ/yr.</v>
      </c>
      <c r="F222" s="1">
        <f>F220-F224</f>
        <v>0.18406930057918613</v>
      </c>
      <c r="G222" s="1">
        <f t="shared" ref="G222:K222" si="211">G220-G224</f>
        <v>0.18582287704850181</v>
      </c>
      <c r="H222" s="1">
        <f t="shared" si="211"/>
        <v>4.1569472738406187E-4</v>
      </c>
      <c r="I222" s="1">
        <f t="shared" si="211"/>
        <v>2.707221857956106E-4</v>
      </c>
      <c r="J222" s="1">
        <f t="shared" si="211"/>
        <v>3.0102025494782364E-4</v>
      </c>
      <c r="K222" s="1">
        <f t="shared" si="211"/>
        <v>3.1780138769486698E-4</v>
      </c>
      <c r="L222" s="1">
        <f t="shared" ref="L222" si="212">L220-L224</f>
        <v>1.7865420483973349E-4</v>
      </c>
      <c r="N222" s="1"/>
    </row>
    <row r="223" spans="1:14" x14ac:dyDescent="0.35">
      <c r="A223" s="5"/>
      <c r="B223" s="5" t="s">
        <v>6</v>
      </c>
      <c r="C223" s="5" t="s">
        <v>7</v>
      </c>
      <c r="D223" t="s">
        <v>827</v>
      </c>
      <c r="E223" t="str">
        <f>E174</f>
        <v>PJ/yr.</v>
      </c>
      <c r="F223" s="1">
        <f>F224</f>
        <v>0</v>
      </c>
      <c r="G223" s="1">
        <f t="shared" ref="G223:L223" si="213">G224</f>
        <v>0</v>
      </c>
      <c r="H223" s="1">
        <f t="shared" si="213"/>
        <v>0</v>
      </c>
      <c r="I223" s="1">
        <f t="shared" si="213"/>
        <v>0</v>
      </c>
      <c r="J223" s="1">
        <f t="shared" si="213"/>
        <v>0</v>
      </c>
      <c r="K223" s="1">
        <f t="shared" si="213"/>
        <v>0</v>
      </c>
      <c r="L223" s="1">
        <f t="shared" si="213"/>
        <v>0</v>
      </c>
      <c r="N223" s="1"/>
    </row>
    <row r="224" spans="1:14" x14ac:dyDescent="0.35">
      <c r="A224" s="5" t="s">
        <v>5</v>
      </c>
      <c r="B224" s="5" t="s">
        <v>6</v>
      </c>
      <c r="C224" s="5" t="s">
        <v>7</v>
      </c>
      <c r="D224" t="s">
        <v>542</v>
      </c>
      <c r="E224" t="str">
        <f>E175</f>
        <v>PJ/yr.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N224" s="1"/>
    </row>
    <row r="225" spans="1:14" x14ac:dyDescent="0.35">
      <c r="A225" s="5" t="s">
        <v>5</v>
      </c>
      <c r="B225" s="5" t="s">
        <v>6</v>
      </c>
      <c r="C225" s="5" t="s">
        <v>7</v>
      </c>
      <c r="D225" t="s">
        <v>828</v>
      </c>
      <c r="E225" t="str">
        <f>E174</f>
        <v>PJ/yr.</v>
      </c>
      <c r="F225" s="1">
        <f>+F226</f>
        <v>1.3304362853182492</v>
      </c>
      <c r="G225" s="1">
        <f t="shared" ref="G225:L225" si="214">+G226</f>
        <v>1.2007174356058459</v>
      </c>
      <c r="H225" s="1">
        <f t="shared" si="214"/>
        <v>1.0294642410766712</v>
      </c>
      <c r="I225" s="1">
        <f t="shared" si="214"/>
        <v>0.79658032335149787</v>
      </c>
      <c r="J225" s="1">
        <f t="shared" si="214"/>
        <v>0.57257076860489076</v>
      </c>
      <c r="K225" s="1">
        <f t="shared" si="214"/>
        <v>0.44304911078810477</v>
      </c>
      <c r="L225" s="1">
        <f t="shared" si="214"/>
        <v>0.26527808109982576</v>
      </c>
      <c r="N225" s="1"/>
    </row>
    <row r="226" spans="1:14" x14ac:dyDescent="0.35">
      <c r="A226" s="5" t="s">
        <v>5</v>
      </c>
      <c r="B226" s="5" t="s">
        <v>6</v>
      </c>
      <c r="C226" s="5" t="s">
        <v>7</v>
      </c>
      <c r="D226" t="s">
        <v>166</v>
      </c>
      <c r="E226" t="str">
        <f>E175</f>
        <v>PJ/yr.</v>
      </c>
      <c r="F226" s="1">
        <f>'[1]Electricity and CHPs'!B$101</f>
        <v>1.3304362853182492</v>
      </c>
      <c r="G226" s="1">
        <f>'[1]Electricity and CHPs'!C$101</f>
        <v>1.2007174356058459</v>
      </c>
      <c r="H226" s="1">
        <f>'[1]Electricity and CHPs'!D$101</f>
        <v>1.0294642410766712</v>
      </c>
      <c r="I226" s="1">
        <f>'[1]Electricity and CHPs'!E$101</f>
        <v>0.79658032335149787</v>
      </c>
      <c r="J226" s="1">
        <f>'[2]Electricity and CHPs'!F$101</f>
        <v>0.57257076860489076</v>
      </c>
      <c r="K226" s="1">
        <f>'[2]Electricity and CHPs'!G$101</f>
        <v>0.44304911078810477</v>
      </c>
      <c r="L226" s="1">
        <f>'[2]Electricity and CHPs'!H$101</f>
        <v>0.26527808109982576</v>
      </c>
      <c r="N226" s="1"/>
    </row>
    <row r="227" spans="1:14" x14ac:dyDescent="0.35">
      <c r="A227" s="5" t="s">
        <v>5</v>
      </c>
      <c r="B227" s="5" t="s">
        <v>6</v>
      </c>
      <c r="C227" s="5" t="s">
        <v>7</v>
      </c>
      <c r="D227" t="s">
        <v>829</v>
      </c>
      <c r="E227" t="str">
        <f>E175</f>
        <v>PJ/yr.</v>
      </c>
      <c r="F227" s="1">
        <f>+F228</f>
        <v>0</v>
      </c>
      <c r="G227" s="1">
        <f t="shared" ref="G227:L227" si="215">+G228</f>
        <v>0</v>
      </c>
      <c r="H227" s="1">
        <f t="shared" si="215"/>
        <v>0</v>
      </c>
      <c r="I227" s="1">
        <f t="shared" si="215"/>
        <v>1.2934234108348537E-5</v>
      </c>
      <c r="J227" s="1">
        <f t="shared" si="215"/>
        <v>3.641452610735162E-5</v>
      </c>
      <c r="K227" s="1">
        <f t="shared" si="215"/>
        <v>3.7103000549189045E-5</v>
      </c>
      <c r="L227" s="1">
        <f t="shared" si="215"/>
        <v>3.7447569727071973E-5</v>
      </c>
      <c r="N227" s="1"/>
    </row>
    <row r="228" spans="1:14" x14ac:dyDescent="0.35">
      <c r="A228" s="5" t="s">
        <v>5</v>
      </c>
      <c r="B228" s="5" t="s">
        <v>6</v>
      </c>
      <c r="C228" s="5" t="s">
        <v>7</v>
      </c>
      <c r="D228" t="s">
        <v>167</v>
      </c>
      <c r="E228" t="str">
        <f>E176</f>
        <v>PJ/yr.</v>
      </c>
      <c r="F228" s="1">
        <f>'[1]Electricity and CHPs'!B$102</f>
        <v>0</v>
      </c>
      <c r="G228" s="1">
        <f>'[1]Electricity and CHPs'!C$102</f>
        <v>0</v>
      </c>
      <c r="H228" s="1">
        <f>'[1]Electricity and CHPs'!D$102</f>
        <v>0</v>
      </c>
      <c r="I228" s="1">
        <f>'[1]Electricity and CHPs'!E$102</f>
        <v>1.2934234108348537E-5</v>
      </c>
      <c r="J228" s="1">
        <f>'[2]Electricity and CHPs'!F$102</f>
        <v>3.641452610735162E-5</v>
      </c>
      <c r="K228" s="1">
        <f>'[2]Electricity and CHPs'!G$102</f>
        <v>3.7103000549189045E-5</v>
      </c>
      <c r="L228" s="1">
        <f>'[2]Electricity and CHPs'!H$102</f>
        <v>3.7447569727071973E-5</v>
      </c>
      <c r="N228" s="1"/>
    </row>
    <row r="229" spans="1:14" x14ac:dyDescent="0.35">
      <c r="A229" s="5" t="s">
        <v>5</v>
      </c>
      <c r="B229" s="5" t="s">
        <v>6</v>
      </c>
      <c r="C229" s="5" t="s">
        <v>7</v>
      </c>
      <c r="D229" t="s">
        <v>830</v>
      </c>
      <c r="E229" t="str">
        <f>E176</f>
        <v>PJ/yr.</v>
      </c>
      <c r="F229" s="1">
        <f>+F230</f>
        <v>0</v>
      </c>
      <c r="G229" s="1">
        <f t="shared" ref="G229:L229" si="216">+G230</f>
        <v>0</v>
      </c>
      <c r="H229" s="1">
        <f t="shared" si="216"/>
        <v>0</v>
      </c>
      <c r="I229" s="1">
        <f t="shared" si="216"/>
        <v>0</v>
      </c>
      <c r="J229" s="1">
        <f t="shared" si="216"/>
        <v>0</v>
      </c>
      <c r="K229" s="1">
        <f t="shared" si="216"/>
        <v>8.7486087920448762E-5</v>
      </c>
      <c r="L229" s="1">
        <f t="shared" si="216"/>
        <v>9.1302239376538205E-5</v>
      </c>
      <c r="N229" s="1"/>
    </row>
    <row r="230" spans="1:14" x14ac:dyDescent="0.35">
      <c r="A230" s="5" t="s">
        <v>5</v>
      </c>
      <c r="B230" s="5" t="s">
        <v>6</v>
      </c>
      <c r="C230" s="5" t="s">
        <v>7</v>
      </c>
      <c r="D230" t="s">
        <v>233</v>
      </c>
      <c r="E230" t="str">
        <f>E177</f>
        <v>PJ/yr.</v>
      </c>
      <c r="F230" s="1">
        <f>'[1]Electricity and CHPs'!B$90</f>
        <v>0</v>
      </c>
      <c r="G230" s="1">
        <f>'[1]Electricity and CHPs'!C$90</f>
        <v>0</v>
      </c>
      <c r="H230" s="1">
        <f>'[1]Electricity and CHPs'!D$90</f>
        <v>0</v>
      </c>
      <c r="I230" s="1">
        <f>'[1]Electricity and CHPs'!E$90</f>
        <v>0</v>
      </c>
      <c r="J230" s="1">
        <f>'[2]Electricity and CHPs'!F$90</f>
        <v>0</v>
      </c>
      <c r="K230" s="1">
        <f>'[2]Electricity and CHPs'!G$90</f>
        <v>8.7486087920448762E-5</v>
      </c>
      <c r="L230" s="1">
        <f>'[2]Electricity and CHPs'!H$90</f>
        <v>9.1302239376538205E-5</v>
      </c>
      <c r="N230" s="1"/>
    </row>
    <row r="231" spans="1:14" x14ac:dyDescent="0.35">
      <c r="A231" s="5" t="s">
        <v>5</v>
      </c>
      <c r="B231" s="5" t="s">
        <v>6</v>
      </c>
      <c r="C231" s="5" t="s">
        <v>7</v>
      </c>
      <c r="D231" t="s">
        <v>831</v>
      </c>
      <c r="E231" t="str">
        <f>E176</f>
        <v>PJ/yr.</v>
      </c>
      <c r="F231" s="1">
        <f>+F232</f>
        <v>0</v>
      </c>
      <c r="G231" s="1">
        <f t="shared" ref="G231:L231" si="217">+G232</f>
        <v>4.5023057005928955</v>
      </c>
      <c r="H231" s="1">
        <f t="shared" si="217"/>
        <v>4.638730214684279</v>
      </c>
      <c r="I231" s="1">
        <f t="shared" si="217"/>
        <v>4.8753521612184842</v>
      </c>
      <c r="J231" s="1">
        <f t="shared" si="217"/>
        <v>5.7384448444612266</v>
      </c>
      <c r="K231" s="1">
        <f t="shared" si="217"/>
        <v>6.0311639160747648</v>
      </c>
      <c r="L231" s="1">
        <f t="shared" si="217"/>
        <v>6.6621585104862477</v>
      </c>
      <c r="N231" s="1"/>
    </row>
    <row r="232" spans="1:14" x14ac:dyDescent="0.35">
      <c r="A232" s="5" t="s">
        <v>5</v>
      </c>
      <c r="B232" s="5" t="s">
        <v>6</v>
      </c>
      <c r="C232" s="5" t="s">
        <v>7</v>
      </c>
      <c r="D232" t="s">
        <v>832</v>
      </c>
      <c r="E232" t="str">
        <f>E177</f>
        <v>PJ/yr.</v>
      </c>
      <c r="F232" s="1">
        <f>'[1]Electricity and CHPs'!B$123</f>
        <v>0</v>
      </c>
      <c r="G232" s="1">
        <f>'[1]Electricity and CHPs'!C$123</f>
        <v>4.5023057005928955</v>
      </c>
      <c r="H232" s="1">
        <f>'[1]Electricity and CHPs'!D$123</f>
        <v>4.638730214684279</v>
      </c>
      <c r="I232" s="1">
        <f>'[1]Electricity and CHPs'!E$123</f>
        <v>4.8753521612184842</v>
      </c>
      <c r="J232" s="1">
        <f>'[2]Electricity and CHPs'!F$123</f>
        <v>5.7384448444612266</v>
      </c>
      <c r="K232" s="1">
        <f>'[2]Electricity and CHPs'!G$123</f>
        <v>6.0311639160747648</v>
      </c>
      <c r="L232" s="1">
        <f>'[2]Electricity and CHPs'!H$123</f>
        <v>6.6621585104862477</v>
      </c>
      <c r="N232" s="1"/>
    </row>
    <row r="233" spans="1:14" x14ac:dyDescent="0.35">
      <c r="A233" s="5" t="s">
        <v>5</v>
      </c>
      <c r="B233" s="5" t="s">
        <v>6</v>
      </c>
      <c r="C233" s="5" t="s">
        <v>7</v>
      </c>
      <c r="D233" t="s">
        <v>833</v>
      </c>
      <c r="E233" t="str">
        <f>E171</f>
        <v>PJ/yr.</v>
      </c>
      <c r="F233" s="1">
        <f>SUM(F234,F240,F273,F282,F288)</f>
        <v>6.5009470772349456</v>
      </c>
      <c r="G233" s="1">
        <f t="shared" ref="G233:K233" si="218">SUM(G234,G240,G273,G282,G288)</f>
        <v>8.0486837207277411</v>
      </c>
      <c r="H233" s="1">
        <f t="shared" si="218"/>
        <v>6.409664576602859</v>
      </c>
      <c r="I233" s="1">
        <f t="shared" si="218"/>
        <v>7.5709034064255167</v>
      </c>
      <c r="J233" s="1">
        <f t="shared" si="218"/>
        <v>18.746274053015423</v>
      </c>
      <c r="K233" s="1">
        <f t="shared" si="218"/>
        <v>24.390639773354533</v>
      </c>
      <c r="L233" s="1">
        <f t="shared" ref="L233" si="219">SUM(L234,L240,L273,L282,L288)</f>
        <v>20.522170552816121</v>
      </c>
      <c r="N233" s="1"/>
    </row>
    <row r="234" spans="1:14" x14ac:dyDescent="0.35">
      <c r="A234" s="5" t="s">
        <v>5</v>
      </c>
      <c r="B234" s="5" t="s">
        <v>6</v>
      </c>
      <c r="C234" s="5" t="s">
        <v>7</v>
      </c>
      <c r="D234" t="s">
        <v>834</v>
      </c>
      <c r="E234" t="str">
        <f>E171</f>
        <v>PJ/yr.</v>
      </c>
      <c r="F234" s="1">
        <f>+F235</f>
        <v>0.9293540184727046</v>
      </c>
      <c r="G234" s="1">
        <f t="shared" ref="G234:L234" si="220">+G235</f>
        <v>2.0719699777675049</v>
      </c>
      <c r="H234" s="1">
        <f t="shared" si="220"/>
        <v>0.10186488424774717</v>
      </c>
      <c r="I234" s="1">
        <f t="shared" si="220"/>
        <v>1.3179018489092584</v>
      </c>
      <c r="J234" s="1">
        <f t="shared" si="220"/>
        <v>0.84102020523369847</v>
      </c>
      <c r="K234" s="1">
        <f t="shared" si="220"/>
        <v>3.4872086989233025E-2</v>
      </c>
      <c r="L234" s="1">
        <f t="shared" si="220"/>
        <v>0.33394420696755417</v>
      </c>
      <c r="N234" s="1"/>
    </row>
    <row r="235" spans="1:14" x14ac:dyDescent="0.35">
      <c r="A235" s="5" t="s">
        <v>5</v>
      </c>
      <c r="B235" s="5" t="s">
        <v>6</v>
      </c>
      <c r="C235" s="5" t="s">
        <v>7</v>
      </c>
      <c r="D235" t="s">
        <v>168</v>
      </c>
      <c r="E235" t="str">
        <f>E172</f>
        <v>PJ/yr.</v>
      </c>
      <c r="F235" s="1">
        <f>'[1]Electricity and CHPs'!B$104</f>
        <v>0.9293540184727046</v>
      </c>
      <c r="G235" s="1">
        <f>'[1]Electricity and CHPs'!C$104</f>
        <v>2.0719699777675049</v>
      </c>
      <c r="H235" s="1">
        <f>'[1]Electricity and CHPs'!D$104</f>
        <v>0.10186488424774717</v>
      </c>
      <c r="I235" s="1">
        <f>'[1]Electricity and CHPs'!E$104</f>
        <v>1.3179018489092584</v>
      </c>
      <c r="J235" s="1">
        <f>'[2]Electricity and CHPs'!F$104</f>
        <v>0.84102020523369847</v>
      </c>
      <c r="K235" s="1">
        <f>'[2]Electricity and CHPs'!G$104</f>
        <v>3.4872086989233025E-2</v>
      </c>
      <c r="L235" s="1">
        <f>'[2]Electricity and CHPs'!H$104</f>
        <v>0.33394420696755417</v>
      </c>
      <c r="N235" s="1"/>
    </row>
    <row r="236" spans="1:14" x14ac:dyDescent="0.35">
      <c r="A236" s="5"/>
      <c r="B236" s="5" t="s">
        <v>6</v>
      </c>
      <c r="C236" s="5" t="s">
        <v>7</v>
      </c>
      <c r="D236" t="s">
        <v>835</v>
      </c>
      <c r="E236" t="str">
        <f>E171</f>
        <v>PJ/yr.</v>
      </c>
      <c r="F236" s="1">
        <f>F237</f>
        <v>0.9293540184727046</v>
      </c>
      <c r="G236" s="1">
        <f t="shared" ref="G236:L236" si="221">G237</f>
        <v>2.0719699777675049</v>
      </c>
      <c r="H236" s="1">
        <f t="shared" si="221"/>
        <v>0.10186488424774717</v>
      </c>
      <c r="I236" s="1">
        <f t="shared" si="221"/>
        <v>1.3179018489092584</v>
      </c>
      <c r="J236" s="1">
        <f t="shared" si="221"/>
        <v>0.84102020523369847</v>
      </c>
      <c r="K236" s="1">
        <f t="shared" si="221"/>
        <v>3.4872086989233025E-2</v>
      </c>
      <c r="L236" s="1">
        <f t="shared" si="221"/>
        <v>0.33394420696755417</v>
      </c>
      <c r="N236" s="1"/>
    </row>
    <row r="237" spans="1:14" x14ac:dyDescent="0.35">
      <c r="A237" s="5" t="s">
        <v>5</v>
      </c>
      <c r="B237" s="5" t="s">
        <v>6</v>
      </c>
      <c r="C237" s="5" t="s">
        <v>7</v>
      </c>
      <c r="D237" t="s">
        <v>519</v>
      </c>
      <c r="E237" t="str">
        <f>E172</f>
        <v>PJ/yr.</v>
      </c>
      <c r="F237" s="1">
        <f>F235-F239</f>
        <v>0.9293540184727046</v>
      </c>
      <c r="G237" s="1">
        <f t="shared" ref="G237:K237" si="222">G235-G239</f>
        <v>2.0719699777675049</v>
      </c>
      <c r="H237" s="1">
        <f t="shared" si="222"/>
        <v>0.10186488424774717</v>
      </c>
      <c r="I237" s="1">
        <f t="shared" si="222"/>
        <v>1.3179018489092584</v>
      </c>
      <c r="J237" s="1">
        <f t="shared" si="222"/>
        <v>0.84102020523369847</v>
      </c>
      <c r="K237" s="1">
        <f t="shared" si="222"/>
        <v>3.4872086989233025E-2</v>
      </c>
      <c r="L237" s="1">
        <f t="shared" ref="L237" si="223">L235-L239</f>
        <v>0.33394420696755417</v>
      </c>
      <c r="N237" s="1"/>
    </row>
    <row r="238" spans="1:14" x14ac:dyDescent="0.35">
      <c r="A238" s="5"/>
      <c r="B238" s="5" t="s">
        <v>6</v>
      </c>
      <c r="C238" s="5" t="s">
        <v>7</v>
      </c>
      <c r="D238" t="s">
        <v>836</v>
      </c>
      <c r="E238" t="str">
        <f>E172</f>
        <v>PJ/yr.</v>
      </c>
      <c r="F238" s="1">
        <f>F239</f>
        <v>0</v>
      </c>
      <c r="G238" s="1">
        <f t="shared" ref="G238:L238" si="224">G239</f>
        <v>0</v>
      </c>
      <c r="H238" s="1">
        <f t="shared" si="224"/>
        <v>0</v>
      </c>
      <c r="I238" s="1">
        <f t="shared" si="224"/>
        <v>0</v>
      </c>
      <c r="J238" s="1">
        <f t="shared" si="224"/>
        <v>0</v>
      </c>
      <c r="K238" s="1">
        <f t="shared" si="224"/>
        <v>0</v>
      </c>
      <c r="L238" s="1">
        <f t="shared" si="224"/>
        <v>0</v>
      </c>
      <c r="N238" s="1"/>
    </row>
    <row r="239" spans="1:14" x14ac:dyDescent="0.35">
      <c r="A239" s="5" t="s">
        <v>5</v>
      </c>
      <c r="B239" s="5" t="s">
        <v>6</v>
      </c>
      <c r="C239" s="5" t="s">
        <v>7</v>
      </c>
      <c r="D239" t="s">
        <v>543</v>
      </c>
      <c r="E239" t="str">
        <f>E173</f>
        <v>PJ/yr.</v>
      </c>
      <c r="F239" s="1">
        <f t="shared" ref="F239:K239" si="225">F235*IFERROR(F81/F77,0)</f>
        <v>0</v>
      </c>
      <c r="G239" s="1">
        <f t="shared" si="225"/>
        <v>0</v>
      </c>
      <c r="H239" s="1">
        <f t="shared" si="225"/>
        <v>0</v>
      </c>
      <c r="I239" s="1">
        <f t="shared" si="225"/>
        <v>0</v>
      </c>
      <c r="J239" s="1">
        <f t="shared" si="225"/>
        <v>0</v>
      </c>
      <c r="K239" s="1">
        <f t="shared" si="225"/>
        <v>0</v>
      </c>
      <c r="L239" s="1">
        <f t="shared" ref="L239" si="226">L235*IFERROR(L81/L77,0)</f>
        <v>0</v>
      </c>
      <c r="N239" s="1"/>
    </row>
    <row r="240" spans="1:14" x14ac:dyDescent="0.35">
      <c r="A240" s="5" t="s">
        <v>5</v>
      </c>
      <c r="B240" s="5" t="s">
        <v>6</v>
      </c>
      <c r="C240" s="5" t="s">
        <v>7</v>
      </c>
      <c r="D240" t="s">
        <v>837</v>
      </c>
      <c r="E240" t="str">
        <f>E173</f>
        <v>PJ/yr.</v>
      </c>
      <c r="F240" s="1">
        <f>SUM(F241:F250)</f>
        <v>2.9771917520713913</v>
      </c>
      <c r="G240" s="1">
        <f t="shared" ref="G240:K240" si="227">SUM(G241:G250)</f>
        <v>2.5213118516814998</v>
      </c>
      <c r="H240" s="1">
        <f t="shared" si="227"/>
        <v>2.5749433001724351</v>
      </c>
      <c r="I240" s="1">
        <f t="shared" si="227"/>
        <v>2.8580806205098925</v>
      </c>
      <c r="J240" s="1">
        <f t="shared" si="227"/>
        <v>13.144755905478227</v>
      </c>
      <c r="K240" s="1">
        <f t="shared" si="227"/>
        <v>16.976056855051002</v>
      </c>
      <c r="L240" s="1">
        <f t="shared" ref="L240" si="228">SUM(L241:L250)</f>
        <v>11.897281961879209</v>
      </c>
      <c r="N240" s="1"/>
    </row>
    <row r="241" spans="1:14" x14ac:dyDescent="0.35">
      <c r="A241" s="5" t="s">
        <v>5</v>
      </c>
      <c r="B241" s="5" t="s">
        <v>6</v>
      </c>
      <c r="C241" s="5" t="s">
        <v>7</v>
      </c>
      <c r="D241" t="s">
        <v>169</v>
      </c>
      <c r="E241" t="str">
        <f>E174</f>
        <v>PJ/yr.</v>
      </c>
      <c r="F241" s="1">
        <f>'[1]Electricity and CHPs_IN'!B$39*0.75-F88-F242</f>
        <v>0.76850399701165117</v>
      </c>
      <c r="G241" s="1">
        <f>'[1]Electricity and CHPs_IN'!C$39*0.75-G88-G242</f>
        <v>0.18748163947496038</v>
      </c>
      <c r="H241" s="1">
        <f>'[1]Electricity and CHPs_IN'!D$39*0.75-H88-H242</f>
        <v>1.0630817163902475</v>
      </c>
      <c r="I241" s="1">
        <f>'[1]Electricity and CHPs_IN'!E$39*0.75-I88-I242</f>
        <v>1.534004885741481</v>
      </c>
      <c r="J241" s="1">
        <f>'[2]Electricity and CHPs'!F$103-J242</f>
        <v>1.6632801706172475</v>
      </c>
      <c r="K241" s="1">
        <f>'[2]Electricity and CHPs'!G$103-K242</f>
        <v>0.22904256400395931</v>
      </c>
      <c r="L241" s="1">
        <f>'[2]Electricity and CHPs'!H$103-L242</f>
        <v>4.9243005057068329E-2</v>
      </c>
      <c r="N241" s="1"/>
    </row>
    <row r="242" spans="1:14" x14ac:dyDescent="0.35">
      <c r="A242" s="5" t="s">
        <v>5</v>
      </c>
      <c r="B242" s="5" t="s">
        <v>6</v>
      </c>
      <c r="C242" s="5" t="s">
        <v>7</v>
      </c>
      <c r="D242" t="s">
        <v>170</v>
      </c>
      <c r="E242" t="str">
        <f>E175</f>
        <v>PJ/yr.</v>
      </c>
      <c r="F242" s="1" cm="1">
        <f t="array" ref="F242">SUMPRODUCT((ISNUMBER(SEARCH("ITOT-CHPNGACCS",[1]OUT_Electricity_CHP!$B$1:$B$10000)))*1,([1]OUT_Electricity_CHP!$C$1:$C$10000="Var_Fout")*1,([1]OUT_Electricity_CHP!$D$1:$D$10000="ITOT_LTH_CHP")*1,[1]OUT_Electricity_CHP!E$1:E$10000)</f>
        <v>0</v>
      </c>
      <c r="G242" s="1" cm="1">
        <f t="array" ref="G242">SUMPRODUCT((ISNUMBER(SEARCH("ITOT-CHPNGACCS",[1]OUT_Electricity_CHP!$B$1:$B$10000)))*1,([1]OUT_Electricity_CHP!$C$1:$C$10000="Var_Fout")*1,([1]OUT_Electricity_CHP!$D$1:$D$10000="ITOT_LTH_CHP")*1,[1]OUT_Electricity_CHP!F$1:F$10000)</f>
        <v>0</v>
      </c>
      <c r="H242" s="1" cm="1">
        <f t="array" ref="H242">SUMPRODUCT((ISNUMBER(SEARCH("ITOT-CHPNGACCS",[1]OUT_Electricity_CHP!$B$1:$B$10000)))*1,([1]OUT_Electricity_CHP!$C$1:$C$10000="Var_Fout")*1,([1]OUT_Electricity_CHP!$D$1:$D$10000="ITOT_LTH_CHP")*1,[1]OUT_Electricity_CHP!G$1:G$10000)</f>
        <v>0</v>
      </c>
      <c r="I242" s="1" cm="1">
        <f t="array" ref="I242">SUMPRODUCT((ISNUMBER(SEARCH("ITOT-CHPNGACCS",[1]OUT_Electricity_CHP!$B$1:$B$10000)))*1,([1]OUT_Electricity_CHP!$C$1:$C$10000="Var_Fout")*1,([1]OUT_Electricity_CHP!$D$1:$D$10000="ITOT_LTH_CHP")*1,[1]OUT_Electricity_CHP!H$1:H$10000)</f>
        <v>0</v>
      </c>
      <c r="J242" s="1" cm="1">
        <f t="array" ref="J242">SUMPRODUCT((ISNUMBER(SEARCH("ITOT-CHPNGACCS",[2]OUT_Electricity_CHP!$B$1:$B$10000)))*1,([2]OUT_Electricity_CHP!$C$1:$C$10000="Var_Fout")*1,([2]OUT_Electricity_CHP!$D$1:$D$10000="ITOT_LTH_CHP")*1,[2]OUT_Electricity_CHP!I$1:I$10000)</f>
        <v>0</v>
      </c>
      <c r="K242" s="1" cm="1">
        <f t="array" ref="K242">SUMPRODUCT((ISNUMBER(SEARCH("ITOT-CHPNGACCS",[2]OUT_Electricity_CHP!$B$1:$B$10000)))*1,([2]OUT_Electricity_CHP!$C$1:$C$10000="Var_Fout")*1,([2]OUT_Electricity_CHP!$D$1:$D$10000="ITOT_LTH_CHP")*1,[2]OUT_Electricity_CHP!J$1:J$10000)</f>
        <v>0</v>
      </c>
      <c r="L242" s="1" cm="1">
        <f t="array" ref="L242">SUMPRODUCT((ISNUMBER(SEARCH("ITOT-CHPNGACCS",[2]OUT_Electricity_CHP!$B$1:$B$10000)))*1,([2]OUT_Electricity_CHP!$C$1:$C$10000="Var_Fout")*1,([2]OUT_Electricity_CHP!$D$1:$D$10000="ITOT_LTH_CHP")*1,[2]OUT_Electricity_CHP!K$1:K$10000)</f>
        <v>0</v>
      </c>
      <c r="N242" s="1"/>
    </row>
    <row r="243" spans="1:14" x14ac:dyDescent="0.35">
      <c r="A243" s="5" t="s">
        <v>5</v>
      </c>
      <c r="B243" s="5" t="s">
        <v>6</v>
      </c>
      <c r="C243" s="5" t="s">
        <v>7</v>
      </c>
      <c r="D243" t="s">
        <v>171</v>
      </c>
      <c r="E243" t="str">
        <f>E176</f>
        <v>PJ/yr.</v>
      </c>
      <c r="F243" s="1">
        <f>'[1]Electricity and CHPs'!B$107</f>
        <v>0</v>
      </c>
      <c r="G243" s="1">
        <f>'[1]Electricity and CHPs'!C$107</f>
        <v>0</v>
      </c>
      <c r="H243" s="1">
        <f>'[1]Electricity and CHPs'!D$107</f>
        <v>0</v>
      </c>
      <c r="I243" s="1">
        <f>'[1]Electricity and CHPs'!E$107</f>
        <v>1.5599110263434578E-4</v>
      </c>
      <c r="J243" s="1">
        <f>'[2]Electricity and CHPs'!F$107</f>
        <v>5.8875538345964679E-4</v>
      </c>
      <c r="K243" s="1">
        <f>'[2]Electricity and CHPs'!G$107</f>
        <v>1.3943271126526011E-3</v>
      </c>
      <c r="L243" s="1">
        <f>'[2]Electricity and CHPs'!H$107</f>
        <v>7.2050882991622745E-4</v>
      </c>
      <c r="N243" s="1"/>
    </row>
    <row r="244" spans="1:14" x14ac:dyDescent="0.35">
      <c r="A244" s="5" t="s">
        <v>5</v>
      </c>
      <c r="B244" s="5" t="s">
        <v>6</v>
      </c>
      <c r="C244" s="5" t="s">
        <v>7</v>
      </c>
      <c r="D244" t="s">
        <v>172</v>
      </c>
      <c r="E244" t="str">
        <f>E199</f>
        <v>PJ/yr.</v>
      </c>
      <c r="F244" s="1">
        <f>'[1]Electricity and CHPs'!B$109</f>
        <v>3.1644494752712055E-2</v>
      </c>
      <c r="G244" s="1">
        <f>'[1]Electricity and CHPs'!C$109</f>
        <v>2.0408933499162234E-3</v>
      </c>
      <c r="H244" s="1">
        <f>'[1]Electricity and CHPs'!D$109</f>
        <v>4.6862373718019792E-3</v>
      </c>
      <c r="I244" s="1">
        <f>'[1]Electricity and CHPs'!E$109</f>
        <v>0</v>
      </c>
      <c r="J244" s="1">
        <f>'[2]Electricity and CHPs'!F$109</f>
        <v>1.6688462130454541E-2</v>
      </c>
      <c r="K244" s="1">
        <f>'[2]Electricity and CHPs'!G$109</f>
        <v>9.9294144279845568E-3</v>
      </c>
      <c r="L244" s="1">
        <f>'[2]Electricity and CHPs'!H$109</f>
        <v>5.5747530802239317E-3</v>
      </c>
      <c r="N244" s="1"/>
    </row>
    <row r="245" spans="1:14" x14ac:dyDescent="0.35">
      <c r="A245" s="5" t="s">
        <v>5</v>
      </c>
      <c r="B245" s="5" t="s">
        <v>6</v>
      </c>
      <c r="C245" s="5" t="s">
        <v>7</v>
      </c>
      <c r="D245" t="s">
        <v>173</v>
      </c>
      <c r="E245" t="str">
        <f>E201</f>
        <v>PJ/yr.</v>
      </c>
      <c r="F245" s="1">
        <f>'[1]Electricity and CHPs'!B$111</f>
        <v>0</v>
      </c>
      <c r="G245" s="1">
        <f>'[1]Electricity and CHPs'!C$111</f>
        <v>0</v>
      </c>
      <c r="H245" s="1">
        <f>'[1]Electricity and CHPs'!D$111</f>
        <v>0</v>
      </c>
      <c r="I245" s="1">
        <f>'[1]Electricity and CHPs'!E$111</f>
        <v>0</v>
      </c>
      <c r="J245" s="1">
        <f>'[2]Electricity and CHPs'!F$111</f>
        <v>0</v>
      </c>
      <c r="K245" s="1">
        <f>'[2]Electricity and CHPs'!G$111</f>
        <v>0</v>
      </c>
      <c r="L245" s="1">
        <f>'[2]Electricity and CHPs'!H$111</f>
        <v>0</v>
      </c>
      <c r="N245" s="1"/>
    </row>
    <row r="246" spans="1:14" x14ac:dyDescent="0.35">
      <c r="A246" s="5" t="s">
        <v>5</v>
      </c>
      <c r="B246" s="5" t="s">
        <v>6</v>
      </c>
      <c r="C246" s="5" t="s">
        <v>7</v>
      </c>
      <c r="D246" t="s">
        <v>174</v>
      </c>
      <c r="E246" t="str">
        <f>E202</f>
        <v>PJ/yr.</v>
      </c>
      <c r="F246" s="1">
        <f>'[1]Electricity and CHPs'!B$112</f>
        <v>6.0151544793016945E-2</v>
      </c>
      <c r="G246" s="1">
        <f>'[1]Electricity and CHPs'!C$112</f>
        <v>3.2614509627586904E-3</v>
      </c>
      <c r="H246" s="1">
        <f>'[1]Electricity and CHPs'!D$112</f>
        <v>5.4271427302747723E-3</v>
      </c>
      <c r="I246" s="1">
        <f>'[1]Electricity and CHPs'!E$112</f>
        <v>0</v>
      </c>
      <c r="J246" s="1">
        <f>'[2]Electricity and CHPs'!F$112</f>
        <v>2.4454638006668521</v>
      </c>
      <c r="K246" s="1">
        <f>'[2]Electricity and CHPs'!G$112</f>
        <v>7.7970279018213899</v>
      </c>
      <c r="L246" s="1">
        <f>'[2]Electricity and CHPs'!H$112</f>
        <v>8.6755793796292604</v>
      </c>
      <c r="N246" s="1"/>
    </row>
    <row r="247" spans="1:14" x14ac:dyDescent="0.35">
      <c r="A247" s="5" t="s">
        <v>5</v>
      </c>
      <c r="B247" s="5" t="s">
        <v>6</v>
      </c>
      <c r="C247" s="5" t="s">
        <v>7</v>
      </c>
      <c r="D247" t="s">
        <v>175</v>
      </c>
      <c r="E247" t="str">
        <f>E204</f>
        <v>PJ/yr.</v>
      </c>
      <c r="F247" s="1">
        <f>'[1]Electricity and CHPs'!B$114</f>
        <v>0</v>
      </c>
      <c r="G247" s="1">
        <f>'[1]Electricity and CHPs'!C$114</f>
        <v>0</v>
      </c>
      <c r="H247" s="1">
        <f>'[1]Electricity and CHPs'!D$114</f>
        <v>0</v>
      </c>
      <c r="I247" s="1">
        <f>'[1]Electricity and CHPs'!E$114</f>
        <v>0</v>
      </c>
      <c r="J247" s="1">
        <f>'[2]Electricity and CHPs'!F$114</f>
        <v>0</v>
      </c>
      <c r="K247" s="1">
        <f>'[2]Electricity and CHPs'!G$114</f>
        <v>0</v>
      </c>
      <c r="L247" s="1">
        <f>'[2]Electricity and CHPs'!H$114</f>
        <v>0</v>
      </c>
      <c r="N247" s="1"/>
    </row>
    <row r="248" spans="1:14" x14ac:dyDescent="0.35">
      <c r="A248" s="5" t="s">
        <v>5</v>
      </c>
      <c r="B248" s="5" t="s">
        <v>6</v>
      </c>
      <c r="C248" s="5" t="s">
        <v>7</v>
      </c>
      <c r="D248" t="s">
        <v>176</v>
      </c>
      <c r="E248" t="str">
        <f>E228</f>
        <v>PJ/yr.</v>
      </c>
      <c r="F248" s="1">
        <f>'[1]Electricity and CHPs'!B$115</f>
        <v>1.4243128743059836</v>
      </c>
      <c r="G248" s="1">
        <f>'[1]Electricity and CHPs'!C$115</f>
        <v>1.578325399859821</v>
      </c>
      <c r="H248" s="1">
        <f>'[1]Electricity and CHPs'!D$115</f>
        <v>1.4829228347016219</v>
      </c>
      <c r="I248" s="1">
        <f>'[1]Electricity and CHPs'!E$115</f>
        <v>1.323919743665777</v>
      </c>
      <c r="J248" s="1">
        <f>'[2]Electricity and CHPs'!F$115</f>
        <v>1.1649320894525661</v>
      </c>
      <c r="K248" s="1">
        <f>'[2]Electricity and CHPs'!G$115</f>
        <v>1.0059265832510453</v>
      </c>
      <c r="L248" s="1">
        <f>'[2]Electricity and CHPs'!H$115</f>
        <v>1.0059266626322929</v>
      </c>
      <c r="N248" s="1"/>
    </row>
    <row r="249" spans="1:14" x14ac:dyDescent="0.35">
      <c r="A249" s="5" t="s">
        <v>5</v>
      </c>
      <c r="B249" s="5" t="s">
        <v>6</v>
      </c>
      <c r="C249" s="5" t="s">
        <v>7</v>
      </c>
      <c r="D249" t="s">
        <v>177</v>
      </c>
      <c r="E249" t="str">
        <f>E230</f>
        <v>PJ/yr.</v>
      </c>
      <c r="F249" s="1">
        <f>'[1]Electricity and CHPs'!B$116</f>
        <v>0.69257884120802715</v>
      </c>
      <c r="G249" s="1">
        <f>'[1]Electricity and CHPs'!C$116</f>
        <v>0.75020246803404356</v>
      </c>
      <c r="H249" s="1">
        <f>'[1]Electricity and CHPs'!D$116</f>
        <v>1.8825368978488858E-2</v>
      </c>
      <c r="I249" s="1">
        <f>'[1]Electricity and CHPs'!E$116</f>
        <v>0</v>
      </c>
      <c r="J249" s="1">
        <f>'[2]Electricity and CHPs'!F$116</f>
        <v>7.8532741280728784</v>
      </c>
      <c r="K249" s="1">
        <f>'[2]Electricity and CHPs'!G$116</f>
        <v>7.9307653206969775</v>
      </c>
      <c r="L249" s="1">
        <f>'[2]Electricity and CHPs'!H$116</f>
        <v>8.7573697688717912E-4</v>
      </c>
      <c r="N249" s="1"/>
    </row>
    <row r="250" spans="1:14" x14ac:dyDescent="0.35">
      <c r="A250" s="5" t="s">
        <v>5</v>
      </c>
      <c r="B250" s="5" t="s">
        <v>6</v>
      </c>
      <c r="C250" s="5" t="s">
        <v>7</v>
      </c>
      <c r="D250" t="s">
        <v>178</v>
      </c>
      <c r="E250" t="str">
        <f>E232</f>
        <v>PJ/yr.</v>
      </c>
      <c r="F250" s="1">
        <f>'[1]Electricity and CHPs'!B$118</f>
        <v>0</v>
      </c>
      <c r="G250" s="1">
        <f>'[1]Electricity and CHPs'!C$118</f>
        <v>0</v>
      </c>
      <c r="H250" s="1">
        <f>'[1]Electricity and CHPs'!D$118</f>
        <v>0</v>
      </c>
      <c r="I250" s="1">
        <f>'[1]Electricity and CHPs'!E$118</f>
        <v>0</v>
      </c>
      <c r="J250" s="1">
        <f>'[2]Electricity and CHPs'!F$118</f>
        <v>5.2849915476757916E-4</v>
      </c>
      <c r="K250" s="1">
        <f>'[2]Electricity and CHPs'!G$118</f>
        <v>1.9707437369940258E-3</v>
      </c>
      <c r="L250" s="1">
        <f>'[2]Electricity and CHPs'!H$118</f>
        <v>2.1593619156735611</v>
      </c>
      <c r="N250" s="1"/>
    </row>
    <row r="251" spans="1:14" x14ac:dyDescent="0.35">
      <c r="A251" s="5" t="s">
        <v>5</v>
      </c>
      <c r="B251" s="5" t="s">
        <v>6</v>
      </c>
      <c r="C251" s="5" t="s">
        <v>7</v>
      </c>
      <c r="D251" t="s">
        <v>838</v>
      </c>
      <c r="E251" t="str">
        <f>E174</f>
        <v>PJ/yr.</v>
      </c>
      <c r="F251" s="1">
        <f>SUM(F252:F261)</f>
        <v>1.513312122343315</v>
      </c>
      <c r="G251" s="1">
        <f t="shared" ref="G251:K251" si="229">SUM(G252:G261)</f>
        <v>0.91527755947101996</v>
      </c>
      <c r="H251" s="1">
        <f t="shared" si="229"/>
        <v>1.0011589034474979</v>
      </c>
      <c r="I251" s="1">
        <f t="shared" si="229"/>
        <v>1.3288040042654516</v>
      </c>
      <c r="J251" s="1">
        <f t="shared" si="229"/>
        <v>11.793639207826574</v>
      </c>
      <c r="K251" s="1">
        <f t="shared" si="229"/>
        <v>15.896483933718471</v>
      </c>
      <c r="L251" s="1">
        <f t="shared" ref="L251" si="230">SUM(L252:L261)</f>
        <v>10.865205687061966</v>
      </c>
      <c r="N251" s="1"/>
    </row>
    <row r="252" spans="1:14" x14ac:dyDescent="0.35">
      <c r="A252" s="5" t="s">
        <v>5</v>
      </c>
      <c r="B252" s="5" t="s">
        <v>6</v>
      </c>
      <c r="C252" s="5" t="s">
        <v>7</v>
      </c>
      <c r="D252" t="s">
        <v>569</v>
      </c>
      <c r="E252" t="str">
        <f>E174</f>
        <v>PJ/yr.</v>
      </c>
      <c r="F252" s="1">
        <f t="shared" ref="F252:K254" si="231">F241-F263</f>
        <v>0.7489228113016515</v>
      </c>
      <c r="G252" s="1">
        <f t="shared" si="231"/>
        <v>0.18197264350168729</v>
      </c>
      <c r="H252" s="1">
        <f t="shared" si="231"/>
        <v>0.97462800296281682</v>
      </c>
      <c r="I252" s="1">
        <f t="shared" si="231"/>
        <v>1.3286688935316695</v>
      </c>
      <c r="J252" s="1">
        <f t="shared" si="231"/>
        <v>1.6374302773594338</v>
      </c>
      <c r="K252" s="1">
        <f t="shared" si="231"/>
        <v>0.22798633303923937</v>
      </c>
      <c r="L252" s="1">
        <f t="shared" ref="L252" si="232">L241-L263</f>
        <v>4.9124775006750075E-2</v>
      </c>
      <c r="N252" s="1"/>
    </row>
    <row r="253" spans="1:14" x14ac:dyDescent="0.35">
      <c r="A253" s="5" t="s">
        <v>5</v>
      </c>
      <c r="B253" s="5" t="s">
        <v>6</v>
      </c>
      <c r="C253" s="5" t="s">
        <v>7</v>
      </c>
      <c r="D253" t="s">
        <v>570</v>
      </c>
      <c r="E253" t="str">
        <f>E175</f>
        <v>PJ/yr.</v>
      </c>
      <c r="F253" s="1">
        <f t="shared" si="231"/>
        <v>0</v>
      </c>
      <c r="G253" s="1">
        <f t="shared" si="231"/>
        <v>0</v>
      </c>
      <c r="H253" s="1">
        <f t="shared" si="231"/>
        <v>0</v>
      </c>
      <c r="I253" s="1">
        <f t="shared" si="231"/>
        <v>0</v>
      </c>
      <c r="J253" s="1">
        <f t="shared" si="231"/>
        <v>0</v>
      </c>
      <c r="K253" s="1">
        <f t="shared" si="231"/>
        <v>0</v>
      </c>
      <c r="L253" s="1">
        <f t="shared" ref="L253" si="233">L242-L264</f>
        <v>0</v>
      </c>
      <c r="N253" s="1"/>
    </row>
    <row r="254" spans="1:14" x14ac:dyDescent="0.35">
      <c r="A254" s="5" t="s">
        <v>5</v>
      </c>
      <c r="B254" s="5" t="s">
        <v>6</v>
      </c>
      <c r="C254" s="5" t="s">
        <v>7</v>
      </c>
      <c r="D254" t="s">
        <v>571</v>
      </c>
      <c r="E254" t="str">
        <f>E176</f>
        <v>PJ/yr.</v>
      </c>
      <c r="F254" s="1">
        <f t="shared" si="231"/>
        <v>0</v>
      </c>
      <c r="G254" s="1">
        <f t="shared" si="231"/>
        <v>0</v>
      </c>
      <c r="H254" s="1">
        <f t="shared" si="231"/>
        <v>0</v>
      </c>
      <c r="I254" s="1">
        <f t="shared" si="231"/>
        <v>1.3511073378216735E-4</v>
      </c>
      <c r="J254" s="1">
        <f t="shared" si="231"/>
        <v>5.796052330001802E-4</v>
      </c>
      <c r="K254" s="1">
        <f t="shared" si="231"/>
        <v>1.387897165984231E-3</v>
      </c>
      <c r="L254" s="1">
        <f t="shared" ref="L254" si="234">L243-L265</f>
        <v>7.1877892340225624E-4</v>
      </c>
      <c r="N254" s="1"/>
    </row>
    <row r="255" spans="1:14" x14ac:dyDescent="0.35">
      <c r="A255" s="5" t="s">
        <v>5</v>
      </c>
      <c r="B255" s="5" t="s">
        <v>6</v>
      </c>
      <c r="C255" s="5" t="s">
        <v>7</v>
      </c>
      <c r="D255" t="s">
        <v>572</v>
      </c>
      <c r="E255" t="str">
        <f>E199</f>
        <v>PJ/yr.</v>
      </c>
      <c r="F255" s="1">
        <f>F244-F266</f>
        <v>3.0838205220241905E-2</v>
      </c>
      <c r="G255" s="1">
        <f t="shared" ref="G255:K255" si="235">G244-G266</f>
        <v>1.9809233535045484E-3</v>
      </c>
      <c r="H255" s="1">
        <f t="shared" si="235"/>
        <v>4.2963189947408092E-3</v>
      </c>
      <c r="I255" s="1">
        <f t="shared" si="235"/>
        <v>0</v>
      </c>
      <c r="J255" s="1">
        <f t="shared" si="235"/>
        <v>1.6429098150573012E-2</v>
      </c>
      <c r="K255" s="1">
        <f t="shared" si="235"/>
        <v>9.883624882159386E-3</v>
      </c>
      <c r="L255" s="1">
        <f t="shared" ref="L255" si="236">L244-L266</f>
        <v>5.5613683703260915E-3</v>
      </c>
      <c r="N255" s="1"/>
    </row>
    <row r="256" spans="1:14" x14ac:dyDescent="0.35">
      <c r="A256" s="5" t="s">
        <v>5</v>
      </c>
      <c r="B256" s="5" t="s">
        <v>6</v>
      </c>
      <c r="C256" s="5" t="s">
        <v>7</v>
      </c>
      <c r="D256" t="s">
        <v>573</v>
      </c>
      <c r="E256" t="str">
        <f>E201</f>
        <v>PJ/yr.</v>
      </c>
      <c r="F256" s="1">
        <f t="shared" ref="F256:K256" si="237">F245-F267</f>
        <v>0</v>
      </c>
      <c r="G256" s="1">
        <f t="shared" si="237"/>
        <v>0</v>
      </c>
      <c r="H256" s="1">
        <f t="shared" si="237"/>
        <v>0</v>
      </c>
      <c r="I256" s="1">
        <f t="shared" si="237"/>
        <v>0</v>
      </c>
      <c r="J256" s="1">
        <f t="shared" si="237"/>
        <v>0</v>
      </c>
      <c r="K256" s="1">
        <f t="shared" si="237"/>
        <v>0</v>
      </c>
      <c r="L256" s="1">
        <f t="shared" ref="L256" si="238">L245-L267</f>
        <v>0</v>
      </c>
      <c r="N256" s="1"/>
    </row>
    <row r="257" spans="1:18" x14ac:dyDescent="0.35">
      <c r="A257" s="5" t="s">
        <v>5</v>
      </c>
      <c r="B257" s="5" t="s">
        <v>6</v>
      </c>
      <c r="C257" s="5" t="s">
        <v>7</v>
      </c>
      <c r="D257" t="s">
        <v>574</v>
      </c>
      <c r="E257" t="str">
        <f>E203</f>
        <v>PJ/yr.</v>
      </c>
      <c r="F257" s="1">
        <f t="shared" ref="F257:K257" si="239">F246-F268</f>
        <v>5.8618906610371849E-2</v>
      </c>
      <c r="G257" s="1">
        <f t="shared" si="239"/>
        <v>3.1656158704734803E-3</v>
      </c>
      <c r="H257" s="1">
        <f t="shared" si="239"/>
        <v>4.9755773234088467E-3</v>
      </c>
      <c r="I257" s="1">
        <f t="shared" si="239"/>
        <v>0</v>
      </c>
      <c r="J257" s="1">
        <f t="shared" si="239"/>
        <v>2.4074575890076182</v>
      </c>
      <c r="K257" s="1">
        <f t="shared" si="239"/>
        <v>7.7610718674550148</v>
      </c>
      <c r="L257" s="1">
        <f t="shared" ref="L257" si="240">L246-L268</f>
        <v>8.6547497372180207</v>
      </c>
      <c r="N257" s="1"/>
    </row>
    <row r="258" spans="1:18" x14ac:dyDescent="0.35">
      <c r="A258" s="5" t="s">
        <v>5</v>
      </c>
      <c r="B258" s="5" t="s">
        <v>6</v>
      </c>
      <c r="C258" s="5" t="s">
        <v>7</v>
      </c>
      <c r="D258" t="s">
        <v>575</v>
      </c>
      <c r="E258" t="str">
        <f>E204</f>
        <v>PJ/yr.</v>
      </c>
      <c r="F258" s="1">
        <f t="shared" ref="F258:K259" si="241">F247-F269</f>
        <v>0</v>
      </c>
      <c r="G258" s="1">
        <f t="shared" si="241"/>
        <v>0</v>
      </c>
      <c r="H258" s="1">
        <f t="shared" si="241"/>
        <v>0</v>
      </c>
      <c r="I258" s="1">
        <f t="shared" si="241"/>
        <v>0</v>
      </c>
      <c r="J258" s="1">
        <f t="shared" si="241"/>
        <v>0</v>
      </c>
      <c r="K258" s="1">
        <f t="shared" si="241"/>
        <v>0</v>
      </c>
      <c r="L258" s="1">
        <f t="shared" ref="L258" si="242">L247-L269</f>
        <v>0</v>
      </c>
      <c r="N258" s="1"/>
    </row>
    <row r="259" spans="1:18" x14ac:dyDescent="0.35">
      <c r="A259" s="5" t="s">
        <v>5</v>
      </c>
      <c r="B259" s="5" t="s">
        <v>6</v>
      </c>
      <c r="C259" s="5" t="s">
        <v>7</v>
      </c>
      <c r="D259" t="s">
        <v>576</v>
      </c>
      <c r="E259" t="str">
        <f>E241</f>
        <v>PJ/yr.</v>
      </c>
      <c r="F259" s="1">
        <f t="shared" si="241"/>
        <v>0</v>
      </c>
      <c r="G259" s="1">
        <f t="shared" ref="G259:K259" si="243">G248-G270</f>
        <v>0</v>
      </c>
      <c r="H259" s="1">
        <f t="shared" si="243"/>
        <v>0</v>
      </c>
      <c r="I259" s="1">
        <f t="shared" si="243"/>
        <v>0</v>
      </c>
      <c r="J259" s="1">
        <f t="shared" si="243"/>
        <v>0</v>
      </c>
      <c r="K259" s="1">
        <f t="shared" si="243"/>
        <v>0</v>
      </c>
      <c r="L259" s="1">
        <f t="shared" ref="L259" si="244">L248-L270</f>
        <v>0</v>
      </c>
      <c r="N259" s="1"/>
    </row>
    <row r="260" spans="1:18" x14ac:dyDescent="0.35">
      <c r="A260" s="5" t="s">
        <v>5</v>
      </c>
      <c r="B260" s="5" t="s">
        <v>6</v>
      </c>
      <c r="C260" s="5" t="s">
        <v>7</v>
      </c>
      <c r="D260" t="s">
        <v>577</v>
      </c>
      <c r="E260" t="str">
        <f>E243</f>
        <v>PJ/yr.</v>
      </c>
      <c r="F260" s="1">
        <f t="shared" ref="F260:K260" si="245">F249-F271</f>
        <v>0.67493219921104974</v>
      </c>
      <c r="G260" s="1">
        <f t="shared" si="245"/>
        <v>0.72815837674535466</v>
      </c>
      <c r="H260" s="1">
        <f t="shared" si="245"/>
        <v>1.7259004166531519E-2</v>
      </c>
      <c r="I260" s="1">
        <f t="shared" si="245"/>
        <v>0</v>
      </c>
      <c r="J260" s="1">
        <f t="shared" si="245"/>
        <v>7.7312223525985768</v>
      </c>
      <c r="K260" s="1">
        <f t="shared" si="245"/>
        <v>7.8941925555339827</v>
      </c>
      <c r="L260" s="1">
        <f t="shared" ref="L260" si="246">L249-L271</f>
        <v>8.7363437517302836E-4</v>
      </c>
      <c r="N260" s="1"/>
    </row>
    <row r="261" spans="1:18" x14ac:dyDescent="0.35">
      <c r="A261" s="5" t="s">
        <v>5</v>
      </c>
      <c r="B261" s="5" t="s">
        <v>6</v>
      </c>
      <c r="C261" s="5" t="s">
        <v>7</v>
      </c>
      <c r="D261" t="s">
        <v>578</v>
      </c>
      <c r="E261" t="str">
        <f>E245</f>
        <v>PJ/yr.</v>
      </c>
      <c r="F261" s="1">
        <f t="shared" ref="F261:K261" si="247">F250-F272</f>
        <v>0</v>
      </c>
      <c r="G261" s="1">
        <f t="shared" si="247"/>
        <v>0</v>
      </c>
      <c r="H261" s="1">
        <f t="shared" si="247"/>
        <v>0</v>
      </c>
      <c r="I261" s="1">
        <f t="shared" si="247"/>
        <v>0</v>
      </c>
      <c r="J261" s="1">
        <f t="shared" si="247"/>
        <v>5.2028547737339916E-4</v>
      </c>
      <c r="K261" s="1">
        <f t="shared" si="247"/>
        <v>1.9616556420908229E-3</v>
      </c>
      <c r="L261" s="1">
        <f t="shared" ref="L261" si="248">L250-L272</f>
        <v>2.1541773931682928</v>
      </c>
      <c r="N261" s="1"/>
    </row>
    <row r="262" spans="1:18" x14ac:dyDescent="0.35">
      <c r="A262" s="5" t="s">
        <v>5</v>
      </c>
      <c r="B262" s="5" t="s">
        <v>6</v>
      </c>
      <c r="C262" s="5" t="s">
        <v>7</v>
      </c>
      <c r="D262" t="s">
        <v>839</v>
      </c>
      <c r="E262" t="str">
        <f>E175</f>
        <v>PJ/yr.</v>
      </c>
      <c r="F262" s="1">
        <f>SUM(F263:F272)</f>
        <v>1.4638796297280761</v>
      </c>
      <c r="G262" s="1">
        <f t="shared" ref="G262:K262" si="249">SUM(G263:G272)</f>
        <v>1.60603429221048</v>
      </c>
      <c r="H262" s="1">
        <f t="shared" si="249"/>
        <v>1.573784396724937</v>
      </c>
      <c r="I262" s="1">
        <f t="shared" si="249"/>
        <v>1.5292766162444407</v>
      </c>
      <c r="J262" s="1">
        <f t="shared" si="249"/>
        <v>1.3511166976516502</v>
      </c>
      <c r="K262" s="1">
        <f t="shared" si="249"/>
        <v>1.0795729213325318</v>
      </c>
      <c r="L262" s="1">
        <f t="shared" ref="L262" si="250">SUM(L263:L272)</f>
        <v>1.0320762748172445</v>
      </c>
      <c r="M262" s="1"/>
      <c r="N262" s="1"/>
      <c r="O262" s="1"/>
      <c r="P262" s="1"/>
      <c r="Q262" s="1"/>
      <c r="R262" s="1"/>
    </row>
    <row r="263" spans="1:18" x14ac:dyDescent="0.35">
      <c r="A263" s="5" t="s">
        <v>5</v>
      </c>
      <c r="B263" s="5" t="s">
        <v>6</v>
      </c>
      <c r="C263" s="5" t="s">
        <v>7</v>
      </c>
      <c r="D263" t="s">
        <v>630</v>
      </c>
      <c r="E263" t="str">
        <f>E177</f>
        <v>PJ/yr.</v>
      </c>
      <c r="F263" s="1">
        <f t="shared" ref="F263:K272" si="251">F241*IFERROR(F120/F88,0)</f>
        <v>1.9581185709999699E-2</v>
      </c>
      <c r="G263" s="1">
        <f t="shared" si="251"/>
        <v>5.5089959732730993E-3</v>
      </c>
      <c r="H263" s="1">
        <f t="shared" si="251"/>
        <v>8.8453713427430677E-2</v>
      </c>
      <c r="I263" s="1">
        <f t="shared" si="251"/>
        <v>0.20533599220981158</v>
      </c>
      <c r="J263" s="1">
        <f t="shared" si="251"/>
        <v>2.5849893257813717E-2</v>
      </c>
      <c r="K263" s="1">
        <f t="shared" si="251"/>
        <v>1.056230964719922E-3</v>
      </c>
      <c r="L263" s="1">
        <f t="shared" ref="L263" si="252">L241*IFERROR(L120/L88,0)</f>
        <v>1.1823005031825392E-4</v>
      </c>
      <c r="N263" s="1"/>
    </row>
    <row r="264" spans="1:18" x14ac:dyDescent="0.35">
      <c r="A264" s="5" t="s">
        <v>5</v>
      </c>
      <c r="B264" s="5" t="s">
        <v>6</v>
      </c>
      <c r="C264" s="5" t="s">
        <v>7</v>
      </c>
      <c r="D264" t="s">
        <v>631</v>
      </c>
      <c r="E264" t="str">
        <f>E178</f>
        <v>PJ/yr.</v>
      </c>
      <c r="F264" s="1">
        <f t="shared" si="251"/>
        <v>0</v>
      </c>
      <c r="G264" s="1">
        <f t="shared" si="251"/>
        <v>0</v>
      </c>
      <c r="H264" s="1">
        <f t="shared" si="251"/>
        <v>0</v>
      </c>
      <c r="I264" s="1">
        <f t="shared" si="251"/>
        <v>0</v>
      </c>
      <c r="J264" s="1">
        <f t="shared" si="251"/>
        <v>0</v>
      </c>
      <c r="K264" s="1">
        <f t="shared" si="251"/>
        <v>0</v>
      </c>
      <c r="L264" s="1">
        <f t="shared" ref="L264" si="253">L242*IFERROR(L121/L89,0)</f>
        <v>0</v>
      </c>
      <c r="N264" s="1"/>
    </row>
    <row r="265" spans="1:18" x14ac:dyDescent="0.35">
      <c r="A265" s="5" t="s">
        <v>5</v>
      </c>
      <c r="B265" s="5" t="s">
        <v>6</v>
      </c>
      <c r="C265" s="5" t="s">
        <v>7</v>
      </c>
      <c r="D265" t="s">
        <v>632</v>
      </c>
      <c r="E265" t="str">
        <f>E179</f>
        <v>PJ/yr.</v>
      </c>
      <c r="F265" s="1">
        <f t="shared" si="251"/>
        <v>0</v>
      </c>
      <c r="G265" s="1">
        <f t="shared" si="251"/>
        <v>0</v>
      </c>
      <c r="H265" s="1">
        <f t="shared" si="251"/>
        <v>0</v>
      </c>
      <c r="I265" s="1">
        <f t="shared" si="251"/>
        <v>2.0880368852178425E-5</v>
      </c>
      <c r="J265" s="1">
        <f t="shared" si="251"/>
        <v>9.1501504594665771E-6</v>
      </c>
      <c r="K265" s="1">
        <f t="shared" si="251"/>
        <v>6.429946668370086E-6</v>
      </c>
      <c r="L265" s="1">
        <f t="shared" ref="L265" si="254">L243*IFERROR(L122/L90,0)</f>
        <v>1.7299065139712522E-6</v>
      </c>
      <c r="N265" s="1"/>
    </row>
    <row r="266" spans="1:18" x14ac:dyDescent="0.35">
      <c r="A266" s="5" t="s">
        <v>5</v>
      </c>
      <c r="B266" s="5" t="s">
        <v>6</v>
      </c>
      <c r="C266" s="5" t="s">
        <v>7</v>
      </c>
      <c r="D266" t="s">
        <v>633</v>
      </c>
      <c r="E266" t="str">
        <f>E205</f>
        <v>PJ/yr.</v>
      </c>
      <c r="F266" s="1">
        <f t="shared" si="251"/>
        <v>8.0628953247014975E-4</v>
      </c>
      <c r="G266" s="1">
        <f t="shared" si="251"/>
        <v>5.9969996411675006E-5</v>
      </c>
      <c r="H266" s="1">
        <f t="shared" si="251"/>
        <v>3.8991837706116983E-4</v>
      </c>
      <c r="I266" s="1">
        <f t="shared" si="251"/>
        <v>0</v>
      </c>
      <c r="J266" s="1">
        <f t="shared" si="251"/>
        <v>2.5936397988152811E-4</v>
      </c>
      <c r="K266" s="1">
        <f t="shared" si="251"/>
        <v>4.5789545825171368E-5</v>
      </c>
      <c r="L266" s="1">
        <f t="shared" ref="L266" si="255">L244*IFERROR(L123/L91,0)</f>
        <v>1.3384709897839773E-5</v>
      </c>
      <c r="N266" s="1"/>
    </row>
    <row r="267" spans="1:18" x14ac:dyDescent="0.35">
      <c r="A267" s="5" t="s">
        <v>5</v>
      </c>
      <c r="B267" s="5" t="s">
        <v>6</v>
      </c>
      <c r="C267" s="5" t="s">
        <v>7</v>
      </c>
      <c r="D267" t="s">
        <v>634</v>
      </c>
      <c r="E267" t="str">
        <f>E207</f>
        <v>PJ/yr.</v>
      </c>
      <c r="F267" s="1">
        <f t="shared" si="251"/>
        <v>0</v>
      </c>
      <c r="G267" s="1">
        <f t="shared" si="251"/>
        <v>0</v>
      </c>
      <c r="H267" s="1">
        <f t="shared" si="251"/>
        <v>0</v>
      </c>
      <c r="I267" s="1">
        <f t="shared" si="251"/>
        <v>0</v>
      </c>
      <c r="J267" s="1">
        <f t="shared" si="251"/>
        <v>0</v>
      </c>
      <c r="K267" s="1">
        <f t="shared" si="251"/>
        <v>0</v>
      </c>
      <c r="L267" s="1">
        <f t="shared" ref="L267" si="256">L245*IFERROR(L124/L92,0)</f>
        <v>0</v>
      </c>
      <c r="N267" s="1"/>
    </row>
    <row r="268" spans="1:18" x14ac:dyDescent="0.35">
      <c r="A268" s="5" t="s">
        <v>5</v>
      </c>
      <c r="B268" s="5" t="s">
        <v>6</v>
      </c>
      <c r="C268" s="5" t="s">
        <v>7</v>
      </c>
      <c r="D268" t="s">
        <v>635</v>
      </c>
      <c r="E268" t="str">
        <f>E209</f>
        <v>PJ/yr.</v>
      </c>
      <c r="F268" s="1">
        <f t="shared" si="251"/>
        <v>1.5326381826450968E-3</v>
      </c>
      <c r="G268" s="1">
        <f t="shared" si="251"/>
        <v>9.5835092285209998E-5</v>
      </c>
      <c r="H268" s="1">
        <f t="shared" si="251"/>
        <v>4.5156540686592535E-4</v>
      </c>
      <c r="I268" s="1">
        <f t="shared" si="251"/>
        <v>0</v>
      </c>
      <c r="J268" s="1">
        <f t="shared" si="251"/>
        <v>3.8006211659233777E-2</v>
      </c>
      <c r="K268" s="1">
        <f t="shared" si="251"/>
        <v>3.5956034366374783E-2</v>
      </c>
      <c r="L268" s="1">
        <f t="shared" ref="L268" si="257">L246*IFERROR(L125/L93,0)</f>
        <v>2.0829642411239132E-2</v>
      </c>
      <c r="N268" s="1"/>
    </row>
    <row r="269" spans="1:18" x14ac:dyDescent="0.35">
      <c r="A269" s="5" t="s">
        <v>5</v>
      </c>
      <c r="B269" s="5" t="s">
        <v>6</v>
      </c>
      <c r="C269" s="5" t="s">
        <v>7</v>
      </c>
      <c r="D269" t="s">
        <v>636</v>
      </c>
      <c r="E269" t="str">
        <f>E210</f>
        <v>PJ/yr.</v>
      </c>
      <c r="F269" s="1">
        <f t="shared" si="251"/>
        <v>0</v>
      </c>
      <c r="G269" s="1">
        <f t="shared" si="251"/>
        <v>0</v>
      </c>
      <c r="H269" s="1">
        <f t="shared" si="251"/>
        <v>0</v>
      </c>
      <c r="I269" s="1">
        <f t="shared" si="251"/>
        <v>0</v>
      </c>
      <c r="J269" s="1">
        <f t="shared" si="251"/>
        <v>0</v>
      </c>
      <c r="K269" s="1">
        <f t="shared" si="251"/>
        <v>0</v>
      </c>
      <c r="L269" s="1">
        <f t="shared" ref="L269" si="258">L247*IFERROR(L126/L94,0)</f>
        <v>0</v>
      </c>
      <c r="N269" s="1"/>
    </row>
    <row r="270" spans="1:18" x14ac:dyDescent="0.35">
      <c r="A270" s="5" t="s">
        <v>5</v>
      </c>
      <c r="B270" s="5" t="s">
        <v>6</v>
      </c>
      <c r="C270" s="5" t="s">
        <v>7</v>
      </c>
      <c r="D270" t="s">
        <v>637</v>
      </c>
      <c r="E270" t="str">
        <f>E233</f>
        <v>PJ/yr.</v>
      </c>
      <c r="F270" s="1">
        <f t="shared" si="251"/>
        <v>1.4243128743059836</v>
      </c>
      <c r="G270" s="1">
        <f t="shared" si="251"/>
        <v>1.578325399859821</v>
      </c>
      <c r="H270" s="1">
        <f t="shared" si="251"/>
        <v>1.4829228347016219</v>
      </c>
      <c r="I270" s="1">
        <f t="shared" si="251"/>
        <v>1.323919743665777</v>
      </c>
      <c r="J270" s="1">
        <f t="shared" si="251"/>
        <v>1.1649320894525661</v>
      </c>
      <c r="K270" s="1">
        <f t="shared" si="251"/>
        <v>1.0059265832510453</v>
      </c>
      <c r="L270" s="1">
        <f t="shared" ref="L270" si="259">L248*IFERROR(L127/L95,0)</f>
        <v>1.0059266626322929</v>
      </c>
      <c r="N270" s="1"/>
    </row>
    <row r="271" spans="1:18" x14ac:dyDescent="0.35">
      <c r="A271" s="5" t="s">
        <v>5</v>
      </c>
      <c r="B271" s="5" t="s">
        <v>6</v>
      </c>
      <c r="C271" s="5" t="s">
        <v>7</v>
      </c>
      <c r="D271" t="s">
        <v>638</v>
      </c>
      <c r="E271" t="str">
        <f>E235</f>
        <v>PJ/yr.</v>
      </c>
      <c r="F271" s="1">
        <f t="shared" si="251"/>
        <v>1.7646641996977363E-2</v>
      </c>
      <c r="G271" s="1">
        <f t="shared" si="251"/>
        <v>2.2044091288688901E-2</v>
      </c>
      <c r="H271" s="1">
        <f t="shared" si="251"/>
        <v>1.5663648119573403E-3</v>
      </c>
      <c r="I271" s="1">
        <f t="shared" si="251"/>
        <v>0</v>
      </c>
      <c r="J271" s="1">
        <f t="shared" si="251"/>
        <v>0.12205177547430139</v>
      </c>
      <c r="K271" s="1">
        <f t="shared" si="251"/>
        <v>3.6572765162995069E-2</v>
      </c>
      <c r="L271" s="1">
        <f t="shared" ref="L271" si="260">L249*IFERROR(L128/L96,0)</f>
        <v>2.1026017141507669E-6</v>
      </c>
      <c r="N271" s="1"/>
    </row>
    <row r="272" spans="1:18" x14ac:dyDescent="0.35">
      <c r="A272" s="5" t="s">
        <v>5</v>
      </c>
      <c r="B272" s="5" t="s">
        <v>6</v>
      </c>
      <c r="C272" s="5" t="s">
        <v>7</v>
      </c>
      <c r="D272" t="s">
        <v>639</v>
      </c>
      <c r="E272" t="str">
        <f>E239</f>
        <v>PJ/yr.</v>
      </c>
      <c r="F272" s="1">
        <f t="shared" si="251"/>
        <v>0</v>
      </c>
      <c r="G272" s="1">
        <f t="shared" si="251"/>
        <v>0</v>
      </c>
      <c r="H272" s="1">
        <f t="shared" si="251"/>
        <v>0</v>
      </c>
      <c r="I272" s="1">
        <f t="shared" si="251"/>
        <v>0</v>
      </c>
      <c r="J272" s="1">
        <f t="shared" si="251"/>
        <v>8.2136773941799714E-6</v>
      </c>
      <c r="K272" s="1">
        <f t="shared" si="251"/>
        <v>9.0880949032030636E-6</v>
      </c>
      <c r="L272" s="1">
        <f t="shared" ref="L272" si="261">L250*IFERROR(L129/L97,0)</f>
        <v>5.1845225052681949E-3</v>
      </c>
      <c r="N272" s="1"/>
    </row>
    <row r="273" spans="1:14" x14ac:dyDescent="0.35">
      <c r="A273" s="5" t="s">
        <v>5</v>
      </c>
      <c r="B273" s="5" t="s">
        <v>6</v>
      </c>
      <c r="C273" s="5" t="s">
        <v>7</v>
      </c>
      <c r="D273" t="s">
        <v>840</v>
      </c>
      <c r="E273" t="str">
        <f>E179</f>
        <v>PJ/yr.</v>
      </c>
      <c r="F273" s="1">
        <f>SUM(F274:F275)</f>
        <v>1.9348222656546448</v>
      </c>
      <c r="G273" s="1">
        <f t="shared" ref="G273:K273" si="262">SUM(G274:G275)</f>
        <v>1.8587705616024293</v>
      </c>
      <c r="H273" s="1">
        <f t="shared" si="262"/>
        <v>2.2411526409390576E-3</v>
      </c>
      <c r="I273" s="1">
        <f t="shared" si="262"/>
        <v>1.7782842889798008E-3</v>
      </c>
      <c r="J273" s="1">
        <f t="shared" si="262"/>
        <v>8.6659306252128091E-3</v>
      </c>
      <c r="K273" s="1">
        <f t="shared" si="262"/>
        <v>4.2953329285249928E-3</v>
      </c>
      <c r="L273" s="1">
        <f t="shared" ref="L273" si="263">SUM(L274:L275)</f>
        <v>9.8800501741109353E-4</v>
      </c>
      <c r="N273" s="1"/>
    </row>
    <row r="274" spans="1:14" x14ac:dyDescent="0.35">
      <c r="A274" s="5" t="s">
        <v>5</v>
      </c>
      <c r="B274" s="5" t="s">
        <v>6</v>
      </c>
      <c r="C274" s="5" t="s">
        <v>7</v>
      </c>
      <c r="D274" t="s">
        <v>179</v>
      </c>
      <c r="E274" t="str">
        <f>E180</f>
        <v>PJ/yr.</v>
      </c>
      <c r="F274" s="1">
        <f>'[1]Electricity and CHPs'!B$106-F275</f>
        <v>1.9348222656546448</v>
      </c>
      <c r="G274" s="1">
        <f>'[1]Electricity and CHPs'!C$106-G275</f>
        <v>1.8587705616024293</v>
      </c>
      <c r="H274" s="1">
        <f>'[1]Electricity and CHPs'!D$106-H275</f>
        <v>2.2411526409390576E-3</v>
      </c>
      <c r="I274" s="1">
        <f>'[1]Electricity and CHPs'!E$106-I275</f>
        <v>1.7782842889798008E-3</v>
      </c>
      <c r="J274" s="1">
        <f>'[2]Electricity and CHPs'!F$106-J275</f>
        <v>8.6659306252128091E-3</v>
      </c>
      <c r="K274" s="1">
        <f>'[2]Electricity and CHPs'!G$106-K275</f>
        <v>4.2953329285249928E-3</v>
      </c>
      <c r="L274" s="1">
        <f>'[2]Electricity and CHPs'!H$106-L275</f>
        <v>9.8800501741109353E-4</v>
      </c>
      <c r="N274" s="1"/>
    </row>
    <row r="275" spans="1:14" x14ac:dyDescent="0.35">
      <c r="A275" s="5" t="s">
        <v>5</v>
      </c>
      <c r="B275" s="5" t="s">
        <v>6</v>
      </c>
      <c r="C275" s="5" t="s">
        <v>7</v>
      </c>
      <c r="D275" t="s">
        <v>180</v>
      </c>
      <c r="E275" t="str">
        <f>E181</f>
        <v>PJ/yr.</v>
      </c>
      <c r="F275" s="10" cm="1">
        <f t="array" ref="F275">SUMPRODUCT((ISNUMBER(SEARCH("itot*CHPWST*ccs*",[1]OUT_Electricity_CHP!$B$1:$B$10000)))*1,([1]OUT_Electricity_CHP!$C$1:$C$10000="Var_Fout")*1,+([1]OUT_Electricity_CHP!$D$1:$D$10000="ITOT_LTH_CHP")*1,[1]OUT_Electricity_CHP!E$1:E$10000)</f>
        <v>0</v>
      </c>
      <c r="G275" s="10" cm="1">
        <f t="array" ref="G275">SUMPRODUCT((ISNUMBER(SEARCH("itot*CHPWST*ccs*",[1]OUT_Electricity_CHP!$B$1:$B$10000)))*1,([1]OUT_Electricity_CHP!$C$1:$C$10000="Var_Fout")*1,+([1]OUT_Electricity_CHP!$D$1:$D$10000="ITOT_LTH_CHP")*1,[1]OUT_Electricity_CHP!F$1:F$10000)</f>
        <v>0</v>
      </c>
      <c r="H275" s="10" cm="1">
        <f t="array" ref="H275">SUMPRODUCT((ISNUMBER(SEARCH("itot*CHPWST*ccs*",[1]OUT_Electricity_CHP!$B$1:$B$10000)))*1,([1]OUT_Electricity_CHP!$C$1:$C$10000="Var_Fout")*1,+([1]OUT_Electricity_CHP!$D$1:$D$10000="ITOT_LTH_CHP")*1,[1]OUT_Electricity_CHP!G$1:G$10000)</f>
        <v>0</v>
      </c>
      <c r="I275" s="10" cm="1">
        <f t="array" ref="I275">SUMPRODUCT((ISNUMBER(SEARCH("itot*CHPWST*ccs*",[1]OUT_Electricity_CHP!$B$1:$B$10000)))*1,([1]OUT_Electricity_CHP!$C$1:$C$10000="Var_Fout")*1,+([1]OUT_Electricity_CHP!$D$1:$D$10000="ITOT_LTH_CHP")*1,[1]OUT_Electricity_CHP!H$1:H$10000)</f>
        <v>0</v>
      </c>
      <c r="J275" s="10" cm="1">
        <f t="array" ref="J275">SUMPRODUCT((ISNUMBER(SEARCH("itot*CHPWST*ccs*",[2]OUT_Electricity_CHP!$B$1:$B$10000)))*1,([2]OUT_Electricity_CHP!$C$1:$C$10000="Var_Fout")*1,+([2]OUT_Electricity_CHP!$D$1:$D$10000="ITOT_LTH_CHP")*1,[2]OUT_Electricity_CHP!I$1:I$10000)</f>
        <v>0</v>
      </c>
      <c r="K275" s="10" cm="1">
        <f t="array" ref="K275">SUMPRODUCT((ISNUMBER(SEARCH("itot*CHPWST*ccs*",[2]OUT_Electricity_CHP!$B$1:$B$10000)))*1,([2]OUT_Electricity_CHP!$C$1:$C$10000="Var_Fout")*1,+([2]OUT_Electricity_CHP!$D$1:$D$10000="ITOT_LTH_CHP")*1,[2]OUT_Electricity_CHP!J$1:J$10000)</f>
        <v>0</v>
      </c>
      <c r="L275" s="10" cm="1">
        <f t="array" ref="L275">SUMPRODUCT((ISNUMBER(SEARCH("itot*CHPWST*ccs*",[2]OUT_Electricity_CHP!$B$1:$B$10000)))*1,([2]OUT_Electricity_CHP!$C$1:$C$10000="Var_Fout")*1,+([2]OUT_Electricity_CHP!$D$1:$D$10000="ITOT_LTH_CHP")*1,[2]OUT_Electricity_CHP!K$1:K$10000)</f>
        <v>0</v>
      </c>
      <c r="N275" s="1"/>
    </row>
    <row r="276" spans="1:14" x14ac:dyDescent="0.35">
      <c r="A276" s="5" t="s">
        <v>5</v>
      </c>
      <c r="B276" s="5" t="s">
        <v>6</v>
      </c>
      <c r="C276" s="5" t="s">
        <v>7</v>
      </c>
      <c r="D276" t="s">
        <v>841</v>
      </c>
      <c r="E276" t="str">
        <f>E181</f>
        <v>PJ/yr.</v>
      </c>
      <c r="F276" s="10">
        <f>SUM(F277:F278)</f>
        <v>0</v>
      </c>
      <c r="G276" s="10">
        <f t="shared" ref="G276:K276" si="264">SUM(G277:G278)</f>
        <v>0</v>
      </c>
      <c r="H276" s="10">
        <f t="shared" si="264"/>
        <v>0</v>
      </c>
      <c r="I276" s="10">
        <f t="shared" si="264"/>
        <v>0</v>
      </c>
      <c r="J276" s="10">
        <f t="shared" si="264"/>
        <v>0</v>
      </c>
      <c r="K276" s="10">
        <f t="shared" si="264"/>
        <v>0</v>
      </c>
      <c r="L276" s="10">
        <f t="shared" ref="L276" si="265">SUM(L277:L278)</f>
        <v>0</v>
      </c>
      <c r="N276" s="1"/>
    </row>
    <row r="277" spans="1:14" x14ac:dyDescent="0.35">
      <c r="A277" s="5" t="s">
        <v>5</v>
      </c>
      <c r="B277" s="5" t="s">
        <v>6</v>
      </c>
      <c r="C277" s="5" t="s">
        <v>7</v>
      </c>
      <c r="D277" t="s">
        <v>181</v>
      </c>
      <c r="E277" t="str">
        <f>E182</f>
        <v>PJ/yr.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N277" s="1"/>
    </row>
    <row r="278" spans="1:14" x14ac:dyDescent="0.35">
      <c r="A278" s="5" t="s">
        <v>5</v>
      </c>
      <c r="B278" s="5" t="s">
        <v>6</v>
      </c>
      <c r="C278" s="5" t="s">
        <v>7</v>
      </c>
      <c r="D278" t="s">
        <v>182</v>
      </c>
      <c r="E278" t="str">
        <f>E183</f>
        <v>PJ/yr.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N278" s="1"/>
    </row>
    <row r="279" spans="1:14" x14ac:dyDescent="0.35">
      <c r="A279" s="5" t="s">
        <v>5</v>
      </c>
      <c r="B279" s="5" t="s">
        <v>6</v>
      </c>
      <c r="C279" s="5" t="s">
        <v>7</v>
      </c>
      <c r="D279" t="s">
        <v>842</v>
      </c>
      <c r="E279" t="str">
        <f>E184</f>
        <v>PJ/yr.</v>
      </c>
      <c r="F279" s="1">
        <f>SUM(F280:F281)</f>
        <v>1.9348222656546448</v>
      </c>
      <c r="G279" s="1">
        <f t="shared" ref="G279:K279" si="266">SUM(G280:G281)</f>
        <v>1.8587705616024293</v>
      </c>
      <c r="H279" s="1">
        <f t="shared" si="266"/>
        <v>2.2411526409390576E-3</v>
      </c>
      <c r="I279" s="1">
        <f t="shared" si="266"/>
        <v>1.7782842889798008E-3</v>
      </c>
      <c r="J279" s="1">
        <f t="shared" si="266"/>
        <v>8.6659306252128091E-3</v>
      </c>
      <c r="K279" s="1">
        <f t="shared" si="266"/>
        <v>4.2953329285249928E-3</v>
      </c>
      <c r="L279" s="1">
        <f t="shared" ref="L279" si="267">SUM(L280:L281)</f>
        <v>9.8800501741109353E-4</v>
      </c>
      <c r="N279" s="1"/>
    </row>
    <row r="280" spans="1:14" x14ac:dyDescent="0.35">
      <c r="A280" s="5" t="s">
        <v>5</v>
      </c>
      <c r="B280" s="5" t="s">
        <v>6</v>
      </c>
      <c r="C280" s="5" t="s">
        <v>7</v>
      </c>
      <c r="D280" t="s">
        <v>183</v>
      </c>
      <c r="E280" t="str">
        <f>E185</f>
        <v>PJ/yr.</v>
      </c>
      <c r="F280" s="1">
        <f>F274</f>
        <v>1.9348222656546448</v>
      </c>
      <c r="G280" s="1">
        <f t="shared" ref="G280:K280" si="268">G274</f>
        <v>1.8587705616024293</v>
      </c>
      <c r="H280" s="1">
        <f t="shared" si="268"/>
        <v>2.2411526409390576E-3</v>
      </c>
      <c r="I280" s="1">
        <f t="shared" si="268"/>
        <v>1.7782842889798008E-3</v>
      </c>
      <c r="J280" s="1">
        <f t="shared" si="268"/>
        <v>8.6659306252128091E-3</v>
      </c>
      <c r="K280" s="1">
        <f t="shared" si="268"/>
        <v>4.2953329285249928E-3</v>
      </c>
      <c r="L280" s="1">
        <f t="shared" ref="L280" si="269">L274</f>
        <v>9.8800501741109353E-4</v>
      </c>
      <c r="N280" s="1"/>
    </row>
    <row r="281" spans="1:14" x14ac:dyDescent="0.35">
      <c r="A281" s="5" t="s">
        <v>5</v>
      </c>
      <c r="B281" s="5" t="s">
        <v>6</v>
      </c>
      <c r="C281" s="5" t="s">
        <v>7</v>
      </c>
      <c r="D281" t="s">
        <v>184</v>
      </c>
      <c r="E281" t="str">
        <f>E187</f>
        <v>PJ/yr.</v>
      </c>
      <c r="F281" s="1">
        <f t="shared" ref="F281:K281" si="270">F275</f>
        <v>0</v>
      </c>
      <c r="G281" s="1">
        <f t="shared" si="270"/>
        <v>0</v>
      </c>
      <c r="H281" s="1">
        <f t="shared" si="270"/>
        <v>0</v>
      </c>
      <c r="I281" s="1">
        <f t="shared" si="270"/>
        <v>0</v>
      </c>
      <c r="J281" s="1">
        <f t="shared" si="270"/>
        <v>0</v>
      </c>
      <c r="K281" s="1">
        <f t="shared" si="270"/>
        <v>0</v>
      </c>
      <c r="L281" s="1">
        <f t="shared" ref="L281" si="271">L275</f>
        <v>0</v>
      </c>
      <c r="N281" s="1"/>
    </row>
    <row r="282" spans="1:14" x14ac:dyDescent="0.35">
      <c r="A282" s="5" t="s">
        <v>5</v>
      </c>
      <c r="B282" s="5" t="s">
        <v>6</v>
      </c>
      <c r="C282" s="5" t="s">
        <v>7</v>
      </c>
      <c r="D282" t="s">
        <v>843</v>
      </c>
      <c r="E282" t="str">
        <f>E188</f>
        <v>PJ/yr.</v>
      </c>
      <c r="F282" s="1">
        <f>SUM(F283:F287)</f>
        <v>0.65957904103620457</v>
      </c>
      <c r="G282" s="1">
        <f t="shared" ref="G282:K282" si="272">SUM(G283:G287)</f>
        <v>1.5966313296763068</v>
      </c>
      <c r="H282" s="1">
        <f t="shared" si="272"/>
        <v>3.7306152395417373</v>
      </c>
      <c r="I282" s="1">
        <f t="shared" si="272"/>
        <v>3.393142652717386</v>
      </c>
      <c r="J282" s="1">
        <f t="shared" si="272"/>
        <v>4.7518320116782835</v>
      </c>
      <c r="K282" s="1">
        <f t="shared" si="272"/>
        <v>7.3754154983857738</v>
      </c>
      <c r="L282" s="1">
        <f t="shared" ref="L282" si="273">SUM(L283:L287)</f>
        <v>8.2899563789519455</v>
      </c>
      <c r="N282" s="1"/>
    </row>
    <row r="283" spans="1:14" x14ac:dyDescent="0.35">
      <c r="A283" s="5" t="s">
        <v>5</v>
      </c>
      <c r="B283" s="5" t="s">
        <v>6</v>
      </c>
      <c r="C283" s="5" t="s">
        <v>7</v>
      </c>
      <c r="D283" t="s">
        <v>185</v>
      </c>
      <c r="E283" t="str">
        <f>E189</f>
        <v>PJ/yr.</v>
      </c>
      <c r="F283" s="1">
        <f>'[1]Electricity and CHPs'!B$105-F284</f>
        <v>0.65957904103620457</v>
      </c>
      <c r="G283" s="1">
        <f>'[1]Electricity and CHPs'!C$105-G284</f>
        <v>1.5966313296763068</v>
      </c>
      <c r="H283" s="1">
        <f>'[1]Electricity and CHPs'!D$105-H284</f>
        <v>3.7306152395417373</v>
      </c>
      <c r="I283" s="1">
        <f>'[1]Electricity and CHPs'!E$105-I284</f>
        <v>3.393142652717386</v>
      </c>
      <c r="J283" s="1">
        <f>'[2]Electricity and CHPs'!F$105-J284</f>
        <v>4.740617095840987</v>
      </c>
      <c r="K283" s="1">
        <f>'[2]Electricity and CHPs'!G$105-K284</f>
        <v>7.3675781968931533</v>
      </c>
      <c r="L283" s="1">
        <f>'[2]Electricity and CHPs'!H$105-L284</f>
        <v>8.2854471348011902</v>
      </c>
      <c r="N283" s="1"/>
    </row>
    <row r="284" spans="1:14" x14ac:dyDescent="0.35">
      <c r="A284" s="5" t="s">
        <v>5</v>
      </c>
      <c r="B284" s="5" t="s">
        <v>6</v>
      </c>
      <c r="C284" s="5" t="s">
        <v>7</v>
      </c>
      <c r="D284" t="s">
        <v>186</v>
      </c>
      <c r="E284" t="str">
        <f>E190</f>
        <v>PJ/yr.</v>
      </c>
      <c r="F284" s="1" cm="1">
        <f t="array" ref="F284">SUMPRODUCT((ISNUMBER(SEARCH("itot*CHPWOD*ccs",[1]OUT_Electricity_CHP!$B$1:$B$10000)))*1,([1]OUT_Electricity_CHP!$C$1:$C$10000="Var_Fout")*1,([1]OUT_Electricity_CHP!$D$1:$D$10000="ITOT_LTH_CHP")*1,[1]OUT_Electricity_CHP!E$1:E$10000)</f>
        <v>0</v>
      </c>
      <c r="G284" s="1" cm="1">
        <f t="array" ref="G284">SUMPRODUCT((ISNUMBER(SEARCH("itot*CHPWOD*ccs",[1]OUT_Electricity_CHP!$B$1:$B$10000)))*1,([1]OUT_Electricity_CHP!$C$1:$C$10000="Var_Fout")*1,([1]OUT_Electricity_CHP!$D$1:$D$10000="ITOT_LTH_CHP")*1,[1]OUT_Electricity_CHP!F$1:F$10000)</f>
        <v>0</v>
      </c>
      <c r="H284" s="1" cm="1">
        <f t="array" ref="H284">SUMPRODUCT((ISNUMBER(SEARCH("itot*CHPWOD*ccs",[1]OUT_Electricity_CHP!$B$1:$B$10000)))*1,([1]OUT_Electricity_CHP!$C$1:$C$10000="Var_Fout")*1,([1]OUT_Electricity_CHP!$D$1:$D$10000="ITOT_LTH_CHP")*1,[1]OUT_Electricity_CHP!G$1:G$10000)</f>
        <v>0</v>
      </c>
      <c r="I284" s="1" cm="1">
        <f t="array" ref="I284">SUMPRODUCT((ISNUMBER(SEARCH("itot*CHPWOD*ccs",[1]OUT_Electricity_CHP!$B$1:$B$10000)))*1,([1]OUT_Electricity_CHP!$C$1:$C$10000="Var_Fout")*1,([1]OUT_Electricity_CHP!$D$1:$D$10000="ITOT_LTH_CHP")*1,[1]OUT_Electricity_CHP!H$1:H$10000)</f>
        <v>0</v>
      </c>
      <c r="J284" s="1" cm="1">
        <f t="array" ref="J284">SUMPRODUCT((ISNUMBER(SEARCH("itot*CHPWOD*ccs",[2]OUT_Electricity_CHP!$B$1:$B$10000)))*1,([2]OUT_Electricity_CHP!$C$1:$C$10000="Var_Fout")*1,([2]OUT_Electricity_CHP!$D$1:$D$10000="ITOT_LTH_CHP")*1,[2]OUT_Electricity_CHP!I$1:I$10000)</f>
        <v>0</v>
      </c>
      <c r="K284" s="1" cm="1">
        <f t="array" ref="K284">SUMPRODUCT((ISNUMBER(SEARCH("itot*CHPWOD*ccs",[2]OUT_Electricity_CHP!$B$1:$B$10000)))*1,([2]OUT_Electricity_CHP!$C$1:$C$10000="Var_Fout")*1,([2]OUT_Electricity_CHP!$D$1:$D$10000="ITOT_LTH_CHP")*1,[2]OUT_Electricity_CHP!J$1:J$10000)</f>
        <v>0</v>
      </c>
      <c r="L284" s="1" cm="1">
        <f t="array" ref="L284">SUMPRODUCT((ISNUMBER(SEARCH("itot*CHPWOD*ccs",[2]OUT_Electricity_CHP!$B$1:$B$10000)))*1,([2]OUT_Electricity_CHP!$C$1:$C$10000="Var_Fout")*1,([2]OUT_Electricity_CHP!$D$1:$D$10000="ITOT_LTH_CHP")*1,[2]OUT_Electricity_CHP!K$1:K$10000)</f>
        <v>0</v>
      </c>
      <c r="N284" s="1"/>
    </row>
    <row r="285" spans="1:14" x14ac:dyDescent="0.35">
      <c r="A285" s="5" t="s">
        <v>5</v>
      </c>
      <c r="B285" s="5" t="s">
        <v>6</v>
      </c>
      <c r="C285" s="5" t="s">
        <v>7</v>
      </c>
      <c r="D285" t="s">
        <v>187</v>
      </c>
      <c r="E285" t="str">
        <f>E212</f>
        <v>PJ/yr.</v>
      </c>
      <c r="F285" s="1">
        <f>'[1]Electricity and CHPs'!B$110</f>
        <v>0</v>
      </c>
      <c r="G285" s="1">
        <f>'[1]Electricity and CHPs'!C$110</f>
        <v>0</v>
      </c>
      <c r="H285" s="1">
        <f>'[1]Electricity and CHPs'!D$110</f>
        <v>0</v>
      </c>
      <c r="I285" s="1">
        <f>'[1]Electricity and CHPs'!E$110</f>
        <v>0</v>
      </c>
      <c r="J285" s="1">
        <f>'[2]Electricity and CHPs'!F$110</f>
        <v>3.1628430277830131E-3</v>
      </c>
      <c r="K285" s="1">
        <f>'[2]Electricity and CHPs'!G$110</f>
        <v>2.4557519674118667E-3</v>
      </c>
      <c r="L285" s="1">
        <f>'[2]Electricity and CHPs'!H$110</f>
        <v>1.4340097279480967E-3</v>
      </c>
      <c r="N285" s="1"/>
    </row>
    <row r="286" spans="1:14" x14ac:dyDescent="0.35">
      <c r="A286" s="5" t="s">
        <v>5</v>
      </c>
      <c r="B286" s="5" t="s">
        <v>6</v>
      </c>
      <c r="C286" s="5" t="s">
        <v>7</v>
      </c>
      <c r="D286" t="s">
        <v>188</v>
      </c>
      <c r="E286" t="str">
        <f>E216</f>
        <v>PJ/yr.</v>
      </c>
      <c r="F286" s="1">
        <f>'[1]Electricity and CHPs'!B$113</f>
        <v>0</v>
      </c>
      <c r="G286" s="1">
        <f>'[1]Electricity and CHPs'!C$113</f>
        <v>0</v>
      </c>
      <c r="H286" s="1">
        <f>'[1]Electricity and CHPs'!D$113</f>
        <v>0</v>
      </c>
      <c r="I286" s="1">
        <f>'[1]Electricity and CHPs'!E$113</f>
        <v>0</v>
      </c>
      <c r="J286" s="1">
        <f>'[2]Electricity and CHPs'!F$113</f>
        <v>6.098222811547609E-3</v>
      </c>
      <c r="K286" s="1">
        <f>'[2]Electricity and CHPs'!G$113</f>
        <v>3.8944895155123421E-3</v>
      </c>
      <c r="L286" s="1">
        <f>'[2]Electricity and CHPs'!H$113</f>
        <v>2.5718966893440061E-3</v>
      </c>
      <c r="N286" s="1"/>
    </row>
    <row r="287" spans="1:14" x14ac:dyDescent="0.35">
      <c r="A287" s="5" t="s">
        <v>5</v>
      </c>
      <c r="B287" s="5" t="s">
        <v>6</v>
      </c>
      <c r="C287" s="5" t="s">
        <v>7</v>
      </c>
      <c r="D287" t="s">
        <v>235</v>
      </c>
      <c r="E287" t="str">
        <f>E241</f>
        <v>PJ/yr.</v>
      </c>
      <c r="F287" s="1">
        <f>'[1]Electricity and CHPs'!B$117</f>
        <v>0</v>
      </c>
      <c r="G287" s="1">
        <f>'[1]Electricity and CHPs'!C$117</f>
        <v>0</v>
      </c>
      <c r="H287" s="1">
        <f>'[1]Electricity and CHPs'!D$117</f>
        <v>0</v>
      </c>
      <c r="I287" s="1">
        <f>'[1]Electricity and CHPs'!E$117</f>
        <v>0</v>
      </c>
      <c r="J287" s="1">
        <f>'[2]Electricity and CHPs'!F$117</f>
        <v>1.9538499979658733E-3</v>
      </c>
      <c r="K287" s="1">
        <f>'[2]Electricity and CHPs'!G$117</f>
        <v>1.4870600096960707E-3</v>
      </c>
      <c r="L287" s="1">
        <f>'[2]Electricity and CHPs'!H$117</f>
        <v>5.0333773346354551E-4</v>
      </c>
      <c r="N287" s="1"/>
    </row>
    <row r="288" spans="1:14" x14ac:dyDescent="0.35">
      <c r="A288" s="5" t="s">
        <v>5</v>
      </c>
      <c r="B288" s="5" t="s">
        <v>6</v>
      </c>
      <c r="C288" s="5" t="s">
        <v>7</v>
      </c>
      <c r="D288" t="s">
        <v>844</v>
      </c>
      <c r="E288" t="str">
        <f>E195</f>
        <v>PJ/yr.</v>
      </c>
      <c r="F288" s="1">
        <f>SUM(F289:F290)</f>
        <v>0</v>
      </c>
      <c r="G288" s="1">
        <f t="shared" ref="G288:K288" si="274">SUM(G289:G290)</f>
        <v>0</v>
      </c>
      <c r="H288" s="1">
        <f t="shared" si="274"/>
        <v>0</v>
      </c>
      <c r="I288" s="1">
        <f t="shared" si="274"/>
        <v>0</v>
      </c>
      <c r="J288" s="1">
        <f t="shared" si="274"/>
        <v>0</v>
      </c>
      <c r="K288" s="1">
        <f t="shared" si="274"/>
        <v>0</v>
      </c>
      <c r="L288" s="1">
        <f t="shared" ref="L288" si="275">SUM(L289:L290)</f>
        <v>0</v>
      </c>
      <c r="N288" s="1"/>
    </row>
    <row r="289" spans="1:14" x14ac:dyDescent="0.35">
      <c r="A289" s="5" t="s">
        <v>5</v>
      </c>
      <c r="B289" s="5" t="s">
        <v>6</v>
      </c>
      <c r="C289" s="5" t="s">
        <v>7</v>
      </c>
      <c r="D289" t="s">
        <v>189</v>
      </c>
      <c r="E289" t="str">
        <f>E196</f>
        <v>PJ/yr.</v>
      </c>
      <c r="F289" s="1">
        <f>'[1]Electricity and CHPs'!B$108</f>
        <v>0</v>
      </c>
      <c r="G289" s="1">
        <f>'[1]Electricity and CHPs'!C$108</f>
        <v>0</v>
      </c>
      <c r="H289" s="1">
        <f>'[1]Electricity and CHPs'!D$108</f>
        <v>0</v>
      </c>
      <c r="I289" s="1">
        <f>'[1]Electricity and CHPs'!E$108</f>
        <v>0</v>
      </c>
      <c r="J289" s="1">
        <f>'[2]Electricity and CHPs'!F$108</f>
        <v>0</v>
      </c>
      <c r="K289" s="1">
        <f>'[2]Electricity and CHPs'!G$108</f>
        <v>0</v>
      </c>
      <c r="L289" s="1">
        <f>'[2]Electricity and CHPs'!H$108</f>
        <v>0</v>
      </c>
      <c r="N289" s="1"/>
    </row>
    <row r="290" spans="1:14" x14ac:dyDescent="0.35">
      <c r="A290" s="5" t="s">
        <v>5</v>
      </c>
      <c r="B290" s="5" t="s">
        <v>6</v>
      </c>
      <c r="C290" s="5" t="s">
        <v>7</v>
      </c>
      <c r="D290" t="s">
        <v>236</v>
      </c>
      <c r="E290" t="str">
        <f>E243</f>
        <v>PJ/yr.</v>
      </c>
      <c r="F290" s="1">
        <f>'[1]Electricity and CHPs'!B$119</f>
        <v>0</v>
      </c>
      <c r="G290" s="1">
        <f>'[1]Electricity and CHPs'!C$119</f>
        <v>0</v>
      </c>
      <c r="H290" s="1">
        <f>'[1]Electricity and CHPs'!D$119</f>
        <v>0</v>
      </c>
      <c r="I290" s="1">
        <f>'[1]Electricity and CHPs'!E$119</f>
        <v>0</v>
      </c>
      <c r="J290" s="1">
        <f>'[2]Electricity and CHPs'!F$119</f>
        <v>0</v>
      </c>
      <c r="K290" s="1">
        <f>'[2]Electricity and CHPs'!G$119</f>
        <v>0</v>
      </c>
      <c r="L290" s="1">
        <f>'[2]Electricity and CHPs'!H$119</f>
        <v>0</v>
      </c>
      <c r="N290" s="1"/>
    </row>
    <row r="291" spans="1:14" x14ac:dyDescent="0.35">
      <c r="A291" s="5" t="s">
        <v>5</v>
      </c>
      <c r="B291" s="9" t="s">
        <v>6</v>
      </c>
      <c r="C291" s="9" t="s">
        <v>7</v>
      </c>
      <c r="D291" s="2" t="s">
        <v>91</v>
      </c>
      <c r="E291" s="2" t="str">
        <f>E289</f>
        <v>PJ/yr.</v>
      </c>
      <c r="F291" s="3">
        <f>SUM(F292,F294,F298,F310,F358,F379,F387,F389,F397,F401,F395)</f>
        <v>437.60187425577328</v>
      </c>
      <c r="G291" s="3">
        <f t="shared" ref="G291" si="276">SUM(G292,G294,G302,G310,G358,G379,G387,G389,G397,G401,G395)</f>
        <v>419.72266358480658</v>
      </c>
      <c r="H291" s="3">
        <f t="shared" ref="H291" si="277">SUM(H292,H294,H302,H310,H358,H379,H387,H389,H397,H401,H395)</f>
        <v>431.27588495297863</v>
      </c>
      <c r="I291" s="3">
        <f>IFERROR(SUM(I292,I294,I302,I310,I358,I379,I387,I389,I397,I401,I395),0)</f>
        <v>434.57100523710358</v>
      </c>
      <c r="J291" s="3">
        <f t="shared" ref="J291" si="278">SUM(J292,J294,J302,J310,J358,J379,J387,J389,J397,J401,J395)</f>
        <v>399.06943877385072</v>
      </c>
      <c r="K291" s="3">
        <f t="shared" ref="K291:L291" si="279">SUM(K292,K294,K302,K310,K358,K379,K387,K389,K397,K401,K395)</f>
        <v>345.7105642938829</v>
      </c>
      <c r="L291" s="3">
        <f t="shared" si="279"/>
        <v>293.02233143266557</v>
      </c>
      <c r="N291" s="1"/>
    </row>
    <row r="292" spans="1:14" x14ac:dyDescent="0.35">
      <c r="A292" s="5" t="s">
        <v>5</v>
      </c>
      <c r="B292" s="5" t="s">
        <v>6</v>
      </c>
      <c r="C292" s="5" t="s">
        <v>7</v>
      </c>
      <c r="D292" t="s">
        <v>845</v>
      </c>
      <c r="E292" t="str">
        <f>E290</f>
        <v>PJ/yr.</v>
      </c>
      <c r="F292" s="1">
        <f>F293</f>
        <v>250.94817811360252</v>
      </c>
      <c r="G292" s="1">
        <f t="shared" ref="G292:L292" si="280">G293</f>
        <v>253.30007324334684</v>
      </c>
      <c r="H292" s="1">
        <f t="shared" si="280"/>
        <v>233.22742609086157</v>
      </c>
      <c r="I292" s="1">
        <f t="shared" si="280"/>
        <v>211.9022672167373</v>
      </c>
      <c r="J292" s="1">
        <f t="shared" si="280"/>
        <v>167.60344994841282</v>
      </c>
      <c r="K292" s="1">
        <f t="shared" si="280"/>
        <v>98.945503358515836</v>
      </c>
      <c r="L292" s="1">
        <f t="shared" si="280"/>
        <v>0</v>
      </c>
      <c r="N292" s="1"/>
    </row>
    <row r="293" spans="1:14" x14ac:dyDescent="0.35">
      <c r="A293" s="5" t="s">
        <v>5</v>
      </c>
      <c r="B293" s="5" t="s">
        <v>6</v>
      </c>
      <c r="C293" s="5" t="s">
        <v>7</v>
      </c>
      <c r="D293" t="s">
        <v>92</v>
      </c>
      <c r="E293" t="str">
        <f>E292</f>
        <v>PJ/yr.</v>
      </c>
      <c r="F293" s="1">
        <f>'[1]Electricity and CHPs_IN'!B$14</f>
        <v>250.94817811360252</v>
      </c>
      <c r="G293" s="1">
        <f>'[1]Electricity and CHPs_IN'!C$14</f>
        <v>253.30007324334684</v>
      </c>
      <c r="H293" s="1">
        <f>'[1]Electricity and CHPs_IN'!D$14</f>
        <v>233.22742609086157</v>
      </c>
      <c r="I293" s="1">
        <f>'[1]Electricity and CHPs_IN'!E$14</f>
        <v>211.9022672167373</v>
      </c>
      <c r="J293" s="1">
        <f>'[2]Electricity and CHPs_IN'!F$14</f>
        <v>167.60344994841282</v>
      </c>
      <c r="K293" s="1">
        <f>'[2]Electricity and CHPs_IN'!G$14</f>
        <v>98.945503358515836</v>
      </c>
      <c r="L293" s="1">
        <f>'[2]Electricity and CHPs_IN'!H$14</f>
        <v>0</v>
      </c>
      <c r="N293" s="1"/>
    </row>
    <row r="294" spans="1:14" x14ac:dyDescent="0.35">
      <c r="A294" s="5" t="s">
        <v>5</v>
      </c>
      <c r="B294" s="5" t="s">
        <v>6</v>
      </c>
      <c r="C294" s="5" t="s">
        <v>7</v>
      </c>
      <c r="D294" t="s">
        <v>846</v>
      </c>
      <c r="E294" t="str">
        <f t="shared" ref="E294:E357" si="281">E293</f>
        <v>PJ/yr.</v>
      </c>
      <c r="F294" s="1">
        <f>SUM(F295:F297)</f>
        <v>149.43048165857232</v>
      </c>
      <c r="G294" s="1">
        <f t="shared" ref="G294:K294" si="282">SUM(G295:G297)</f>
        <v>125.60470577767911</v>
      </c>
      <c r="H294" s="1">
        <f t="shared" si="282"/>
        <v>137.62371386910246</v>
      </c>
      <c r="I294" s="1">
        <f t="shared" si="282"/>
        <v>150.6245500727326</v>
      </c>
      <c r="J294" s="1">
        <f t="shared" si="282"/>
        <v>150.69272006801111</v>
      </c>
      <c r="K294" s="1">
        <f t="shared" si="282"/>
        <v>150.82546570861854</v>
      </c>
      <c r="L294" s="1">
        <f t="shared" ref="L294" si="283">SUM(L295:L297)</f>
        <v>151.06688373926661</v>
      </c>
      <c r="N294" s="1"/>
    </row>
    <row r="295" spans="1:14" x14ac:dyDescent="0.35">
      <c r="A295" s="5" t="s">
        <v>5</v>
      </c>
      <c r="B295" s="5" t="s">
        <v>6</v>
      </c>
      <c r="C295" s="5" t="s">
        <v>7</v>
      </c>
      <c r="D295" t="s">
        <v>93</v>
      </c>
      <c r="E295" t="str">
        <f t="shared" si="281"/>
        <v>PJ/yr.</v>
      </c>
      <c r="F295" s="1">
        <f>'[1]Electricity and CHPs_IN'!B$15</f>
        <v>66.745679999995161</v>
      </c>
      <c r="G295" s="1">
        <f>'[1]Electricity and CHPs_IN'!C$15</f>
        <v>49.798799902568817</v>
      </c>
      <c r="H295" s="1">
        <f>'[1]Electricity and CHPs_IN'!D$15</f>
        <v>69.098091987387846</v>
      </c>
      <c r="I295" s="1">
        <f>'[1]Electricity and CHPs_IN'!E$15</f>
        <v>70.384657838973283</v>
      </c>
      <c r="J295" s="1">
        <f>'[2]Electricity and CHPs_IN'!F$15</f>
        <v>71.52327812530406</v>
      </c>
      <c r="K295" s="1">
        <f>'[2]Electricity and CHPs_IN'!G$15</f>
        <v>72.607215568765483</v>
      </c>
      <c r="L295" s="1">
        <f>'[2]Electricity and CHPs_IN'!H$15</f>
        <v>74.776919064631173</v>
      </c>
      <c r="N295" s="1"/>
    </row>
    <row r="296" spans="1:14" x14ac:dyDescent="0.35">
      <c r="A296" s="5" t="s">
        <v>5</v>
      </c>
      <c r="B296" s="5" t="s">
        <v>6</v>
      </c>
      <c r="C296" s="5" t="s">
        <v>7</v>
      </c>
      <c r="D296" t="s">
        <v>94</v>
      </c>
      <c r="E296" t="str">
        <f t="shared" si="281"/>
        <v>PJ/yr.</v>
      </c>
      <c r="F296" s="1">
        <f>'[1]Electricity and CHPs_IN'!B$16</f>
        <v>66.632400218261907</v>
      </c>
      <c r="G296" s="1">
        <f>'[1]Electricity and CHPs_IN'!C$16</f>
        <v>55.76400049992705</v>
      </c>
      <c r="H296" s="1">
        <f>'[1]Electricity and CHPs_IN'!D$16</f>
        <v>65.549520725005422</v>
      </c>
      <c r="I296" s="1">
        <f>'[1]Electricity and CHPs_IN'!E$16</f>
        <v>64.46572592756182</v>
      </c>
      <c r="J296" s="1">
        <f>'[2]Electricity and CHPs_IN'!F$16</f>
        <v>63.385979563224339</v>
      </c>
      <c r="K296" s="1">
        <f>'[2]Electricity and CHPs_IN'!G$16</f>
        <v>62.302042598831932</v>
      </c>
      <c r="L296" s="1">
        <f>'[2]Electricity and CHPs_IN'!H$16</f>
        <v>60.132340541967814</v>
      </c>
      <c r="N296" s="1"/>
    </row>
    <row r="297" spans="1:14" x14ac:dyDescent="0.35">
      <c r="A297" s="5" t="s">
        <v>5</v>
      </c>
      <c r="B297" s="5" t="s">
        <v>6</v>
      </c>
      <c r="C297" s="5" t="s">
        <v>7</v>
      </c>
      <c r="D297" t="s">
        <v>95</v>
      </c>
      <c r="E297" t="str">
        <f t="shared" si="281"/>
        <v>PJ/yr.</v>
      </c>
      <c r="F297" s="1">
        <f>'[1]Electricity and CHPs_IN'!B$13</f>
        <v>16.052401440315233</v>
      </c>
      <c r="G297" s="1">
        <f>'[1]Electricity and CHPs_IN'!C$13</f>
        <v>20.041905375183251</v>
      </c>
      <c r="H297" s="1">
        <f>'[1]Electricity and CHPs_IN'!D$13</f>
        <v>2.9761011567091971</v>
      </c>
      <c r="I297" s="1">
        <f>'[1]Electricity and CHPs_IN'!E$13</f>
        <v>15.77416630619749</v>
      </c>
      <c r="J297" s="1">
        <f>'[2]Electricity and CHPs_IN'!F$13</f>
        <v>15.783462379482728</v>
      </c>
      <c r="K297" s="1">
        <f>'[2]Electricity and CHPs_IN'!G$13</f>
        <v>15.916207541021121</v>
      </c>
      <c r="L297" s="1">
        <f>'[2]Electricity and CHPs_IN'!H$13</f>
        <v>16.157624132667632</v>
      </c>
      <c r="N297" s="1"/>
    </row>
    <row r="298" spans="1:14" x14ac:dyDescent="0.35">
      <c r="A298" s="5" t="s">
        <v>5</v>
      </c>
      <c r="B298" s="5" t="s">
        <v>6</v>
      </c>
      <c r="C298" s="5" t="s">
        <v>7</v>
      </c>
      <c r="D298" t="s">
        <v>847</v>
      </c>
      <c r="E298" t="str">
        <f t="shared" si="281"/>
        <v>PJ/yr.</v>
      </c>
      <c r="F298" s="1">
        <f>SUM(F299:F301)</f>
        <v>0.13862952765171557</v>
      </c>
      <c r="G298" s="1">
        <f t="shared" ref="G298:K298" si="284">SUM(G299:G301)</f>
        <v>5.4075872949305423E-2</v>
      </c>
      <c r="H298" s="1">
        <f t="shared" si="284"/>
        <v>1.6352208374527694E-2</v>
      </c>
      <c r="I298" s="1">
        <f t="shared" si="284"/>
        <v>7.5715697218892999E-2</v>
      </c>
      <c r="J298" s="1">
        <f t="shared" si="284"/>
        <v>0.1135028371591169</v>
      </c>
      <c r="K298" s="1">
        <f t="shared" si="284"/>
        <v>2.5035910127532555E-2</v>
      </c>
      <c r="L298" s="1">
        <f t="shared" ref="L298" si="285">SUM(L299:L301)</f>
        <v>0.19019924032846375</v>
      </c>
      <c r="N298" s="1"/>
    </row>
    <row r="299" spans="1:14" x14ac:dyDescent="0.35">
      <c r="A299" s="5" t="s">
        <v>5</v>
      </c>
      <c r="B299" s="5" t="s">
        <v>6</v>
      </c>
      <c r="C299" s="5" t="s">
        <v>7</v>
      </c>
      <c r="D299" t="s">
        <v>96</v>
      </c>
      <c r="E299" t="str">
        <f t="shared" si="281"/>
        <v>PJ/yr.</v>
      </c>
      <c r="F299" s="1">
        <f>'[1]Electricity and CHPs_IN'!B$18</f>
        <v>0.1150495568555423</v>
      </c>
      <c r="G299" s="1">
        <f>'[1]Electricity and CHPs_IN'!C$18</f>
        <v>7.8458380946845867E-4</v>
      </c>
      <c r="H299" s="1">
        <f>'[1]Electricity and CHPs_IN'!D$18</f>
        <v>1.2136483573367761E-2</v>
      </c>
      <c r="I299" s="1">
        <f>'[1]Electricity and CHPs_IN'!E$18</f>
        <v>8.0039582076863705E-4</v>
      </c>
      <c r="J299" s="1">
        <f>'[2]Electricity and CHPs_IN'!F$18</f>
        <v>4.2012127788107929E-3</v>
      </c>
      <c r="K299" s="1">
        <f>'[2]Electricity and CHPs_IN'!G$18</f>
        <v>5.4005894917970101E-3</v>
      </c>
      <c r="L299" s="1">
        <f>'[2]Electricity and CHPs_IN'!H$18</f>
        <v>8.8001226055300138E-3</v>
      </c>
      <c r="N299" s="1"/>
    </row>
    <row r="300" spans="1:14" x14ac:dyDescent="0.35">
      <c r="A300" s="5" t="s">
        <v>5</v>
      </c>
      <c r="B300" s="5" t="s">
        <v>6</v>
      </c>
      <c r="C300" s="5" t="s">
        <v>7</v>
      </c>
      <c r="D300" t="s">
        <v>230</v>
      </c>
      <c r="E300" t="str">
        <f t="shared" si="281"/>
        <v>PJ/yr.</v>
      </c>
      <c r="F300" s="1">
        <f>IFERROR(F72/SUM(F72,F185),0)*'[1]Electricity and CHPs_IN'!B$28</f>
        <v>2.9719737222696904E-3</v>
      </c>
      <c r="G300" s="1">
        <f>IFERROR(G72/SUM(G72,G185),0)*'[1]Electricity and CHPs_IN'!C$28</f>
        <v>1.7543478863483046E-4</v>
      </c>
      <c r="H300" s="1">
        <f>IFERROR(H72/SUM(H72,H185),0)*'[1]Electricity and CHPs_IN'!D$28</f>
        <v>7.9118673155167865E-4</v>
      </c>
      <c r="I300" s="1">
        <f>IFERROR(I72/SUM(I72,I185),0)*'[1]Electricity and CHPs_IN'!E$28</f>
        <v>2.0212467087980796E-4</v>
      </c>
      <c r="J300" s="1">
        <f>IFERROR(J72/SUM(J72,J185),0)*'[2]Electricity and CHPs_IN'!F$28</f>
        <v>1.0444199084325848E-3</v>
      </c>
      <c r="K300" s="1">
        <f>IFERROR(K72/SUM(K72,K185),0)*'[2]Electricity and CHPs_IN'!G$28</f>
        <v>9.4107092403671814E-4</v>
      </c>
      <c r="L300" s="1">
        <f>IFERROR(L72/SUM(L72,L185),0)*'[2]Electricity and CHPs_IN'!H$28</f>
        <v>5.1674820023973932E-4</v>
      </c>
      <c r="M300" s="1"/>
      <c r="N300" s="1"/>
    </row>
    <row r="301" spans="1:14" x14ac:dyDescent="0.35">
      <c r="A301" s="5" t="s">
        <v>5</v>
      </c>
      <c r="B301" s="5" t="s">
        <v>6</v>
      </c>
      <c r="C301" s="5" t="s">
        <v>7</v>
      </c>
      <c r="D301" t="s">
        <v>97</v>
      </c>
      <c r="E301" t="str">
        <f t="shared" si="281"/>
        <v>PJ/yr.</v>
      </c>
      <c r="F301" s="1">
        <f>IFERROR(F73/SUM(F73,F235),0)*'[1]Electricity and CHPs_IN'!B$41</f>
        <v>2.060799707390357E-2</v>
      </c>
      <c r="G301" s="1">
        <f>IFERROR(G73/SUM(G73,G235),0)*'[1]Electricity and CHPs_IN'!C$41</f>
        <v>5.3115854351202134E-2</v>
      </c>
      <c r="H301" s="1">
        <f>IFERROR(H73/SUM(H73,H235),0)*'[1]Electricity and CHPs_IN'!D$41</f>
        <v>3.4245380696082549E-3</v>
      </c>
      <c r="I301" s="1">
        <f>IFERROR(I73/SUM(I73,I235),0)*'[1]Electricity and CHPs_IN'!E$41</f>
        <v>7.4713176727244549E-2</v>
      </c>
      <c r="J301" s="1">
        <f>IFERROR(J73/SUM(J73,J235),0)*'[2]Electricity and CHPs_IN'!F$41</f>
        <v>0.10825720447187352</v>
      </c>
      <c r="K301" s="1">
        <f>IFERROR(K73/SUM(K73,K235),0)*'[2]Electricity and CHPs_IN'!G$41</f>
        <v>1.8694249711698828E-2</v>
      </c>
      <c r="L301" s="1">
        <f>IFERROR(L73/SUM(L73,L235),0)*'[2]Electricity and CHPs_IN'!H$41</f>
        <v>0.18088236952269399</v>
      </c>
      <c r="N301" s="1"/>
    </row>
    <row r="302" spans="1:14" x14ac:dyDescent="0.35">
      <c r="A302" s="5" t="s">
        <v>5</v>
      </c>
      <c r="B302" s="5" t="s">
        <v>6</v>
      </c>
      <c r="C302" s="5" t="s">
        <v>7</v>
      </c>
      <c r="D302" t="s">
        <v>848</v>
      </c>
      <c r="E302" t="str">
        <f t="shared" si="281"/>
        <v>PJ/yr.</v>
      </c>
      <c r="F302" s="1">
        <f>F298</f>
        <v>0.13862952765171557</v>
      </c>
      <c r="G302" s="1">
        <f t="shared" ref="G302:K302" si="286">G298</f>
        <v>5.4075872949305423E-2</v>
      </c>
      <c r="H302" s="1">
        <f t="shared" si="286"/>
        <v>1.6352208374527694E-2</v>
      </c>
      <c r="I302" s="1">
        <f t="shared" si="286"/>
        <v>7.5715697218892999E-2</v>
      </c>
      <c r="J302" s="1">
        <f t="shared" si="286"/>
        <v>0.1135028371591169</v>
      </c>
      <c r="K302" s="1">
        <f t="shared" si="286"/>
        <v>2.5035910127532555E-2</v>
      </c>
      <c r="L302" s="1">
        <f t="shared" ref="L302" si="287">L298</f>
        <v>0.19019924032846375</v>
      </c>
      <c r="N302" s="1"/>
    </row>
    <row r="303" spans="1:14" x14ac:dyDescent="0.35">
      <c r="A303" s="5" t="s">
        <v>5</v>
      </c>
      <c r="B303" s="5" t="s">
        <v>6</v>
      </c>
      <c r="C303" s="5" t="s">
        <v>7</v>
      </c>
      <c r="D303" t="s">
        <v>520</v>
      </c>
      <c r="E303" t="str">
        <f t="shared" si="281"/>
        <v>PJ/yr.</v>
      </c>
      <c r="F303" s="1">
        <f t="shared" ref="F303:K303" si="288">F299</f>
        <v>0.1150495568555423</v>
      </c>
      <c r="G303" s="1">
        <f t="shared" si="288"/>
        <v>7.8458380946845867E-4</v>
      </c>
      <c r="H303" s="1">
        <f t="shared" si="288"/>
        <v>1.2136483573367761E-2</v>
      </c>
      <c r="I303" s="1">
        <f t="shared" si="288"/>
        <v>8.0039582076863705E-4</v>
      </c>
      <c r="J303" s="1">
        <f t="shared" si="288"/>
        <v>4.2012127788107929E-3</v>
      </c>
      <c r="K303" s="1">
        <f t="shared" si="288"/>
        <v>5.4005894917970101E-3</v>
      </c>
      <c r="L303" s="1">
        <f t="shared" ref="L303" si="289">L299</f>
        <v>8.8001226055300138E-3</v>
      </c>
      <c r="N303" s="1"/>
    </row>
    <row r="304" spans="1:14" x14ac:dyDescent="0.35">
      <c r="A304" s="5" t="s">
        <v>5</v>
      </c>
      <c r="B304" s="5" t="s">
        <v>6</v>
      </c>
      <c r="C304" s="5" t="s">
        <v>7</v>
      </c>
      <c r="D304" t="s">
        <v>521</v>
      </c>
      <c r="E304" t="str">
        <f t="shared" si="281"/>
        <v>PJ/yr.</v>
      </c>
      <c r="F304" s="1">
        <f t="shared" ref="F304:K304" si="290">F300</f>
        <v>2.9719737222696904E-3</v>
      </c>
      <c r="G304" s="1">
        <f t="shared" si="290"/>
        <v>1.7543478863483046E-4</v>
      </c>
      <c r="H304" s="1">
        <f t="shared" si="290"/>
        <v>7.9118673155167865E-4</v>
      </c>
      <c r="I304" s="1">
        <f t="shared" si="290"/>
        <v>2.0212467087980796E-4</v>
      </c>
      <c r="J304" s="1">
        <f t="shared" si="290"/>
        <v>1.0444199084325848E-3</v>
      </c>
      <c r="K304" s="1">
        <f t="shared" si="290"/>
        <v>9.4107092403671814E-4</v>
      </c>
      <c r="L304" s="1">
        <f t="shared" ref="L304" si="291">L300</f>
        <v>5.1674820023973932E-4</v>
      </c>
      <c r="N304" s="1"/>
    </row>
    <row r="305" spans="1:14" x14ac:dyDescent="0.35">
      <c r="A305" s="5" t="s">
        <v>5</v>
      </c>
      <c r="B305" s="5" t="s">
        <v>6</v>
      </c>
      <c r="C305" s="5" t="s">
        <v>7</v>
      </c>
      <c r="D305" t="s">
        <v>522</v>
      </c>
      <c r="E305" t="str">
        <f t="shared" si="281"/>
        <v>PJ/yr.</v>
      </c>
      <c r="F305" s="1">
        <f t="shared" ref="F305:K305" si="292">F301</f>
        <v>2.060799707390357E-2</v>
      </c>
      <c r="G305" s="1">
        <f t="shared" si="292"/>
        <v>5.3115854351202134E-2</v>
      </c>
      <c r="H305" s="1">
        <f t="shared" si="292"/>
        <v>3.4245380696082549E-3</v>
      </c>
      <c r="I305" s="1">
        <f t="shared" si="292"/>
        <v>7.4713176727244549E-2</v>
      </c>
      <c r="J305" s="1">
        <f t="shared" si="292"/>
        <v>0.10825720447187352</v>
      </c>
      <c r="K305" s="1">
        <f t="shared" si="292"/>
        <v>1.8694249711698828E-2</v>
      </c>
      <c r="L305" s="1">
        <f t="shared" ref="L305" si="293">L301</f>
        <v>0.18088236952269399</v>
      </c>
      <c r="N305" s="1"/>
    </row>
    <row r="306" spans="1:14" x14ac:dyDescent="0.35">
      <c r="A306" s="5" t="s">
        <v>5</v>
      </c>
      <c r="B306" s="5" t="s">
        <v>6</v>
      </c>
      <c r="C306" s="5" t="s">
        <v>7</v>
      </c>
      <c r="D306" t="s">
        <v>849</v>
      </c>
      <c r="E306" t="str">
        <f t="shared" si="281"/>
        <v>PJ/yr.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N306" s="1"/>
    </row>
    <row r="307" spans="1:14" x14ac:dyDescent="0.35">
      <c r="A307" s="5" t="s">
        <v>5</v>
      </c>
      <c r="B307" s="5" t="s">
        <v>6</v>
      </c>
      <c r="C307" s="5" t="s">
        <v>7</v>
      </c>
      <c r="D307" t="s">
        <v>544</v>
      </c>
      <c r="E307" t="str">
        <f t="shared" si="281"/>
        <v>PJ/yr.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N307" s="1"/>
    </row>
    <row r="308" spans="1:14" x14ac:dyDescent="0.35">
      <c r="A308" s="5" t="s">
        <v>5</v>
      </c>
      <c r="B308" s="5" t="s">
        <v>6</v>
      </c>
      <c r="C308" s="5" t="s">
        <v>7</v>
      </c>
      <c r="D308" t="s">
        <v>545</v>
      </c>
      <c r="E308" t="str">
        <f t="shared" si="281"/>
        <v>PJ/yr.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N308" s="1"/>
    </row>
    <row r="309" spans="1:14" x14ac:dyDescent="0.35">
      <c r="A309" s="5" t="s">
        <v>5</v>
      </c>
      <c r="B309" s="5" t="s">
        <v>6</v>
      </c>
      <c r="C309" s="5" t="s">
        <v>7</v>
      </c>
      <c r="D309" t="s">
        <v>546</v>
      </c>
      <c r="E309" t="str">
        <f t="shared" si="281"/>
        <v>PJ/yr.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N309" s="1"/>
    </row>
    <row r="310" spans="1:14" x14ac:dyDescent="0.35">
      <c r="A310" s="5" t="s">
        <v>5</v>
      </c>
      <c r="B310" s="5" t="s">
        <v>6</v>
      </c>
      <c r="C310" s="5" t="s">
        <v>7</v>
      </c>
      <c r="D310" t="s">
        <v>850</v>
      </c>
      <c r="E310" t="str">
        <f t="shared" si="281"/>
        <v>PJ/yr.</v>
      </c>
      <c r="F310" s="1">
        <f>SUM(F311:F325)</f>
        <v>4.0500774078750892</v>
      </c>
      <c r="G310" s="1">
        <f t="shared" ref="G310:K310" si="294">SUM(G311:G325)</f>
        <v>2.2696566035864292</v>
      </c>
      <c r="H310" s="1">
        <f t="shared" si="294"/>
        <v>2.6950583374646886</v>
      </c>
      <c r="I310" s="1">
        <f>IFERROR(SUM(I311:I325),0)</f>
        <v>3.2786875392946726</v>
      </c>
      <c r="J310" s="1">
        <f t="shared" si="294"/>
        <v>10.262295364802801</v>
      </c>
      <c r="K310" s="1">
        <f t="shared" si="294"/>
        <v>14.411352561053542</v>
      </c>
      <c r="L310" s="1">
        <f t="shared" ref="L310" si="295">SUM(L311:L325)</f>
        <v>38.67660427654608</v>
      </c>
      <c r="N310" s="1"/>
    </row>
    <row r="311" spans="1:14" x14ac:dyDescent="0.35">
      <c r="A311" s="5" t="s">
        <v>5</v>
      </c>
      <c r="B311" s="5" t="s">
        <v>6</v>
      </c>
      <c r="C311" s="5" t="s">
        <v>7</v>
      </c>
      <c r="D311" t="s">
        <v>98</v>
      </c>
      <c r="E311" t="str">
        <f t="shared" si="281"/>
        <v>PJ/yr.</v>
      </c>
      <c r="F311" s="1">
        <f>'[1]Electricity and CHPs_IN'!B$21</f>
        <v>0</v>
      </c>
      <c r="G311" s="1">
        <f>'[1]Electricity and CHPs_IN'!C$21</f>
        <v>0</v>
      </c>
      <c r="H311" s="1">
        <f>'[1]Electricity and CHPs_IN'!D$21</f>
        <v>0</v>
      </c>
      <c r="I311" s="1">
        <f>'[1]Electricity and CHPs_IN'!E$21</f>
        <v>0</v>
      </c>
      <c r="J311" s="1">
        <f>'[2]Electricity and CHPs_IN'!F$21</f>
        <v>0</v>
      </c>
      <c r="K311" s="1">
        <f>'[2]Electricity and CHPs_IN'!G$21</f>
        <v>1.7364190359290332</v>
      </c>
      <c r="L311" s="1">
        <f>'[2]Electricity and CHPs_IN'!H$21</f>
        <v>20.176459040709908</v>
      </c>
      <c r="N311" s="1"/>
    </row>
    <row r="312" spans="1:14" x14ac:dyDescent="0.35">
      <c r="A312" s="5" t="s">
        <v>5</v>
      </c>
      <c r="B312" s="5" t="s">
        <v>6</v>
      </c>
      <c r="C312" s="5" t="s">
        <v>7</v>
      </c>
      <c r="D312" t="s">
        <v>99</v>
      </c>
      <c r="E312" t="str">
        <f t="shared" si="281"/>
        <v>PJ/yr.</v>
      </c>
      <c r="F312" s="1">
        <f>'[1]Electricity and CHPs_IN'!B$22</f>
        <v>0</v>
      </c>
      <c r="G312" s="1">
        <f>'[1]Electricity and CHPs_IN'!C$22</f>
        <v>0</v>
      </c>
      <c r="H312" s="1">
        <f>'[1]Electricity and CHPs_IN'!D$22</f>
        <v>0</v>
      </c>
      <c r="I312" s="1">
        <f>'[1]Electricity and CHPs_IN'!E$22</f>
        <v>0</v>
      </c>
      <c r="J312" s="1">
        <f>'[2]Electricity and CHPs_IN'!F$22</f>
        <v>8.4950875543675468E-3</v>
      </c>
      <c r="K312" s="1">
        <f>'[2]Electricity and CHPs_IN'!G$22</f>
        <v>9.4632450587655188E-3</v>
      </c>
      <c r="L312" s="1">
        <f>'[2]Electricity and CHPs_IN'!H$22</f>
        <v>1.001195555281255E-2</v>
      </c>
      <c r="N312" s="1"/>
    </row>
    <row r="313" spans="1:14" x14ac:dyDescent="0.35">
      <c r="A313" s="5" t="s">
        <v>5</v>
      </c>
      <c r="B313" s="5" t="s">
        <v>6</v>
      </c>
      <c r="C313" s="5" t="s">
        <v>7</v>
      </c>
      <c r="D313" t="s">
        <v>100</v>
      </c>
      <c r="E313" t="str">
        <f t="shared" si="281"/>
        <v>PJ/yr.</v>
      </c>
      <c r="F313" s="1">
        <f>'[1]Electricity and CHPs_IN'!B$23</f>
        <v>0</v>
      </c>
      <c r="G313" s="1">
        <f>'[1]Electricity and CHPs_IN'!C$23</f>
        <v>0</v>
      </c>
      <c r="H313" s="1">
        <f>'[1]Electricity and CHPs_IN'!D$23</f>
        <v>0</v>
      </c>
      <c r="I313" s="1">
        <f>'[1]Electricity and CHPs_IN'!E$23</f>
        <v>0</v>
      </c>
      <c r="J313" s="1">
        <f>'[2]Electricity and CHPs_IN'!F$23</f>
        <v>0</v>
      </c>
      <c r="K313" s="1">
        <f>'[2]Electricity and CHPs_IN'!G$23</f>
        <v>1.7631190267594664E-4</v>
      </c>
      <c r="L313" s="1">
        <f>'[2]Electricity and CHPs_IN'!H$23</f>
        <v>9.7864031762143002E-5</v>
      </c>
      <c r="N313" s="1"/>
    </row>
    <row r="314" spans="1:14" x14ac:dyDescent="0.35">
      <c r="A314" s="5" t="s">
        <v>5</v>
      </c>
      <c r="B314" s="5" t="s">
        <v>6</v>
      </c>
      <c r="C314" s="5" t="s">
        <v>7</v>
      </c>
      <c r="D314" t="s">
        <v>101</v>
      </c>
      <c r="E314" t="str">
        <f t="shared" si="281"/>
        <v>PJ/yr.</v>
      </c>
      <c r="F314" s="1">
        <f>IFERROR(F86/SUM(F86+F189),0)*'[1]Electricity and CHPs_IN'!B$24</f>
        <v>1.2799285052079152</v>
      </c>
      <c r="G314" s="1">
        <f>IFERROR(G86/SUM(G86+G189),0)*'[1]Electricity and CHPs_IN'!C$24</f>
        <v>2.6516060622743025E-4</v>
      </c>
      <c r="H314" s="1">
        <f>IFERROR(H86/SUM(H86+H189),0)*'[1]Electricity and CHPs_IN'!D$24</f>
        <v>9.7029317087156383E-2</v>
      </c>
      <c r="I314" s="1">
        <f>IFERROR(I86/SUM(I86+I189),0)*'[1]Electricity and CHPs_IN'!E$24</f>
        <v>1.0679870032867954E-2</v>
      </c>
      <c r="J314" s="1">
        <f>IFERROR(J86/SUM(J86+J189),0)*'[2]Electricity and CHPs_IN'!F$24</f>
        <v>1.9605302768381943E-2</v>
      </c>
      <c r="K314" s="1">
        <f>IFERROR(K86/SUM(K86+K189),0)*'[2]Electricity and CHPs_IN'!G$24</f>
        <v>0.37003009536036607</v>
      </c>
      <c r="L314" s="1">
        <f>IFERROR(L86/SUM(L86+L189),0)*'[2]Electricity and CHPs_IN'!H$24</f>
        <v>0.2367071658313197</v>
      </c>
      <c r="N314" s="1"/>
    </row>
    <row r="315" spans="1:14" x14ac:dyDescent="0.35">
      <c r="A315" s="5" t="s">
        <v>5</v>
      </c>
      <c r="B315" s="5" t="s">
        <v>6</v>
      </c>
      <c r="C315" s="5" t="s">
        <v>7</v>
      </c>
      <c r="D315" t="s">
        <v>102</v>
      </c>
      <c r="E315" t="str">
        <f t="shared" si="281"/>
        <v>PJ/yr.</v>
      </c>
      <c r="F315" s="1">
        <f>IFERROR(F87/SUM(F87+F190),0)*'[1]Electricity and CHPs_IN'!B$29</f>
        <v>0</v>
      </c>
      <c r="G315" s="1">
        <f>IFERROR(G87/SUM(G87+G190),0)*'[1]Electricity and CHPs_IN'!C$29</f>
        <v>0</v>
      </c>
      <c r="H315" s="1">
        <f>IFERROR(H87/SUM(H87+H190),0)*'[1]Electricity and CHPs_IN'!D$29</f>
        <v>0</v>
      </c>
      <c r="I315" s="1">
        <f>IFERROR(I87/SUM(I87+I190),0)*'[1]Electricity and CHPs_IN'!E$29</f>
        <v>0</v>
      </c>
      <c r="J315" s="1">
        <f>IFERROR(J87/SUM(J87+J190),0)*'[2]Electricity and CHPs_IN'!F$29</f>
        <v>0</v>
      </c>
      <c r="K315" s="1">
        <f>IFERROR(K87/SUM(K87+K190),0)*'[2]Electricity and CHPs_IN'!G$29</f>
        <v>0.36077832271995031</v>
      </c>
      <c r="L315" s="1">
        <f>IFERROR(L87/SUM(L87+L190),0)*'[2]Electricity and CHPs_IN'!H$29</f>
        <v>1.8488058202157527</v>
      </c>
      <c r="N315" s="1"/>
    </row>
    <row r="316" spans="1:14" x14ac:dyDescent="0.35">
      <c r="A316" s="5" t="s">
        <v>5</v>
      </c>
      <c r="B316" s="5" t="s">
        <v>6</v>
      </c>
      <c r="C316" s="5" t="s">
        <v>7</v>
      </c>
      <c r="D316" t="s">
        <v>103</v>
      </c>
      <c r="E316" t="str">
        <f t="shared" si="281"/>
        <v>PJ/yr.</v>
      </c>
      <c r="F316" s="1">
        <f>F88/SUM(F88,F241)*'[1]Electricity and CHPs_IN'!B$39</f>
        <v>0.89328941523629091</v>
      </c>
      <c r="G316" s="1">
        <f>G88/SUM(G88,G241)*'[1]Electricity and CHPs_IN'!C$39</f>
        <v>0.22105237751275317</v>
      </c>
      <c r="H316" s="1">
        <f>H88/SUM(H88,H241)*'[1]Electricity and CHPs_IN'!D$39</f>
        <v>1.2735797106813234</v>
      </c>
      <c r="I316" s="1">
        <f>I88/SUM(I88,I241)*'[1]Electricity and CHPs_IN'!E$39</f>
        <v>1.8879543052012537</v>
      </c>
      <c r="J316" s="1">
        <f>J88/SUM(J88,J241)*'[2]Electricity and CHPs_IN'!F$39</f>
        <v>1.0805514582127547</v>
      </c>
      <c r="K316" s="1">
        <f>K88/SUM(K88,K241)*'[2]Electricity and CHPs_IN'!G$39</f>
        <v>0.26678026220388207</v>
      </c>
      <c r="L316" s="1">
        <f>L88/SUM(L88,L241)*'[2]Electricity and CHPs_IN'!H$39</f>
        <v>5.9484920913463218E-2</v>
      </c>
      <c r="N316" s="1"/>
    </row>
    <row r="317" spans="1:14" x14ac:dyDescent="0.35">
      <c r="A317" s="5" t="s">
        <v>5</v>
      </c>
      <c r="B317" s="5" t="s">
        <v>6</v>
      </c>
      <c r="C317" s="5" t="s">
        <v>7</v>
      </c>
      <c r="D317" t="s">
        <v>104</v>
      </c>
      <c r="E317" t="str">
        <f t="shared" si="281"/>
        <v>PJ/yr.</v>
      </c>
      <c r="F317" s="1">
        <f>IFERROR(F89/SUM(F89,F242),0)*'[1]Electricity and CHPs_IN'!B$40</f>
        <v>0</v>
      </c>
      <c r="G317" s="1">
        <f>IFERROR(G89/SUM(G89,G242),0)*'[1]Electricity and CHPs_IN'!C$40</f>
        <v>0</v>
      </c>
      <c r="H317" s="1">
        <f>IFERROR(H89/SUM(H89,H242),0)*'[1]Electricity and CHPs_IN'!D$40</f>
        <v>0</v>
      </c>
      <c r="I317" s="1">
        <f>IFERROR(I89/SUM(I89,I242),0)*'[1]Electricity and CHPs_IN'!E$40</f>
        <v>0</v>
      </c>
      <c r="J317" s="1">
        <f>IFERROR(J89/SUM(J89,J242),0)*'[2]Electricity and CHPs_IN'!F$40</f>
        <v>0</v>
      </c>
      <c r="K317" s="1">
        <f>IFERROR(K89/SUM(K89,K242),0)*'[2]Electricity and CHPs_IN'!G$40</f>
        <v>0</v>
      </c>
      <c r="L317" s="1">
        <f>IFERROR(L89/SUM(L89,L242),0)*'[2]Electricity and CHPs_IN'!H$40</f>
        <v>0</v>
      </c>
      <c r="N317" s="1"/>
    </row>
    <row r="318" spans="1:14" x14ac:dyDescent="0.35">
      <c r="A318" s="5" t="s">
        <v>5</v>
      </c>
      <c r="B318" s="5" t="s">
        <v>6</v>
      </c>
      <c r="C318" s="5" t="s">
        <v>7</v>
      </c>
      <c r="D318" t="s">
        <v>105</v>
      </c>
      <c r="E318" t="str">
        <f t="shared" si="281"/>
        <v>PJ/yr.</v>
      </c>
      <c r="F318" s="1">
        <f>IFERROR(F90/SUM(F90,F243),0)*'[1]Electricity and CHPs_IN'!$B$47</f>
        <v>0</v>
      </c>
      <c r="G318" s="1">
        <f>IFERROR(G90/SUM(G90,G243),0)*'[1]Electricity and CHPs_IN'!$B$47</f>
        <v>0</v>
      </c>
      <c r="H318" s="1">
        <f>IFERROR(H90/SUM(H90,H243),0)*'[1]Electricity and CHPs_IN'!$B$47</f>
        <v>0</v>
      </c>
      <c r="I318" s="1">
        <f>IFERROR(I90/SUM(I90,I243),0)*'[1]Electricity and CHPs_IN'!$B$47</f>
        <v>0</v>
      </c>
      <c r="J318" s="1">
        <f>IFERROR(J90/SUM(J90,J243),0)*'[2]Electricity and CHPs_IN'!$B$47</f>
        <v>0</v>
      </c>
      <c r="K318" s="1">
        <f>IFERROR(K90/SUM(K90,K243),0)*'[2]Electricity and CHPs_IN'!$B$47</f>
        <v>0</v>
      </c>
      <c r="L318" s="1">
        <f>IFERROR(L90/SUM(L90,L243),0)*'[2]Electricity and CHPs_IN'!$B$47</f>
        <v>0</v>
      </c>
      <c r="N318" s="1"/>
    </row>
    <row r="319" spans="1:14" x14ac:dyDescent="0.35">
      <c r="A319" s="5" t="s">
        <v>5</v>
      </c>
      <c r="B319" s="5" t="s">
        <v>6</v>
      </c>
      <c r="C319" s="5" t="s">
        <v>7</v>
      </c>
      <c r="D319" t="s">
        <v>106</v>
      </c>
      <c r="E319" t="str">
        <f t="shared" si="281"/>
        <v>PJ/yr.</v>
      </c>
      <c r="F319" s="1">
        <f>F91/SUM(F91,F244)*'[1]Electricity and CHPs_IN'!B$48</f>
        <v>1.5920377470841941E-2</v>
      </c>
      <c r="G319" s="1">
        <f>G91/SUM(G91,G244)*'[1]Electricity and CHPs_IN'!C$48</f>
        <v>9.4717891111795389E-4</v>
      </c>
      <c r="H319" s="1">
        <f>H91/SUM(H91,H244)*'[1]Electricity and CHPs_IN'!D$48</f>
        <v>2.6236798693553831E-3</v>
      </c>
      <c r="I319" s="1">
        <f>IFERROR(I91/SUM(I91,I244)*'[1]Electricity and CHPs_IN'!E$48,0)</f>
        <v>0</v>
      </c>
      <c r="J319" s="1">
        <f>J91/SUM(J91,J244)*'[2]Electricity and CHPs_IN'!F$48</f>
        <v>8.3790162872396691E-3</v>
      </c>
      <c r="K319" s="1">
        <f>K91/SUM(K91,K244)*'[2]Electricity and CHPs_IN'!G$48</f>
        <v>4.7714680333280609E-3</v>
      </c>
      <c r="L319" s="1">
        <f>L91/SUM(L91,L244)*'[2]Electricity and CHPs_IN'!H$48</f>
        <v>2.3188277781278003E-3</v>
      </c>
      <c r="N319" s="1"/>
    </row>
    <row r="320" spans="1:14" x14ac:dyDescent="0.35">
      <c r="A320" s="5" t="s">
        <v>5</v>
      </c>
      <c r="B320" s="5" t="s">
        <v>6</v>
      </c>
      <c r="C320" s="5" t="s">
        <v>7</v>
      </c>
      <c r="D320" t="s">
        <v>107</v>
      </c>
      <c r="E320" t="str">
        <f t="shared" si="281"/>
        <v>PJ/yr.</v>
      </c>
      <c r="F320" s="1">
        <f>IFERROR(F92/SUM(F92,F245),0)*'[1]Electricity and CHPs_IN'!B$49</f>
        <v>0</v>
      </c>
      <c r="G320" s="1">
        <f>IFERROR(G92/SUM(G92,G245),0)*'[1]Electricity and CHPs_IN'!C$49</f>
        <v>0</v>
      </c>
      <c r="H320" s="1">
        <f>IFERROR(H92/SUM(H92,H245),0)*'[1]Electricity and CHPs_IN'!D$49</f>
        <v>0</v>
      </c>
      <c r="I320" s="1">
        <f>IFERROR(I92/SUM(I92,I245),0)*'[1]Electricity and CHPs_IN'!E$49</f>
        <v>0</v>
      </c>
      <c r="J320" s="1">
        <f>IFERROR(J92/SUM(J92,J245),0)*'[2]Electricity and CHPs_IN'!F$49</f>
        <v>1.5415132089986591E-3</v>
      </c>
      <c r="K320" s="1">
        <f>IFERROR(K92/SUM(K92,K245),0)*'[2]Electricity and CHPs_IN'!G$49</f>
        <v>1.5202103901327721E-3</v>
      </c>
      <c r="L320" s="1">
        <f>IFERROR(L92/SUM(L92,L245),0)*'[2]Electricity and CHPs_IN'!H$49</f>
        <v>1.4302605722850681E-3</v>
      </c>
      <c r="N320" s="1"/>
    </row>
    <row r="321" spans="1:14" x14ac:dyDescent="0.35">
      <c r="A321" s="5" t="s">
        <v>5</v>
      </c>
      <c r="B321" s="5" t="s">
        <v>6</v>
      </c>
      <c r="C321" s="5" t="s">
        <v>7</v>
      </c>
      <c r="D321" t="s">
        <v>108</v>
      </c>
      <c r="E321" t="str">
        <f t="shared" si="281"/>
        <v>PJ/yr.</v>
      </c>
      <c r="F321" s="1">
        <f>IFERROR(F93/SUM(F93,F246),0)*'[1]Electricity and CHPs_IN'!B$51</f>
        <v>3.1735812854462399E-2</v>
      </c>
      <c r="G321" s="1">
        <f>IFERROR(G93/SUM(G93,G246),0)*'[1]Electricity and CHPs_IN'!C$51</f>
        <v>1.6658429518855565E-3</v>
      </c>
      <c r="H321" s="1">
        <f>IFERROR(H93/SUM(H93,H246),0)*'[1]Electricity and CHPs_IN'!D$51</f>
        <v>3.2454990270517968E-3</v>
      </c>
      <c r="I321" s="1">
        <f>IFERROR(I93/SUM(I93,I246),0)*'[1]Electricity and CHPs_IN'!E$51</f>
        <v>0</v>
      </c>
      <c r="J321" s="1">
        <f>IFERROR(J93/SUM(J93,J246),0)*'[2]Electricity and CHPs_IN'!F$51</f>
        <v>1.2994945781114204</v>
      </c>
      <c r="K321" s="1">
        <f>IFERROR(K93/SUM(K93,K246),0)*'[2]Electricity and CHPs_IN'!G$51</f>
        <v>4.2159097621615471</v>
      </c>
      <c r="L321" s="1">
        <f>IFERROR(L93/SUM(L93,L246),0)*'[2]Electricity and CHPs_IN'!H$51</f>
        <v>2.6021437940444074</v>
      </c>
      <c r="N321" s="1"/>
    </row>
    <row r="322" spans="1:14" x14ac:dyDescent="0.35">
      <c r="A322" s="5" t="s">
        <v>5</v>
      </c>
      <c r="B322" s="5" t="s">
        <v>6</v>
      </c>
      <c r="C322" s="5" t="s">
        <v>7</v>
      </c>
      <c r="D322" t="s">
        <v>109</v>
      </c>
      <c r="E322" t="str">
        <f t="shared" si="281"/>
        <v>PJ/yr.</v>
      </c>
      <c r="F322" s="1">
        <f>IFERROR(F94/SUM(F94,F247),0)*'[1]Electricity and CHPs_IN'!B$52</f>
        <v>0</v>
      </c>
      <c r="G322" s="1">
        <f>IFERROR(G94/SUM(G94,G247),0)*'[1]Electricity and CHPs_IN'!C$52</f>
        <v>0</v>
      </c>
      <c r="H322" s="1">
        <f>IFERROR(H94/SUM(H94,H247),0)*'[1]Electricity and CHPs_IN'!D$52</f>
        <v>0</v>
      </c>
      <c r="I322" s="1">
        <f>IFERROR(I94/SUM(I94,I247),0)*'[1]Electricity and CHPs_IN'!E$52</f>
        <v>0</v>
      </c>
      <c r="J322" s="1">
        <f>IFERROR(J94/SUM(J94,J247),0)*'[2]Electricity and CHPs_IN'!F$52</f>
        <v>9.1917269439871253E-3</v>
      </c>
      <c r="K322" s="1">
        <f>IFERROR(K94/SUM(K94,K247),0)*'[2]Electricity and CHPs_IN'!G$52</f>
        <v>1.2700972506519902E-2</v>
      </c>
      <c r="L322" s="1">
        <f>IFERROR(L94/SUM(L94,L247),0)*'[2]Electricity and CHPs_IN'!H$52</f>
        <v>2.9370718669621283</v>
      </c>
      <c r="N322" s="1"/>
    </row>
    <row r="323" spans="1:14" x14ac:dyDescent="0.35">
      <c r="A323" s="5" t="s">
        <v>5</v>
      </c>
      <c r="B323" s="5" t="s">
        <v>6</v>
      </c>
      <c r="C323" s="5" t="s">
        <v>7</v>
      </c>
      <c r="D323" t="s">
        <v>110</v>
      </c>
      <c r="E323" t="str">
        <f t="shared" si="281"/>
        <v>PJ/yr.</v>
      </c>
      <c r="F323" s="1">
        <f>IFERROR(F95/SUM(F95,F248),0)*'[1]Electricity and CHPs_IN'!B$54</f>
        <v>1.0647009893707091</v>
      </c>
      <c r="G323" s="1">
        <f>IFERROR(G95/SUM(G95,G248),0)*'[1]Electricity and CHPs_IN'!C$54</f>
        <v>1.2550000575015496</v>
      </c>
      <c r="H323" s="1">
        <f>IFERROR(H95/SUM(H95,H248),0)*'[1]Electricity and CHPs_IN'!D$54</f>
        <v>1.2996896590518983</v>
      </c>
      <c r="I323" s="1">
        <f>IFERROR(I95/SUM(I95,I248),0)*'[1]Electricity and CHPs_IN'!E$54</f>
        <v>1.3800533640605512</v>
      </c>
      <c r="J323" s="1">
        <f>IFERROR(J95/SUM(J95,J248),0)*'[2]Electricity and CHPs_IN'!F$54</f>
        <v>1.4564686184860363</v>
      </c>
      <c r="K323" s="1">
        <f>IFERROR(K95/SUM(K95,K248),0)*'[2]Electricity and CHPs_IN'!G$54</f>
        <v>1.5447401121874558</v>
      </c>
      <c r="L323" s="1">
        <f>IFERROR(L95/SUM(L95,L248),0)*'[2]Electricity and CHPs_IN'!H$54</f>
        <v>1.503721356022496</v>
      </c>
      <c r="N323" s="1"/>
    </row>
    <row r="324" spans="1:14" x14ac:dyDescent="0.35">
      <c r="A324" s="5" t="s">
        <v>5</v>
      </c>
      <c r="B324" s="5" t="s">
        <v>6</v>
      </c>
      <c r="C324" s="5" t="s">
        <v>7</v>
      </c>
      <c r="D324" t="s">
        <v>111</v>
      </c>
      <c r="E324" t="str">
        <f t="shared" si="281"/>
        <v>PJ/yr.</v>
      </c>
      <c r="F324" s="1">
        <f>IFERROR(F96/SUM(F96,F249),0)*'[1]Electricity and CHPs_IN'!B$55</f>
        <v>0.76450230773486938</v>
      </c>
      <c r="G324" s="1">
        <f>IFERROR(G96/SUM(G96,G249),0)*'[1]Electricity and CHPs_IN'!C$55</f>
        <v>0.79072598610289535</v>
      </c>
      <c r="H324" s="1">
        <f>IFERROR(H96/SUM(H96,H249),0)*'[1]Electricity and CHPs_IN'!D$55</f>
        <v>1.8890471747903512E-2</v>
      </c>
      <c r="I324" s="1">
        <f>IFERROR(I96/SUM(I96,I249),0)*'[1]Electricity and CHPs_IN'!E$55</f>
        <v>0</v>
      </c>
      <c r="J324" s="1">
        <f>IFERROR(J96/SUM(J96,J249),0)*'[2]Electricity and CHPs_IN'!F$55</f>
        <v>6.3763034562845311</v>
      </c>
      <c r="K324" s="1">
        <f>IFERROR(K96/SUM(K96,K249),0)*'[2]Electricity and CHPs_IN'!G$55</f>
        <v>5.8796066494087649</v>
      </c>
      <c r="L324" s="1">
        <f>IFERROR(L96/SUM(L96,L249),0)*'[2]Electricity and CHPs_IN'!H$55</f>
        <v>1.0960628031489034E-3</v>
      </c>
      <c r="N324" s="1"/>
    </row>
    <row r="325" spans="1:14" x14ac:dyDescent="0.35">
      <c r="A325" s="5" t="s">
        <v>5</v>
      </c>
      <c r="B325" s="5" t="s">
        <v>6</v>
      </c>
      <c r="C325" s="5" t="s">
        <v>7</v>
      </c>
      <c r="D325" t="s">
        <v>112</v>
      </c>
      <c r="E325" t="str">
        <f t="shared" si="281"/>
        <v>PJ/yr.</v>
      </c>
      <c r="F325" s="1">
        <f>IFERROR(F97/SUM(F97,F250),0)*'[1]Electricity and CHPs_IN'!B$58</f>
        <v>0</v>
      </c>
      <c r="G325" s="1">
        <f>IFERROR(G97/SUM(G97,G250),0)*'[1]Electricity and CHPs_IN'!C$58</f>
        <v>0</v>
      </c>
      <c r="H325" s="1">
        <f>IFERROR(H97/SUM(H97,H250),0)*'[1]Electricity and CHPs_IN'!D$58</f>
        <v>0</v>
      </c>
      <c r="I325" s="1">
        <f>IFERROR(I97/SUM(I97,I250),0)*'[1]Electricity and CHPs_IN'!E$58</f>
        <v>0</v>
      </c>
      <c r="J325" s="1">
        <f>IFERROR(J97/SUM(J97,J250),0)*'[2]Electricity and CHPs_IN'!F$58</f>
        <v>2.2646069450842185E-3</v>
      </c>
      <c r="K325" s="1">
        <f>IFERROR(K97/SUM(K97,K250),0)*'[2]Electricity and CHPs_IN'!G$58</f>
        <v>8.456113191120879E-3</v>
      </c>
      <c r="L325" s="1">
        <f>IFERROR(L97/SUM(L97,L250),0)*'[2]Electricity and CHPs_IN'!H$58</f>
        <v>9.2972553411084675</v>
      </c>
      <c r="N325" s="1"/>
    </row>
    <row r="326" spans="1:14" x14ac:dyDescent="0.35">
      <c r="A326" s="5" t="s">
        <v>5</v>
      </c>
      <c r="B326" s="5" t="s">
        <v>6</v>
      </c>
      <c r="C326" s="5" t="s">
        <v>7</v>
      </c>
      <c r="D326" t="s">
        <v>851</v>
      </c>
      <c r="E326" t="str">
        <f t="shared" si="281"/>
        <v>PJ/yr.</v>
      </c>
      <c r="F326" s="1">
        <f>F310-F342</f>
        <v>2.9093101777401156</v>
      </c>
      <c r="G326" s="1">
        <f t="shared" ref="G326:K326" si="296">G310-G342</f>
        <v>0.98484168612157452</v>
      </c>
      <c r="H326" s="1">
        <f t="shared" si="296"/>
        <v>1.2792670285555847</v>
      </c>
      <c r="I326" s="1">
        <f>IFERROR(I310-I342,0)</f>
        <v>1.6444903091754988</v>
      </c>
      <c r="J326" s="1">
        <f t="shared" si="296"/>
        <v>8.668970860302915</v>
      </c>
      <c r="K326" s="1">
        <f t="shared" si="296"/>
        <v>12.807102500385637</v>
      </c>
      <c r="L326" s="1">
        <f t="shared" ref="L326" si="297">L310-L342</f>
        <v>37.083535014935556</v>
      </c>
      <c r="N326" s="1"/>
    </row>
    <row r="327" spans="1:14" x14ac:dyDescent="0.35">
      <c r="A327" s="5" t="s">
        <v>5</v>
      </c>
      <c r="B327" s="5" t="s">
        <v>6</v>
      </c>
      <c r="C327" s="5" t="s">
        <v>7</v>
      </c>
      <c r="D327" t="s">
        <v>579</v>
      </c>
      <c r="E327" t="str">
        <f t="shared" si="281"/>
        <v>PJ/yr.</v>
      </c>
      <c r="F327" s="1">
        <f>IFERROR(F99/F83,0)*F311</f>
        <v>0</v>
      </c>
      <c r="G327" s="1">
        <f t="shared" ref="G327:K327" si="298">IFERROR(G99/G83,0)*G311</f>
        <v>0</v>
      </c>
      <c r="H327" s="1">
        <f t="shared" si="298"/>
        <v>0</v>
      </c>
      <c r="I327" s="1">
        <f t="shared" si="298"/>
        <v>0</v>
      </c>
      <c r="J327" s="1">
        <f t="shared" si="298"/>
        <v>0</v>
      </c>
      <c r="K327" s="1">
        <f t="shared" si="298"/>
        <v>1.7284115305928389</v>
      </c>
      <c r="L327" s="1">
        <f t="shared" ref="L327" si="299">IFERROR(L99/L83,0)*L311</f>
        <v>20.128016347887591</v>
      </c>
      <c r="N327" s="1"/>
    </row>
    <row r="328" spans="1:14" x14ac:dyDescent="0.35">
      <c r="A328" s="5" t="s">
        <v>5</v>
      </c>
      <c r="B328" s="5" t="s">
        <v>6</v>
      </c>
      <c r="C328" s="5" t="s">
        <v>7</v>
      </c>
      <c r="D328" t="s">
        <v>580</v>
      </c>
      <c r="E328" t="str">
        <f t="shared" si="281"/>
        <v>PJ/yr.</v>
      </c>
      <c r="F328" s="1">
        <f t="shared" ref="F328:K328" si="300">IFERROR(F100/F84,0)*F312</f>
        <v>0</v>
      </c>
      <c r="G328" s="1">
        <f t="shared" si="300"/>
        <v>0</v>
      </c>
      <c r="H328" s="1">
        <f t="shared" si="300"/>
        <v>0</v>
      </c>
      <c r="I328" s="1">
        <f t="shared" si="300"/>
        <v>0</v>
      </c>
      <c r="J328" s="1">
        <f t="shared" si="300"/>
        <v>8.3630610260799591E-3</v>
      </c>
      <c r="K328" s="1">
        <f t="shared" si="300"/>
        <v>9.4196052553898093E-3</v>
      </c>
      <c r="L328" s="1">
        <f t="shared" ref="L328" si="301">IFERROR(L100/L84,0)*L312</f>
        <v>9.9879173364725571E-3</v>
      </c>
      <c r="N328" s="1"/>
    </row>
    <row r="329" spans="1:14" x14ac:dyDescent="0.35">
      <c r="A329" s="5" t="s">
        <v>5</v>
      </c>
      <c r="B329" s="5" t="s">
        <v>6</v>
      </c>
      <c r="C329" s="5" t="s">
        <v>7</v>
      </c>
      <c r="D329" t="s">
        <v>581</v>
      </c>
      <c r="E329" t="str">
        <f t="shared" si="281"/>
        <v>PJ/yr.</v>
      </c>
      <c r="F329" s="1">
        <f t="shared" ref="F329:K329" si="302">IFERROR(F101/F85,0)*F313</f>
        <v>0</v>
      </c>
      <c r="G329" s="1">
        <f t="shared" si="302"/>
        <v>0</v>
      </c>
      <c r="H329" s="1">
        <f t="shared" si="302"/>
        <v>0</v>
      </c>
      <c r="I329" s="1">
        <f t="shared" si="302"/>
        <v>0</v>
      </c>
      <c r="J329" s="1">
        <f t="shared" si="302"/>
        <v>0</v>
      </c>
      <c r="K329" s="1">
        <f t="shared" si="302"/>
        <v>0</v>
      </c>
      <c r="L329" s="1">
        <f t="shared" ref="L329" si="303">IFERROR(L101/L85,0)*L313</f>
        <v>0</v>
      </c>
      <c r="N329" s="1"/>
    </row>
    <row r="330" spans="1:14" x14ac:dyDescent="0.35">
      <c r="A330" s="5" t="s">
        <v>5</v>
      </c>
      <c r="B330" s="5" t="s">
        <v>6</v>
      </c>
      <c r="C330" s="5" t="s">
        <v>7</v>
      </c>
      <c r="D330" t="s">
        <v>582</v>
      </c>
      <c r="E330" t="str">
        <f t="shared" si="281"/>
        <v>PJ/yr.</v>
      </c>
      <c r="F330" s="1">
        <f t="shared" ref="F330:K330" si="304">IFERROR(F102/F86,0)*F314</f>
        <v>1.2473164201004143</v>
      </c>
      <c r="G330" s="1">
        <f t="shared" si="304"/>
        <v>2.5736907679516996E-4</v>
      </c>
      <c r="H330" s="1">
        <f t="shared" si="304"/>
        <v>8.8955992830551417E-2</v>
      </c>
      <c r="I330" s="1">
        <f t="shared" si="304"/>
        <v>9.2503037190613466E-3</v>
      </c>
      <c r="J330" s="1">
        <f t="shared" si="304"/>
        <v>1.9300606666785469E-2</v>
      </c>
      <c r="K330" s="1">
        <f t="shared" si="304"/>
        <v>0.36832369966794309</v>
      </c>
      <c r="L330" s="1">
        <f t="shared" ref="L330" si="305">IFERROR(L102/L86,0)*L314</f>
        <v>0.23613884348595318</v>
      </c>
      <c r="N330" s="1"/>
    </row>
    <row r="331" spans="1:14" x14ac:dyDescent="0.35">
      <c r="A331" s="5" t="s">
        <v>5</v>
      </c>
      <c r="B331" s="5" t="s">
        <v>6</v>
      </c>
      <c r="C331" s="5" t="s">
        <v>7</v>
      </c>
      <c r="D331" t="s">
        <v>583</v>
      </c>
      <c r="E331" t="str">
        <f t="shared" si="281"/>
        <v>PJ/yr.</v>
      </c>
      <c r="F331" s="1">
        <f t="shared" ref="F331:K331" si="306">IFERROR(F103/F87,0)*F315</f>
        <v>0</v>
      </c>
      <c r="G331" s="1">
        <f t="shared" si="306"/>
        <v>0</v>
      </c>
      <c r="H331" s="1">
        <f t="shared" si="306"/>
        <v>0</v>
      </c>
      <c r="I331" s="1">
        <f t="shared" si="306"/>
        <v>0</v>
      </c>
      <c r="J331" s="1">
        <f t="shared" si="306"/>
        <v>0</v>
      </c>
      <c r="K331" s="1">
        <f t="shared" si="306"/>
        <v>0.35911459162475551</v>
      </c>
      <c r="L331" s="1">
        <f t="shared" ref="L331" si="307">IFERROR(L103/L87,0)*L315</f>
        <v>1.8443669277294095</v>
      </c>
      <c r="N331" s="1"/>
    </row>
    <row r="332" spans="1:14" x14ac:dyDescent="0.35">
      <c r="A332" s="5" t="s">
        <v>5</v>
      </c>
      <c r="B332" s="5" t="s">
        <v>6</v>
      </c>
      <c r="C332" s="5" t="s">
        <v>7</v>
      </c>
      <c r="D332" t="s">
        <v>584</v>
      </c>
      <c r="E332" t="str">
        <f t="shared" si="281"/>
        <v>PJ/yr.</v>
      </c>
      <c r="F332" s="1">
        <f t="shared" ref="F332:K332" si="308">IFERROR(F104/F88,0)*F316</f>
        <v>0.87052874515450129</v>
      </c>
      <c r="G332" s="1">
        <f t="shared" si="308"/>
        <v>0.21455693262006625</v>
      </c>
      <c r="H332" s="1">
        <f t="shared" si="308"/>
        <v>1.1676115117943038</v>
      </c>
      <c r="I332" s="1">
        <f t="shared" si="308"/>
        <v>1.6352400054564378</v>
      </c>
      <c r="J332" s="1">
        <f t="shared" si="308"/>
        <v>1.0637580518174814</v>
      </c>
      <c r="K332" s="1">
        <f t="shared" si="308"/>
        <v>0.26555000364935866</v>
      </c>
      <c r="L332" s="1">
        <f t="shared" ref="L332" si="309">IFERROR(L104/L88,0)*L316</f>
        <v>5.9342100523346375E-2</v>
      </c>
      <c r="N332" s="1"/>
    </row>
    <row r="333" spans="1:14" x14ac:dyDescent="0.35">
      <c r="A333" s="5" t="s">
        <v>5</v>
      </c>
      <c r="B333" s="5" t="s">
        <v>6</v>
      </c>
      <c r="C333" s="5" t="s">
        <v>7</v>
      </c>
      <c r="D333" t="s">
        <v>585</v>
      </c>
      <c r="E333" t="str">
        <f t="shared" si="281"/>
        <v>PJ/yr.</v>
      </c>
      <c r="F333" s="1">
        <f t="shared" ref="F333:K333" si="310">IFERROR(F105/F89,0)*F317</f>
        <v>0</v>
      </c>
      <c r="G333" s="1">
        <f t="shared" si="310"/>
        <v>0</v>
      </c>
      <c r="H333" s="1">
        <f t="shared" si="310"/>
        <v>0</v>
      </c>
      <c r="I333" s="1">
        <f t="shared" si="310"/>
        <v>0</v>
      </c>
      <c r="J333" s="1">
        <f t="shared" si="310"/>
        <v>0</v>
      </c>
      <c r="K333" s="1">
        <f t="shared" si="310"/>
        <v>0</v>
      </c>
      <c r="L333" s="1">
        <f t="shared" ref="L333" si="311">IFERROR(L105/L89,0)*L317</f>
        <v>0</v>
      </c>
      <c r="N333" s="1"/>
    </row>
    <row r="334" spans="1:14" x14ac:dyDescent="0.35">
      <c r="A334" s="5" t="s">
        <v>5</v>
      </c>
      <c r="B334" s="5" t="s">
        <v>6</v>
      </c>
      <c r="C334" s="5" t="s">
        <v>7</v>
      </c>
      <c r="D334" t="s">
        <v>586</v>
      </c>
      <c r="E334" t="str">
        <f t="shared" si="281"/>
        <v>PJ/yr.</v>
      </c>
      <c r="F334" s="1">
        <f t="shared" ref="F334:K334" si="312">IFERROR(F106/F90,0)*F318</f>
        <v>0</v>
      </c>
      <c r="G334" s="1">
        <f t="shared" si="312"/>
        <v>0</v>
      </c>
      <c r="H334" s="1">
        <f t="shared" si="312"/>
        <v>0</v>
      </c>
      <c r="I334" s="1">
        <f t="shared" si="312"/>
        <v>0</v>
      </c>
      <c r="J334" s="1">
        <f t="shared" si="312"/>
        <v>0</v>
      </c>
      <c r="K334" s="1">
        <f t="shared" si="312"/>
        <v>0</v>
      </c>
      <c r="L334" s="1">
        <f t="shared" ref="L334" si="313">IFERROR(L106/L90,0)*L318</f>
        <v>0</v>
      </c>
      <c r="N334" s="1"/>
    </row>
    <row r="335" spans="1:14" x14ac:dyDescent="0.35">
      <c r="A335" s="5" t="s">
        <v>5</v>
      </c>
      <c r="B335" s="5" t="s">
        <v>6</v>
      </c>
      <c r="C335" s="5" t="s">
        <v>7</v>
      </c>
      <c r="D335" t="s">
        <v>587</v>
      </c>
      <c r="E335" t="str">
        <f t="shared" si="281"/>
        <v>PJ/yr.</v>
      </c>
      <c r="F335" s="1">
        <f t="shared" ref="F335:K335" si="314">IFERROR(F107/F91,0)*F319</f>
        <v>1.5514732387612628E-2</v>
      </c>
      <c r="G335" s="1">
        <f t="shared" si="314"/>
        <v>9.1934682674995423E-4</v>
      </c>
      <c r="H335" s="1">
        <f t="shared" si="314"/>
        <v>2.4053765877625997E-3</v>
      </c>
      <c r="I335" s="1">
        <f>IFERROR(IFERROR(I107/I91,0)*I319,0)</f>
        <v>0</v>
      </c>
      <c r="J335" s="1">
        <f t="shared" si="314"/>
        <v>8.2487936822589047E-3</v>
      </c>
      <c r="K335" s="1">
        <f t="shared" si="314"/>
        <v>4.7494643838933417E-3</v>
      </c>
      <c r="L335" s="1">
        <f t="shared" ref="L335" si="315">IFERROR(L107/L91,0)*L319</f>
        <v>2.3132603858744298E-3</v>
      </c>
      <c r="N335" s="1"/>
    </row>
    <row r="336" spans="1:14" x14ac:dyDescent="0.35">
      <c r="A336" s="5" t="s">
        <v>5</v>
      </c>
      <c r="B336" s="5" t="s">
        <v>6</v>
      </c>
      <c r="C336" s="5" t="s">
        <v>7</v>
      </c>
      <c r="D336" t="s">
        <v>588</v>
      </c>
      <c r="E336" t="str">
        <f t="shared" si="281"/>
        <v>PJ/yr.</v>
      </c>
      <c r="F336" s="1">
        <f t="shared" ref="F336:K336" si="316">IFERROR(F108/F92,0)*F320</f>
        <v>0</v>
      </c>
      <c r="G336" s="1">
        <f t="shared" si="316"/>
        <v>0</v>
      </c>
      <c r="H336" s="1">
        <f t="shared" si="316"/>
        <v>0</v>
      </c>
      <c r="I336" s="1">
        <f t="shared" si="316"/>
        <v>0</v>
      </c>
      <c r="J336" s="1">
        <f t="shared" si="316"/>
        <v>1.5175557587674467E-3</v>
      </c>
      <c r="K336" s="1">
        <f t="shared" si="316"/>
        <v>1.5131999320813182E-3</v>
      </c>
      <c r="L336" s="1">
        <f t="shared" ref="L336" si="317">IFERROR(L108/L92,0)*L320</f>
        <v>1.4268265864989954E-3</v>
      </c>
      <c r="N336" s="1"/>
    </row>
    <row r="337" spans="1:14" x14ac:dyDescent="0.35">
      <c r="A337" s="5" t="s">
        <v>5</v>
      </c>
      <c r="B337" s="5" t="s">
        <v>6</v>
      </c>
      <c r="C337" s="5" t="s">
        <v>7</v>
      </c>
      <c r="D337" t="s">
        <v>589</v>
      </c>
      <c r="E337" t="str">
        <f t="shared" si="281"/>
        <v>PJ/yr.</v>
      </c>
      <c r="F337" s="1">
        <f t="shared" ref="F337:K337" si="318">IFERROR(F109/F93,0)*F321</f>
        <v>3.0927196571947993E-2</v>
      </c>
      <c r="G337" s="1">
        <f t="shared" si="318"/>
        <v>1.6168935073439827E-3</v>
      </c>
      <c r="H337" s="1">
        <f t="shared" si="318"/>
        <v>2.975457282901941E-3</v>
      </c>
      <c r="I337" s="1">
        <f t="shared" si="318"/>
        <v>0</v>
      </c>
      <c r="J337" s="1">
        <f t="shared" si="318"/>
        <v>1.2792984639950464</v>
      </c>
      <c r="K337" s="1">
        <f t="shared" si="318"/>
        <v>4.1964680725584609</v>
      </c>
      <c r="L337" s="1">
        <f t="shared" ref="L337" si="319">IFERROR(L109/L93,0)*L321</f>
        <v>2.5958961738727981</v>
      </c>
      <c r="N337" s="1"/>
    </row>
    <row r="338" spans="1:14" x14ac:dyDescent="0.35">
      <c r="A338" s="5" t="s">
        <v>5</v>
      </c>
      <c r="B338" s="5" t="s">
        <v>6</v>
      </c>
      <c r="C338" s="5" t="s">
        <v>7</v>
      </c>
      <c r="D338" t="s">
        <v>590</v>
      </c>
      <c r="E338" t="str">
        <f t="shared" si="281"/>
        <v>PJ/yr.</v>
      </c>
      <c r="F338" s="1">
        <f t="shared" ref="F338:K338" si="320">IFERROR(F110/F94,0)*F322</f>
        <v>0</v>
      </c>
      <c r="G338" s="1">
        <f t="shared" si="320"/>
        <v>0</v>
      </c>
      <c r="H338" s="1">
        <f t="shared" si="320"/>
        <v>0</v>
      </c>
      <c r="I338" s="1">
        <f t="shared" si="320"/>
        <v>0</v>
      </c>
      <c r="J338" s="1">
        <f t="shared" si="320"/>
        <v>9.0488735843701103E-3</v>
      </c>
      <c r="K338" s="1">
        <f t="shared" si="320"/>
        <v>1.2642401906326957E-2</v>
      </c>
      <c r="L338" s="1">
        <f t="shared" ref="L338" si="321">IFERROR(L110/L94,0)*L322</f>
        <v>2.9300201008439388</v>
      </c>
      <c r="N338" s="1"/>
    </row>
    <row r="339" spans="1:14" x14ac:dyDescent="0.35">
      <c r="A339" s="5" t="s">
        <v>5</v>
      </c>
      <c r="B339" s="5" t="s">
        <v>6</v>
      </c>
      <c r="C339" s="5" t="s">
        <v>7</v>
      </c>
      <c r="D339" t="s">
        <v>591</v>
      </c>
      <c r="E339" t="str">
        <f t="shared" si="281"/>
        <v>PJ/yr.</v>
      </c>
      <c r="F339" s="1">
        <f t="shared" ref="F339:K339" si="322">IFERROR(F111/F95,0)*F323</f>
        <v>0</v>
      </c>
      <c r="G339" s="1">
        <f t="shared" si="322"/>
        <v>0</v>
      </c>
      <c r="H339" s="1">
        <f t="shared" si="322"/>
        <v>0</v>
      </c>
      <c r="I339" s="1">
        <f t="shared" si="322"/>
        <v>0</v>
      </c>
      <c r="J339" s="1">
        <f t="shared" si="322"/>
        <v>0</v>
      </c>
      <c r="K339" s="1">
        <f t="shared" si="322"/>
        <v>0</v>
      </c>
      <c r="L339" s="1">
        <f t="shared" ref="L339" si="323">IFERROR(L111/L95,0)*L323</f>
        <v>0</v>
      </c>
      <c r="N339" s="1"/>
    </row>
    <row r="340" spans="1:14" x14ac:dyDescent="0.35">
      <c r="A340" s="5" t="s">
        <v>5</v>
      </c>
      <c r="B340" s="5" t="s">
        <v>6</v>
      </c>
      <c r="C340" s="5" t="s">
        <v>7</v>
      </c>
      <c r="D340" t="s">
        <v>592</v>
      </c>
      <c r="E340" t="str">
        <f t="shared" si="281"/>
        <v>PJ/yr.</v>
      </c>
      <c r="F340" s="1">
        <f t="shared" ref="F340:K340" si="324">IFERROR(F112/F96,0)*F324</f>
        <v>0.74502308352563884</v>
      </c>
      <c r="G340" s="1">
        <f t="shared" si="324"/>
        <v>0.76749114409061903</v>
      </c>
      <c r="H340" s="1">
        <f t="shared" si="324"/>
        <v>1.7318690060065089E-2</v>
      </c>
      <c r="I340" s="1">
        <f t="shared" si="324"/>
        <v>0</v>
      </c>
      <c r="J340" s="1">
        <f t="shared" si="324"/>
        <v>6.277206042249218</v>
      </c>
      <c r="K340" s="1">
        <f t="shared" si="324"/>
        <v>5.8524928130330442</v>
      </c>
      <c r="L340" s="1">
        <f t="shared" ref="L340" si="325">IFERROR(L112/L96,0)*L324</f>
        <v>1.093431209885696E-3</v>
      </c>
      <c r="N340" s="1"/>
    </row>
    <row r="341" spans="1:14" x14ac:dyDescent="0.35">
      <c r="A341" s="5" t="s">
        <v>5</v>
      </c>
      <c r="B341" s="5" t="s">
        <v>6</v>
      </c>
      <c r="C341" s="5" t="s">
        <v>7</v>
      </c>
      <c r="D341" t="s">
        <v>593</v>
      </c>
      <c r="E341" t="str">
        <f t="shared" si="281"/>
        <v>PJ/yr.</v>
      </c>
      <c r="F341" s="1">
        <f t="shared" ref="F341:K341" si="326">IFERROR(F113/F97,0)*F325</f>
        <v>0</v>
      </c>
      <c r="G341" s="1">
        <f t="shared" si="326"/>
        <v>0</v>
      </c>
      <c r="H341" s="1">
        <f t="shared" si="326"/>
        <v>0</v>
      </c>
      <c r="I341" s="1">
        <f t="shared" si="326"/>
        <v>0</v>
      </c>
      <c r="J341" s="1">
        <f t="shared" si="326"/>
        <v>2.229411522908527E-3</v>
      </c>
      <c r="K341" s="1">
        <f t="shared" si="326"/>
        <v>8.4171177815450249E-3</v>
      </c>
      <c r="L341" s="1">
        <f t="shared" ref="L341" si="327">IFERROR(L113/L97,0)*L325</f>
        <v>9.274933085073787</v>
      </c>
      <c r="N341" s="1"/>
    </row>
    <row r="342" spans="1:14" x14ac:dyDescent="0.35">
      <c r="A342" s="5" t="s">
        <v>5</v>
      </c>
      <c r="B342" s="5" t="s">
        <v>6</v>
      </c>
      <c r="C342" s="5" t="s">
        <v>7</v>
      </c>
      <c r="D342" t="s">
        <v>852</v>
      </c>
      <c r="E342" t="str">
        <f t="shared" si="281"/>
        <v>PJ/yr.</v>
      </c>
      <c r="F342" s="1">
        <f>SUM(F343:F357)</f>
        <v>1.1407672301349738</v>
      </c>
      <c r="G342" s="1">
        <f t="shared" ref="G342:K342" si="328">SUM(G343:G357)</f>
        <v>1.2848149174648547</v>
      </c>
      <c r="H342" s="1">
        <f t="shared" si="328"/>
        <v>1.4157913089091039</v>
      </c>
      <c r="I342" s="1">
        <f>IFERROR(SUM(I343:I357),0)</f>
        <v>1.6341972301191738</v>
      </c>
      <c r="J342" s="1">
        <f t="shared" si="328"/>
        <v>1.5933245044998856</v>
      </c>
      <c r="K342" s="1">
        <f t="shared" si="328"/>
        <v>1.6042500606679049</v>
      </c>
      <c r="L342" s="1">
        <f t="shared" ref="L342" si="329">SUM(L343:L357)</f>
        <v>1.5930692616105233</v>
      </c>
      <c r="N342" s="1"/>
    </row>
    <row r="343" spans="1:14" x14ac:dyDescent="0.35">
      <c r="A343" s="5" t="s">
        <v>5</v>
      </c>
      <c r="B343" s="5" t="s">
        <v>6</v>
      </c>
      <c r="C343" s="5" t="s">
        <v>7</v>
      </c>
      <c r="D343" t="s">
        <v>640</v>
      </c>
      <c r="E343" t="str">
        <f t="shared" si="281"/>
        <v>PJ/yr.</v>
      </c>
      <c r="F343" s="1">
        <f>F311-F327</f>
        <v>0</v>
      </c>
      <c r="G343" s="1">
        <f t="shared" ref="G343:K343" si="330">G311-G327</f>
        <v>0</v>
      </c>
      <c r="H343" s="1">
        <f t="shared" si="330"/>
        <v>0</v>
      </c>
      <c r="I343" s="1">
        <f t="shared" si="330"/>
        <v>0</v>
      </c>
      <c r="J343" s="1">
        <f t="shared" si="330"/>
        <v>0</v>
      </c>
      <c r="K343" s="1">
        <f t="shared" si="330"/>
        <v>8.0075053361943205E-3</v>
      </c>
      <c r="L343" s="1">
        <f t="shared" ref="L343" si="331">L311-L327</f>
        <v>4.8442692822316502E-2</v>
      </c>
      <c r="N343" s="1"/>
    </row>
    <row r="344" spans="1:14" x14ac:dyDescent="0.35">
      <c r="A344" s="5" t="s">
        <v>5</v>
      </c>
      <c r="B344" s="5" t="s">
        <v>6</v>
      </c>
      <c r="C344" s="5" t="s">
        <v>7</v>
      </c>
      <c r="D344" t="s">
        <v>641</v>
      </c>
      <c r="E344" t="str">
        <f t="shared" si="281"/>
        <v>PJ/yr.</v>
      </c>
      <c r="F344" s="1">
        <f t="shared" ref="F344:K344" si="332">F312-F328</f>
        <v>0</v>
      </c>
      <c r="G344" s="1">
        <f t="shared" si="332"/>
        <v>0</v>
      </c>
      <c r="H344" s="1">
        <f t="shared" si="332"/>
        <v>0</v>
      </c>
      <c r="I344" s="1">
        <f t="shared" si="332"/>
        <v>0</v>
      </c>
      <c r="J344" s="1">
        <f t="shared" si="332"/>
        <v>1.3202652828758765E-4</v>
      </c>
      <c r="K344" s="1">
        <f t="shared" si="332"/>
        <v>4.3639803375709538E-5</v>
      </c>
      <c r="L344" s="1">
        <f t="shared" ref="L344" si="333">L312-L328</f>
        <v>2.4038216339993326E-5</v>
      </c>
      <c r="N344" s="1"/>
    </row>
    <row r="345" spans="1:14" x14ac:dyDescent="0.35">
      <c r="A345" s="5" t="s">
        <v>5</v>
      </c>
      <c r="B345" s="5" t="s">
        <v>6</v>
      </c>
      <c r="C345" s="5" t="s">
        <v>7</v>
      </c>
      <c r="D345" t="s">
        <v>642</v>
      </c>
      <c r="E345" t="str">
        <f t="shared" si="281"/>
        <v>PJ/yr.</v>
      </c>
      <c r="F345" s="1">
        <f t="shared" ref="F345:K345" si="334">F313-F329</f>
        <v>0</v>
      </c>
      <c r="G345" s="1">
        <f t="shared" si="334"/>
        <v>0</v>
      </c>
      <c r="H345" s="1">
        <f t="shared" si="334"/>
        <v>0</v>
      </c>
      <c r="I345" s="1">
        <f t="shared" si="334"/>
        <v>0</v>
      </c>
      <c r="J345" s="1">
        <f t="shared" si="334"/>
        <v>0</v>
      </c>
      <c r="K345" s="1">
        <f t="shared" si="334"/>
        <v>1.7631190267594664E-4</v>
      </c>
      <c r="L345" s="1">
        <f t="shared" ref="L345" si="335">L313-L329</f>
        <v>9.7864031762143002E-5</v>
      </c>
      <c r="N345" s="1"/>
    </row>
    <row r="346" spans="1:14" x14ac:dyDescent="0.35">
      <c r="A346" s="5" t="s">
        <v>5</v>
      </c>
      <c r="B346" s="5" t="s">
        <v>6</v>
      </c>
      <c r="C346" s="5" t="s">
        <v>7</v>
      </c>
      <c r="D346" t="s">
        <v>643</v>
      </c>
      <c r="E346" t="str">
        <f t="shared" si="281"/>
        <v>PJ/yr.</v>
      </c>
      <c r="F346" s="1">
        <f t="shared" ref="F346:K346" si="336">F314-F330</f>
        <v>3.261208510750091E-2</v>
      </c>
      <c r="G346" s="1">
        <f t="shared" si="336"/>
        <v>7.7915294322602872E-6</v>
      </c>
      <c r="H346" s="1">
        <f t="shared" si="336"/>
        <v>8.0733242566049662E-3</v>
      </c>
      <c r="I346" s="1">
        <f t="shared" si="336"/>
        <v>1.4295663138066076E-3</v>
      </c>
      <c r="J346" s="1">
        <f t="shared" si="336"/>
        <v>3.0469610159647442E-4</v>
      </c>
      <c r="K346" s="1">
        <f t="shared" si="336"/>
        <v>1.7063956924229795E-3</v>
      </c>
      <c r="L346" s="1">
        <f t="shared" ref="L346" si="337">L314-L330</f>
        <v>5.6832234536652315E-4</v>
      </c>
      <c r="N346" s="1"/>
    </row>
    <row r="347" spans="1:14" x14ac:dyDescent="0.35">
      <c r="A347" s="5" t="s">
        <v>5</v>
      </c>
      <c r="B347" s="5" t="s">
        <v>6</v>
      </c>
      <c r="C347" s="5" t="s">
        <v>7</v>
      </c>
      <c r="D347" t="s">
        <v>644</v>
      </c>
      <c r="E347" t="str">
        <f t="shared" si="281"/>
        <v>PJ/yr.</v>
      </c>
      <c r="F347" s="1">
        <f t="shared" ref="F347:K347" si="338">F315-F331</f>
        <v>0</v>
      </c>
      <c r="G347" s="1">
        <f t="shared" si="338"/>
        <v>0</v>
      </c>
      <c r="H347" s="1">
        <f t="shared" si="338"/>
        <v>0</v>
      </c>
      <c r="I347" s="1">
        <f t="shared" si="338"/>
        <v>0</v>
      </c>
      <c r="J347" s="1">
        <f t="shared" si="338"/>
        <v>0</v>
      </c>
      <c r="K347" s="1">
        <f t="shared" si="338"/>
        <v>1.6637310951947981E-3</v>
      </c>
      <c r="L347" s="1">
        <f t="shared" ref="L347" si="339">L315-L331</f>
        <v>4.4388924863432155E-3</v>
      </c>
      <c r="N347" s="1"/>
    </row>
    <row r="348" spans="1:14" x14ac:dyDescent="0.35">
      <c r="A348" s="5" t="s">
        <v>5</v>
      </c>
      <c r="B348" s="5" t="s">
        <v>6</v>
      </c>
      <c r="C348" s="5" t="s">
        <v>7</v>
      </c>
      <c r="D348" t="s">
        <v>645</v>
      </c>
      <c r="E348" t="str">
        <f t="shared" si="281"/>
        <v>PJ/yr.</v>
      </c>
      <c r="F348" s="1">
        <f t="shared" ref="F348:K348" si="340">F316-F332</f>
        <v>2.2760670081789613E-2</v>
      </c>
      <c r="G348" s="1">
        <f t="shared" si="340"/>
        <v>6.4954448926869135E-3</v>
      </c>
      <c r="H348" s="1">
        <f t="shared" si="340"/>
        <v>0.10596819888701958</v>
      </c>
      <c r="I348" s="1">
        <f t="shared" si="340"/>
        <v>0.25271429974481596</v>
      </c>
      <c r="J348" s="1">
        <f t="shared" si="340"/>
        <v>1.6793406395273269E-2</v>
      </c>
      <c r="K348" s="1">
        <f t="shared" si="340"/>
        <v>1.2302585545234113E-3</v>
      </c>
      <c r="L348" s="1">
        <f t="shared" ref="L348" si="341">L316-L332</f>
        <v>1.4282039011684344E-4</v>
      </c>
      <c r="N348" s="1"/>
    </row>
    <row r="349" spans="1:14" x14ac:dyDescent="0.35">
      <c r="A349" s="5" t="s">
        <v>5</v>
      </c>
      <c r="B349" s="5" t="s">
        <v>6</v>
      </c>
      <c r="C349" s="5" t="s">
        <v>7</v>
      </c>
      <c r="D349" t="s">
        <v>646</v>
      </c>
      <c r="E349" t="str">
        <f t="shared" si="281"/>
        <v>PJ/yr.</v>
      </c>
      <c r="F349" s="1">
        <f t="shared" ref="F349:K349" si="342">F317-F333</f>
        <v>0</v>
      </c>
      <c r="G349" s="1">
        <f t="shared" si="342"/>
        <v>0</v>
      </c>
      <c r="H349" s="1">
        <f t="shared" si="342"/>
        <v>0</v>
      </c>
      <c r="I349" s="1">
        <f t="shared" si="342"/>
        <v>0</v>
      </c>
      <c r="J349" s="1">
        <f t="shared" si="342"/>
        <v>0</v>
      </c>
      <c r="K349" s="1">
        <f t="shared" si="342"/>
        <v>0</v>
      </c>
      <c r="L349" s="1">
        <f t="shared" ref="L349" si="343">L317-L333</f>
        <v>0</v>
      </c>
      <c r="N349" s="1"/>
    </row>
    <row r="350" spans="1:14" x14ac:dyDescent="0.35">
      <c r="A350" s="5" t="s">
        <v>5</v>
      </c>
      <c r="B350" s="5" t="s">
        <v>6</v>
      </c>
      <c r="C350" s="5" t="s">
        <v>7</v>
      </c>
      <c r="D350" t="s">
        <v>647</v>
      </c>
      <c r="E350" t="str">
        <f t="shared" si="281"/>
        <v>PJ/yr.</v>
      </c>
      <c r="F350" s="1">
        <f t="shared" ref="F350:K350" si="344">F318-F334</f>
        <v>0</v>
      </c>
      <c r="G350" s="1">
        <f t="shared" si="344"/>
        <v>0</v>
      </c>
      <c r="H350" s="1">
        <f t="shared" si="344"/>
        <v>0</v>
      </c>
      <c r="I350" s="1">
        <f t="shared" si="344"/>
        <v>0</v>
      </c>
      <c r="J350" s="1">
        <f t="shared" si="344"/>
        <v>0</v>
      </c>
      <c r="K350" s="1">
        <f t="shared" si="344"/>
        <v>0</v>
      </c>
      <c r="L350" s="1">
        <f t="shared" ref="L350" si="345">L318-L334</f>
        <v>0</v>
      </c>
      <c r="N350" s="1"/>
    </row>
    <row r="351" spans="1:14" x14ac:dyDescent="0.35">
      <c r="A351" s="5" t="s">
        <v>5</v>
      </c>
      <c r="B351" s="5" t="s">
        <v>6</v>
      </c>
      <c r="C351" s="5" t="s">
        <v>7</v>
      </c>
      <c r="D351" t="s">
        <v>648</v>
      </c>
      <c r="E351" t="str">
        <f t="shared" si="281"/>
        <v>PJ/yr.</v>
      </c>
      <c r="F351" s="1">
        <f t="shared" ref="F351:K351" si="346">F319-F335</f>
        <v>4.0564508322931368E-4</v>
      </c>
      <c r="G351" s="1">
        <f t="shared" si="346"/>
        <v>2.7832084367999661E-5</v>
      </c>
      <c r="H351" s="1">
        <f t="shared" si="346"/>
        <v>2.1830328159278337E-4</v>
      </c>
      <c r="I351" s="1">
        <f>IFERROR(I319-I335,0)</f>
        <v>0</v>
      </c>
      <c r="J351" s="1">
        <f t="shared" si="346"/>
        <v>1.3022260498076442E-4</v>
      </c>
      <c r="K351" s="1">
        <f t="shared" si="346"/>
        <v>2.200364943471915E-5</v>
      </c>
      <c r="L351" s="1">
        <f t="shared" ref="L351" si="347">L319-L335</f>
        <v>5.5673922533705685E-6</v>
      </c>
      <c r="N351" s="1"/>
    </row>
    <row r="352" spans="1:14" x14ac:dyDescent="0.35">
      <c r="A352" s="5" t="s">
        <v>5</v>
      </c>
      <c r="B352" s="5" t="s">
        <v>6</v>
      </c>
      <c r="C352" s="5" t="s">
        <v>7</v>
      </c>
      <c r="D352" t="s">
        <v>649</v>
      </c>
      <c r="E352" t="str">
        <f t="shared" si="281"/>
        <v>PJ/yr.</v>
      </c>
      <c r="F352" s="1">
        <f t="shared" ref="F352:K352" si="348">F320-F336</f>
        <v>0</v>
      </c>
      <c r="G352" s="1">
        <f t="shared" si="348"/>
        <v>0</v>
      </c>
      <c r="H352" s="1">
        <f t="shared" si="348"/>
        <v>0</v>
      </c>
      <c r="I352" s="1">
        <f t="shared" si="348"/>
        <v>0</v>
      </c>
      <c r="J352" s="1">
        <f t="shared" si="348"/>
        <v>2.3957450231212353E-5</v>
      </c>
      <c r="K352" s="1">
        <f t="shared" si="348"/>
        <v>7.0104580514539737E-6</v>
      </c>
      <c r="L352" s="1">
        <f t="shared" ref="L352" si="349">L320-L336</f>
        <v>3.4339857860727317E-6</v>
      </c>
      <c r="N352" s="1"/>
    </row>
    <row r="353" spans="1:15" x14ac:dyDescent="0.35">
      <c r="A353" s="5" t="s">
        <v>5</v>
      </c>
      <c r="B353" s="5" t="s">
        <v>6</v>
      </c>
      <c r="C353" s="5" t="s">
        <v>7</v>
      </c>
      <c r="D353" t="s">
        <v>650</v>
      </c>
      <c r="E353" t="str">
        <f t="shared" si="281"/>
        <v>PJ/yr.</v>
      </c>
      <c r="F353" s="1">
        <f t="shared" ref="F353:K353" si="350">F321-F337</f>
        <v>8.0861628251440582E-4</v>
      </c>
      <c r="G353" s="1">
        <f t="shared" si="350"/>
        <v>4.8949444541573862E-5</v>
      </c>
      <c r="H353" s="1">
        <f t="shared" si="350"/>
        <v>2.7004174414985583E-4</v>
      </c>
      <c r="I353" s="1">
        <f t="shared" si="350"/>
        <v>0</v>
      </c>
      <c r="J353" s="1">
        <f t="shared" si="350"/>
        <v>2.0196114116374009E-2</v>
      </c>
      <c r="K353" s="1">
        <f t="shared" si="350"/>
        <v>1.9441689603086232E-2</v>
      </c>
      <c r="L353" s="1">
        <f t="shared" ref="L353" si="351">L321-L337</f>
        <v>6.2476201716092916E-3</v>
      </c>
      <c r="N353" s="1"/>
    </row>
    <row r="354" spans="1:15" x14ac:dyDescent="0.35">
      <c r="A354" s="5" t="s">
        <v>5</v>
      </c>
      <c r="B354" s="5" t="s">
        <v>6</v>
      </c>
      <c r="C354" s="5" t="s">
        <v>7</v>
      </c>
      <c r="D354" t="s">
        <v>651</v>
      </c>
      <c r="E354" t="str">
        <f t="shared" si="281"/>
        <v>PJ/yr.</v>
      </c>
      <c r="F354" s="1">
        <f t="shared" ref="F354:K354" si="352">F322-F338</f>
        <v>0</v>
      </c>
      <c r="G354" s="1">
        <f t="shared" si="352"/>
        <v>0</v>
      </c>
      <c r="H354" s="1">
        <f t="shared" si="352"/>
        <v>0</v>
      </c>
      <c r="I354" s="1">
        <f t="shared" si="352"/>
        <v>0</v>
      </c>
      <c r="J354" s="1">
        <f t="shared" si="352"/>
        <v>1.4285335961701506E-4</v>
      </c>
      <c r="K354" s="1">
        <f t="shared" si="352"/>
        <v>5.8570600192944799E-5</v>
      </c>
      <c r="L354" s="1">
        <f t="shared" ref="L354" si="353">L322-L338</f>
        <v>7.0517661181894731E-3</v>
      </c>
      <c r="N354" s="1"/>
    </row>
    <row r="355" spans="1:15" x14ac:dyDescent="0.35">
      <c r="A355" s="5" t="s">
        <v>5</v>
      </c>
      <c r="B355" s="5" t="s">
        <v>6</v>
      </c>
      <c r="C355" s="5" t="s">
        <v>7</v>
      </c>
      <c r="D355" t="s">
        <v>652</v>
      </c>
      <c r="E355" t="str">
        <f t="shared" si="281"/>
        <v>PJ/yr.</v>
      </c>
      <c r="F355" s="1">
        <f t="shared" ref="F355:K355" si="354">F323-F339</f>
        <v>1.0647009893707091</v>
      </c>
      <c r="G355" s="1">
        <f t="shared" si="354"/>
        <v>1.2550000575015496</v>
      </c>
      <c r="H355" s="1">
        <f t="shared" si="354"/>
        <v>1.2996896590518983</v>
      </c>
      <c r="I355" s="1">
        <f t="shared" si="354"/>
        <v>1.3800533640605512</v>
      </c>
      <c r="J355" s="1">
        <f t="shared" si="354"/>
        <v>1.4564686184860363</v>
      </c>
      <c r="K355" s="1">
        <f t="shared" si="354"/>
        <v>1.5447401121874558</v>
      </c>
      <c r="L355" s="1">
        <f t="shared" ref="L355" si="355">L323-L339</f>
        <v>1.503721356022496</v>
      </c>
      <c r="N355" s="1"/>
    </row>
    <row r="356" spans="1:15" x14ac:dyDescent="0.35">
      <c r="A356" s="5" t="s">
        <v>5</v>
      </c>
      <c r="B356" s="5" t="s">
        <v>6</v>
      </c>
      <c r="C356" s="5" t="s">
        <v>7</v>
      </c>
      <c r="D356" t="s">
        <v>653</v>
      </c>
      <c r="E356" t="str">
        <f t="shared" si="281"/>
        <v>PJ/yr.</v>
      </c>
      <c r="F356" s="1">
        <f t="shared" ref="F356:K356" si="356">F324-F340</f>
        <v>1.9479224209230539E-2</v>
      </c>
      <c r="G356" s="1">
        <f t="shared" si="356"/>
        <v>2.3234842012276324E-2</v>
      </c>
      <c r="H356" s="1">
        <f t="shared" si="356"/>
        <v>1.5717816878384229E-3</v>
      </c>
      <c r="I356" s="1">
        <f t="shared" si="356"/>
        <v>0</v>
      </c>
      <c r="J356" s="1">
        <f t="shared" si="356"/>
        <v>9.9097414035313136E-2</v>
      </c>
      <c r="K356" s="1">
        <f t="shared" si="356"/>
        <v>2.7113836375720624E-2</v>
      </c>
      <c r="L356" s="1">
        <f t="shared" ref="L356" si="357">L324-L340</f>
        <v>2.6315932632073411E-6</v>
      </c>
      <c r="N356" s="1"/>
    </row>
    <row r="357" spans="1:15" x14ac:dyDescent="0.35">
      <c r="A357" s="5" t="s">
        <v>5</v>
      </c>
      <c r="B357" s="5" t="s">
        <v>6</v>
      </c>
      <c r="C357" s="5" t="s">
        <v>7</v>
      </c>
      <c r="D357" t="s">
        <v>654</v>
      </c>
      <c r="E357" t="str">
        <f t="shared" si="281"/>
        <v>PJ/yr.</v>
      </c>
      <c r="F357" s="1">
        <f t="shared" ref="F357:K357" si="358">F325-F341</f>
        <v>0</v>
      </c>
      <c r="G357" s="1">
        <f t="shared" si="358"/>
        <v>0</v>
      </c>
      <c r="H357" s="1">
        <f t="shared" si="358"/>
        <v>0</v>
      </c>
      <c r="I357" s="1">
        <f t="shared" si="358"/>
        <v>0</v>
      </c>
      <c r="J357" s="1">
        <f t="shared" si="358"/>
        <v>3.5195422175691559E-5</v>
      </c>
      <c r="K357" s="1">
        <f t="shared" si="358"/>
        <v>3.8995409575854137E-5</v>
      </c>
      <c r="L357" s="1">
        <f t="shared" ref="L357" si="359">L325-L341</f>
        <v>2.2322256034680521E-2</v>
      </c>
      <c r="N357" s="1"/>
    </row>
    <row r="358" spans="1:15" x14ac:dyDescent="0.35">
      <c r="A358" s="5" t="s">
        <v>5</v>
      </c>
      <c r="B358" s="5" t="s">
        <v>6</v>
      </c>
      <c r="C358" s="5" t="s">
        <v>7</v>
      </c>
      <c r="D358" t="s">
        <v>853</v>
      </c>
      <c r="E358" t="str">
        <f t="shared" ref="E358:E408" si="360">E357</f>
        <v>PJ/yr.</v>
      </c>
      <c r="F358" s="1">
        <f>SUM(F359:F364)</f>
        <v>22.495508630138165</v>
      </c>
      <c r="G358" s="1">
        <f t="shared" ref="G358:K358" si="361">SUM(G359:G364)</f>
        <v>24.624385731507928</v>
      </c>
      <c r="H358" s="1">
        <f t="shared" si="361"/>
        <v>26.537268990539502</v>
      </c>
      <c r="I358" s="1">
        <f t="shared" si="361"/>
        <v>24.508014590433714</v>
      </c>
      <c r="J358" s="1">
        <f t="shared" si="361"/>
        <v>24.843039019228154</v>
      </c>
      <c r="K358" s="1">
        <f t="shared" si="361"/>
        <v>25.399975785685751</v>
      </c>
      <c r="L358" s="1">
        <f t="shared" ref="L358" si="362">SUM(L359:L364)</f>
        <v>26.558581695731966</v>
      </c>
      <c r="N358" s="1"/>
    </row>
    <row r="359" spans="1:15" x14ac:dyDescent="0.35">
      <c r="A359" s="5" t="s">
        <v>5</v>
      </c>
      <c r="B359" s="5" t="s">
        <v>6</v>
      </c>
      <c r="C359" s="5" t="s">
        <v>7</v>
      </c>
      <c r="D359" t="s">
        <v>113</v>
      </c>
      <c r="E359" t="str">
        <f t="shared" si="360"/>
        <v>PJ/yr.</v>
      </c>
      <c r="F359" s="1">
        <f>'[1]Electricity and CHPs_IN'!B$19</f>
        <v>18.203590904034439</v>
      </c>
      <c r="G359" s="1">
        <f>'[1]Electricity and CHPs_IN'!C$19</f>
        <v>20.42978434837023</v>
      </c>
      <c r="H359" s="1">
        <f>'[1]Electricity and CHPs_IN'!D$19</f>
        <v>22.936518630151056</v>
      </c>
      <c r="I359" s="1">
        <f>'[1]Electricity and CHPs_IN'!E$19</f>
        <v>20.696586717140612</v>
      </c>
      <c r="J359" s="1">
        <f>'[2]Electricity and CHPs_IN'!F$19</f>
        <v>20.958780295963987</v>
      </c>
      <c r="K359" s="1">
        <f>'[2]Electricity and CHPs_IN'!G$19</f>
        <v>21.451610710653171</v>
      </c>
      <c r="L359" s="1">
        <f>'[2]Electricity and CHPs_IN'!H$19</f>
        <v>22.47341392624211</v>
      </c>
      <c r="N359" s="1"/>
      <c r="O359" s="1"/>
    </row>
    <row r="360" spans="1:15" x14ac:dyDescent="0.35">
      <c r="A360" s="5" t="s">
        <v>5</v>
      </c>
      <c r="B360" s="5" t="s">
        <v>6</v>
      </c>
      <c r="C360" s="5" t="s">
        <v>7</v>
      </c>
      <c r="D360" t="s">
        <v>114</v>
      </c>
      <c r="E360" t="str">
        <f t="shared" si="360"/>
        <v>PJ/yr.</v>
      </c>
      <c r="F360" s="1">
        <f>'[1]Electricity and CHPs_IN'!B$20</f>
        <v>0</v>
      </c>
      <c r="G360" s="1">
        <f>'[1]Electricity and CHPs_IN'!C$20</f>
        <v>0</v>
      </c>
      <c r="H360" s="1">
        <f>'[1]Electricity and CHPs_IN'!D$20</f>
        <v>0</v>
      </c>
      <c r="I360" s="1">
        <f>'[1]Electricity and CHPs_IN'!E$20</f>
        <v>0</v>
      </c>
      <c r="J360" s="1">
        <f>'[2]Electricity and CHPs_IN'!F$20</f>
        <v>0</v>
      </c>
      <c r="K360" s="1">
        <f>'[2]Electricity and CHPs_IN'!G$20</f>
        <v>0</v>
      </c>
      <c r="L360" s="1">
        <f>'[2]Electricity and CHPs_IN'!H$20</f>
        <v>0</v>
      </c>
      <c r="N360" s="1"/>
      <c r="O360" s="1"/>
    </row>
    <row r="361" spans="1:15" x14ac:dyDescent="0.35">
      <c r="A361" s="5" t="s">
        <v>5</v>
      </c>
      <c r="B361" s="5" t="s">
        <v>6</v>
      </c>
      <c r="C361" s="5" t="s">
        <v>7</v>
      </c>
      <c r="D361" t="s">
        <v>115</v>
      </c>
      <c r="E361" t="str">
        <f t="shared" si="360"/>
        <v>PJ/yr.</v>
      </c>
      <c r="F361" s="1">
        <f>IFERROR(F133/SUM(F133,F198),0)*'[1]Electricity and CHPs_IN'!B$26</f>
        <v>3.8974737892304345</v>
      </c>
      <c r="G361" s="1">
        <f>IFERROR(G133/SUM(G133,G198),0)*'[1]Electricity and CHPs_IN'!C$26</f>
        <v>3.7854096989499393</v>
      </c>
      <c r="H361" s="1">
        <f>IFERROR(H133/SUM(H133,H198),0)*'[1]Electricity and CHPs_IN'!D$26</f>
        <v>3.600193510499861</v>
      </c>
      <c r="I361" s="1">
        <f>IFERROR(I133/SUM(I133,I198),0)*'[1]Electricity and CHPs_IN'!E$26</f>
        <v>3.8108774943397004</v>
      </c>
      <c r="J361" s="1">
        <f>IFERROR(J133/SUM(J133,J198),0)*'[2]Electricity and CHPs_IN'!F$26</f>
        <v>3.8808253727720334</v>
      </c>
      <c r="K361" s="1">
        <f>IFERROR(K133/SUM(K133,K198),0)*'[2]Electricity and CHPs_IN'!G$26</f>
        <v>3.9461088605684584</v>
      </c>
      <c r="L361" s="1">
        <f>IFERROR(L133/SUM(L133,L198),0)*'[2]Electricity and CHPs_IN'!H$26</f>
        <v>4.0840977669954883</v>
      </c>
      <c r="N361" s="1"/>
    </row>
    <row r="362" spans="1:15" x14ac:dyDescent="0.35">
      <c r="A362" s="5" t="s">
        <v>5</v>
      </c>
      <c r="B362" s="5" t="s">
        <v>6</v>
      </c>
      <c r="C362" s="5" t="s">
        <v>7</v>
      </c>
      <c r="D362" t="s">
        <v>116</v>
      </c>
      <c r="E362" t="str">
        <f t="shared" si="360"/>
        <v>PJ/yr.</v>
      </c>
      <c r="F362" s="1">
        <f>IFERROR(F134/SUM(F134,F199),0)*'[1]Electricity and CHPs_IN'!B$27</f>
        <v>0</v>
      </c>
      <c r="G362" s="1">
        <f>IFERROR(G134/SUM(G134,G199),0)*'[1]Electricity and CHPs_IN'!C$27</f>
        <v>0</v>
      </c>
      <c r="H362" s="1">
        <f>IFERROR(H134/SUM(H134,H199),0)*'[1]Electricity and CHPs_IN'!D$27</f>
        <v>0</v>
      </c>
      <c r="I362" s="1">
        <f>IFERROR(I134/SUM(I134,I199),0)*'[1]Electricity and CHPs_IN'!E$27</f>
        <v>0</v>
      </c>
      <c r="J362" s="1">
        <f>IFERROR(J134/SUM(J134,J199),0)*'[2]Electricity and CHPs_IN'!F$27</f>
        <v>0</v>
      </c>
      <c r="K362" s="1">
        <f>IFERROR(K134/SUM(K134,K199),0)*'[2]Electricity and CHPs_IN'!G$27</f>
        <v>0</v>
      </c>
      <c r="L362" s="1">
        <f>IFERROR(L134/SUM(L134,L199),0)*'[2]Electricity and CHPs_IN'!H$27</f>
        <v>0</v>
      </c>
      <c r="N362" s="1"/>
    </row>
    <row r="363" spans="1:15" x14ac:dyDescent="0.35">
      <c r="A363" s="5" t="s">
        <v>5</v>
      </c>
      <c r="B363" s="5" t="s">
        <v>6</v>
      </c>
      <c r="C363" s="5" t="s">
        <v>7</v>
      </c>
      <c r="D363" t="s">
        <v>117</v>
      </c>
      <c r="E363" t="str">
        <f t="shared" si="360"/>
        <v>PJ/yr.</v>
      </c>
      <c r="F363" s="1">
        <f>IFERROR(F135/SUM(F135,F274),0)*'[1]Electricity and CHPs_IN'!B$44</f>
        <v>0.3944439368732896</v>
      </c>
      <c r="G363" s="1">
        <f>IFERROR(G135/SUM(G135,G274),0)*'[1]Electricity and CHPs_IN'!C$44</f>
        <v>0.40919168418776164</v>
      </c>
      <c r="H363" s="1">
        <f>IFERROR(H135/SUM(H135,H274),0)*'[1]Electricity and CHPs_IN'!D$44</f>
        <v>5.5684988858629655E-4</v>
      </c>
      <c r="I363" s="1">
        <f>IFERROR(I135/SUM(I135,I274),0)*'[1]Electricity and CHPs_IN'!E$44</f>
        <v>5.5037895340206457E-4</v>
      </c>
      <c r="J363" s="1">
        <f>IFERROR(J135/SUM(J135,J274),0)*'[2]Electricity and CHPs_IN'!F$44</f>
        <v>3.433350492133321E-3</v>
      </c>
      <c r="K363" s="1">
        <f>IFERROR(K135/SUM(K135,K274),0)*'[2]Electricity and CHPs_IN'!G$44</f>
        <v>2.2562144641222631E-3</v>
      </c>
      <c r="L363" s="1">
        <f>IFERROR(L135/SUM(L135,L274),0)*'[2]Electricity and CHPs_IN'!H$44</f>
        <v>1.0700024943691589E-3</v>
      </c>
      <c r="N363" s="1"/>
    </row>
    <row r="364" spans="1:15" x14ac:dyDescent="0.35">
      <c r="A364" s="5" t="s">
        <v>5</v>
      </c>
      <c r="B364" s="5" t="s">
        <v>6</v>
      </c>
      <c r="C364" s="5" t="s">
        <v>7</v>
      </c>
      <c r="D364" t="s">
        <v>118</v>
      </c>
      <c r="E364" t="str">
        <f t="shared" si="360"/>
        <v>PJ/yr.</v>
      </c>
      <c r="F364" s="1">
        <f>IFERROR(F136/SUM(F136,F275),0)*'[1]Electricity and CHPs_IN'!B$45</f>
        <v>0</v>
      </c>
      <c r="G364" s="1">
        <f>IFERROR(G136/SUM(G136,G275),0)*'[1]Electricity and CHPs_IN'!C$45</f>
        <v>0</v>
      </c>
      <c r="H364" s="1">
        <f>IFERROR(H136/SUM(H136,H275),0)*'[1]Electricity and CHPs_IN'!D$45</f>
        <v>0</v>
      </c>
      <c r="I364" s="1">
        <f>IFERROR(I136/SUM(I136,I275),0)*'[1]Electricity and CHPs_IN'!E$45</f>
        <v>0</v>
      </c>
      <c r="J364" s="1">
        <f>IFERROR(J136/SUM(J136,J275),0)*'[2]Electricity and CHPs_IN'!F$45</f>
        <v>0</v>
      </c>
      <c r="K364" s="1">
        <f>IFERROR(K136/SUM(K136,K275),0)*'[2]Electricity and CHPs_IN'!G$45</f>
        <v>0</v>
      </c>
      <c r="L364" s="1">
        <f>IFERROR(L136/SUM(L136,L275),0)*'[2]Electricity and CHPs_IN'!H$45</f>
        <v>0</v>
      </c>
      <c r="N364" s="1"/>
      <c r="O364" s="4"/>
    </row>
    <row r="365" spans="1:15" x14ac:dyDescent="0.35">
      <c r="A365" s="5" t="s">
        <v>5</v>
      </c>
      <c r="B365" s="5" t="s">
        <v>6</v>
      </c>
      <c r="C365" s="5" t="s">
        <v>7</v>
      </c>
      <c r="D365" t="s">
        <v>854</v>
      </c>
      <c r="E365" t="str">
        <f t="shared" si="360"/>
        <v>PJ/yr.</v>
      </c>
      <c r="F365" s="1">
        <f>SUM(F366:F369)</f>
        <v>11.050532346632437</v>
      </c>
      <c r="G365" s="1">
        <f t="shared" ref="G365:K365" si="363">SUM(G366:G369)</f>
        <v>12.107597023660084</v>
      </c>
      <c r="H365" s="1">
        <f t="shared" si="363"/>
        <v>13.268356070325458</v>
      </c>
      <c r="I365" s="1">
        <f t="shared" si="363"/>
        <v>12.253732105740154</v>
      </c>
      <c r="J365" s="1">
        <f t="shared" si="363"/>
        <v>12.419802834368012</v>
      </c>
      <c r="K365" s="1">
        <f t="shared" si="363"/>
        <v>12.698859785610814</v>
      </c>
      <c r="L365" s="1">
        <f t="shared" ref="L365" si="364">SUM(L366:L369)</f>
        <v>13.278755846618798</v>
      </c>
      <c r="N365" s="1"/>
      <c r="O365" s="7"/>
    </row>
    <row r="366" spans="1:15" x14ac:dyDescent="0.35">
      <c r="A366" s="5" t="s">
        <v>5</v>
      </c>
      <c r="B366" s="5" t="s">
        <v>6</v>
      </c>
      <c r="C366" s="5" t="s">
        <v>7</v>
      </c>
      <c r="D366" t="s">
        <v>119</v>
      </c>
      <c r="E366" t="str">
        <f t="shared" si="360"/>
        <v>PJ/yr.</v>
      </c>
      <c r="F366" s="1">
        <f>F359*IFERROR(F138/F131,0)</f>
        <v>9.1017954520172193</v>
      </c>
      <c r="G366" s="1">
        <f t="shared" ref="G366:K366" si="365">G359*IFERROR(G138/G131,0)</f>
        <v>10.214892174185113</v>
      </c>
      <c r="H366" s="1">
        <f t="shared" si="365"/>
        <v>11.468259315075528</v>
      </c>
      <c r="I366" s="1">
        <f t="shared" si="365"/>
        <v>10.348293358570304</v>
      </c>
      <c r="J366" s="1">
        <f t="shared" si="365"/>
        <v>10.479390147981995</v>
      </c>
      <c r="K366" s="1">
        <f t="shared" si="365"/>
        <v>10.725805355326585</v>
      </c>
      <c r="L366" s="1">
        <f t="shared" ref="L366" si="366">L359*IFERROR(L138/L131,0)</f>
        <v>11.236706963121055</v>
      </c>
      <c r="N366" s="1"/>
      <c r="O366" s="1"/>
    </row>
    <row r="367" spans="1:15" x14ac:dyDescent="0.35">
      <c r="A367" s="5" t="s">
        <v>5</v>
      </c>
      <c r="B367" s="5" t="s">
        <v>6</v>
      </c>
      <c r="C367" s="5" t="s">
        <v>7</v>
      </c>
      <c r="D367" t="s">
        <v>120</v>
      </c>
      <c r="E367" t="str">
        <f t="shared" si="360"/>
        <v>PJ/yr.</v>
      </c>
      <c r="F367" s="1">
        <f t="shared" ref="F367:K367" si="367">F360*IFERROR(F139/F132,0)</f>
        <v>0</v>
      </c>
      <c r="G367" s="1">
        <f t="shared" si="367"/>
        <v>0</v>
      </c>
      <c r="H367" s="1">
        <f t="shared" si="367"/>
        <v>0</v>
      </c>
      <c r="I367" s="1">
        <f t="shared" si="367"/>
        <v>0</v>
      </c>
      <c r="J367" s="1">
        <f t="shared" si="367"/>
        <v>0</v>
      </c>
      <c r="K367" s="1">
        <f t="shared" si="367"/>
        <v>0</v>
      </c>
      <c r="L367" s="1">
        <f t="shared" ref="L367" si="368">L360*IFERROR(L139/L132,0)</f>
        <v>0</v>
      </c>
      <c r="N367" s="1"/>
    </row>
    <row r="368" spans="1:15" x14ac:dyDescent="0.35">
      <c r="A368" s="5" t="s">
        <v>5</v>
      </c>
      <c r="B368" s="5" t="s">
        <v>6</v>
      </c>
      <c r="C368" s="5" t="s">
        <v>7</v>
      </c>
      <c r="D368" t="s">
        <v>121</v>
      </c>
      <c r="E368" t="str">
        <f t="shared" si="360"/>
        <v>PJ/yr.</v>
      </c>
      <c r="F368" s="1">
        <f t="shared" ref="F368:K368" si="369">F361*IFERROR(F140/F133,0)</f>
        <v>1.9487368946152177</v>
      </c>
      <c r="G368" s="1">
        <f t="shared" si="369"/>
        <v>1.8927048494749696</v>
      </c>
      <c r="H368" s="1">
        <f t="shared" si="369"/>
        <v>1.8000967552499305</v>
      </c>
      <c r="I368" s="1">
        <f t="shared" si="369"/>
        <v>1.9054387471698502</v>
      </c>
      <c r="J368" s="1">
        <f t="shared" si="369"/>
        <v>1.9404126863860167</v>
      </c>
      <c r="K368" s="1">
        <f t="shared" si="369"/>
        <v>1.9730544302842292</v>
      </c>
      <c r="L368" s="1">
        <f t="shared" ref="L368" si="370">L361*IFERROR(L140/L133,0)</f>
        <v>2.0420488834977442</v>
      </c>
      <c r="N368" s="1"/>
    </row>
    <row r="369" spans="1:15" x14ac:dyDescent="0.35">
      <c r="A369" s="5" t="s">
        <v>5</v>
      </c>
      <c r="B369" s="5" t="s">
        <v>6</v>
      </c>
      <c r="C369" s="5" t="s">
        <v>7</v>
      </c>
      <c r="D369" t="s">
        <v>122</v>
      </c>
      <c r="E369" t="str">
        <f t="shared" si="360"/>
        <v>PJ/yr.</v>
      </c>
      <c r="F369" s="1">
        <f t="shared" ref="F369:K369" si="371">F362*IFERROR(F141/F134,0)</f>
        <v>0</v>
      </c>
      <c r="G369" s="1">
        <f t="shared" si="371"/>
        <v>0</v>
      </c>
      <c r="H369" s="1">
        <f t="shared" si="371"/>
        <v>0</v>
      </c>
      <c r="I369" s="1">
        <f t="shared" si="371"/>
        <v>0</v>
      </c>
      <c r="J369" s="1">
        <f t="shared" si="371"/>
        <v>0</v>
      </c>
      <c r="K369" s="1">
        <f t="shared" si="371"/>
        <v>0</v>
      </c>
      <c r="L369" s="1">
        <f t="shared" ref="L369" si="372">L362*IFERROR(L141/L134,0)</f>
        <v>0</v>
      </c>
      <c r="N369" s="1"/>
    </row>
    <row r="370" spans="1:15" x14ac:dyDescent="0.35">
      <c r="A370" s="5" t="s">
        <v>5</v>
      </c>
      <c r="B370" s="5" t="s">
        <v>6</v>
      </c>
      <c r="C370" s="5" t="s">
        <v>7</v>
      </c>
      <c r="D370" t="s">
        <v>123</v>
      </c>
      <c r="E370" t="str">
        <f t="shared" si="360"/>
        <v>PJ/yr.</v>
      </c>
      <c r="F370" s="1">
        <f t="shared" ref="F370:K370" si="373">F363*IFERROR(F142/F135,0)</f>
        <v>0</v>
      </c>
      <c r="G370" s="1">
        <f t="shared" si="373"/>
        <v>0</v>
      </c>
      <c r="H370" s="1">
        <f t="shared" si="373"/>
        <v>0</v>
      </c>
      <c r="I370" s="1">
        <f t="shared" si="373"/>
        <v>0</v>
      </c>
      <c r="J370" s="1">
        <f t="shared" si="373"/>
        <v>0</v>
      </c>
      <c r="K370" s="1">
        <f t="shared" si="373"/>
        <v>0</v>
      </c>
      <c r="L370" s="1">
        <f t="shared" ref="L370" si="374">L363*IFERROR(L142/L135,0)</f>
        <v>0</v>
      </c>
      <c r="N370" s="1"/>
    </row>
    <row r="371" spans="1:15" x14ac:dyDescent="0.35">
      <c r="A371" s="5" t="s">
        <v>5</v>
      </c>
      <c r="B371" s="5" t="s">
        <v>6</v>
      </c>
      <c r="C371" s="5" t="s">
        <v>7</v>
      </c>
      <c r="D371" t="s">
        <v>124</v>
      </c>
      <c r="E371" t="str">
        <f t="shared" si="360"/>
        <v>PJ/yr.</v>
      </c>
      <c r="F371" s="1">
        <f t="shared" ref="F371:K371" si="375">F364*IFERROR(F143/F136,0)</f>
        <v>0</v>
      </c>
      <c r="G371" s="1">
        <f t="shared" si="375"/>
        <v>0</v>
      </c>
      <c r="H371" s="1">
        <f t="shared" si="375"/>
        <v>0</v>
      </c>
      <c r="I371" s="1">
        <f t="shared" si="375"/>
        <v>0</v>
      </c>
      <c r="J371" s="1">
        <f t="shared" si="375"/>
        <v>0</v>
      </c>
      <c r="K371" s="1">
        <f t="shared" si="375"/>
        <v>0</v>
      </c>
      <c r="L371" s="1">
        <f t="shared" ref="L371" si="376">L364*IFERROR(L143/L136,0)</f>
        <v>0</v>
      </c>
      <c r="N371" s="1"/>
    </row>
    <row r="372" spans="1:15" x14ac:dyDescent="0.35">
      <c r="A372" s="5" t="s">
        <v>5</v>
      </c>
      <c r="B372" s="5" t="s">
        <v>6</v>
      </c>
      <c r="C372" s="5" t="s">
        <v>7</v>
      </c>
      <c r="D372" t="s">
        <v>855</v>
      </c>
      <c r="E372" t="str">
        <f t="shared" si="360"/>
        <v>PJ/yr.</v>
      </c>
      <c r="F372" s="1">
        <f>SUM(F373:F378)</f>
        <v>11.444976283505726</v>
      </c>
      <c r="G372" s="1">
        <f t="shared" ref="G372:K372" si="377">SUM(G373:G378)</f>
        <v>12.516788707847846</v>
      </c>
      <c r="H372" s="1">
        <f t="shared" si="377"/>
        <v>13.268912920214044</v>
      </c>
      <c r="I372" s="1">
        <f t="shared" si="377"/>
        <v>12.254282484693558</v>
      </c>
      <c r="J372" s="1">
        <f t="shared" si="377"/>
        <v>12.423236184860142</v>
      </c>
      <c r="K372" s="1">
        <f t="shared" si="377"/>
        <v>12.701116000074936</v>
      </c>
      <c r="L372" s="1">
        <f t="shared" ref="L372" si="378">SUM(L373:L378)</f>
        <v>13.279825849113168</v>
      </c>
      <c r="M372" s="1"/>
      <c r="N372" s="1"/>
      <c r="O372" s="1"/>
    </row>
    <row r="373" spans="1:15" x14ac:dyDescent="0.35">
      <c r="A373" s="5" t="s">
        <v>5</v>
      </c>
      <c r="B373" s="5" t="s">
        <v>6</v>
      </c>
      <c r="C373" s="5" t="s">
        <v>7</v>
      </c>
      <c r="D373" t="s">
        <v>125</v>
      </c>
      <c r="E373" t="str">
        <f t="shared" si="360"/>
        <v>PJ/yr.</v>
      </c>
      <c r="F373" s="1">
        <f t="shared" ref="F373:K373" si="379">F366*IFERROR(F145/F138,0)</f>
        <v>9.1017954520172193</v>
      </c>
      <c r="G373" s="1">
        <f t="shared" si="379"/>
        <v>10.214892174185115</v>
      </c>
      <c r="H373" s="1">
        <f t="shared" si="379"/>
        <v>11.468259315075528</v>
      </c>
      <c r="I373" s="1">
        <f t="shared" si="379"/>
        <v>10.348293358570306</v>
      </c>
      <c r="J373" s="1">
        <f t="shared" si="379"/>
        <v>10.479390147981993</v>
      </c>
      <c r="K373" s="1">
        <f t="shared" si="379"/>
        <v>10.725805355326585</v>
      </c>
      <c r="L373" s="1">
        <f t="shared" ref="L373" si="380">L366*IFERROR(L145/L138,0)</f>
        <v>11.236706963121055</v>
      </c>
      <c r="M373" s="1"/>
      <c r="N373" s="1"/>
      <c r="O373" s="1"/>
    </row>
    <row r="374" spans="1:15" x14ac:dyDescent="0.35">
      <c r="A374" s="5" t="s">
        <v>5</v>
      </c>
      <c r="B374" s="5" t="s">
        <v>6</v>
      </c>
      <c r="C374" s="5" t="s">
        <v>7</v>
      </c>
      <c r="D374" t="s">
        <v>126</v>
      </c>
      <c r="E374" t="str">
        <f t="shared" si="360"/>
        <v>PJ/yr.</v>
      </c>
      <c r="F374" s="1">
        <f t="shared" ref="F374:K374" si="381">F367*IFERROR(F146/F139,0)</f>
        <v>0</v>
      </c>
      <c r="G374" s="1">
        <f t="shared" si="381"/>
        <v>0</v>
      </c>
      <c r="H374" s="1">
        <f t="shared" si="381"/>
        <v>0</v>
      </c>
      <c r="I374" s="1">
        <f t="shared" si="381"/>
        <v>0</v>
      </c>
      <c r="J374" s="1">
        <f t="shared" si="381"/>
        <v>0</v>
      </c>
      <c r="K374" s="1">
        <f t="shared" si="381"/>
        <v>0</v>
      </c>
      <c r="L374" s="1">
        <f t="shared" ref="L374" si="382">L367*IFERROR(L146/L139,0)</f>
        <v>0</v>
      </c>
      <c r="N374" s="1"/>
    </row>
    <row r="375" spans="1:15" x14ac:dyDescent="0.35">
      <c r="A375" s="5" t="s">
        <v>5</v>
      </c>
      <c r="B375" s="5" t="s">
        <v>6</v>
      </c>
      <c r="C375" s="5" t="s">
        <v>7</v>
      </c>
      <c r="D375" t="s">
        <v>127</v>
      </c>
      <c r="E375" t="str">
        <f t="shared" si="360"/>
        <v>PJ/yr.</v>
      </c>
      <c r="F375" s="1">
        <f t="shared" ref="F375:K375" si="383">F368*IFERROR(F147/F140,0)</f>
        <v>1.948736894615217</v>
      </c>
      <c r="G375" s="1">
        <f t="shared" si="383"/>
        <v>1.8927048494749696</v>
      </c>
      <c r="H375" s="1">
        <f t="shared" si="383"/>
        <v>1.8000967552499305</v>
      </c>
      <c r="I375" s="1">
        <f t="shared" si="383"/>
        <v>1.9054387471698502</v>
      </c>
      <c r="J375" s="1">
        <f t="shared" si="383"/>
        <v>1.9404126863860167</v>
      </c>
      <c r="K375" s="1">
        <f t="shared" si="383"/>
        <v>1.9730544302842292</v>
      </c>
      <c r="L375" s="1">
        <f t="shared" ref="L375" si="384">L368*IFERROR(L147/L140,0)</f>
        <v>2.0420488834977442</v>
      </c>
      <c r="N375" s="1"/>
    </row>
    <row r="376" spans="1:15" x14ac:dyDescent="0.35">
      <c r="A376" s="5" t="s">
        <v>5</v>
      </c>
      <c r="B376" s="5" t="s">
        <v>6</v>
      </c>
      <c r="C376" s="5" t="s">
        <v>7</v>
      </c>
      <c r="D376" t="s">
        <v>128</v>
      </c>
      <c r="E376" t="str">
        <f t="shared" si="360"/>
        <v>PJ/yr.</v>
      </c>
      <c r="F376" s="1">
        <f t="shared" ref="F376:K376" si="385">F369*IFERROR(F148/F141,0)</f>
        <v>0</v>
      </c>
      <c r="G376" s="1">
        <f t="shared" si="385"/>
        <v>0</v>
      </c>
      <c r="H376" s="1">
        <f t="shared" si="385"/>
        <v>0</v>
      </c>
      <c r="I376" s="1">
        <f t="shared" si="385"/>
        <v>0</v>
      </c>
      <c r="J376" s="1">
        <f t="shared" si="385"/>
        <v>0</v>
      </c>
      <c r="K376" s="1">
        <f t="shared" si="385"/>
        <v>0</v>
      </c>
      <c r="L376" s="1">
        <f t="shared" ref="L376" si="386">L369*IFERROR(L148/L141,0)</f>
        <v>0</v>
      </c>
      <c r="N376" s="1"/>
    </row>
    <row r="377" spans="1:15" x14ac:dyDescent="0.35">
      <c r="A377" s="5" t="s">
        <v>5</v>
      </c>
      <c r="B377" s="5" t="s">
        <v>6</v>
      </c>
      <c r="C377" s="5" t="s">
        <v>7</v>
      </c>
      <c r="D377" t="s">
        <v>129</v>
      </c>
      <c r="E377" t="str">
        <f t="shared" si="360"/>
        <v>PJ/yr.</v>
      </c>
      <c r="F377" s="1">
        <f>F363</f>
        <v>0.3944439368732896</v>
      </c>
      <c r="G377" s="1">
        <f t="shared" ref="G377:K377" si="387">G363</f>
        <v>0.40919168418776164</v>
      </c>
      <c r="H377" s="1">
        <f t="shared" si="387"/>
        <v>5.5684988858629655E-4</v>
      </c>
      <c r="I377" s="1">
        <f t="shared" si="387"/>
        <v>5.5037895340206457E-4</v>
      </c>
      <c r="J377" s="1">
        <f t="shared" si="387"/>
        <v>3.433350492133321E-3</v>
      </c>
      <c r="K377" s="1">
        <f t="shared" si="387"/>
        <v>2.2562144641222631E-3</v>
      </c>
      <c r="L377" s="1">
        <f t="shared" ref="L377" si="388">L363</f>
        <v>1.0700024943691589E-3</v>
      </c>
      <c r="N377" s="1"/>
    </row>
    <row r="378" spans="1:15" x14ac:dyDescent="0.35">
      <c r="A378" s="5" t="s">
        <v>5</v>
      </c>
      <c r="B378" s="5" t="s">
        <v>6</v>
      </c>
      <c r="C378" s="5" t="s">
        <v>7</v>
      </c>
      <c r="D378" t="s">
        <v>130</v>
      </c>
      <c r="E378" t="str">
        <f t="shared" si="360"/>
        <v>PJ/yr.</v>
      </c>
      <c r="F378" s="1">
        <f t="shared" ref="F378:K378" si="389">F364</f>
        <v>0</v>
      </c>
      <c r="G378" s="1">
        <f t="shared" si="389"/>
        <v>0</v>
      </c>
      <c r="H378" s="1">
        <f t="shared" si="389"/>
        <v>0</v>
      </c>
      <c r="I378" s="1">
        <f t="shared" si="389"/>
        <v>0</v>
      </c>
      <c r="J378" s="1">
        <f t="shared" si="389"/>
        <v>0</v>
      </c>
      <c r="K378" s="1">
        <f t="shared" si="389"/>
        <v>0</v>
      </c>
      <c r="L378" s="1">
        <f t="shared" ref="L378" si="390">L364</f>
        <v>0</v>
      </c>
      <c r="N378" s="1"/>
    </row>
    <row r="379" spans="1:15" x14ac:dyDescent="0.35">
      <c r="A379" s="5" t="s">
        <v>5</v>
      </c>
      <c r="B379" s="5" t="s">
        <v>6</v>
      </c>
      <c r="C379" s="5" t="s">
        <v>7</v>
      </c>
      <c r="D379" t="s">
        <v>856</v>
      </c>
      <c r="E379" t="str">
        <f t="shared" si="360"/>
        <v>PJ/yr.</v>
      </c>
      <c r="F379" s="1">
        <f>SUM(F380:F386)</f>
        <v>0.51947458255810541</v>
      </c>
      <c r="G379" s="1">
        <f t="shared" ref="G379:K379" si="391">SUM(G380:G386)</f>
        <v>0.49262176896306548</v>
      </c>
      <c r="H379" s="1">
        <f t="shared" si="391"/>
        <v>1.1820573747071734</v>
      </c>
      <c r="I379" s="1">
        <f t="shared" si="391"/>
        <v>2.5941884113595179</v>
      </c>
      <c r="J379" s="1">
        <f t="shared" si="391"/>
        <v>3.1194192023217577</v>
      </c>
      <c r="K379" s="1">
        <f t="shared" si="391"/>
        <v>4.124477668733741</v>
      </c>
      <c r="L379" s="1">
        <f t="shared" ref="L379" si="392">SUM(L380:L386)</f>
        <v>5.2008247085199617</v>
      </c>
      <c r="N379" s="1"/>
    </row>
    <row r="380" spans="1:15" x14ac:dyDescent="0.35">
      <c r="A380" s="5" t="s">
        <v>5</v>
      </c>
      <c r="B380" s="5" t="s">
        <v>6</v>
      </c>
      <c r="C380" s="5" t="s">
        <v>7</v>
      </c>
      <c r="D380" t="s">
        <v>131</v>
      </c>
      <c r="E380" t="str">
        <f t="shared" si="360"/>
        <v>PJ/yr.</v>
      </c>
      <c r="F380" s="1">
        <f>IFERROR(F152/SUM(F152,F207),0)*'[1]Electricity and CHPs_IN'!B$25</f>
        <v>0.33858239479211616</v>
      </c>
      <c r="G380" s="1">
        <f>IFERROR(G152/SUM(G152,G207),0)*'[1]Electricity and CHPs_IN'!C$25</f>
        <v>3.9713609806644269E-2</v>
      </c>
      <c r="H380" s="1">
        <f>IFERROR(H152/SUM(H152,H207),0)*'[1]Electricity and CHPs_IN'!D$25</f>
        <v>1.6672897332881335E-3</v>
      </c>
      <c r="I380" s="1">
        <f>IFERROR(I152/SUM(I152,I207),0)*'[1]Electricity and CHPs_IN'!E$25</f>
        <v>1.0731898698781068</v>
      </c>
      <c r="J380" s="1">
        <f>IFERROR(J152/SUM(J152,J207),0)*'[2]Electricity and CHPs_IN'!F$25</f>
        <v>1.0333217266144787</v>
      </c>
      <c r="K380" s="1">
        <f>IFERROR(K152/SUM(K152,K207),0)*'[2]Electricity and CHPs_IN'!G$25</f>
        <v>0.95388281894626203</v>
      </c>
      <c r="L380" s="1">
        <f>IFERROR(L152/SUM(L152,L207),0)*'[2]Electricity and CHPs_IN'!H$25</f>
        <v>1.7789852313995742</v>
      </c>
      <c r="N380" s="1"/>
    </row>
    <row r="381" spans="1:15" x14ac:dyDescent="0.35">
      <c r="A381" s="5" t="s">
        <v>5</v>
      </c>
      <c r="B381" s="5" t="s">
        <v>6</v>
      </c>
      <c r="C381" s="5" t="s">
        <v>7</v>
      </c>
      <c r="D381" t="s">
        <v>132</v>
      </c>
      <c r="E381" t="str">
        <f t="shared" si="360"/>
        <v>PJ/yr.</v>
      </c>
      <c r="F381" s="1">
        <f>'[1]Electricity and CHPs_IN'!B$31</f>
        <v>0</v>
      </c>
      <c r="G381" s="1">
        <f>'[1]Electricity and CHPs_IN'!C$31</f>
        <v>0</v>
      </c>
      <c r="H381" s="1">
        <f>'[1]Electricity and CHPs_IN'!D$31</f>
        <v>0</v>
      </c>
      <c r="I381" s="1">
        <f>'[1]Electricity and CHPs_IN'!E$31</f>
        <v>0</v>
      </c>
      <c r="J381" s="1">
        <f>'[2]Electricity and CHPs_IN'!F$31</f>
        <v>0</v>
      </c>
      <c r="K381" s="1">
        <f>'[2]Electricity and CHPs_IN'!G$31</f>
        <v>1.6320229457980181E-4</v>
      </c>
      <c r="L381" s="1">
        <f>'[2]Electricity and CHPs_IN'!H$31</f>
        <v>1.234580407864005E-4</v>
      </c>
      <c r="N381" s="1"/>
    </row>
    <row r="382" spans="1:15" x14ac:dyDescent="0.35">
      <c r="A382" s="5" t="s">
        <v>5</v>
      </c>
      <c r="B382" s="5" t="s">
        <v>6</v>
      </c>
      <c r="C382" s="5" t="s">
        <v>7</v>
      </c>
      <c r="D382" t="s">
        <v>133</v>
      </c>
      <c r="E382" t="str">
        <f t="shared" si="360"/>
        <v>PJ/yr.</v>
      </c>
      <c r="F382" s="1">
        <f>IFERROR(F154/SUM(F154,F283),0)*'[1]Electricity and CHPs_IN'!B$42</f>
        <v>0.18089218776598923</v>
      </c>
      <c r="G382" s="1">
        <f>IFERROR(G154/SUM(G154,G283),0)*'[1]Electricity and CHPs_IN'!C$42</f>
        <v>0.45290815915642119</v>
      </c>
      <c r="H382" s="1">
        <f>IFERROR(H154/SUM(H154,H283),0)*'[1]Electricity and CHPs_IN'!D$42</f>
        <v>1.1803900849738853</v>
      </c>
      <c r="I382" s="1">
        <f>IFERROR(I154/SUM(I154,I283),0)*'[1]Electricity and CHPs_IN'!E$42</f>
        <v>1.5209985414814113</v>
      </c>
      <c r="J382" s="1">
        <f>IFERROR(J154/SUM(J154,J283),0)*'[2]Electricity and CHPs_IN'!F$42</f>
        <v>2.0802720911856865</v>
      </c>
      <c r="K382" s="1">
        <f>IFERROR(K154/SUM(K154,K283),0)*'[2]Electricity and CHPs_IN'!G$42</f>
        <v>3.1663035945816436</v>
      </c>
      <c r="L382" s="1">
        <f>IFERROR(L154/SUM(L154,L283),0)*'[2]Electricity and CHPs_IN'!H$42</f>
        <v>3.4193973318824256</v>
      </c>
      <c r="N382" s="1"/>
    </row>
    <row r="383" spans="1:15" x14ac:dyDescent="0.35">
      <c r="A383" s="5" t="s">
        <v>5</v>
      </c>
      <c r="B383" s="5" t="s">
        <v>6</v>
      </c>
      <c r="C383" s="5" t="s">
        <v>7</v>
      </c>
      <c r="D383" t="s">
        <v>134</v>
      </c>
      <c r="E383" t="str">
        <f t="shared" si="360"/>
        <v>PJ/yr.</v>
      </c>
      <c r="F383" s="1">
        <f>IFERROR(F155/SUM(F155,F284),0)*'[1]Electricity and CHPs_IN'!B$43</f>
        <v>0</v>
      </c>
      <c r="G383" s="1">
        <f>IFERROR(G155/SUM(G155,G284),0)*'[1]Electricity and CHPs_IN'!C$43</f>
        <v>0</v>
      </c>
      <c r="H383" s="1">
        <f>IFERROR(H155/SUM(H155,H284),0)*'[1]Electricity and CHPs_IN'!D$43</f>
        <v>0</v>
      </c>
      <c r="I383" s="1">
        <f>IFERROR(I155/SUM(I155,I284),0)*'[1]Electricity and CHPs_IN'!E$43</f>
        <v>0</v>
      </c>
      <c r="J383" s="1">
        <f>IFERROR(J155/SUM(J155,J284),0)*'[2]Electricity and CHPs_IN'!F$43</f>
        <v>0</v>
      </c>
      <c r="K383" s="1">
        <f>IFERROR(K155/SUM(K155,K284),0)*'[2]Electricity and CHPs_IN'!G$43</f>
        <v>0</v>
      </c>
      <c r="L383" s="1">
        <f>IFERROR(L155/SUM(L155,L284),0)*'[2]Electricity and CHPs_IN'!H$43</f>
        <v>0</v>
      </c>
      <c r="N383" s="1"/>
    </row>
    <row r="384" spans="1:15" x14ac:dyDescent="0.35">
      <c r="A384" s="5" t="s">
        <v>5</v>
      </c>
      <c r="B384" s="5" t="s">
        <v>6</v>
      </c>
      <c r="C384" s="5" t="s">
        <v>7</v>
      </c>
      <c r="D384" t="s">
        <v>135</v>
      </c>
      <c r="E384" t="str">
        <f t="shared" si="360"/>
        <v>PJ/yr.</v>
      </c>
      <c r="F384" s="1">
        <f>IFERROR(F156/SUM(F285,F156),0)*'[1]Electricity and CHPs_IN'!B$50</f>
        <v>0</v>
      </c>
      <c r="G384" s="1">
        <f>IFERROR(G156/SUM(G285,G156),0)*'[1]Electricity and CHPs_IN'!C$50</f>
        <v>0</v>
      </c>
      <c r="H384" s="1">
        <f>IFERROR(H156/SUM(H285,H156),0)*'[1]Electricity and CHPs_IN'!D$50</f>
        <v>0</v>
      </c>
      <c r="I384" s="1">
        <f>IFERROR(I156/SUM(I285,I156),0)*'[1]Electricity and CHPs_IN'!E$50</f>
        <v>0</v>
      </c>
      <c r="J384" s="1">
        <f>IFERROR(J156/SUM(J285,J156),0)*'[2]Electricity and CHPs_IN'!F$50</f>
        <v>1.5917943426727442E-3</v>
      </c>
      <c r="K384" s="1">
        <f>IFERROR(K156/SUM(K285,K156),0)*'[2]Electricity and CHPs_IN'!G$50</f>
        <v>1.2283153406035087E-3</v>
      </c>
      <c r="L384" s="1">
        <f>IFERROR(L156/SUM(L285,L156),0)*'[2]Electricity and CHPs_IN'!H$50</f>
        <v>7.693457393222492E-4</v>
      </c>
      <c r="N384" s="1"/>
    </row>
    <row r="385" spans="1:14" x14ac:dyDescent="0.35">
      <c r="A385" s="5" t="s">
        <v>5</v>
      </c>
      <c r="B385" s="5" t="s">
        <v>6</v>
      </c>
      <c r="C385" s="5" t="s">
        <v>7</v>
      </c>
      <c r="D385" t="s">
        <v>136</v>
      </c>
      <c r="E385" t="str">
        <f t="shared" si="360"/>
        <v>PJ/yr.</v>
      </c>
      <c r="F385" s="1">
        <f>IFERROR(F157/SUM(F286,F157),0)*'[1]Electricity and CHPs_IN'!B$53</f>
        <v>0</v>
      </c>
      <c r="G385" s="1">
        <f>IFERROR(G157/SUM(G286,G157),0)*'[1]Electricity and CHPs_IN'!C$53</f>
        <v>0</v>
      </c>
      <c r="H385" s="1">
        <f>IFERROR(H157/SUM(H286,H157),0)*'[1]Electricity and CHPs_IN'!D$53</f>
        <v>0</v>
      </c>
      <c r="I385" s="1">
        <f>IFERROR(I157/SUM(I286,I157),0)*'[1]Electricity and CHPs_IN'!E$53</f>
        <v>0</v>
      </c>
      <c r="J385" s="1">
        <f>IFERROR(J157/SUM(J286,J157),0)*'[2]Electricity and CHPs_IN'!F$53</f>
        <v>2.6020303162019157E-3</v>
      </c>
      <c r="K385" s="1">
        <f>IFERROR(K157/SUM(K286,K157),0)*'[2]Electricity and CHPs_IN'!G$53</f>
        <v>1.6576685214668382E-3</v>
      </c>
      <c r="L385" s="1">
        <f>IFERROR(L157/SUM(L286,L157),0)*'[2]Electricity and CHPs_IN'!H$53</f>
        <v>1.0665395281227671E-3</v>
      </c>
      <c r="N385" s="1"/>
    </row>
    <row r="386" spans="1:14" x14ac:dyDescent="0.35">
      <c r="A386" s="5" t="s">
        <v>5</v>
      </c>
      <c r="B386" s="5" t="s">
        <v>6</v>
      </c>
      <c r="C386" s="5" t="s">
        <v>7</v>
      </c>
      <c r="D386" t="s">
        <v>294</v>
      </c>
      <c r="E386" t="str">
        <f t="shared" si="360"/>
        <v>PJ/yr.</v>
      </c>
      <c r="F386" s="1">
        <f>IFERROR(F158/SUM(F287,F158),0)*'[1]Electricity and CHPs_IN'!B$56</f>
        <v>0</v>
      </c>
      <c r="G386" s="1">
        <f>IFERROR(G158/SUM(G287,G158),0)*'[1]Electricity and CHPs_IN'!C$56</f>
        <v>0</v>
      </c>
      <c r="H386" s="1">
        <f>IFERROR(H158/SUM(H287,H158),0)*'[1]Electricity and CHPs_IN'!D$56</f>
        <v>0</v>
      </c>
      <c r="I386" s="1">
        <f>IFERROR(I158/SUM(I287,I158),0)*'[1]Electricity and CHPs_IN'!E$56</f>
        <v>0</v>
      </c>
      <c r="J386" s="1">
        <f>IFERROR(J158/SUM(J287,J158),0)*'[2]Electricity and CHPs_IN'!F$56</f>
        <v>1.631559862717477E-3</v>
      </c>
      <c r="K386" s="1">
        <f>IFERROR(K158/SUM(K287,K158),0)*'[2]Electricity and CHPs_IN'!G$56</f>
        <v>1.2420690491854785E-3</v>
      </c>
      <c r="L386" s="1">
        <f>IFERROR(L158/SUM(L287,L158),0)*'[2]Electricity and CHPs_IN'!H$56</f>
        <v>4.8280192973039151E-4</v>
      </c>
      <c r="N386" s="1"/>
    </row>
    <row r="387" spans="1:14" x14ac:dyDescent="0.35">
      <c r="A387" s="5" t="s">
        <v>5</v>
      </c>
      <c r="B387" s="5" t="s">
        <v>6</v>
      </c>
      <c r="C387" s="5" t="s">
        <v>7</v>
      </c>
      <c r="D387" t="s">
        <v>857</v>
      </c>
      <c r="E387" t="str">
        <f t="shared" si="360"/>
        <v>PJ/yr.</v>
      </c>
      <c r="F387" s="1">
        <f>F388</f>
        <v>0.52400000000000047</v>
      </c>
      <c r="G387" s="1">
        <f t="shared" ref="G387:L387" si="393">G388</f>
        <v>0.54529210298713582</v>
      </c>
      <c r="H387" s="1">
        <f t="shared" si="393"/>
        <v>0.50316470132068525</v>
      </c>
      <c r="I387" s="1">
        <f t="shared" si="393"/>
        <v>2.0502622389415159</v>
      </c>
      <c r="J387" s="1">
        <f t="shared" si="393"/>
        <v>0.93820609161671309</v>
      </c>
      <c r="K387" s="1">
        <f t="shared" si="393"/>
        <v>0.9382219448306599</v>
      </c>
      <c r="L387" s="1">
        <f t="shared" si="393"/>
        <v>0.93859680267837819</v>
      </c>
      <c r="N387" s="1"/>
    </row>
    <row r="388" spans="1:14" x14ac:dyDescent="0.35">
      <c r="A388" s="5" t="s">
        <v>5</v>
      </c>
      <c r="B388" s="5" t="s">
        <v>6</v>
      </c>
      <c r="C388" s="5" t="s">
        <v>7</v>
      </c>
      <c r="D388" t="s">
        <v>137</v>
      </c>
      <c r="E388" t="str">
        <f t="shared" si="360"/>
        <v>PJ/yr.</v>
      </c>
      <c r="F388" s="1">
        <f>'[1]Electricity and CHPs_IN'!B$33</f>
        <v>0.52400000000000047</v>
      </c>
      <c r="G388" s="1">
        <f>'[1]Electricity and CHPs_IN'!C$33</f>
        <v>0.54529210298713582</v>
      </c>
      <c r="H388" s="1">
        <f>'[1]Electricity and CHPs_IN'!D$33</f>
        <v>0.50316470132068525</v>
      </c>
      <c r="I388" s="1">
        <f>'[1]Electricity and CHPs_IN'!E$33</f>
        <v>2.0502622389415159</v>
      </c>
      <c r="J388" s="1">
        <f>'[2]Electricity and CHPs_IN'!F$33</f>
        <v>0.93820609161671309</v>
      </c>
      <c r="K388" s="1">
        <f>'[2]Electricity and CHPs_IN'!G$33</f>
        <v>0.9382219448306599</v>
      </c>
      <c r="L388" s="1">
        <f>'[2]Electricity and CHPs_IN'!H$33</f>
        <v>0.93859680267837819</v>
      </c>
      <c r="N388" s="1"/>
    </row>
    <row r="389" spans="1:14" x14ac:dyDescent="0.35">
      <c r="A389" s="5" t="s">
        <v>5</v>
      </c>
      <c r="B389" s="5" t="s">
        <v>6</v>
      </c>
      <c r="C389" s="5" t="s">
        <v>7</v>
      </c>
      <c r="D389" t="s">
        <v>858</v>
      </c>
      <c r="E389" t="str">
        <f t="shared" si="360"/>
        <v>PJ/yr.</v>
      </c>
      <c r="F389" s="1">
        <f>SUM(F390:F394)</f>
        <v>9.3550000000000111</v>
      </c>
      <c r="G389" s="1">
        <f t="shared" ref="G389:K389" si="394">SUM(G390:G394)</f>
        <v>12.821350215597745</v>
      </c>
      <c r="H389" s="1">
        <f t="shared" si="394"/>
        <v>28.80000326476668</v>
      </c>
      <c r="I389" s="1">
        <f t="shared" si="394"/>
        <v>38.961031099395207</v>
      </c>
      <c r="J389" s="1">
        <f t="shared" si="394"/>
        <v>40.739993916703696</v>
      </c>
      <c r="K389" s="1">
        <f t="shared" si="394"/>
        <v>50.268347935970368</v>
      </c>
      <c r="L389" s="1">
        <f t="shared" ref="L389" si="395">SUM(L390:L394)</f>
        <v>67.594551387136789</v>
      </c>
      <c r="N389" s="1"/>
    </row>
    <row r="390" spans="1:14" x14ac:dyDescent="0.35">
      <c r="A390" s="5" t="s">
        <v>5</v>
      </c>
      <c r="B390" s="5" t="s">
        <v>6</v>
      </c>
      <c r="C390" s="5" t="s">
        <v>7</v>
      </c>
      <c r="D390" t="s">
        <v>138</v>
      </c>
      <c r="E390" t="str">
        <f t="shared" si="360"/>
        <v>PJ/yr.</v>
      </c>
      <c r="F390" s="1">
        <f>'[1]Electricity and CHPs_IN'!B34</f>
        <v>0</v>
      </c>
      <c r="G390" s="1">
        <f>'[1]Electricity and CHPs_IN'!C34</f>
        <v>0</v>
      </c>
      <c r="H390" s="1">
        <f>'[1]Electricity and CHPs_IN'!D34</f>
        <v>0.14080626641931424</v>
      </c>
      <c r="I390" s="1">
        <f>'[1]Electricity and CHPs_IN'!E34</f>
        <v>0.57934225734925171</v>
      </c>
      <c r="J390" s="1">
        <f>'[2]Electricity and CHPs_IN'!F34</f>
        <v>0.74388538144217486</v>
      </c>
      <c r="K390" s="1">
        <f>'[2]Electricity and CHPs_IN'!G34</f>
        <v>1.9123462178523085</v>
      </c>
      <c r="L390" s="1">
        <f>'[2]Electricity and CHPs_IN'!H34</f>
        <v>14.071412094280996</v>
      </c>
      <c r="N390" s="1"/>
    </row>
    <row r="391" spans="1:14" x14ac:dyDescent="0.35">
      <c r="A391" s="5" t="s">
        <v>5</v>
      </c>
      <c r="B391" s="5" t="s">
        <v>6</v>
      </c>
      <c r="C391" s="5" t="s">
        <v>7</v>
      </c>
      <c r="D391" t="s">
        <v>139</v>
      </c>
      <c r="E391" t="str">
        <f t="shared" si="360"/>
        <v>PJ/yr.</v>
      </c>
      <c r="F391" s="1">
        <f>'[1]Electricity and CHPs_IN'!B35</f>
        <v>3.517953999707534</v>
      </c>
      <c r="G391" s="1">
        <f>'[1]Electricity and CHPs_IN'!C35</f>
        <v>4.8486222706482938</v>
      </c>
      <c r="H391" s="1">
        <f>'[1]Electricity and CHPs_IN'!D35</f>
        <v>11.161492733716585</v>
      </c>
      <c r="I391" s="1">
        <f>'[1]Electricity and CHPs_IN'!E35</f>
        <v>19.477109007315924</v>
      </c>
      <c r="J391" s="1">
        <f>'[2]Electricity and CHPs_IN'!F35</f>
        <v>20.08180433791442</v>
      </c>
      <c r="K391" s="1">
        <f>'[2]Electricity and CHPs_IN'!G35</f>
        <v>27.377685036436606</v>
      </c>
      <c r="L391" s="1">
        <f>'[2]Electricity and CHPs_IN'!H35</f>
        <v>30.242000072569606</v>
      </c>
      <c r="N391" s="1"/>
    </row>
    <row r="392" spans="1:14" x14ac:dyDescent="0.35">
      <c r="A392" s="5" t="s">
        <v>5</v>
      </c>
      <c r="B392" s="5" t="s">
        <v>6</v>
      </c>
      <c r="C392" s="5" t="s">
        <v>7</v>
      </c>
      <c r="D392" t="s">
        <v>140</v>
      </c>
      <c r="E392" t="str">
        <f t="shared" si="360"/>
        <v>PJ/yr.</v>
      </c>
      <c r="F392" s="1">
        <f>'[1]Electricity and CHPs_IN'!B36</f>
        <v>2.1349390887346629</v>
      </c>
      <c r="G392" s="1">
        <f>'[1]Electricity and CHPs_IN'!C36</f>
        <v>3.3906769249173712</v>
      </c>
      <c r="H392" s="1">
        <f>'[1]Electricity and CHPs_IN'!D36</f>
        <v>4.0409717607174107</v>
      </c>
      <c r="I392" s="1">
        <f>'[1]Electricity and CHPs_IN'!E36</f>
        <v>4.3446264915594917</v>
      </c>
      <c r="J392" s="1">
        <f>'[2]Electricity and CHPs_IN'!F36</f>
        <v>4.6125010467243017</v>
      </c>
      <c r="K392" s="1">
        <f>'[2]Electricity and CHPs_IN'!G36</f>
        <v>4.8959606453910061</v>
      </c>
      <c r="L392" s="1">
        <f>'[2]Electricity and CHPs_IN'!H36</f>
        <v>5.5162078620712576</v>
      </c>
      <c r="N392" s="1"/>
    </row>
    <row r="393" spans="1:14" x14ac:dyDescent="0.35">
      <c r="A393" s="5" t="s">
        <v>5</v>
      </c>
      <c r="B393" s="5" t="s">
        <v>6</v>
      </c>
      <c r="C393" s="5" t="s">
        <v>7</v>
      </c>
      <c r="D393" t="s">
        <v>141</v>
      </c>
      <c r="E393" t="str">
        <f t="shared" si="360"/>
        <v>PJ/yr.</v>
      </c>
      <c r="F393" s="1">
        <f>'[1]Electricity and CHPs_IN'!B37</f>
        <v>0.86248322578584768</v>
      </c>
      <c r="G393" s="1">
        <f>'[1]Electricity and CHPs_IN'!C37</f>
        <v>1.2875959332939062</v>
      </c>
      <c r="H393" s="1">
        <f>'[1]Electricity and CHPs_IN'!D37</f>
        <v>3.4901269439935434</v>
      </c>
      <c r="I393" s="1">
        <f>'[1]Electricity and CHPs_IN'!E37</f>
        <v>3.822219782981545</v>
      </c>
      <c r="J393" s="1">
        <f>'[2]Electricity and CHPs_IN'!F37</f>
        <v>4.0163360724323276</v>
      </c>
      <c r="K393" s="1">
        <f>'[2]Electricity and CHPs_IN'!G37</f>
        <v>4.2212127056799451</v>
      </c>
      <c r="L393" s="1">
        <f>'[2]Electricity and CHPs_IN'!H37</f>
        <v>4.6628477422086343</v>
      </c>
      <c r="N393" s="1"/>
    </row>
    <row r="394" spans="1:14" x14ac:dyDescent="0.35">
      <c r="A394" s="5" t="s">
        <v>5</v>
      </c>
      <c r="B394" s="5" t="s">
        <v>6</v>
      </c>
      <c r="C394" s="5" t="s">
        <v>7</v>
      </c>
      <c r="D394" t="s">
        <v>142</v>
      </c>
      <c r="E394" t="str">
        <f t="shared" si="360"/>
        <v>PJ/yr.</v>
      </c>
      <c r="F394" s="1">
        <f>'[1]Electricity and CHPs_IN'!B38</f>
        <v>2.8396236857719668</v>
      </c>
      <c r="G394" s="1">
        <f>'[1]Electricity and CHPs_IN'!C38</f>
        <v>3.2944550867381746</v>
      </c>
      <c r="H394" s="1">
        <f>'[1]Electricity and CHPs_IN'!D38</f>
        <v>9.966605559919822</v>
      </c>
      <c r="I394" s="1">
        <f>'[1]Electricity and CHPs_IN'!E38</f>
        <v>10.737733560188992</v>
      </c>
      <c r="J394" s="1">
        <f>'[2]Electricity and CHPs_IN'!F38</f>
        <v>11.285467078190468</v>
      </c>
      <c r="K394" s="1">
        <f>'[2]Electricity and CHPs_IN'!G38</f>
        <v>11.861143330610505</v>
      </c>
      <c r="L394" s="1">
        <f>'[2]Electricity and CHPs_IN'!H38</f>
        <v>13.102083616006292</v>
      </c>
      <c r="N394" s="1"/>
    </row>
    <row r="395" spans="1:14" x14ac:dyDescent="0.35">
      <c r="A395" s="5" t="s">
        <v>5</v>
      </c>
      <c r="B395" s="5" t="s">
        <v>6</v>
      </c>
      <c r="C395" s="5" t="s">
        <v>7</v>
      </c>
      <c r="D395" t="s">
        <v>859</v>
      </c>
      <c r="E395" t="str">
        <f t="shared" si="360"/>
        <v>PJ/yr.</v>
      </c>
      <c r="F395" s="1">
        <f>'[1]Electricity and CHPs'!B252</f>
        <v>0</v>
      </c>
      <c r="G395" s="1">
        <f>'[1]Electricity and CHPs'!C252</f>
        <v>0</v>
      </c>
      <c r="H395" s="1">
        <f>'[1]Electricity and CHPs'!D252</f>
        <v>0</v>
      </c>
      <c r="I395" s="1">
        <f>'[1]Electricity and CHPs'!E252</f>
        <v>0</v>
      </c>
      <c r="J395" s="1">
        <f>'[2]Electricity and CHPs'!F252</f>
        <v>0</v>
      </c>
      <c r="K395" s="1">
        <f>'[2]Electricity and CHPs'!G252</f>
        <v>0</v>
      </c>
      <c r="L395" s="1">
        <f>'[2]Electricity and CHPs'!H252</f>
        <v>0</v>
      </c>
      <c r="N395" s="1"/>
    </row>
    <row r="396" spans="1:14" x14ac:dyDescent="0.35">
      <c r="A396" s="5" t="s">
        <v>5</v>
      </c>
      <c r="B396" s="5" t="s">
        <v>6</v>
      </c>
      <c r="C396" s="5" t="s">
        <v>7</v>
      </c>
      <c r="D396" t="s">
        <v>143</v>
      </c>
      <c r="E396" t="str">
        <f t="shared" si="360"/>
        <v>PJ/yr.</v>
      </c>
      <c r="F396" s="1">
        <f>'[1]Electricity and CHPs_IN'!B$32</f>
        <v>0</v>
      </c>
      <c r="G396" s="1">
        <f>'[1]Electricity and CHPs_IN'!C$32</f>
        <v>0</v>
      </c>
      <c r="H396" s="1">
        <f>'[1]Electricity and CHPs_IN'!D$32</f>
        <v>0</v>
      </c>
      <c r="I396" s="1">
        <f>'[1]Electricity and CHPs_IN'!E$32</f>
        <v>0</v>
      </c>
      <c r="J396" s="1">
        <f>'[2]Electricity and CHPs_IN'!F$32</f>
        <v>0</v>
      </c>
      <c r="K396" s="1">
        <f>'[2]Electricity and CHPs_IN'!G$32</f>
        <v>1.6662062018142878E-2</v>
      </c>
      <c r="L396" s="1">
        <f>'[2]Electricity and CHPs_IN'!H$32</f>
        <v>0.10646829509187661</v>
      </c>
      <c r="N396" s="1"/>
    </row>
    <row r="397" spans="1:14" x14ac:dyDescent="0.35">
      <c r="A397" s="5" t="s">
        <v>5</v>
      </c>
      <c r="B397" s="5" t="s">
        <v>6</v>
      </c>
      <c r="C397" s="5" t="s">
        <v>7</v>
      </c>
      <c r="D397" t="s">
        <v>860</v>
      </c>
      <c r="E397" t="str">
        <f t="shared" si="360"/>
        <v>PJ/yr.</v>
      </c>
      <c r="F397" s="1">
        <f t="shared" ref="F397" si="396">SUM(F398:F400)</f>
        <v>0</v>
      </c>
      <c r="G397" s="1">
        <f t="shared" ref="G397" si="397">SUM(G398:G400)</f>
        <v>0</v>
      </c>
      <c r="H397" s="1">
        <f t="shared" ref="H397" si="398">SUM(H398:H400)</f>
        <v>0</v>
      </c>
      <c r="I397" s="1">
        <f t="shared" ref="I397" si="399">SUM(I398:I400)</f>
        <v>0</v>
      </c>
      <c r="J397" s="1">
        <f t="shared" ref="J397" si="400">SUM(J398:J400)</f>
        <v>0</v>
      </c>
      <c r="K397" s="1">
        <f t="shared" ref="K397:L397" si="401">SUM(K398:K400)</f>
        <v>0</v>
      </c>
      <c r="L397" s="1">
        <f t="shared" si="401"/>
        <v>0</v>
      </c>
      <c r="N397" s="1"/>
    </row>
    <row r="398" spans="1:14" x14ac:dyDescent="0.35">
      <c r="A398" s="5" t="s">
        <v>5</v>
      </c>
      <c r="B398" s="5" t="s">
        <v>6</v>
      </c>
      <c r="C398" s="5" t="s">
        <v>7</v>
      </c>
      <c r="D398" t="s">
        <v>144</v>
      </c>
      <c r="E398" t="str">
        <f t="shared" si="360"/>
        <v>PJ/yr.</v>
      </c>
      <c r="F398" s="1">
        <f>IFERROR(F170/SUM(F170,F209),0)*'[1]Electricity and CHPs_IN'!B$30</f>
        <v>0</v>
      </c>
      <c r="G398" s="1">
        <f>IFERROR(G170/SUM(G170,G209),0)*'[1]Electricity and CHPs_IN'!C$30</f>
        <v>0</v>
      </c>
      <c r="H398" s="1">
        <f>IFERROR(H170/SUM(H170,H209),0)*'[1]Electricity and CHPs_IN'!D$30</f>
        <v>0</v>
      </c>
      <c r="I398" s="1">
        <f>IFERROR(I170/SUM(I170,I209),0)*'[1]Electricity and CHPs_IN'!E$30</f>
        <v>0</v>
      </c>
      <c r="J398" s="1">
        <f>IFERROR(J170/SUM(J170,J209),0)*'[2]Electricity and CHPs_IN'!F$30</f>
        <v>0</v>
      </c>
      <c r="K398" s="1">
        <f>IFERROR(K170/SUM(K170,K209),0)*'[2]Electricity and CHPs_IN'!G$30</f>
        <v>0</v>
      </c>
      <c r="L398" s="1">
        <f>IFERROR(L170/SUM(L170,L209),0)*'[2]Electricity and CHPs_IN'!H$30</f>
        <v>0</v>
      </c>
      <c r="N398" s="1"/>
    </row>
    <row r="399" spans="1:14" x14ac:dyDescent="0.35">
      <c r="A399" s="5" t="s">
        <v>5</v>
      </c>
      <c r="B399" s="5" t="s">
        <v>6</v>
      </c>
      <c r="C399" s="5" t="s">
        <v>7</v>
      </c>
      <c r="D399" t="s">
        <v>145</v>
      </c>
      <c r="E399" t="str">
        <f t="shared" si="360"/>
        <v>PJ/yr.</v>
      </c>
      <c r="F399" s="1">
        <f>IFERROR(F171/SUM(F171,F289),0)*'[1]Electricity and CHPs_IN'!B$46</f>
        <v>0</v>
      </c>
      <c r="G399" s="1">
        <f>IFERROR(G171/SUM(G171,G289),0)*'[1]Electricity and CHPs_IN'!C$46</f>
        <v>0</v>
      </c>
      <c r="H399" s="1">
        <f>IFERROR(H171/SUM(H171,H289),0)*'[1]Electricity and CHPs_IN'!D$46</f>
        <v>0</v>
      </c>
      <c r="I399" s="1">
        <f>IFERROR(I171/SUM(I171,I289),0)*'[1]Electricity and CHPs_IN'!E$46</f>
        <v>0</v>
      </c>
      <c r="J399" s="1">
        <f>IFERROR(J171/SUM(J171,J289),0)*'[2]Electricity and CHPs_IN'!F$46</f>
        <v>0</v>
      </c>
      <c r="K399" s="1">
        <f>IFERROR(K171/SUM(K171,K289),0)*'[2]Electricity and CHPs_IN'!G$46</f>
        <v>0</v>
      </c>
      <c r="L399" s="1">
        <f>IFERROR(L171/SUM(L171,L289),0)*'[2]Electricity and CHPs_IN'!H$46</f>
        <v>0</v>
      </c>
      <c r="N399" s="1"/>
    </row>
    <row r="400" spans="1:14" x14ac:dyDescent="0.35">
      <c r="A400" s="5" t="s">
        <v>5</v>
      </c>
      <c r="B400" s="5" t="s">
        <v>6</v>
      </c>
      <c r="C400" s="5" t="s">
        <v>7</v>
      </c>
      <c r="D400" t="s">
        <v>237</v>
      </c>
      <c r="E400" t="str">
        <f t="shared" si="360"/>
        <v>PJ/yr.</v>
      </c>
      <c r="F400" s="1">
        <f>IFERROR(F172/SUM(F172,F290),0)*'[1]Electricity and CHPs_IN'!B$57</f>
        <v>0</v>
      </c>
      <c r="G400" s="1">
        <f>IFERROR(G172/SUM(G172,G290),0)*'[1]Electricity and CHPs_IN'!C$57</f>
        <v>0</v>
      </c>
      <c r="H400" s="1">
        <f>IFERROR(H172/SUM(H172,H290),0)*'[1]Electricity and CHPs_IN'!D$57</f>
        <v>0</v>
      </c>
      <c r="I400" s="1">
        <f>IFERROR(I172/SUM(I172,I290),0)*'[1]Electricity and CHPs_IN'!E$57</f>
        <v>0</v>
      </c>
      <c r="J400" s="1">
        <f>IFERROR(J172/SUM(J172,J290),0)*'[2]Electricity and CHPs_IN'!F$57</f>
        <v>0</v>
      </c>
      <c r="K400" s="1">
        <f>IFERROR(K172/SUM(K172,K290),0)*'[2]Electricity and CHPs_IN'!G$57</f>
        <v>0</v>
      </c>
      <c r="L400" s="1">
        <f>IFERROR(L172/SUM(L172,L290),0)*'[2]Electricity and CHPs_IN'!H$57</f>
        <v>0</v>
      </c>
      <c r="N400" s="1"/>
    </row>
    <row r="401" spans="1:19" x14ac:dyDescent="0.35">
      <c r="A401" s="5" t="s">
        <v>5</v>
      </c>
      <c r="B401" s="5" t="s">
        <v>6</v>
      </c>
      <c r="C401" s="5" t="s">
        <v>7</v>
      </c>
      <c r="D401" t="s">
        <v>861</v>
      </c>
      <c r="E401" t="str">
        <f t="shared" si="360"/>
        <v>PJ/yr.</v>
      </c>
      <c r="F401" s="1">
        <f>SUM(F402:F408)</f>
        <v>0.14052433537532469</v>
      </c>
      <c r="G401" s="1">
        <f t="shared" ref="G401:K401" si="402">SUM(G402:G408)</f>
        <v>1.0502268189006039E-2</v>
      </c>
      <c r="H401" s="1">
        <f t="shared" si="402"/>
        <v>0.69084011584122051</v>
      </c>
      <c r="I401" s="1">
        <f t="shared" si="402"/>
        <v>0.57628837099012653</v>
      </c>
      <c r="J401" s="1">
        <f t="shared" si="402"/>
        <v>0.75681232559454858</v>
      </c>
      <c r="K401" s="1">
        <f t="shared" si="402"/>
        <v>0.77218342034688348</v>
      </c>
      <c r="L401" s="1">
        <f t="shared" ref="L401" si="403">SUM(L402:L408)</f>
        <v>2.79608958245734</v>
      </c>
      <c r="N401" s="1"/>
    </row>
    <row r="402" spans="1:19" x14ac:dyDescent="0.35">
      <c r="A402" s="5" t="s">
        <v>5</v>
      </c>
      <c r="B402" s="5" t="s">
        <v>6</v>
      </c>
      <c r="C402" s="5" t="s">
        <v>7</v>
      </c>
      <c r="D402" t="s">
        <v>146</v>
      </c>
      <c r="E402" t="str">
        <f t="shared" si="360"/>
        <v>PJ/yr.</v>
      </c>
      <c r="F402" s="1">
        <f>'[1]Electricity and CHPs_IN'!B63</f>
        <v>0.13502546585350092</v>
      </c>
      <c r="G402" s="1">
        <f>'[1]Electricity and CHPs_IN'!C63</f>
        <v>5.7261980877209738E-3</v>
      </c>
      <c r="H402" s="1">
        <f>'[1]Electricity and CHPs_IN'!D63</f>
        <v>2.7989845055682534E-2</v>
      </c>
      <c r="I402" s="1">
        <f>'[1]Electricity and CHPs_IN'!E63</f>
        <v>3.1390657413825677E-2</v>
      </c>
      <c r="J402" s="1">
        <f>'[2]Electricity and CHPs_IN'!F63</f>
        <v>5.0450969218796158E-3</v>
      </c>
      <c r="K402" s="1">
        <f>'[2]Electricity and CHPs_IN'!G63</f>
        <v>1.8289433913396794E-3</v>
      </c>
      <c r="L402" s="1">
        <f>'[2]Electricity and CHPs_IN'!H63</f>
        <v>0.13499156876917132</v>
      </c>
      <c r="N402" s="1"/>
    </row>
    <row r="403" spans="1:19" x14ac:dyDescent="0.35">
      <c r="A403" s="5" t="s">
        <v>5</v>
      </c>
      <c r="B403" s="5" t="s">
        <v>6</v>
      </c>
      <c r="C403" s="5" t="s">
        <v>7</v>
      </c>
      <c r="D403" t="s">
        <v>147</v>
      </c>
      <c r="E403" t="str">
        <f t="shared" si="360"/>
        <v>PJ/yr.</v>
      </c>
      <c r="F403" s="1">
        <f>'[1]Electricity and CHPs_IN'!B64</f>
        <v>1.5438967366048877E-3</v>
      </c>
      <c r="G403" s="1">
        <f>'[1]Electricity and CHPs_IN'!C64</f>
        <v>1.1547766018546127E-3</v>
      </c>
      <c r="H403" s="1">
        <f>'[1]Electricity and CHPs_IN'!D64</f>
        <v>1.996437563908468E-2</v>
      </c>
      <c r="I403" s="1">
        <f>'[1]Electricity and CHPs_IN'!E64</f>
        <v>5.0477852928681892E-2</v>
      </c>
      <c r="J403" s="1">
        <f>'[2]Electricity and CHPs_IN'!F64</f>
        <v>2.9339914493153527E-2</v>
      </c>
      <c r="K403" s="1">
        <f>'[2]Electricity and CHPs_IN'!G64</f>
        <v>2.9385592177930211E-2</v>
      </c>
      <c r="L403" s="1">
        <f>'[2]Electricity and CHPs_IN'!H64</f>
        <v>0.28642157121777184</v>
      </c>
      <c r="N403" s="1"/>
    </row>
    <row r="404" spans="1:19" x14ac:dyDescent="0.35">
      <c r="A404" s="5" t="s">
        <v>5</v>
      </c>
      <c r="B404" s="5" t="s">
        <v>6</v>
      </c>
      <c r="C404" s="5" t="s">
        <v>7</v>
      </c>
      <c r="D404" t="s">
        <v>148</v>
      </c>
      <c r="E404" t="str">
        <f t="shared" si="360"/>
        <v>PJ/yr.</v>
      </c>
      <c r="F404" s="1">
        <f>'[1]Electricity and CHPs_IN'!B65</f>
        <v>1.3378216471674805E-3</v>
      </c>
      <c r="G404" s="1">
        <f>'[1]Electricity and CHPs_IN'!C65</f>
        <v>1.0223605512423516E-3</v>
      </c>
      <c r="H404" s="1">
        <f>'[1]Electricity and CHPs_IN'!D65</f>
        <v>1.8553665626403881E-2</v>
      </c>
      <c r="I404" s="1">
        <f>'[1]Electricity and CHPs_IN'!E65</f>
        <v>3.716286138491675E-2</v>
      </c>
      <c r="J404" s="1">
        <f>'[2]Electricity and CHPs_IN'!F65</f>
        <v>4.9286582585854534E-2</v>
      </c>
      <c r="K404" s="1">
        <f>'[2]Electricity and CHPs_IN'!G65</f>
        <v>2.911870720453558E-2</v>
      </c>
      <c r="L404" s="1">
        <f>'[2]Electricity and CHPs_IN'!H65</f>
        <v>0.40816932661505179</v>
      </c>
      <c r="N404" s="1"/>
    </row>
    <row r="405" spans="1:19" x14ac:dyDescent="0.35">
      <c r="A405" s="5" t="s">
        <v>5</v>
      </c>
      <c r="B405" s="5" t="s">
        <v>6</v>
      </c>
      <c r="C405" s="5" t="s">
        <v>7</v>
      </c>
      <c r="D405" t="s">
        <v>149</v>
      </c>
      <c r="E405" t="str">
        <f t="shared" si="360"/>
        <v>PJ/yr.</v>
      </c>
      <c r="F405" s="1">
        <f>'[1]Electricity and CHPs_IN'!B66</f>
        <v>4.3815987883659603E-4</v>
      </c>
      <c r="G405" s="1">
        <f>'[1]Electricity and CHPs_IN'!C66</f>
        <v>4.369092048283886E-4</v>
      </c>
      <c r="H405" s="1">
        <f>'[1]Electricity and CHPs_IN'!D66</f>
        <v>0.12259288657356644</v>
      </c>
      <c r="I405" s="1">
        <f>'[1]Electricity and CHPs_IN'!E66</f>
        <v>0.22079967206576276</v>
      </c>
      <c r="J405" s="1">
        <f>'[2]Electricity and CHPs_IN'!F66</f>
        <v>0.22985773264774198</v>
      </c>
      <c r="K405" s="1">
        <f>'[2]Electricity and CHPs_IN'!G66</f>
        <v>0.35176701105223418</v>
      </c>
      <c r="L405" s="1">
        <f>'[2]Electricity and CHPs_IN'!H66</f>
        <v>0.80819878139076595</v>
      </c>
      <c r="N405" s="1"/>
    </row>
    <row r="406" spans="1:19" x14ac:dyDescent="0.35">
      <c r="A406" s="5" t="s">
        <v>5</v>
      </c>
      <c r="B406" s="5" t="s">
        <v>6</v>
      </c>
      <c r="C406" s="5" t="s">
        <v>7</v>
      </c>
      <c r="D406" t="s">
        <v>1853</v>
      </c>
      <c r="E406" t="str">
        <f t="shared" si="360"/>
        <v>PJ/yr.</v>
      </c>
      <c r="F406" s="1">
        <f>'[1]Electricity and CHPs_IN'!B67</f>
        <v>8.7669170069212354E-4</v>
      </c>
      <c r="G406" s="1">
        <f>'[1]Electricity and CHPs_IN'!C67</f>
        <v>8.6982497537758702E-4</v>
      </c>
      <c r="H406" s="1">
        <f>'[1]Electricity and CHPs_IN'!D67</f>
        <v>0.22134744473586326</v>
      </c>
      <c r="I406" s="1">
        <f>'[1]Electricity and CHPs_IN'!E67</f>
        <v>9.7279571470471379E-2</v>
      </c>
      <c r="J406" s="1">
        <f>'[2]Electricity and CHPs_IN'!F67</f>
        <v>0.18701494639792299</v>
      </c>
      <c r="K406" s="1">
        <f>'[2]Electricity and CHPs_IN'!G67</f>
        <v>0.15082247605700461</v>
      </c>
      <c r="L406" s="1">
        <f>'[2]Electricity and CHPs_IN'!H67</f>
        <v>0.51598273310590259</v>
      </c>
      <c r="N406" s="1"/>
    </row>
    <row r="407" spans="1:19" x14ac:dyDescent="0.35">
      <c r="A407" s="5" t="s">
        <v>5</v>
      </c>
      <c r="B407" s="5" t="s">
        <v>6</v>
      </c>
      <c r="C407" s="5" t="s">
        <v>7</v>
      </c>
      <c r="D407" t="s">
        <v>150</v>
      </c>
      <c r="E407" t="str">
        <f t="shared" si="360"/>
        <v>PJ/yr.</v>
      </c>
      <c r="F407" s="1">
        <f>'[1]Electricity and CHPs_IN'!B68</f>
        <v>8.6006011379185197E-4</v>
      </c>
      <c r="G407" s="1">
        <f>'[1]Electricity and CHPs_IN'!C68</f>
        <v>8.5324612022760543E-4</v>
      </c>
      <c r="H407" s="1">
        <f>'[1]Electricity and CHPs_IN'!D68</f>
        <v>6.7898156586768038E-2</v>
      </c>
      <c r="I407" s="1">
        <f>'[1]Electricity and CHPs_IN'!E68</f>
        <v>3.517385524158452E-2</v>
      </c>
      <c r="J407" s="1">
        <f>'[2]Electricity and CHPs_IN'!F68</f>
        <v>8.4222901735299435E-2</v>
      </c>
      <c r="K407" s="1">
        <f>'[2]Electricity and CHPs_IN'!G68</f>
        <v>6.7469254558281899E-2</v>
      </c>
      <c r="L407" s="1">
        <f>'[2]Electricity and CHPs_IN'!H68</f>
        <v>0.16080625336939167</v>
      </c>
      <c r="N407" s="1"/>
    </row>
    <row r="408" spans="1:19" x14ac:dyDescent="0.35">
      <c r="A408" s="5" t="s">
        <v>5</v>
      </c>
      <c r="B408" s="5" t="s">
        <v>6</v>
      </c>
      <c r="C408" s="5" t="s">
        <v>7</v>
      </c>
      <c r="D408" t="s">
        <v>151</v>
      </c>
      <c r="E408" t="str">
        <f t="shared" si="360"/>
        <v>PJ/yr.</v>
      </c>
      <c r="F408" s="1">
        <f>'[1]Electricity and CHPs_IN'!B69</f>
        <v>4.4223944473081438E-4</v>
      </c>
      <c r="G408" s="1">
        <f>'[1]Electricity and CHPs_IN'!C69</f>
        <v>4.3895264775452032E-4</v>
      </c>
      <c r="H408" s="1">
        <f>'[1]Electricity and CHPs_IN'!D69</f>
        <v>0.21249374162385173</v>
      </c>
      <c r="I408" s="1">
        <f>'[1]Electricity and CHPs_IN'!E69</f>
        <v>0.10400390048488352</v>
      </c>
      <c r="J408" s="1">
        <f>'[2]Electricity and CHPs_IN'!F69</f>
        <v>0.17204515081269656</v>
      </c>
      <c r="K408" s="1">
        <f>'[2]Electricity and CHPs_IN'!G69</f>
        <v>0.14179143590555734</v>
      </c>
      <c r="L408" s="1">
        <f>'[2]Electricity and CHPs_IN'!H69</f>
        <v>0.48151934798928514</v>
      </c>
      <c r="N408" s="1"/>
    </row>
    <row r="409" spans="1:19" x14ac:dyDescent="0.35">
      <c r="A409" s="5"/>
      <c r="B409" s="9" t="str">
        <f t="shared" ref="B409:C409" si="404">B408</f>
        <v>SPS1</v>
      </c>
      <c r="C409" s="2" t="str">
        <f t="shared" si="404"/>
        <v>CH</v>
      </c>
      <c r="D409" s="2" t="s">
        <v>190</v>
      </c>
      <c r="E409" s="2" t="str">
        <f>E397</f>
        <v>PJ/yr.</v>
      </c>
      <c r="F409" s="3">
        <f>F410+F463</f>
        <v>55.796306980856201</v>
      </c>
      <c r="G409" s="3">
        <f t="shared" ref="G409:K409" si="405">G410+G463</f>
        <v>54.769809498730346</v>
      </c>
      <c r="H409" s="3">
        <f t="shared" si="405"/>
        <v>49.864817581926886</v>
      </c>
      <c r="I409" s="3">
        <f>IFERROR(I410+I463,0)</f>
        <v>54.50383121038648</v>
      </c>
      <c r="J409" s="3">
        <f t="shared" si="405"/>
        <v>64.755808642094038</v>
      </c>
      <c r="K409" s="3">
        <f t="shared" si="405"/>
        <v>70.56672179066129</v>
      </c>
      <c r="L409" s="3">
        <f t="shared" ref="L409" si="406">L410+L463</f>
        <v>65.104245495163383</v>
      </c>
      <c r="M409" s="11"/>
      <c r="N409" s="1"/>
      <c r="O409" s="11"/>
      <c r="P409" s="11"/>
      <c r="Q409" s="11"/>
      <c r="R409" s="11"/>
      <c r="S409" s="11"/>
    </row>
    <row r="410" spans="1:19" x14ac:dyDescent="0.35">
      <c r="A410" s="5"/>
      <c r="B410" s="5" t="s">
        <v>6</v>
      </c>
      <c r="C410" s="5" t="s">
        <v>7</v>
      </c>
      <c r="D410" t="s">
        <v>862</v>
      </c>
      <c r="E410" t="str">
        <f>E398</f>
        <v>PJ/yr.</v>
      </c>
      <c r="F410" s="1">
        <f t="shared" ref="F410:K410" si="407">F411+F440</f>
        <v>47.911913831594653</v>
      </c>
      <c r="G410" s="1">
        <f t="shared" si="407"/>
        <v>46.251252157282366</v>
      </c>
      <c r="H410" s="1">
        <f t="shared" si="407"/>
        <v>43.122418780753975</v>
      </c>
      <c r="I410" s="1">
        <f t="shared" si="407"/>
        <v>47.009995438906039</v>
      </c>
      <c r="J410" s="1">
        <f t="shared" si="407"/>
        <v>44.777322228369144</v>
      </c>
      <c r="K410" s="1">
        <f t="shared" si="407"/>
        <v>44.75064828536955</v>
      </c>
      <c r="L410" s="1">
        <f t="shared" ref="L410" si="408">L411+L440</f>
        <v>45.955663470989123</v>
      </c>
      <c r="M410" s="11"/>
      <c r="N410" s="1"/>
      <c r="O410" s="11"/>
      <c r="P410" s="11"/>
      <c r="Q410" s="11"/>
      <c r="R410" s="11"/>
      <c r="S410" s="11"/>
    </row>
    <row r="411" spans="1:19" x14ac:dyDescent="0.35">
      <c r="A411" s="5"/>
      <c r="B411" s="5" t="s">
        <v>6</v>
      </c>
      <c r="C411" s="5" t="s">
        <v>7</v>
      </c>
      <c r="D411" t="s">
        <v>863</v>
      </c>
      <c r="E411" t="str">
        <f>E395</f>
        <v>PJ/yr.</v>
      </c>
      <c r="F411" s="1">
        <f>SUM(F412,F418,F427,F436,F438)</f>
        <v>39.949873373645715</v>
      </c>
      <c r="G411" s="1">
        <f t="shared" ref="G411:K411" si="409">SUM(G412,G418,G427,G436,G438)</f>
        <v>34.932499435612741</v>
      </c>
      <c r="H411" s="1">
        <f t="shared" si="409"/>
        <v>32.980840071689087</v>
      </c>
      <c r="I411" s="1">
        <f t="shared" si="409"/>
        <v>37.259509368178257</v>
      </c>
      <c r="J411" s="1">
        <f t="shared" si="409"/>
        <v>36.867147614894293</v>
      </c>
      <c r="K411" s="1">
        <f t="shared" si="409"/>
        <v>37.577840481597313</v>
      </c>
      <c r="L411" s="1">
        <f t="shared" ref="L411" si="410">SUM(L412,L418,L427,L436,L438)</f>
        <v>40.828598461066129</v>
      </c>
      <c r="N411" s="1"/>
    </row>
    <row r="412" spans="1:19" x14ac:dyDescent="0.35">
      <c r="A412" s="5"/>
      <c r="B412" s="5" t="s">
        <v>6</v>
      </c>
      <c r="C412" s="5" t="s">
        <v>7</v>
      </c>
      <c r="D412" t="s">
        <v>864</v>
      </c>
      <c r="E412" t="s">
        <v>8</v>
      </c>
      <c r="F412" s="1">
        <f>F413</f>
        <v>1.528443628595838E-2</v>
      </c>
      <c r="G412" s="1">
        <f t="shared" ref="G412:L412" si="411">G413</f>
        <v>9.0223605583627067E-4</v>
      </c>
      <c r="H412" s="1">
        <f t="shared" si="411"/>
        <v>4.0689603336943421E-3</v>
      </c>
      <c r="I412" s="1">
        <f t="shared" si="411"/>
        <v>1.0394983073818687E-3</v>
      </c>
      <c r="J412" s="1">
        <f t="shared" si="411"/>
        <v>5.3713023862247159E-3</v>
      </c>
      <c r="K412" s="1">
        <f t="shared" si="411"/>
        <v>4.8397933236174022E-3</v>
      </c>
      <c r="L412" s="1">
        <f t="shared" si="411"/>
        <v>2.6575621726615149E-3</v>
      </c>
      <c r="N412" s="1"/>
    </row>
    <row r="413" spans="1:19" x14ac:dyDescent="0.35">
      <c r="A413" s="5"/>
      <c r="B413" s="5" t="s">
        <v>6</v>
      </c>
      <c r="C413" s="5" t="s">
        <v>7</v>
      </c>
      <c r="D413" t="s">
        <v>231</v>
      </c>
      <c r="E413" t="s">
        <v>8</v>
      </c>
      <c r="F413" s="1">
        <f>'[1]Electricity and CHPs_IN'!B$28-F300</f>
        <v>1.528443628595838E-2</v>
      </c>
      <c r="G413" s="1">
        <f>'[1]Electricity and CHPs_IN'!C$28-G300</f>
        <v>9.0223605583627067E-4</v>
      </c>
      <c r="H413" s="1">
        <f>'[1]Electricity and CHPs_IN'!D$28-H300</f>
        <v>4.0689603336943421E-3</v>
      </c>
      <c r="I413" s="1">
        <f>'[1]Electricity and CHPs_IN'!E$28-I300</f>
        <v>1.0394983073818687E-3</v>
      </c>
      <c r="J413" s="1">
        <f>'[2]Electricity and CHPs_IN'!F$28-J300</f>
        <v>5.3713023862247159E-3</v>
      </c>
      <c r="K413" s="1">
        <f>'[2]Electricity and CHPs_IN'!G$28-K300</f>
        <v>4.8397933236174022E-3</v>
      </c>
      <c r="L413" s="1">
        <f>'[2]Electricity and CHPs_IN'!H$28-L300</f>
        <v>2.6575621726615149E-3</v>
      </c>
      <c r="N413" s="1"/>
    </row>
    <row r="414" spans="1:19" x14ac:dyDescent="0.35">
      <c r="A414" s="5"/>
      <c r="B414" s="5" t="s">
        <v>6</v>
      </c>
      <c r="C414" s="5" t="s">
        <v>7</v>
      </c>
      <c r="D414" t="s">
        <v>865</v>
      </c>
      <c r="E414" t="s">
        <v>8</v>
      </c>
      <c r="F414" s="1">
        <f>F415</f>
        <v>1.528443628595838E-2</v>
      </c>
      <c r="G414" s="1">
        <f t="shared" ref="G414:L414" si="412">G415</f>
        <v>9.0223605583627067E-4</v>
      </c>
      <c r="H414" s="1">
        <f t="shared" si="412"/>
        <v>4.0689603336943421E-3</v>
      </c>
      <c r="I414" s="1">
        <f t="shared" si="412"/>
        <v>1.0394983073818687E-3</v>
      </c>
      <c r="J414" s="1">
        <f t="shared" si="412"/>
        <v>5.3713023862247159E-3</v>
      </c>
      <c r="K414" s="1">
        <f t="shared" si="412"/>
        <v>4.8397933236174022E-3</v>
      </c>
      <c r="L414" s="1">
        <f t="shared" si="412"/>
        <v>2.6575621726615149E-3</v>
      </c>
      <c r="N414" s="1"/>
    </row>
    <row r="415" spans="1:19" x14ac:dyDescent="0.35">
      <c r="A415" s="5"/>
      <c r="B415" s="5" t="s">
        <v>6</v>
      </c>
      <c r="C415" s="5" t="s">
        <v>7</v>
      </c>
      <c r="D415" t="s">
        <v>523</v>
      </c>
      <c r="E415" t="s">
        <v>8</v>
      </c>
      <c r="F415" s="1">
        <f>F413-F417</f>
        <v>1.528443628595838E-2</v>
      </c>
      <c r="G415" s="1">
        <f t="shared" ref="G415:K415" si="413">G413-G417</f>
        <v>9.0223605583627067E-4</v>
      </c>
      <c r="H415" s="1">
        <f t="shared" si="413"/>
        <v>4.0689603336943421E-3</v>
      </c>
      <c r="I415" s="1">
        <f t="shared" si="413"/>
        <v>1.0394983073818687E-3</v>
      </c>
      <c r="J415" s="1">
        <f t="shared" si="413"/>
        <v>5.3713023862247159E-3</v>
      </c>
      <c r="K415" s="1">
        <f t="shared" si="413"/>
        <v>4.8397933236174022E-3</v>
      </c>
      <c r="L415" s="1">
        <f t="shared" ref="L415" si="414">L413-L417</f>
        <v>2.6575621726615149E-3</v>
      </c>
      <c r="N415" s="1"/>
    </row>
    <row r="416" spans="1:19" x14ac:dyDescent="0.35">
      <c r="A416" s="5"/>
      <c r="B416" s="5" t="s">
        <v>6</v>
      </c>
      <c r="C416" s="5" t="s">
        <v>7</v>
      </c>
      <c r="D416" t="s">
        <v>866</v>
      </c>
      <c r="E416" t="s">
        <v>8</v>
      </c>
      <c r="F416" s="1">
        <f>F417</f>
        <v>0</v>
      </c>
      <c r="G416" s="1">
        <f t="shared" ref="G416:L416" si="415">G417</f>
        <v>0</v>
      </c>
      <c r="H416" s="1">
        <f t="shared" si="415"/>
        <v>0</v>
      </c>
      <c r="I416" s="1">
        <f t="shared" si="415"/>
        <v>0</v>
      </c>
      <c r="J416" s="1">
        <f t="shared" si="415"/>
        <v>0</v>
      </c>
      <c r="K416" s="1">
        <f t="shared" si="415"/>
        <v>0</v>
      </c>
      <c r="L416" s="1">
        <f t="shared" si="415"/>
        <v>0</v>
      </c>
      <c r="N416" s="1"/>
    </row>
    <row r="417" spans="1:14" x14ac:dyDescent="0.35">
      <c r="A417" s="5"/>
      <c r="B417" s="5" t="s">
        <v>6</v>
      </c>
      <c r="C417" s="5" t="s">
        <v>7</v>
      </c>
      <c r="D417" t="s">
        <v>547</v>
      </c>
      <c r="E417" t="s">
        <v>8</v>
      </c>
      <c r="F417" s="1">
        <f>IFERROR(F308/F300,0)*F413</f>
        <v>0</v>
      </c>
      <c r="G417" s="1">
        <f t="shared" ref="G417:K417" si="416">IFERROR(G308/G300,0)*G413</f>
        <v>0</v>
      </c>
      <c r="H417" s="1">
        <f t="shared" si="416"/>
        <v>0</v>
      </c>
      <c r="I417" s="1">
        <f t="shared" si="416"/>
        <v>0</v>
      </c>
      <c r="J417" s="1">
        <f t="shared" si="416"/>
        <v>0</v>
      </c>
      <c r="K417" s="1">
        <f t="shared" si="416"/>
        <v>0</v>
      </c>
      <c r="L417" s="1">
        <f t="shared" ref="L417" si="417">IFERROR(L308/L300,0)*L413</f>
        <v>0</v>
      </c>
      <c r="N417" s="1"/>
    </row>
    <row r="418" spans="1:14" x14ac:dyDescent="0.35">
      <c r="A418" s="5"/>
      <c r="B418" s="5" t="s">
        <v>6</v>
      </c>
      <c r="C418" s="5" t="s">
        <v>7</v>
      </c>
      <c r="D418" t="s">
        <v>867</v>
      </c>
      <c r="E418" t="s">
        <v>8</v>
      </c>
      <c r="F418" s="1">
        <f>SUM(F419:F420)</f>
        <v>2.3899602698928266</v>
      </c>
      <c r="G418" s="1">
        <f t="shared" ref="G418:K418" si="418">SUM(G419:G420)</f>
        <v>5.0952067950206514E-4</v>
      </c>
      <c r="H418" s="1">
        <f t="shared" si="418"/>
        <v>0.19434936092159005</v>
      </c>
      <c r="I418" s="1">
        <f t="shared" si="418"/>
        <v>2.2841377632142432E-2</v>
      </c>
      <c r="J418" s="1">
        <f t="shared" si="418"/>
        <v>4.1705051717778441E-2</v>
      </c>
      <c r="K418" s="1">
        <f t="shared" si="418"/>
        <v>1.2428778673718603</v>
      </c>
      <c r="L418" s="1">
        <f t="shared" ref="L418" si="419">SUM(L419:L420)</f>
        <v>2.9451495105861589</v>
      </c>
      <c r="N418" s="1"/>
    </row>
    <row r="419" spans="1:14" x14ac:dyDescent="0.35">
      <c r="A419" s="5"/>
      <c r="B419" s="5" t="s">
        <v>6</v>
      </c>
      <c r="C419" s="5" t="s">
        <v>7</v>
      </c>
      <c r="D419" t="s">
        <v>191</v>
      </c>
      <c r="E419" t="s">
        <v>8</v>
      </c>
      <c r="F419" s="1">
        <f>'[1]Electricity and CHPs_IN'!B$24-F314</f>
        <v>2.3899602698928266</v>
      </c>
      <c r="G419" s="1">
        <f>'[1]Electricity and CHPs_IN'!C$24-G314</f>
        <v>5.0952067950206514E-4</v>
      </c>
      <c r="H419" s="1">
        <f>'[1]Electricity and CHPs_IN'!D$24-H314</f>
        <v>0.19434936092159005</v>
      </c>
      <c r="I419" s="1">
        <f>'[1]Electricity and CHPs_IN'!E$24-I314</f>
        <v>2.2841377632142432E-2</v>
      </c>
      <c r="J419" s="1">
        <f>'[2]Electricity and CHPs_IN'!F$24-J314</f>
        <v>4.1705051717778441E-2</v>
      </c>
      <c r="K419" s="1">
        <f>'[2]Electricity and CHPs_IN'!G$24-K314</f>
        <v>0.7828855059039237</v>
      </c>
      <c r="L419" s="1">
        <f>'[2]Electricity and CHPs_IN'!H$24-L314</f>
        <v>0.49548179880028642</v>
      </c>
      <c r="N419" s="1"/>
    </row>
    <row r="420" spans="1:14" x14ac:dyDescent="0.35">
      <c r="A420" s="5"/>
      <c r="B420" s="5" t="s">
        <v>6</v>
      </c>
      <c r="C420" s="5" t="s">
        <v>7</v>
      </c>
      <c r="D420" t="s">
        <v>192</v>
      </c>
      <c r="E420" t="s">
        <v>8</v>
      </c>
      <c r="F420" s="1">
        <f>'[1]Electricity and CHPs_IN'!B$29-F315</f>
        <v>0</v>
      </c>
      <c r="G420" s="1">
        <f>'[1]Electricity and CHPs_IN'!C$29-G315</f>
        <v>0</v>
      </c>
      <c r="H420" s="1">
        <f>'[1]Electricity and CHPs_IN'!D$29-H315</f>
        <v>0</v>
      </c>
      <c r="I420" s="1">
        <f>'[1]Electricity and CHPs_IN'!E$29-I315</f>
        <v>0</v>
      </c>
      <c r="J420" s="1">
        <f>'[2]Electricity and CHPs_IN'!F$29-J315</f>
        <v>0</v>
      </c>
      <c r="K420" s="1">
        <f>'[2]Electricity and CHPs_IN'!G$29-K315</f>
        <v>0.45999236146793671</v>
      </c>
      <c r="L420" s="1">
        <f>'[2]Electricity and CHPs_IN'!H$29-L315</f>
        <v>2.4496677117858727</v>
      </c>
      <c r="N420" s="1"/>
    </row>
    <row r="421" spans="1:14" x14ac:dyDescent="0.35">
      <c r="A421" s="5"/>
      <c r="B421" s="5" t="s">
        <v>6</v>
      </c>
      <c r="C421" s="5" t="s">
        <v>7</v>
      </c>
      <c r="D421" t="s">
        <v>868</v>
      </c>
      <c r="E421" t="s">
        <v>8</v>
      </c>
      <c r="F421" s="1">
        <f>SUM(F422:F423)</f>
        <v>2.3290650031586666</v>
      </c>
      <c r="G421" s="1">
        <f t="shared" ref="G421:K421" si="420">SUM(G422:G423)</f>
        <v>4.9454882743411302E-4</v>
      </c>
      <c r="H421" s="1">
        <f t="shared" si="420"/>
        <v>0.17817852248958754</v>
      </c>
      <c r="I421" s="1">
        <f t="shared" si="420"/>
        <v>1.978391870021216E-2</v>
      </c>
      <c r="J421" s="1">
        <f t="shared" si="420"/>
        <v>4.1056892042540982E-2</v>
      </c>
      <c r="K421" s="1">
        <f t="shared" si="420"/>
        <v>1.2371463296788905</v>
      </c>
      <c r="L421" s="1">
        <f t="shared" ref="L421" si="421">SUM(L422:L423)</f>
        <v>2.9380783504401076</v>
      </c>
      <c r="N421" s="1"/>
    </row>
    <row r="422" spans="1:14" x14ac:dyDescent="0.35">
      <c r="A422" s="5"/>
      <c r="B422" s="5" t="s">
        <v>6</v>
      </c>
      <c r="C422" s="5" t="s">
        <v>7</v>
      </c>
      <c r="D422" t="s">
        <v>594</v>
      </c>
      <c r="E422" t="s">
        <v>8</v>
      </c>
      <c r="F422" s="1">
        <f>F419-F425</f>
        <v>2.3290650031586666</v>
      </c>
      <c r="G422" s="1">
        <f t="shared" ref="G422:K422" si="422">G419-G425</f>
        <v>4.9454882743411302E-4</v>
      </c>
      <c r="H422" s="1">
        <f t="shared" si="422"/>
        <v>0.17817852248958754</v>
      </c>
      <c r="I422" s="1">
        <f t="shared" si="422"/>
        <v>1.978391870021216E-2</v>
      </c>
      <c r="J422" s="1">
        <f t="shared" si="422"/>
        <v>4.1056892042540982E-2</v>
      </c>
      <c r="K422" s="1">
        <f t="shared" si="422"/>
        <v>0.77927522535732707</v>
      </c>
      <c r="L422" s="1">
        <f t="shared" ref="L422" si="423">L419-L425</f>
        <v>0.49429217119863927</v>
      </c>
      <c r="N422" s="1"/>
    </row>
    <row r="423" spans="1:14" x14ac:dyDescent="0.35">
      <c r="A423" s="5"/>
      <c r="B423" s="5" t="s">
        <v>6</v>
      </c>
      <c r="C423" s="5" t="s">
        <v>7</v>
      </c>
      <c r="D423" t="s">
        <v>595</v>
      </c>
      <c r="E423" t="s">
        <v>8</v>
      </c>
      <c r="F423" s="1">
        <f>F420-F426</f>
        <v>0</v>
      </c>
      <c r="G423" s="1">
        <f t="shared" ref="G423:K423" si="424">G420-G426</f>
        <v>0</v>
      </c>
      <c r="H423" s="1">
        <f t="shared" si="424"/>
        <v>0</v>
      </c>
      <c r="I423" s="1">
        <f t="shared" si="424"/>
        <v>0</v>
      </c>
      <c r="J423" s="1">
        <f t="shared" si="424"/>
        <v>0</v>
      </c>
      <c r="K423" s="1">
        <f t="shared" si="424"/>
        <v>0.45787110432156336</v>
      </c>
      <c r="L423" s="1">
        <f t="shared" ref="L423" si="425">L420-L426</f>
        <v>2.4437861792414681</v>
      </c>
      <c r="N423" s="1"/>
    </row>
    <row r="424" spans="1:14" x14ac:dyDescent="0.35">
      <c r="A424" s="5"/>
      <c r="B424" s="5" t="s">
        <v>6</v>
      </c>
      <c r="C424" s="5" t="s">
        <v>7</v>
      </c>
      <c r="D424" t="s">
        <v>869</v>
      </c>
      <c r="E424" t="s">
        <v>8</v>
      </c>
      <c r="F424" s="1">
        <f>SUM(F425:F426)</f>
        <v>6.0895266734160007E-2</v>
      </c>
      <c r="G424" s="1">
        <f t="shared" ref="G424:K424" si="426">SUM(G425:G426)</f>
        <v>1.4971852067952166E-5</v>
      </c>
      <c r="H424" s="1">
        <f t="shared" si="426"/>
        <v>1.617083843200251E-2</v>
      </c>
      <c r="I424" s="1">
        <f t="shared" si="426"/>
        <v>3.0574589319302702E-3</v>
      </c>
      <c r="J424" s="1">
        <f t="shared" si="426"/>
        <v>6.4815967523745616E-4</v>
      </c>
      <c r="K424" s="1">
        <f t="shared" si="426"/>
        <v>5.7315376929700391E-3</v>
      </c>
      <c r="L424" s="1">
        <f t="shared" ref="L424" si="427">SUM(L425:L426)</f>
        <v>7.0711601460518919E-3</v>
      </c>
      <c r="N424" s="1"/>
    </row>
    <row r="425" spans="1:14" x14ac:dyDescent="0.35">
      <c r="A425" s="5"/>
      <c r="B425" s="5" t="s">
        <v>6</v>
      </c>
      <c r="C425" s="5" t="s">
        <v>7</v>
      </c>
      <c r="D425" t="s">
        <v>655</v>
      </c>
      <c r="E425" t="s">
        <v>8</v>
      </c>
      <c r="F425" s="1">
        <f>IFERROR(F346/F314,0)*F419</f>
        <v>6.0895266734160007E-2</v>
      </c>
      <c r="G425" s="1">
        <f t="shared" ref="G425:K425" si="428">IFERROR(G346/G314,0)*G419</f>
        <v>1.4971852067952166E-5</v>
      </c>
      <c r="H425" s="1">
        <f t="shared" si="428"/>
        <v>1.617083843200251E-2</v>
      </c>
      <c r="I425" s="1">
        <f t="shared" si="428"/>
        <v>3.0574589319302702E-3</v>
      </c>
      <c r="J425" s="1">
        <f t="shared" si="428"/>
        <v>6.4815967523745616E-4</v>
      </c>
      <c r="K425" s="1">
        <f t="shared" si="428"/>
        <v>3.6102805465966707E-3</v>
      </c>
      <c r="L425" s="1">
        <f t="shared" ref="L425" si="429">IFERROR(L346/L314,0)*L419</f>
        <v>1.1896276016471307E-3</v>
      </c>
      <c r="N425" s="1"/>
    </row>
    <row r="426" spans="1:14" x14ac:dyDescent="0.35">
      <c r="A426" s="5"/>
      <c r="B426" s="5" t="s">
        <v>6</v>
      </c>
      <c r="C426" s="5" t="s">
        <v>7</v>
      </c>
      <c r="D426" t="s">
        <v>656</v>
      </c>
      <c r="E426" t="s">
        <v>8</v>
      </c>
      <c r="F426" s="1">
        <f>IFERROR(F347/F315,0)*F420</f>
        <v>0</v>
      </c>
      <c r="G426" s="1">
        <f t="shared" ref="G426:K426" si="430">IFERROR(G347/G315,0)*G420</f>
        <v>0</v>
      </c>
      <c r="H426" s="1">
        <f t="shared" si="430"/>
        <v>0</v>
      </c>
      <c r="I426" s="1">
        <f t="shared" si="430"/>
        <v>0</v>
      </c>
      <c r="J426" s="1">
        <f t="shared" si="430"/>
        <v>0</v>
      </c>
      <c r="K426" s="1">
        <f t="shared" si="430"/>
        <v>2.1212571463733679E-3</v>
      </c>
      <c r="L426" s="1">
        <f t="shared" ref="L426" si="431">IFERROR(L347/L315,0)*L420</f>
        <v>5.8815325444047609E-3</v>
      </c>
      <c r="N426" s="1"/>
    </row>
    <row r="427" spans="1:14" x14ac:dyDescent="0.35">
      <c r="A427" s="5"/>
      <c r="B427" s="5" t="s">
        <v>6</v>
      </c>
      <c r="C427" s="5" t="s">
        <v>7</v>
      </c>
      <c r="D427" t="s">
        <v>870</v>
      </c>
      <c r="E427" t="s">
        <v>8</v>
      </c>
      <c r="F427" s="1">
        <f>SUM(F428:F429)</f>
        <v>36.420434402025478</v>
      </c>
      <c r="G427" s="1">
        <f t="shared" ref="G427:K427" si="432">SUM(G428:G429)</f>
        <v>34.687799342362503</v>
      </c>
      <c r="H427" s="1">
        <f t="shared" si="432"/>
        <v>32.725966322081817</v>
      </c>
      <c r="I427" s="1">
        <f t="shared" si="432"/>
        <v>34.429018510811083</v>
      </c>
      <c r="J427" s="1">
        <f t="shared" si="432"/>
        <v>34.117697986906592</v>
      </c>
      <c r="K427" s="1">
        <f t="shared" si="432"/>
        <v>33.835506813436758</v>
      </c>
      <c r="L427" s="1">
        <f t="shared" ref="L427" si="433">SUM(L428:L429)</f>
        <v>33.228389813401087</v>
      </c>
      <c r="N427" s="1"/>
    </row>
    <row r="428" spans="1:14" x14ac:dyDescent="0.35">
      <c r="A428" s="5"/>
      <c r="B428" s="5" t="s">
        <v>6</v>
      </c>
      <c r="C428" s="5" t="s">
        <v>7</v>
      </c>
      <c r="D428" t="s">
        <v>193</v>
      </c>
      <c r="E428" t="s">
        <v>8</v>
      </c>
      <c r="F428" s="1">
        <f>'[1]Electricity and CHPs_IN'!B$26-F361</f>
        <v>36.420434402025478</v>
      </c>
      <c r="G428" s="1">
        <f>'[1]Electricity and CHPs_IN'!C$26-G361</f>
        <v>34.687799342362503</v>
      </c>
      <c r="H428" s="1">
        <f>'[1]Electricity and CHPs_IN'!D$26-H361</f>
        <v>32.725966322081817</v>
      </c>
      <c r="I428" s="1">
        <f>'[1]Electricity and CHPs_IN'!E$26-I361</f>
        <v>34.429018510811083</v>
      </c>
      <c r="J428" s="1">
        <f>'[2]Electricity and CHPs_IN'!F$26-J361</f>
        <v>34.117697986906592</v>
      </c>
      <c r="K428" s="1">
        <f>'[2]Electricity and CHPs_IN'!G$26-K361</f>
        <v>33.835506813436758</v>
      </c>
      <c r="L428" s="1">
        <f>'[2]Electricity and CHPs_IN'!H$26-L361</f>
        <v>33.228389813401087</v>
      </c>
      <c r="N428" s="1"/>
    </row>
    <row r="429" spans="1:14" x14ac:dyDescent="0.35">
      <c r="A429" s="5"/>
      <c r="B429" s="5" t="s">
        <v>6</v>
      </c>
      <c r="C429" s="5" t="s">
        <v>7</v>
      </c>
      <c r="D429" t="s">
        <v>194</v>
      </c>
      <c r="E429" t="s">
        <v>8</v>
      </c>
      <c r="F429" s="1">
        <f>'[1]Electricity and CHPs_IN'!B$27-F362</f>
        <v>0</v>
      </c>
      <c r="G429" s="1">
        <f>'[1]Electricity and CHPs_IN'!C$27-G362</f>
        <v>0</v>
      </c>
      <c r="H429" s="1">
        <f>'[1]Electricity and CHPs_IN'!D$27-H362</f>
        <v>0</v>
      </c>
      <c r="I429" s="1">
        <f>'[1]Electricity and CHPs_IN'!E$27-I362</f>
        <v>0</v>
      </c>
      <c r="J429" s="1">
        <f>'[2]Electricity and CHPs_IN'!F$27-J362</f>
        <v>0</v>
      </c>
      <c r="K429" s="1">
        <f>'[2]Electricity and CHPs_IN'!G$27-K362</f>
        <v>0</v>
      </c>
      <c r="L429" s="1">
        <f>'[2]Electricity and CHPs_IN'!H$27-L362</f>
        <v>0</v>
      </c>
      <c r="N429" s="1"/>
    </row>
    <row r="430" spans="1:14" x14ac:dyDescent="0.35">
      <c r="A430" s="5"/>
      <c r="B430" s="5" t="s">
        <v>6</v>
      </c>
      <c r="C430" s="5" t="s">
        <v>7</v>
      </c>
      <c r="D430" t="s">
        <v>871</v>
      </c>
      <c r="E430" t="s">
        <v>8</v>
      </c>
      <c r="F430" s="1">
        <f>SUM(F431:F432)</f>
        <v>18.210217201012743</v>
      </c>
      <c r="G430" s="1">
        <f t="shared" ref="G430:K430" si="434">SUM(G431:G432)</f>
        <v>17.343899671181251</v>
      </c>
      <c r="H430" s="1">
        <f t="shared" si="434"/>
        <v>16.362983161040908</v>
      </c>
      <c r="I430" s="1">
        <f t="shared" si="434"/>
        <v>17.214509255405542</v>
      </c>
      <c r="J430" s="1">
        <f t="shared" si="434"/>
        <v>17.058848993453296</v>
      </c>
      <c r="K430" s="1">
        <f t="shared" si="434"/>
        <v>16.917753406718379</v>
      </c>
      <c r="L430" s="1">
        <f t="shared" ref="L430" si="435">SUM(L431:L432)</f>
        <v>16.614194906700543</v>
      </c>
      <c r="N430" s="1"/>
    </row>
    <row r="431" spans="1:14" x14ac:dyDescent="0.35">
      <c r="A431" s="5"/>
      <c r="B431" s="5" t="s">
        <v>6</v>
      </c>
      <c r="C431" s="5" t="s">
        <v>7</v>
      </c>
      <c r="D431" t="s">
        <v>195</v>
      </c>
      <c r="E431" t="s">
        <v>8</v>
      </c>
      <c r="F431" s="1">
        <f>IFERROR(F368/F361,0)*F428</f>
        <v>18.210217201012743</v>
      </c>
      <c r="G431" s="1">
        <f t="shared" ref="G431:K431" si="436">IFERROR(G368/G361,0)*G428</f>
        <v>17.343899671181251</v>
      </c>
      <c r="H431" s="1">
        <f t="shared" si="436"/>
        <v>16.362983161040908</v>
      </c>
      <c r="I431" s="1">
        <f t="shared" si="436"/>
        <v>17.214509255405542</v>
      </c>
      <c r="J431" s="1">
        <f t="shared" si="436"/>
        <v>17.058848993453296</v>
      </c>
      <c r="K431" s="1">
        <f t="shared" si="436"/>
        <v>16.917753406718379</v>
      </c>
      <c r="L431" s="1">
        <f t="shared" ref="L431" si="437">IFERROR(L368/L361,0)*L428</f>
        <v>16.614194906700543</v>
      </c>
      <c r="N431" s="1"/>
    </row>
    <row r="432" spans="1:14" x14ac:dyDescent="0.35">
      <c r="A432" s="5"/>
      <c r="B432" s="5" t="s">
        <v>6</v>
      </c>
      <c r="C432" s="5" t="s">
        <v>7</v>
      </c>
      <c r="D432" t="s">
        <v>196</v>
      </c>
      <c r="E432" t="s">
        <v>8</v>
      </c>
      <c r="F432" s="1">
        <f>IFERROR(F369/F362,0)*F429</f>
        <v>0</v>
      </c>
      <c r="G432" s="1">
        <f t="shared" ref="G432:K432" si="438">IFERROR(G369/G362,0)*G429</f>
        <v>0</v>
      </c>
      <c r="H432" s="1">
        <f t="shared" si="438"/>
        <v>0</v>
      </c>
      <c r="I432" s="1">
        <f t="shared" si="438"/>
        <v>0</v>
      </c>
      <c r="J432" s="1">
        <f t="shared" si="438"/>
        <v>0</v>
      </c>
      <c r="K432" s="1">
        <f t="shared" si="438"/>
        <v>0</v>
      </c>
      <c r="L432" s="1">
        <f t="shared" ref="L432" si="439">IFERROR(L369/L362,0)*L429</f>
        <v>0</v>
      </c>
      <c r="N432" s="1"/>
    </row>
    <row r="433" spans="1:14" x14ac:dyDescent="0.35">
      <c r="A433" s="5"/>
      <c r="B433" s="5" t="s">
        <v>6</v>
      </c>
      <c r="C433" s="5" t="s">
        <v>7</v>
      </c>
      <c r="D433" t="s">
        <v>872</v>
      </c>
      <c r="E433" t="s">
        <v>8</v>
      </c>
      <c r="F433" s="1">
        <f>SUM(F434:F435)</f>
        <v>18.210217201012735</v>
      </c>
      <c r="G433" s="1">
        <f t="shared" ref="G433:K433" si="440">SUM(G434:G435)</f>
        <v>17.343899671181251</v>
      </c>
      <c r="H433" s="1">
        <f t="shared" si="440"/>
        <v>16.362983161040908</v>
      </c>
      <c r="I433" s="1">
        <f t="shared" si="440"/>
        <v>17.214509255405542</v>
      </c>
      <c r="J433" s="1">
        <f t="shared" si="440"/>
        <v>17.058848993453296</v>
      </c>
      <c r="K433" s="1">
        <f t="shared" si="440"/>
        <v>16.917753406718379</v>
      </c>
      <c r="L433" s="1">
        <f t="shared" ref="L433" si="441">SUM(L434:L435)</f>
        <v>16.614194906700543</v>
      </c>
      <c r="N433" s="1"/>
    </row>
    <row r="434" spans="1:14" x14ac:dyDescent="0.35">
      <c r="A434" s="5"/>
      <c r="B434" s="5" t="s">
        <v>6</v>
      </c>
      <c r="C434" s="5" t="s">
        <v>7</v>
      </c>
      <c r="D434" t="s">
        <v>197</v>
      </c>
      <c r="E434" t="s">
        <v>8</v>
      </c>
      <c r="F434" s="1">
        <f>F428-F431</f>
        <v>18.210217201012735</v>
      </c>
      <c r="G434" s="1">
        <f t="shared" ref="G434:K434" si="442">G428-G431</f>
        <v>17.343899671181251</v>
      </c>
      <c r="H434" s="1">
        <f t="shared" si="442"/>
        <v>16.362983161040908</v>
      </c>
      <c r="I434" s="1">
        <f t="shared" si="442"/>
        <v>17.214509255405542</v>
      </c>
      <c r="J434" s="1">
        <f t="shared" si="442"/>
        <v>17.058848993453296</v>
      </c>
      <c r="K434" s="1">
        <f t="shared" si="442"/>
        <v>16.917753406718379</v>
      </c>
      <c r="L434" s="1">
        <f t="shared" ref="L434" si="443">L428-L431</f>
        <v>16.614194906700543</v>
      </c>
      <c r="N434" s="1"/>
    </row>
    <row r="435" spans="1:14" x14ac:dyDescent="0.35">
      <c r="A435" s="5"/>
      <c r="B435" s="5" t="s">
        <v>6</v>
      </c>
      <c r="C435" s="5" t="s">
        <v>7</v>
      </c>
      <c r="D435" t="s">
        <v>198</v>
      </c>
      <c r="E435" t="s">
        <v>8</v>
      </c>
      <c r="F435" s="1">
        <f>F429-F432</f>
        <v>0</v>
      </c>
      <c r="G435" s="1">
        <f t="shared" ref="G435:K435" si="444">G429-G432</f>
        <v>0</v>
      </c>
      <c r="H435" s="1">
        <f t="shared" si="444"/>
        <v>0</v>
      </c>
      <c r="I435" s="1">
        <f t="shared" si="444"/>
        <v>0</v>
      </c>
      <c r="J435" s="1">
        <f t="shared" si="444"/>
        <v>0</v>
      </c>
      <c r="K435" s="1">
        <f t="shared" si="444"/>
        <v>0</v>
      </c>
      <c r="L435" s="1">
        <f t="shared" ref="L435" si="445">L429-L432</f>
        <v>0</v>
      </c>
      <c r="N435" s="1"/>
    </row>
    <row r="436" spans="1:14" x14ac:dyDescent="0.35">
      <c r="A436" s="5"/>
      <c r="B436" s="5" t="s">
        <v>6</v>
      </c>
      <c r="C436" s="5" t="s">
        <v>7</v>
      </c>
      <c r="D436" t="s">
        <v>873</v>
      </c>
      <c r="E436" t="s">
        <v>8</v>
      </c>
      <c r="F436" s="1">
        <f>F437</f>
        <v>1.1241942654414507</v>
      </c>
      <c r="G436" s="1">
        <f t="shared" ref="G436:L436" si="446">G437</f>
        <v>0.24328833651490175</v>
      </c>
      <c r="H436" s="1">
        <f t="shared" si="446"/>
        <v>5.6455428351986497E-2</v>
      </c>
      <c r="I436" s="1">
        <f t="shared" si="446"/>
        <v>2.8066099814276511</v>
      </c>
      <c r="J436" s="1">
        <f t="shared" si="446"/>
        <v>2.7023732738837025</v>
      </c>
      <c r="K436" s="1">
        <f t="shared" si="446"/>
        <v>2.4946160074650763</v>
      </c>
      <c r="L436" s="1">
        <f t="shared" si="446"/>
        <v>4.6524015749062215</v>
      </c>
      <c r="N436" s="1"/>
    </row>
    <row r="437" spans="1:14" x14ac:dyDescent="0.35">
      <c r="A437" s="5"/>
      <c r="B437" s="5" t="s">
        <v>6</v>
      </c>
      <c r="C437" s="5" t="s">
        <v>7</v>
      </c>
      <c r="D437" t="s">
        <v>199</v>
      </c>
      <c r="E437" t="s">
        <v>8</v>
      </c>
      <c r="F437" s="1">
        <f>'[1]Electricity and CHPs_IN'!B$25-F380</f>
        <v>1.1241942654414507</v>
      </c>
      <c r="G437" s="1">
        <f>'[1]Electricity and CHPs_IN'!C$25-G380</f>
        <v>0.24328833651490175</v>
      </c>
      <c r="H437" s="1">
        <f>'[1]Electricity and CHPs_IN'!D$25-H380</f>
        <v>5.6455428351986497E-2</v>
      </c>
      <c r="I437" s="1">
        <f>'[1]Electricity and CHPs_IN'!E$25-I380</f>
        <v>2.8066099814276511</v>
      </c>
      <c r="J437" s="1">
        <f>'[2]Electricity and CHPs_IN'!F$25-J380</f>
        <v>2.7023732738837025</v>
      </c>
      <c r="K437" s="1">
        <f>'[2]Electricity and CHPs_IN'!G$25-K380</f>
        <v>2.4946160074650763</v>
      </c>
      <c r="L437" s="1">
        <f>'[2]Electricity and CHPs_IN'!H$25-L380</f>
        <v>4.6524015749062215</v>
      </c>
      <c r="N437" s="1"/>
    </row>
    <row r="438" spans="1:14" x14ac:dyDescent="0.35">
      <c r="A438" s="5"/>
      <c r="B438" s="5" t="s">
        <v>6</v>
      </c>
      <c r="C438" s="5" t="s">
        <v>7</v>
      </c>
      <c r="D438" t="s">
        <v>874</v>
      </c>
      <c r="E438" t="s">
        <v>8</v>
      </c>
      <c r="F438" s="1">
        <f>+F439</f>
        <v>0</v>
      </c>
      <c r="G438" s="1">
        <f t="shared" ref="G438:L438" si="447">+G439</f>
        <v>0</v>
      </c>
      <c r="H438" s="1">
        <f t="shared" si="447"/>
        <v>0</v>
      </c>
      <c r="I438" s="1">
        <f t="shared" si="447"/>
        <v>0</v>
      </c>
      <c r="J438" s="1">
        <f t="shared" si="447"/>
        <v>0</v>
      </c>
      <c r="K438" s="1">
        <f t="shared" si="447"/>
        <v>0</v>
      </c>
      <c r="L438" s="1">
        <f t="shared" si="447"/>
        <v>0</v>
      </c>
      <c r="N438" s="1"/>
    </row>
    <row r="439" spans="1:14" x14ac:dyDescent="0.35">
      <c r="A439" s="5"/>
      <c r="B439" s="5" t="s">
        <v>6</v>
      </c>
      <c r="C439" s="5" t="s">
        <v>7</v>
      </c>
      <c r="D439" t="s">
        <v>200</v>
      </c>
      <c r="E439" t="s">
        <v>8</v>
      </c>
      <c r="F439" s="1">
        <f>'[1]Electricity and CHPs_IN'!B$30-F398</f>
        <v>0</v>
      </c>
      <c r="G439" s="1">
        <f>'[1]Electricity and CHPs_IN'!C$30-G398</f>
        <v>0</v>
      </c>
      <c r="H439" s="1">
        <f>'[1]Electricity and CHPs_IN'!D$30-H398</f>
        <v>0</v>
      </c>
      <c r="I439" s="1">
        <f>'[1]Electricity and CHPs_IN'!E$30-I398</f>
        <v>0</v>
      </c>
      <c r="J439" s="1">
        <f>'[2]Electricity and CHPs_IN'!F$30-J398</f>
        <v>0</v>
      </c>
      <c r="K439" s="1">
        <f>'[2]Electricity and CHPs_IN'!G$30-K398</f>
        <v>0</v>
      </c>
      <c r="L439" s="1">
        <f>'[2]Electricity and CHPs_IN'!H$30-L398</f>
        <v>0</v>
      </c>
      <c r="N439" s="1"/>
    </row>
    <row r="440" spans="1:14" x14ac:dyDescent="0.35">
      <c r="A440" s="5"/>
      <c r="B440" s="5" t="s">
        <v>6</v>
      </c>
      <c r="C440" s="5" t="s">
        <v>7</v>
      </c>
      <c r="D440" t="s">
        <v>875</v>
      </c>
      <c r="E440" t="str">
        <f>E395</f>
        <v>PJ/yr.</v>
      </c>
      <c r="F440" s="1">
        <f>SUM(F441,F447,F449,F455,F457,F459,F461)</f>
        <v>7.9620404579489401</v>
      </c>
      <c r="G440" s="1">
        <f t="shared" ref="G440:K440" si="448">SUM(G441,G447,G449,G455,G457,G459,G461)</f>
        <v>11.318752721669629</v>
      </c>
      <c r="H440" s="1">
        <f t="shared" si="448"/>
        <v>10.141578709064884</v>
      </c>
      <c r="I440" s="1">
        <f t="shared" si="448"/>
        <v>9.7504860707277814</v>
      </c>
      <c r="J440" s="1">
        <f t="shared" si="448"/>
        <v>7.9101746134748474</v>
      </c>
      <c r="K440" s="1">
        <f t="shared" si="448"/>
        <v>7.1728078037722387</v>
      </c>
      <c r="L440" s="1">
        <f t="shared" ref="L440" si="449">SUM(L441,L447,L449,L455,L457,L459,L461)</f>
        <v>5.1270650099229913</v>
      </c>
      <c r="N440" s="1"/>
    </row>
    <row r="441" spans="1:14" x14ac:dyDescent="0.35">
      <c r="A441" s="5"/>
      <c r="B441" s="5" t="s">
        <v>6</v>
      </c>
      <c r="C441" s="5" t="s">
        <v>7</v>
      </c>
      <c r="D441" t="s">
        <v>876</v>
      </c>
      <c r="E441" t="str">
        <f>E398</f>
        <v>PJ/yr.</v>
      </c>
      <c r="F441" s="1">
        <f>+F442</f>
        <v>4.3959862688965536</v>
      </c>
      <c r="G441" s="1">
        <f t="shared" ref="G441:L441" si="450">+G442</f>
        <v>4.0832806779444564</v>
      </c>
      <c r="H441" s="1">
        <f t="shared" si="450"/>
        <v>3.3227005516382437</v>
      </c>
      <c r="I441" s="1">
        <f t="shared" si="450"/>
        <v>5.9174123087963189</v>
      </c>
      <c r="J441" s="1">
        <f t="shared" si="450"/>
        <v>4.5289925915647489</v>
      </c>
      <c r="K441" s="1">
        <f t="shared" si="450"/>
        <v>4.5289434652052805</v>
      </c>
      <c r="L441" s="1">
        <f t="shared" si="450"/>
        <v>2.5269854240429845</v>
      </c>
      <c r="N441" s="1"/>
    </row>
    <row r="442" spans="1:14" x14ac:dyDescent="0.35">
      <c r="A442" s="5"/>
      <c r="B442" s="5" t="s">
        <v>6</v>
      </c>
      <c r="C442" s="5" t="s">
        <v>7</v>
      </c>
      <c r="D442" t="s">
        <v>201</v>
      </c>
      <c r="E442" t="str">
        <f>E399</f>
        <v>PJ/yr.</v>
      </c>
      <c r="F442" s="1">
        <f>SUM(F444:F446)</f>
        <v>4.3959862688965536</v>
      </c>
      <c r="G442" s="1">
        <f t="shared" ref="G442:K442" si="451">SUM(G444:G446)</f>
        <v>4.0832806779444564</v>
      </c>
      <c r="H442" s="1">
        <f t="shared" si="451"/>
        <v>3.3227005516382437</v>
      </c>
      <c r="I442" s="1">
        <f t="shared" si="451"/>
        <v>5.9174123087963189</v>
      </c>
      <c r="J442" s="1">
        <f t="shared" si="451"/>
        <v>4.5289925915647489</v>
      </c>
      <c r="K442" s="1">
        <f t="shared" si="451"/>
        <v>4.5289434652052805</v>
      </c>
      <c r="L442" s="1">
        <f t="shared" ref="L442" si="452">SUM(L444:L446)</f>
        <v>2.5269854240429845</v>
      </c>
      <c r="N442" s="1"/>
    </row>
    <row r="443" spans="1:14" x14ac:dyDescent="0.35">
      <c r="A443" s="5"/>
      <c r="B443" s="5" t="s">
        <v>6</v>
      </c>
      <c r="C443" s="5" t="s">
        <v>7</v>
      </c>
      <c r="D443" t="s">
        <v>877</v>
      </c>
      <c r="E443" t="str">
        <f>E398</f>
        <v>PJ/yr.</v>
      </c>
      <c r="F443" s="1">
        <f>F444</f>
        <v>2.0280803701084138</v>
      </c>
      <c r="G443" s="1">
        <f t="shared" ref="G443:L443" si="453">G444</f>
        <v>1.7153793901806633</v>
      </c>
      <c r="H443" s="1">
        <f t="shared" si="453"/>
        <v>0.95479823649707263</v>
      </c>
      <c r="I443" s="1">
        <f t="shared" si="453"/>
        <v>3.549512150166287</v>
      </c>
      <c r="J443" s="1">
        <f t="shared" si="453"/>
        <v>2.1610856578666975</v>
      </c>
      <c r="K443" s="1">
        <f t="shared" si="453"/>
        <v>2.161035340040582</v>
      </c>
      <c r="L443" s="1">
        <f t="shared" si="453"/>
        <v>0.15907234452578339</v>
      </c>
      <c r="N443" s="1"/>
    </row>
    <row r="444" spans="1:14" x14ac:dyDescent="0.35">
      <c r="A444" s="5"/>
      <c r="B444" s="5" t="s">
        <v>6</v>
      </c>
      <c r="C444" s="5" t="s">
        <v>7</v>
      </c>
      <c r="D444" t="s">
        <v>596</v>
      </c>
      <c r="E444" t="str">
        <f>E399</f>
        <v>PJ/yr.</v>
      </c>
      <c r="F444" s="1">
        <f>'[1]Electricity and CHPs_IN'!B$90</f>
        <v>2.0280803701084138</v>
      </c>
      <c r="G444" s="1">
        <f>'[1]Electricity and CHPs_IN'!C$90</f>
        <v>1.7153793901806633</v>
      </c>
      <c r="H444" s="1">
        <f>'[1]Electricity and CHPs_IN'!D$90</f>
        <v>0.95479823649707263</v>
      </c>
      <c r="I444" s="1">
        <f>'[1]Electricity and CHPs_IN'!E$90</f>
        <v>3.549512150166287</v>
      </c>
      <c r="J444" s="1">
        <f>'[2]Electricity and CHPs_IN'!F$90</f>
        <v>2.1610856578666975</v>
      </c>
      <c r="K444" s="1">
        <f>'[2]Electricity and CHPs_IN'!G$90</f>
        <v>2.161035340040582</v>
      </c>
      <c r="L444" s="1">
        <f>'[2]Electricity and CHPs_IN'!H$90</f>
        <v>0.15907234452578339</v>
      </c>
      <c r="N444" s="1"/>
    </row>
    <row r="445" spans="1:14" x14ac:dyDescent="0.35">
      <c r="A445" s="5"/>
      <c r="B445" s="5" t="s">
        <v>6</v>
      </c>
      <c r="C445" s="5" t="s">
        <v>7</v>
      </c>
      <c r="D445" t="s">
        <v>878</v>
      </c>
      <c r="E445" t="str">
        <f>E399</f>
        <v>PJ/yr.</v>
      </c>
      <c r="F445" s="1">
        <f>F446</f>
        <v>1.1839529493940701</v>
      </c>
      <c r="G445" s="1">
        <f t="shared" ref="G445:L445" si="454">G446</f>
        <v>1.1839506438818965</v>
      </c>
      <c r="H445" s="1">
        <f t="shared" si="454"/>
        <v>1.1839511575705857</v>
      </c>
      <c r="I445" s="1">
        <f t="shared" si="454"/>
        <v>1.1839500793150159</v>
      </c>
      <c r="J445" s="1">
        <f t="shared" si="454"/>
        <v>1.1839534668490257</v>
      </c>
      <c r="K445" s="1">
        <f t="shared" si="454"/>
        <v>1.1839540625823495</v>
      </c>
      <c r="L445" s="1">
        <f t="shared" si="454"/>
        <v>1.1839565397586005</v>
      </c>
      <c r="N445" s="1"/>
    </row>
    <row r="446" spans="1:14" x14ac:dyDescent="0.35">
      <c r="A446" s="5"/>
      <c r="B446" s="5" t="s">
        <v>6</v>
      </c>
      <c r="C446" s="5" t="s">
        <v>7</v>
      </c>
      <c r="D446" t="s">
        <v>657</v>
      </c>
      <c r="E446" t="str">
        <f>E400</f>
        <v>PJ/yr.</v>
      </c>
      <c r="F446" s="1">
        <f>'[1]Electricity and CHPs_IN'!B$91</f>
        <v>1.1839529493940701</v>
      </c>
      <c r="G446" s="1">
        <f>'[1]Electricity and CHPs_IN'!C$91</f>
        <v>1.1839506438818965</v>
      </c>
      <c r="H446" s="1">
        <f>'[1]Electricity and CHPs_IN'!D$91</f>
        <v>1.1839511575705857</v>
      </c>
      <c r="I446" s="1">
        <f>'[1]Electricity and CHPs_IN'!E$91</f>
        <v>1.1839500793150159</v>
      </c>
      <c r="J446" s="1">
        <f>'[2]Electricity and CHPs_IN'!F$91</f>
        <v>1.1839534668490257</v>
      </c>
      <c r="K446" s="1">
        <f>'[2]Electricity and CHPs_IN'!G$91</f>
        <v>1.1839540625823495</v>
      </c>
      <c r="L446" s="1">
        <f>'[2]Electricity and CHPs_IN'!H$91</f>
        <v>1.1839565397586005</v>
      </c>
      <c r="N446" s="1"/>
    </row>
    <row r="447" spans="1:14" x14ac:dyDescent="0.35">
      <c r="A447" s="5"/>
      <c r="B447" s="5" t="s">
        <v>6</v>
      </c>
      <c r="C447" s="5" t="s">
        <v>7</v>
      </c>
      <c r="D447" t="s">
        <v>879</v>
      </c>
      <c r="E447" t="str">
        <f>E400</f>
        <v>PJ/yr.</v>
      </c>
      <c r="F447" s="1">
        <f>F448</f>
        <v>1.4500078789959512</v>
      </c>
      <c r="G447" s="1">
        <f t="shared" ref="G447:L447" si="455">G448</f>
        <v>3.8019175344714666</v>
      </c>
      <c r="H447" s="1">
        <f t="shared" si="455"/>
        <v>3.8014850482265414</v>
      </c>
      <c r="I447" s="1">
        <f t="shared" si="455"/>
        <v>1.0696417797971158</v>
      </c>
      <c r="J447" s="1">
        <f t="shared" si="455"/>
        <v>0.64998370880863343</v>
      </c>
      <c r="K447" s="1">
        <f t="shared" si="455"/>
        <v>0</v>
      </c>
      <c r="L447" s="1">
        <f t="shared" si="455"/>
        <v>0</v>
      </c>
      <c r="N447" s="1"/>
    </row>
    <row r="448" spans="1:14" x14ac:dyDescent="0.35">
      <c r="A448" s="5"/>
      <c r="B448" s="5" t="s">
        <v>6</v>
      </c>
      <c r="C448" s="5" t="s">
        <v>7</v>
      </c>
      <c r="D448" t="s">
        <v>202</v>
      </c>
      <c r="E448" t="str">
        <f>E401</f>
        <v>PJ/yr.</v>
      </c>
      <c r="F448" s="1">
        <f>'[1]Electricity and CHPs_IN'!B$92</f>
        <v>1.4500078789959512</v>
      </c>
      <c r="G448" s="1">
        <f>'[1]Electricity and CHPs_IN'!C$92</f>
        <v>3.8019175344714666</v>
      </c>
      <c r="H448" s="1">
        <f>'[1]Electricity and CHPs_IN'!D$92</f>
        <v>3.8014850482265414</v>
      </c>
      <c r="I448" s="1">
        <f>'[1]Electricity and CHPs_IN'!E$92</f>
        <v>1.0696417797971158</v>
      </c>
      <c r="J448" s="1">
        <f>'[2]Electricity and CHPs_IN'!F$92</f>
        <v>0.64998370880863343</v>
      </c>
      <c r="K448" s="1">
        <f>'[2]Electricity and CHPs_IN'!G$92</f>
        <v>0</v>
      </c>
      <c r="L448" s="1">
        <f>'[2]Electricity and CHPs_IN'!H$92</f>
        <v>0</v>
      </c>
      <c r="N448" s="1"/>
    </row>
    <row r="449" spans="1:14" x14ac:dyDescent="0.35">
      <c r="A449" s="5"/>
      <c r="B449" s="5" t="s">
        <v>6</v>
      </c>
      <c r="C449" s="5" t="s">
        <v>7</v>
      </c>
      <c r="D449" t="s">
        <v>880</v>
      </c>
      <c r="E449" t="str">
        <f>E401</f>
        <v>PJ/yr.</v>
      </c>
      <c r="F449" s="1">
        <f>F450</f>
        <v>0.21542304531607956</v>
      </c>
      <c r="G449" s="1">
        <f t="shared" ref="G449:L449" si="456">G450</f>
        <v>0.21747532009533904</v>
      </c>
      <c r="H449" s="1">
        <f t="shared" si="456"/>
        <v>4.8650276723569011E-4</v>
      </c>
      <c r="I449" s="1">
        <f t="shared" si="456"/>
        <v>3.1683609116353893E-4</v>
      </c>
      <c r="J449" s="1">
        <f t="shared" si="456"/>
        <v>3.5229503137480475E-4</v>
      </c>
      <c r="K449" s="1">
        <f t="shared" si="456"/>
        <v>3.7193460575709767E-4</v>
      </c>
      <c r="L449" s="1">
        <f t="shared" si="456"/>
        <v>2.090855604057743E-4</v>
      </c>
      <c r="N449" s="1"/>
    </row>
    <row r="450" spans="1:14" x14ac:dyDescent="0.35">
      <c r="A450" s="5"/>
      <c r="B450" s="5" t="s">
        <v>6</v>
      </c>
      <c r="C450" s="5" t="s">
        <v>7</v>
      </c>
      <c r="D450" t="s">
        <v>203</v>
      </c>
      <c r="E450" t="str">
        <f>E402</f>
        <v>PJ/yr.</v>
      </c>
      <c r="F450" s="1">
        <f>'[1]Electricity and CHPs_IN'!B$93</f>
        <v>0.21542304531607956</v>
      </c>
      <c r="G450" s="1">
        <f>'[1]Electricity and CHPs_IN'!C$93</f>
        <v>0.21747532009533904</v>
      </c>
      <c r="H450" s="1">
        <f>'[1]Electricity and CHPs_IN'!D$93</f>
        <v>4.8650276723569011E-4</v>
      </c>
      <c r="I450" s="1">
        <f>'[1]Electricity and CHPs_IN'!E$93</f>
        <v>3.1683609116353893E-4</v>
      </c>
      <c r="J450" s="1">
        <f>'[2]Electricity and CHPs_IN'!F$93</f>
        <v>3.5229503137480475E-4</v>
      </c>
      <c r="K450" s="1">
        <f>'[2]Electricity and CHPs_IN'!G$93</f>
        <v>3.7193460575709767E-4</v>
      </c>
      <c r="L450" s="1">
        <f>'[2]Electricity and CHPs_IN'!H$93</f>
        <v>2.090855604057743E-4</v>
      </c>
      <c r="N450" s="1"/>
    </row>
    <row r="451" spans="1:14" x14ac:dyDescent="0.35">
      <c r="A451" s="5"/>
      <c r="B451" s="5" t="s">
        <v>6</v>
      </c>
      <c r="C451" s="5" t="s">
        <v>7</v>
      </c>
      <c r="D451" t="s">
        <v>882</v>
      </c>
      <c r="E451" t="str">
        <f>E401</f>
        <v>PJ/yr.</v>
      </c>
      <c r="F451" s="1">
        <f>F452</f>
        <v>0.21542304531607956</v>
      </c>
      <c r="G451" s="1">
        <f t="shared" ref="G451:L451" si="457">G452</f>
        <v>0.21747532009533904</v>
      </c>
      <c r="H451" s="1">
        <f t="shared" si="457"/>
        <v>4.8650276723569011E-4</v>
      </c>
      <c r="I451" s="1">
        <f t="shared" si="457"/>
        <v>3.1683609116353893E-4</v>
      </c>
      <c r="J451" s="1">
        <f t="shared" si="457"/>
        <v>3.5229503137480475E-4</v>
      </c>
      <c r="K451" s="1">
        <f t="shared" si="457"/>
        <v>3.7193460575709767E-4</v>
      </c>
      <c r="L451" s="1">
        <f t="shared" si="457"/>
        <v>2.090855604057743E-4</v>
      </c>
      <c r="N451" s="1"/>
    </row>
    <row r="452" spans="1:14" x14ac:dyDescent="0.35">
      <c r="A452" s="5"/>
      <c r="B452" s="5" t="s">
        <v>6</v>
      </c>
      <c r="C452" s="5" t="s">
        <v>7</v>
      </c>
      <c r="D452" t="s">
        <v>881</v>
      </c>
      <c r="E452" t="str">
        <f>E402</f>
        <v>PJ/yr.</v>
      </c>
      <c r="F452" s="1">
        <f>F450</f>
        <v>0.21542304531607956</v>
      </c>
      <c r="G452" s="1">
        <f t="shared" ref="G452:K452" si="458">G450</f>
        <v>0.21747532009533904</v>
      </c>
      <c r="H452" s="1">
        <f t="shared" si="458"/>
        <v>4.8650276723569011E-4</v>
      </c>
      <c r="I452" s="1">
        <f t="shared" si="458"/>
        <v>3.1683609116353893E-4</v>
      </c>
      <c r="J452" s="1">
        <f t="shared" si="458"/>
        <v>3.5229503137480475E-4</v>
      </c>
      <c r="K452" s="1">
        <f t="shared" si="458"/>
        <v>3.7193460575709767E-4</v>
      </c>
      <c r="L452" s="1">
        <f t="shared" ref="L452" si="459">L450</f>
        <v>2.090855604057743E-4</v>
      </c>
      <c r="N452" s="1"/>
    </row>
    <row r="453" spans="1:14" x14ac:dyDescent="0.35">
      <c r="A453" s="5"/>
      <c r="B453" s="5" t="s">
        <v>6</v>
      </c>
      <c r="C453" s="5" t="s">
        <v>7</v>
      </c>
      <c r="D453" t="s">
        <v>884</v>
      </c>
      <c r="E453" t="str">
        <f>E402</f>
        <v>PJ/yr.</v>
      </c>
      <c r="F453" s="1">
        <f>F454</f>
        <v>0</v>
      </c>
      <c r="G453" s="1">
        <f t="shared" ref="G453:L453" si="460">G454</f>
        <v>0</v>
      </c>
      <c r="H453" s="1">
        <f t="shared" si="460"/>
        <v>0</v>
      </c>
      <c r="I453" s="1">
        <f t="shared" si="460"/>
        <v>0</v>
      </c>
      <c r="J453" s="1">
        <f t="shared" si="460"/>
        <v>0</v>
      </c>
      <c r="K453" s="1">
        <f t="shared" si="460"/>
        <v>0</v>
      </c>
      <c r="L453" s="1">
        <f t="shared" si="460"/>
        <v>0</v>
      </c>
      <c r="N453" s="1"/>
    </row>
    <row r="454" spans="1:14" x14ac:dyDescent="0.35">
      <c r="A454" s="5"/>
      <c r="B454" s="5" t="s">
        <v>6</v>
      </c>
      <c r="C454" s="5" t="s">
        <v>7</v>
      </c>
      <c r="D454" t="s">
        <v>883</v>
      </c>
      <c r="E454" t="str">
        <f>E403</f>
        <v>PJ/yr.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N454" s="1"/>
    </row>
    <row r="455" spans="1:14" x14ac:dyDescent="0.35">
      <c r="A455" s="5"/>
      <c r="B455" s="5" t="s">
        <v>6</v>
      </c>
      <c r="C455" s="5" t="s">
        <v>7</v>
      </c>
      <c r="D455" t="s">
        <v>885</v>
      </c>
      <c r="E455" t="str">
        <f>E402</f>
        <v>PJ/yr.</v>
      </c>
      <c r="F455" s="1">
        <f>F456</f>
        <v>1.900623264740356</v>
      </c>
      <c r="G455" s="1">
        <f t="shared" ref="G455:L455" si="461">G456</f>
        <v>1.7153106222940671</v>
      </c>
      <c r="H455" s="1">
        <f t="shared" si="461"/>
        <v>1.4706632015381014</v>
      </c>
      <c r="I455" s="1">
        <f t="shared" si="461"/>
        <v>1.1379718905021399</v>
      </c>
      <c r="J455" s="1">
        <f t="shared" si="461"/>
        <v>0.81795824086413071</v>
      </c>
      <c r="K455" s="1">
        <f t="shared" si="461"/>
        <v>0.63292730112586437</v>
      </c>
      <c r="L455" s="1">
        <f t="shared" si="461"/>
        <v>0.37896868728546534</v>
      </c>
      <c r="N455" s="1"/>
    </row>
    <row r="456" spans="1:14" x14ac:dyDescent="0.35">
      <c r="A456" s="5"/>
      <c r="B456" s="5" t="s">
        <v>6</v>
      </c>
      <c r="C456" s="5" t="s">
        <v>7</v>
      </c>
      <c r="D456" t="s">
        <v>204</v>
      </c>
      <c r="E456" t="str">
        <f>E403</f>
        <v>PJ/yr.</v>
      </c>
      <c r="F456" s="1">
        <f>'[1]Electricity and CHPs_IN'!B$94</f>
        <v>1.900623264740356</v>
      </c>
      <c r="G456" s="1">
        <f>'[1]Electricity and CHPs_IN'!C$94</f>
        <v>1.7153106222940671</v>
      </c>
      <c r="H456" s="1">
        <f>'[1]Electricity and CHPs_IN'!D$94</f>
        <v>1.4706632015381014</v>
      </c>
      <c r="I456" s="1">
        <f>'[1]Electricity and CHPs_IN'!E$94</f>
        <v>1.1379718905021399</v>
      </c>
      <c r="J456" s="1">
        <f>'[2]Electricity and CHPs_IN'!F$94</f>
        <v>0.81795824086413071</v>
      </c>
      <c r="K456" s="1">
        <f>'[2]Electricity and CHPs_IN'!G$94</f>
        <v>0.63292730112586437</v>
      </c>
      <c r="L456" s="1">
        <f>'[2]Electricity and CHPs_IN'!H$94</f>
        <v>0.37896868728546534</v>
      </c>
      <c r="N456" s="1"/>
    </row>
    <row r="457" spans="1:14" x14ac:dyDescent="0.35">
      <c r="A457" s="5"/>
      <c r="B457" s="5" t="s">
        <v>6</v>
      </c>
      <c r="C457" s="5" t="s">
        <v>7</v>
      </c>
      <c r="D457" t="s">
        <v>886</v>
      </c>
      <c r="E457" t="str">
        <f>E403</f>
        <v>PJ/yr.</v>
      </c>
      <c r="F457" s="1">
        <f>F458</f>
        <v>0</v>
      </c>
      <c r="G457" s="1">
        <f t="shared" ref="G457:L457" si="462">G458</f>
        <v>0</v>
      </c>
      <c r="H457" s="1">
        <f t="shared" si="462"/>
        <v>0</v>
      </c>
      <c r="I457" s="1">
        <f t="shared" si="462"/>
        <v>2.5868468216697036E-5</v>
      </c>
      <c r="J457" s="1">
        <f t="shared" si="462"/>
        <v>7.2829052214703214E-5</v>
      </c>
      <c r="K457" s="1">
        <f t="shared" si="462"/>
        <v>7.4206001098378035E-5</v>
      </c>
      <c r="L457" s="1">
        <f t="shared" si="462"/>
        <v>7.4895139454143973E-5</v>
      </c>
      <c r="N457" s="1"/>
    </row>
    <row r="458" spans="1:14" x14ac:dyDescent="0.35">
      <c r="A458" s="5"/>
      <c r="B458" s="5" t="s">
        <v>6</v>
      </c>
      <c r="C458" s="5" t="s">
        <v>7</v>
      </c>
      <c r="D458" t="s">
        <v>205</v>
      </c>
      <c r="E458" t="str">
        <f>E404</f>
        <v>PJ/yr.</v>
      </c>
      <c r="F458" s="1">
        <f>'[1]Electricity and CHPs_IN'!B$95</f>
        <v>0</v>
      </c>
      <c r="G458" s="1">
        <f>'[1]Electricity and CHPs_IN'!C$95</f>
        <v>0</v>
      </c>
      <c r="H458" s="1">
        <f>'[1]Electricity and CHPs_IN'!D$95</f>
        <v>0</v>
      </c>
      <c r="I458" s="1">
        <f>'[1]Electricity and CHPs_IN'!E$95</f>
        <v>2.5868468216697036E-5</v>
      </c>
      <c r="J458" s="1">
        <f>'[2]Electricity and CHPs_IN'!F$95</f>
        <v>7.2829052214703214E-5</v>
      </c>
      <c r="K458" s="1">
        <f>'[2]Electricity and CHPs_IN'!G$95</f>
        <v>7.4206001098378035E-5</v>
      </c>
      <c r="L458" s="1">
        <f>'[2]Electricity and CHPs_IN'!H$95</f>
        <v>7.4895139454143973E-5</v>
      </c>
      <c r="N458" s="1"/>
    </row>
    <row r="459" spans="1:14" x14ac:dyDescent="0.35">
      <c r="A459" s="5"/>
      <c r="B459" s="5" t="s">
        <v>6</v>
      </c>
      <c r="C459" s="5" t="s">
        <v>7</v>
      </c>
      <c r="D459" t="s">
        <v>887</v>
      </c>
      <c r="E459" t="str">
        <f>E404</f>
        <v>PJ/yr.</v>
      </c>
      <c r="F459" s="1">
        <f>F460</f>
        <v>0</v>
      </c>
      <c r="G459" s="1">
        <f t="shared" ref="G459:L459" si="463">G460</f>
        <v>0</v>
      </c>
      <c r="H459" s="1">
        <f t="shared" si="463"/>
        <v>0</v>
      </c>
      <c r="I459" s="1">
        <f t="shared" si="463"/>
        <v>0</v>
      </c>
      <c r="J459" s="1">
        <f t="shared" si="463"/>
        <v>0</v>
      </c>
      <c r="K459" s="1">
        <f t="shared" si="463"/>
        <v>1.0292480931817509E-4</v>
      </c>
      <c r="L459" s="1">
        <f t="shared" si="463"/>
        <v>1.0741439926651549E-4</v>
      </c>
      <c r="N459" s="1"/>
    </row>
    <row r="460" spans="1:14" x14ac:dyDescent="0.35">
      <c r="A460" s="5"/>
      <c r="B460" s="5" t="s">
        <v>6</v>
      </c>
      <c r="C460" s="5" t="s">
        <v>7</v>
      </c>
      <c r="D460" t="s">
        <v>232</v>
      </c>
      <c r="E460" t="str">
        <f>E405</f>
        <v>PJ/yr.</v>
      </c>
      <c r="F460" s="1">
        <f>'[1]Electricity and CHPs_IN'!B$96</f>
        <v>0</v>
      </c>
      <c r="G460" s="1">
        <f>'[1]Electricity and CHPs_IN'!C$96</f>
        <v>0</v>
      </c>
      <c r="H460" s="1">
        <f>'[1]Electricity and CHPs_IN'!D$96</f>
        <v>0</v>
      </c>
      <c r="I460" s="1">
        <f>'[1]Electricity and CHPs_IN'!E$96</f>
        <v>0</v>
      </c>
      <c r="J460" s="1">
        <f>'[2]Electricity and CHPs_IN'!F$96</f>
        <v>0</v>
      </c>
      <c r="K460" s="1">
        <f>'[2]Electricity and CHPs_IN'!G$96</f>
        <v>1.0292480931817509E-4</v>
      </c>
      <c r="L460" s="1">
        <f>'[2]Electricity and CHPs_IN'!H$96</f>
        <v>1.0741439926651549E-4</v>
      </c>
      <c r="N460" s="1"/>
    </row>
    <row r="461" spans="1:14" x14ac:dyDescent="0.35">
      <c r="A461" s="5"/>
      <c r="B461" s="5" t="s">
        <v>6</v>
      </c>
      <c r="C461" s="5" t="s">
        <v>7</v>
      </c>
      <c r="D461" t="s">
        <v>888</v>
      </c>
      <c r="E461" t="str">
        <f>E404</f>
        <v>PJ/yr.</v>
      </c>
      <c r="F461" s="1">
        <f>F462</f>
        <v>0</v>
      </c>
      <c r="G461" s="1">
        <f t="shared" ref="G461" si="464">G462</f>
        <v>1.5007685668642978</v>
      </c>
      <c r="H461" s="1">
        <f>H462</f>
        <v>1.5462434048947613</v>
      </c>
      <c r="I461" s="1">
        <f t="shared" ref="I461" si="465">I462</f>
        <v>1.6251173870728275</v>
      </c>
      <c r="J461" s="1">
        <f t="shared" ref="J461" si="466">J462</f>
        <v>1.9128149481537446</v>
      </c>
      <c r="K461" s="1">
        <f t="shared" ref="K461:L461" si="467">K462</f>
        <v>2.0103879720249211</v>
      </c>
      <c r="L461" s="1">
        <f t="shared" si="467"/>
        <v>2.220719503495415</v>
      </c>
      <c r="N461" s="1"/>
    </row>
    <row r="462" spans="1:14" x14ac:dyDescent="0.35">
      <c r="A462" s="5"/>
      <c r="B462" s="5" t="s">
        <v>6</v>
      </c>
      <c r="C462" s="5" t="s">
        <v>7</v>
      </c>
      <c r="D462" t="s">
        <v>889</v>
      </c>
      <c r="E462" t="str">
        <f>E405</f>
        <v>PJ/yr.</v>
      </c>
      <c r="F462" s="1">
        <f>'[1]Electricity and CHPs_IN'!B$97</f>
        <v>0</v>
      </c>
      <c r="G462" s="1">
        <f>'[1]Electricity and CHPs_IN'!C$97</f>
        <v>1.5007685668642978</v>
      </c>
      <c r="H462" s="1">
        <f>'[1]Electricity and CHPs_IN'!D$97</f>
        <v>1.5462434048947613</v>
      </c>
      <c r="I462" s="1">
        <f>'[1]Electricity and CHPs_IN'!E$97</f>
        <v>1.6251173870728275</v>
      </c>
      <c r="J462" s="1">
        <f>'[2]Electricity and CHPs_IN'!F$97</f>
        <v>1.9128149481537446</v>
      </c>
      <c r="K462" s="1">
        <f>'[2]Electricity and CHPs_IN'!G$97</f>
        <v>2.0103879720249211</v>
      </c>
      <c r="L462" s="1">
        <f>'[2]Electricity and CHPs_IN'!H$97</f>
        <v>2.220719503495415</v>
      </c>
      <c r="N462" s="1"/>
    </row>
    <row r="463" spans="1:14" x14ac:dyDescent="0.35">
      <c r="A463" s="5"/>
      <c r="B463" s="5" t="s">
        <v>6</v>
      </c>
      <c r="C463" s="5" t="s">
        <v>7</v>
      </c>
      <c r="D463" t="s">
        <v>890</v>
      </c>
      <c r="E463" t="str">
        <f>E399</f>
        <v>PJ/yr.</v>
      </c>
      <c r="F463" s="1">
        <f>SUM(F464,F470,F503,F512,F518)</f>
        <v>7.8843931492615464</v>
      </c>
      <c r="G463" s="1">
        <f t="shared" ref="G463:K463" si="468">SUM(G464,G470,G503,G512,G518)</f>
        <v>8.5185573414479805</v>
      </c>
      <c r="H463" s="1">
        <f t="shared" si="468"/>
        <v>6.7423988011729135</v>
      </c>
      <c r="I463" s="1">
        <f>IFERROR(SUM(I464,I470,I503,I512,I518),0)</f>
        <v>7.4938357714804376</v>
      </c>
      <c r="J463" s="1">
        <f t="shared" si="468"/>
        <v>19.978486413724898</v>
      </c>
      <c r="K463" s="1">
        <f t="shared" si="468"/>
        <v>25.816073505291733</v>
      </c>
      <c r="L463" s="1">
        <f t="shared" ref="L463" si="469">SUM(L464,L470,L503,L512,L518)</f>
        <v>19.14858202417426</v>
      </c>
      <c r="N463" s="1"/>
    </row>
    <row r="464" spans="1:14" x14ac:dyDescent="0.35">
      <c r="A464" s="5"/>
      <c r="B464" s="5" t="s">
        <v>6</v>
      </c>
      <c r="C464" s="5" t="s">
        <v>7</v>
      </c>
      <c r="D464" t="s">
        <v>891</v>
      </c>
      <c r="E464" t="str">
        <f>E399</f>
        <v>PJ/yr.</v>
      </c>
      <c r="F464" s="1">
        <f>+F465</f>
        <v>0.27165087051963854</v>
      </c>
      <c r="G464" s="1">
        <f t="shared" ref="G464:L464" si="470">+G465</f>
        <v>0.64192147863689319</v>
      </c>
      <c r="H464" s="1">
        <f t="shared" si="470"/>
        <v>3.5754039118641348E-2</v>
      </c>
      <c r="I464" s="1">
        <f t="shared" si="470"/>
        <v>0.5752368508855753</v>
      </c>
      <c r="J464" s="1">
        <f t="shared" si="470"/>
        <v>0.53673862629110114</v>
      </c>
      <c r="K464" s="1">
        <f t="shared" si="470"/>
        <v>4.1439916533266445E-2</v>
      </c>
      <c r="L464" s="1">
        <f t="shared" si="470"/>
        <v>0.40096555951475632</v>
      </c>
      <c r="N464" s="1"/>
    </row>
    <row r="465" spans="1:14" x14ac:dyDescent="0.35">
      <c r="A465" s="5"/>
      <c r="B465" s="5" t="s">
        <v>6</v>
      </c>
      <c r="C465" s="5" t="s">
        <v>7</v>
      </c>
      <c r="D465" t="s">
        <v>206</v>
      </c>
      <c r="E465" t="str">
        <f>E400</f>
        <v>PJ/yr.</v>
      </c>
      <c r="F465" s="1">
        <f>'[1]Electricity and CHPs_IN'!B$41-F301</f>
        <v>0.27165087051963854</v>
      </c>
      <c r="G465" s="1">
        <f>'[1]Electricity and CHPs_IN'!C$41-G301</f>
        <v>0.64192147863689319</v>
      </c>
      <c r="H465" s="1">
        <f>'[1]Electricity and CHPs_IN'!D$41-H301</f>
        <v>3.5754039118641348E-2</v>
      </c>
      <c r="I465" s="1">
        <f>'[1]Electricity and CHPs_IN'!E$41-I301</f>
        <v>0.5752368508855753</v>
      </c>
      <c r="J465" s="1">
        <f>'[2]Electricity and CHPs_IN'!F$41-J301</f>
        <v>0.53673862629110114</v>
      </c>
      <c r="K465" s="1">
        <f>'[2]Electricity and CHPs_IN'!G$41-K301</f>
        <v>4.1439916533266445E-2</v>
      </c>
      <c r="L465" s="1">
        <f>'[2]Electricity and CHPs_IN'!H$41-L301</f>
        <v>0.40096555951475632</v>
      </c>
      <c r="N465" s="1"/>
    </row>
    <row r="466" spans="1:14" x14ac:dyDescent="0.35">
      <c r="A466" s="5"/>
      <c r="B466" s="5" t="s">
        <v>6</v>
      </c>
      <c r="C466" s="5" t="s">
        <v>7</v>
      </c>
      <c r="D466" t="s">
        <v>893</v>
      </c>
      <c r="E466" t="str">
        <f>E399</f>
        <v>PJ/yr.</v>
      </c>
      <c r="F466" s="1">
        <f>F467</f>
        <v>0.27165087051963854</v>
      </c>
      <c r="G466" s="1">
        <f t="shared" ref="G466:L466" si="471">G467</f>
        <v>0.64192147863689319</v>
      </c>
      <c r="H466" s="1">
        <f t="shared" si="471"/>
        <v>3.5754039118641348E-2</v>
      </c>
      <c r="I466" s="1">
        <f t="shared" si="471"/>
        <v>0.5752368508855753</v>
      </c>
      <c r="J466" s="1">
        <f t="shared" si="471"/>
        <v>0.53673862629110114</v>
      </c>
      <c r="K466" s="1">
        <f t="shared" si="471"/>
        <v>4.1439916533266445E-2</v>
      </c>
      <c r="L466" s="1">
        <f t="shared" si="471"/>
        <v>0.40096555951475632</v>
      </c>
      <c r="N466" s="1"/>
    </row>
    <row r="467" spans="1:14" x14ac:dyDescent="0.35">
      <c r="A467" s="5"/>
      <c r="B467" s="5" t="s">
        <v>6</v>
      </c>
      <c r="C467" s="5" t="s">
        <v>7</v>
      </c>
      <c r="D467" t="s">
        <v>524</v>
      </c>
      <c r="E467" t="str">
        <f>E400</f>
        <v>PJ/yr.</v>
      </c>
      <c r="F467" s="1">
        <f>F465-F469</f>
        <v>0.27165087051963854</v>
      </c>
      <c r="G467" s="1">
        <f t="shared" ref="G467:K467" si="472">G465-G469</f>
        <v>0.64192147863689319</v>
      </c>
      <c r="H467" s="1">
        <f t="shared" si="472"/>
        <v>3.5754039118641348E-2</v>
      </c>
      <c r="I467" s="1">
        <f t="shared" si="472"/>
        <v>0.5752368508855753</v>
      </c>
      <c r="J467" s="1">
        <f t="shared" si="472"/>
        <v>0.53673862629110114</v>
      </c>
      <c r="K467" s="1">
        <f t="shared" si="472"/>
        <v>4.1439916533266445E-2</v>
      </c>
      <c r="L467" s="1">
        <f t="shared" ref="L467" si="473">L465-L469</f>
        <v>0.40096555951475632</v>
      </c>
      <c r="N467" s="1"/>
    </row>
    <row r="468" spans="1:14" x14ac:dyDescent="0.35">
      <c r="A468" s="5"/>
      <c r="B468" s="5" t="s">
        <v>6</v>
      </c>
      <c r="C468" s="5" t="s">
        <v>7</v>
      </c>
      <c r="D468" t="s">
        <v>894</v>
      </c>
      <c r="E468" t="str">
        <f>E400</f>
        <v>PJ/yr.</v>
      </c>
      <c r="F468" s="1">
        <f>F469</f>
        <v>0</v>
      </c>
      <c r="G468" s="1">
        <f t="shared" ref="G468:L468" si="474">G469</f>
        <v>0</v>
      </c>
      <c r="H468" s="1">
        <f t="shared" si="474"/>
        <v>0</v>
      </c>
      <c r="I468" s="1">
        <f t="shared" si="474"/>
        <v>0</v>
      </c>
      <c r="J468" s="1">
        <f t="shared" si="474"/>
        <v>0</v>
      </c>
      <c r="K468" s="1">
        <f t="shared" si="474"/>
        <v>0</v>
      </c>
      <c r="L468" s="1">
        <f t="shared" si="474"/>
        <v>0</v>
      </c>
      <c r="N468" s="1"/>
    </row>
    <row r="469" spans="1:14" x14ac:dyDescent="0.35">
      <c r="A469" s="5"/>
      <c r="B469" s="5" t="s">
        <v>6</v>
      </c>
      <c r="C469" s="5" t="s">
        <v>7</v>
      </c>
      <c r="D469" t="s">
        <v>548</v>
      </c>
      <c r="E469" t="str">
        <f>E401</f>
        <v>PJ/yr.</v>
      </c>
      <c r="F469" s="1">
        <f>IFERROR(F309/F301,0)*F465</f>
        <v>0</v>
      </c>
      <c r="G469" s="1">
        <f t="shared" ref="G469:K469" si="475">IFERROR(G309/G301,0)*G465</f>
        <v>0</v>
      </c>
      <c r="H469" s="1">
        <f t="shared" si="475"/>
        <v>0</v>
      </c>
      <c r="I469" s="1">
        <f t="shared" si="475"/>
        <v>0</v>
      </c>
      <c r="J469" s="1">
        <f t="shared" si="475"/>
        <v>0</v>
      </c>
      <c r="K469" s="1">
        <f t="shared" si="475"/>
        <v>0</v>
      </c>
      <c r="L469" s="1">
        <f t="shared" ref="L469" si="476">IFERROR(L309/L301,0)*L465</f>
        <v>0</v>
      </c>
      <c r="N469" s="1"/>
    </row>
    <row r="470" spans="1:14" x14ac:dyDescent="0.35">
      <c r="A470" s="5"/>
      <c r="B470" s="5" t="s">
        <v>6</v>
      </c>
      <c r="C470" s="5" t="s">
        <v>7</v>
      </c>
      <c r="D470" t="s">
        <v>892</v>
      </c>
      <c r="E470" t="str">
        <f>E401</f>
        <v>PJ/yr.</v>
      </c>
      <c r="F470" s="1">
        <f>SUM(F471:F480)</f>
        <v>3.6034141460901457</v>
      </c>
      <c r="G470" s="1">
        <f t="shared" ref="G470:K470" si="477">SUM(G471:G480)</f>
        <v>2.9946708770643182</v>
      </c>
      <c r="H470" s="1">
        <f t="shared" si="477"/>
        <v>3.1967789373404956</v>
      </c>
      <c r="I470" s="1">
        <f>IFERROR(SUM(I471:I480),0)</f>
        <v>3.6973936457844983</v>
      </c>
      <c r="J470" s="1">
        <f t="shared" si="477"/>
        <v>15.007229175299441</v>
      </c>
      <c r="K470" s="1">
        <f t="shared" si="477"/>
        <v>19.055604904513551</v>
      </c>
      <c r="L470" s="1">
        <f t="shared" ref="L470" si="478">SUM(L471:L480)</f>
        <v>11.505064576693492</v>
      </c>
      <c r="N470" s="1"/>
    </row>
    <row r="471" spans="1:14" x14ac:dyDescent="0.35">
      <c r="A471" s="5"/>
      <c r="B471" s="5" t="s">
        <v>6</v>
      </c>
      <c r="C471" s="5" t="s">
        <v>7</v>
      </c>
      <c r="D471" t="s">
        <v>207</v>
      </c>
      <c r="E471" t="str">
        <f>E402</f>
        <v>PJ/yr.</v>
      </c>
      <c r="F471" s="1">
        <f>'[1]Electricity and CHPs_IN'!B$39-F316</f>
        <v>1.0246719960155348</v>
      </c>
      <c r="G471" s="1">
        <f>'[1]Electricity and CHPs_IN'!C$39-G316</f>
        <v>0.24997551929994719</v>
      </c>
      <c r="H471" s="1">
        <f>'[1]Electricity and CHPs_IN'!D$39-H316</f>
        <v>1.4174422885203297</v>
      </c>
      <c r="I471" s="1">
        <f>'[1]Electricity and CHPs_IN'!E$39-I316</f>
        <v>2.045339847655308</v>
      </c>
      <c r="J471" s="1">
        <f>'[2]Electricity and CHPs_IN'!F$39-J316</f>
        <v>1.7585881977131117</v>
      </c>
      <c r="K471" s="1">
        <f>'[2]Electricity and CHPs_IN'!G$39-K316</f>
        <v>0.30215748507642126</v>
      </c>
      <c r="L471" s="1">
        <f>'[2]Electricity and CHPs_IN'!H$39-L316</f>
        <v>6.5746491535933205E-2</v>
      </c>
      <c r="N471" s="1"/>
    </row>
    <row r="472" spans="1:14" x14ac:dyDescent="0.35">
      <c r="A472" s="5"/>
      <c r="B472" s="5" t="s">
        <v>6</v>
      </c>
      <c r="C472" s="5" t="s">
        <v>7</v>
      </c>
      <c r="D472" t="s">
        <v>208</v>
      </c>
      <c r="E472" t="str">
        <f>E403</f>
        <v>PJ/yr.</v>
      </c>
      <c r="F472" s="6">
        <f>'[1]Electricity and CHPs_IN'!B$40-F317</f>
        <v>0</v>
      </c>
      <c r="G472" s="6">
        <f>'[1]Electricity and CHPs_IN'!C$40-G317</f>
        <v>0</v>
      </c>
      <c r="H472" s="6">
        <f>'[1]Electricity and CHPs_IN'!D$40-H317</f>
        <v>0</v>
      </c>
      <c r="I472" s="6">
        <f>'[1]Electricity and CHPs_IN'!E$40-I317</f>
        <v>0</v>
      </c>
      <c r="J472" s="6">
        <f>'[2]Electricity and CHPs_IN'!F$40-J317</f>
        <v>0</v>
      </c>
      <c r="K472" s="6">
        <f>'[2]Electricity and CHPs_IN'!G$40-K317</f>
        <v>1.535718778826521E-4</v>
      </c>
      <c r="L472" s="6">
        <f>'[2]Electricity and CHPs_IN'!H$40-L317</f>
        <v>8.6021078601833235E-5</v>
      </c>
      <c r="N472" s="1"/>
    </row>
    <row r="473" spans="1:14" x14ac:dyDescent="0.35">
      <c r="A473" s="5"/>
      <c r="B473" s="5" t="s">
        <v>6</v>
      </c>
      <c r="C473" s="5" t="s">
        <v>7</v>
      </c>
      <c r="D473" t="s">
        <v>209</v>
      </c>
      <c r="E473" t="str">
        <f>E404</f>
        <v>PJ/yr.</v>
      </c>
      <c r="F473" s="6">
        <f>'[1]Electricity and CHPs_IN'!$B$47-F318</f>
        <v>0</v>
      </c>
      <c r="G473" s="6">
        <f>'[1]Electricity and CHPs_IN'!$B$47-G318</f>
        <v>0</v>
      </c>
      <c r="H473" s="6">
        <f>'[1]Electricity and CHPs_IN'!$B$47-H318</f>
        <v>0</v>
      </c>
      <c r="I473" s="6">
        <f>'[1]Electricity and CHPs_IN'!$B$47-I318</f>
        <v>0</v>
      </c>
      <c r="J473" s="6">
        <f>'[2]Electricity and CHPs_IN'!$B$47-J318</f>
        <v>0</v>
      </c>
      <c r="K473" s="6">
        <f>'[2]Electricity and CHPs_IN'!$B$47-K318</f>
        <v>0</v>
      </c>
      <c r="L473" s="6">
        <f>'[2]Electricity and CHPs_IN'!$B$47-L318</f>
        <v>0</v>
      </c>
      <c r="N473" s="1"/>
    </row>
    <row r="474" spans="1:14" x14ac:dyDescent="0.35">
      <c r="A474" s="5"/>
      <c r="B474" s="5" t="s">
        <v>6</v>
      </c>
      <c r="C474" s="5" t="s">
        <v>7</v>
      </c>
      <c r="D474" t="s">
        <v>210</v>
      </c>
      <c r="E474" t="str">
        <f>E429</f>
        <v>PJ/yr.</v>
      </c>
      <c r="F474" s="1">
        <f>'[1]Electricity and CHPs_IN'!B$48-F319</f>
        <v>3.8326834652026971E-2</v>
      </c>
      <c r="G474" s="1">
        <f>'[1]Electricity and CHPs_IN'!C$48-G319</f>
        <v>2.25719249506628E-3</v>
      </c>
      <c r="H474" s="1">
        <f>'[1]Electricity and CHPs_IN'!D$48-H319</f>
        <v>6.1566244553392293E-3</v>
      </c>
      <c r="I474" s="1">
        <f>IFERROR('[1]Electricity and CHPs_IN'!E$48-I319,0)</f>
        <v>0</v>
      </c>
      <c r="J474" s="1">
        <f>'[2]Electricity and CHPs_IN'!F$48-J319</f>
        <v>2.0783643452663193E-2</v>
      </c>
      <c r="K474" s="1">
        <f>'[2]Electricity and CHPs_IN'!G$48-K319</f>
        <v>1.2500048524916204E-2</v>
      </c>
      <c r="L474" s="1">
        <f>'[2]Electricity and CHPs_IN'!H$48-L319</f>
        <v>6.5498396577562852E-3</v>
      </c>
      <c r="N474" s="1"/>
    </row>
    <row r="475" spans="1:14" x14ac:dyDescent="0.35">
      <c r="A475" s="5"/>
      <c r="B475" s="5" t="s">
        <v>6</v>
      </c>
      <c r="C475" s="5" t="s">
        <v>7</v>
      </c>
      <c r="D475" t="s">
        <v>211</v>
      </c>
      <c r="E475" t="str">
        <f>E431</f>
        <v>PJ/yr.</v>
      </c>
      <c r="F475" s="6">
        <f>'[1]Electricity and CHPs_IN'!B$49-F320</f>
        <v>0</v>
      </c>
      <c r="G475" s="6">
        <f>'[1]Electricity and CHPs_IN'!C$49-G320</f>
        <v>0</v>
      </c>
      <c r="H475" s="6">
        <f>'[1]Electricity and CHPs_IN'!D$49-H320</f>
        <v>0</v>
      </c>
      <c r="I475" s="6">
        <f>'[1]Electricity and CHPs_IN'!E$49-I320</f>
        <v>0</v>
      </c>
      <c r="J475" s="6">
        <f>'[2]Electricity and CHPs_IN'!F$49-J320</f>
        <v>0</v>
      </c>
      <c r="K475" s="6">
        <f>'[2]Electricity and CHPs_IN'!G$49-K320</f>
        <v>0</v>
      </c>
      <c r="L475" s="6">
        <f>'[2]Electricity and CHPs_IN'!H$49-L320</f>
        <v>0</v>
      </c>
      <c r="N475" s="1"/>
    </row>
    <row r="476" spans="1:14" x14ac:dyDescent="0.35">
      <c r="A476" s="5"/>
      <c r="B476" s="5" t="s">
        <v>6</v>
      </c>
      <c r="C476" s="5" t="s">
        <v>7</v>
      </c>
      <c r="D476" t="s">
        <v>212</v>
      </c>
      <c r="E476" t="str">
        <f>E432</f>
        <v>PJ/yr.</v>
      </c>
      <c r="F476" s="1">
        <f>'[1]Electricity and CHPs_IN'!B$51-F321</f>
        <v>6.8943317580383884E-2</v>
      </c>
      <c r="G476" s="1">
        <f>'[1]Electricity and CHPs_IN'!C$51-G321</f>
        <v>3.5836685847689771E-3</v>
      </c>
      <c r="H476" s="1">
        <f>'[1]Electricity and CHPs_IN'!D$51-H321</f>
        <v>6.8789657538890995E-3</v>
      </c>
      <c r="I476" s="1">
        <f>'[1]Electricity and CHPs_IN'!E$51-I321</f>
        <v>0</v>
      </c>
      <c r="J476" s="1">
        <f>'[2]Electricity and CHPs_IN'!F$51-J321</f>
        <v>2.6623376933941225</v>
      </c>
      <c r="K476" s="1">
        <f>'[2]Electricity and CHPs_IN'!G$51-K321</f>
        <v>8.5138694963364898</v>
      </c>
      <c r="L476" s="1">
        <f>'[2]Electricity and CHPs_IN'!H$51-L321</f>
        <v>7.3641246381125445</v>
      </c>
      <c r="N476" s="1"/>
    </row>
    <row r="477" spans="1:14" x14ac:dyDescent="0.35">
      <c r="A477" s="5"/>
      <c r="B477" s="5" t="s">
        <v>6</v>
      </c>
      <c r="C477" s="5" t="s">
        <v>7</v>
      </c>
      <c r="D477" t="s">
        <v>213</v>
      </c>
      <c r="E477" t="str">
        <f>E434</f>
        <v>PJ/yr.</v>
      </c>
      <c r="F477" s="1">
        <f>'[1]Electricity and CHPs_IN'!B$52-F322</f>
        <v>0</v>
      </c>
      <c r="G477" s="1">
        <f>'[1]Electricity and CHPs_IN'!C$52-G322</f>
        <v>0</v>
      </c>
      <c r="H477" s="1">
        <f>'[1]Electricity and CHPs_IN'!D$52-H322</f>
        <v>0</v>
      </c>
      <c r="I477" s="1">
        <f>'[1]Electricity and CHPs_IN'!E$52-I322</f>
        <v>0</v>
      </c>
      <c r="J477" s="1">
        <f>'[2]Electricity and CHPs_IN'!F$52-J322</f>
        <v>0</v>
      </c>
      <c r="K477" s="1">
        <f>'[2]Electricity and CHPs_IN'!G$52-K322</f>
        <v>0</v>
      </c>
      <c r="L477" s="1">
        <f>'[2]Electricity and CHPs_IN'!H$52-L322</f>
        <v>0</v>
      </c>
      <c r="N477" s="1"/>
    </row>
    <row r="478" spans="1:14" x14ac:dyDescent="0.35">
      <c r="A478" s="5"/>
      <c r="B478" s="5" t="s">
        <v>6</v>
      </c>
      <c r="C478" s="5" t="s">
        <v>7</v>
      </c>
      <c r="D478" t="s">
        <v>214</v>
      </c>
      <c r="E478" t="str">
        <f>E458</f>
        <v>PJ/yr.</v>
      </c>
      <c r="F478" s="1">
        <f>'[1]Electricity and CHPs_IN'!B$54-F323</f>
        <v>1.5806946739381575</v>
      </c>
      <c r="G478" s="1">
        <f>'[1]Electricity and CHPs_IN'!C$54-G323</f>
        <v>1.7910464012726872</v>
      </c>
      <c r="H478" s="1">
        <f>'[1]Electricity and CHPs_IN'!D$54-H323</f>
        <v>1.7427091332658686</v>
      </c>
      <c r="I478" s="1">
        <f>'[1]Electricity and CHPs_IN'!E$54-I323</f>
        <v>1.6520537981291903</v>
      </c>
      <c r="J478" s="1">
        <f>'[2]Electricity and CHPs_IN'!F$54-J323</f>
        <v>1.5341310088962774</v>
      </c>
      <c r="K478" s="1">
        <f>'[2]Electricity and CHPs_IN'!G$54-K323</f>
        <v>1.4050195985944596</v>
      </c>
      <c r="L478" s="1">
        <f>'[2]Electricity and CHPs_IN'!H$54-L323</f>
        <v>1.3677109562752521</v>
      </c>
      <c r="N478" s="1"/>
    </row>
    <row r="479" spans="1:14" x14ac:dyDescent="0.35">
      <c r="A479" s="5"/>
      <c r="B479" s="5" t="s">
        <v>6</v>
      </c>
      <c r="C479" s="5" t="s">
        <v>7</v>
      </c>
      <c r="D479" t="s">
        <v>215</v>
      </c>
      <c r="E479" t="str">
        <f>E460</f>
        <v>PJ/yr.</v>
      </c>
      <c r="F479" s="1">
        <f>'[1]Electricity and CHPs_IN'!B$55-F324</f>
        <v>0.89077732390404263</v>
      </c>
      <c r="G479" s="1">
        <f>'[1]Electricity and CHPs_IN'!C$55-G324</f>
        <v>0.94780809541184852</v>
      </c>
      <c r="H479" s="1">
        <f>'[1]Electricity and CHPs_IN'!D$55-H324</f>
        <v>2.3591925345069067E-2</v>
      </c>
      <c r="I479" s="1">
        <f>'[1]Electricity and CHPs_IN'!E$55-I324</f>
        <v>0</v>
      </c>
      <c r="J479" s="1">
        <f>'[2]Electricity and CHPs_IN'!F$55-J324</f>
        <v>9.0307152875624901</v>
      </c>
      <c r="K479" s="1">
        <f>'[2]Electricity and CHPs_IN'!G$55-K324</f>
        <v>8.8194099741131531</v>
      </c>
      <c r="L479" s="1">
        <f>'[2]Electricity and CHPs_IN'!H$55-L324</f>
        <v>1.644094204723355E-3</v>
      </c>
      <c r="N479" s="1"/>
    </row>
    <row r="480" spans="1:14" x14ac:dyDescent="0.35">
      <c r="A480" s="5"/>
      <c r="B480" s="5" t="s">
        <v>6</v>
      </c>
      <c r="C480" s="5" t="s">
        <v>7</v>
      </c>
      <c r="D480" t="s">
        <v>216</v>
      </c>
      <c r="E480" t="str">
        <f>E462</f>
        <v>PJ/yr.</v>
      </c>
      <c r="F480" s="1">
        <f>'[1]Electricity and CHPs_IN'!B$58-F325</f>
        <v>0</v>
      </c>
      <c r="G480" s="1">
        <f>'[1]Electricity and CHPs_IN'!C$58-G325</f>
        <v>0</v>
      </c>
      <c r="H480" s="1">
        <f>'[1]Electricity and CHPs_IN'!D$58-H325</f>
        <v>0</v>
      </c>
      <c r="I480" s="1">
        <f>'[1]Electricity and CHPs_IN'!E$58-I325</f>
        <v>0</v>
      </c>
      <c r="J480" s="1">
        <f>'[2]Electricity and CHPs_IN'!F$58-J325</f>
        <v>6.7334428077739589E-4</v>
      </c>
      <c r="K480" s="1">
        <f>'[2]Electricity and CHPs_IN'!G$58-K325</f>
        <v>2.494729990229122E-3</v>
      </c>
      <c r="L480" s="1">
        <f>'[2]Electricity and CHPs_IN'!H$58-L325</f>
        <v>2.6992025358286806</v>
      </c>
      <c r="N480" s="1"/>
    </row>
    <row r="481" spans="1:18" x14ac:dyDescent="0.35">
      <c r="A481" s="5"/>
      <c r="B481" s="5" t="s">
        <v>6</v>
      </c>
      <c r="C481" s="5" t="s">
        <v>7</v>
      </c>
      <c r="D481" t="s">
        <v>895</v>
      </c>
      <c r="E481" t="str">
        <f>E402</f>
        <v>PJ/yr.</v>
      </c>
      <c r="F481" s="1">
        <f>SUM(F482:F491)</f>
        <v>1.9711813594324001</v>
      </c>
      <c r="G481" s="1">
        <f t="shared" ref="G481:K481" si="479">SUM(G482:G491)</f>
        <v>1.168256946421617</v>
      </c>
      <c r="H481" s="1">
        <f t="shared" si="479"/>
        <v>1.3330839271000647</v>
      </c>
      <c r="I481" s="1">
        <f>IFERROR(SUM(I482:I491),0)</f>
        <v>1.7715585247088925</v>
      </c>
      <c r="J481" s="1">
        <f t="shared" si="479"/>
        <v>13.263705812904282</v>
      </c>
      <c r="K481" s="1">
        <f t="shared" si="479"/>
        <v>17.56919024898178</v>
      </c>
      <c r="L481" s="1">
        <f t="shared" ref="L481" si="480">SUM(L482:L491)</f>
        <v>10.113014535974255</v>
      </c>
      <c r="N481" s="1"/>
    </row>
    <row r="482" spans="1:18" x14ac:dyDescent="0.35">
      <c r="A482" s="5"/>
      <c r="B482" s="5" t="s">
        <v>6</v>
      </c>
      <c r="C482" s="5" t="s">
        <v>7</v>
      </c>
      <c r="D482" t="s">
        <v>597</v>
      </c>
      <c r="E482" t="str">
        <f>E402</f>
        <v>PJ/yr.</v>
      </c>
      <c r="F482" s="1">
        <f t="shared" ref="F482:F488" si="481">F471-F493</f>
        <v>0.99856374840220197</v>
      </c>
      <c r="G482" s="1">
        <f t="shared" ref="G482:K482" si="482">G471-G493</f>
        <v>0.24263019133558306</v>
      </c>
      <c r="H482" s="1">
        <f t="shared" si="482"/>
        <v>1.2995040039504222</v>
      </c>
      <c r="I482" s="1">
        <f t="shared" si="482"/>
        <v>1.7715585247088925</v>
      </c>
      <c r="J482" s="1">
        <f t="shared" si="482"/>
        <v>1.7312570733490995</v>
      </c>
      <c r="K482" s="1">
        <f t="shared" si="482"/>
        <v>0.30076408427623591</v>
      </c>
      <c r="L482" s="1">
        <f t="shared" ref="L482" si="483">L471-L493</f>
        <v>6.5588637420540899E-2</v>
      </c>
      <c r="N482" s="1"/>
    </row>
    <row r="483" spans="1:18" x14ac:dyDescent="0.35">
      <c r="A483" s="5"/>
      <c r="B483" s="5" t="s">
        <v>6</v>
      </c>
      <c r="C483" s="5" t="s">
        <v>7</v>
      </c>
      <c r="D483" t="s">
        <v>598</v>
      </c>
      <c r="E483" t="str">
        <f>E403</f>
        <v>PJ/yr.</v>
      </c>
      <c r="F483" s="1">
        <f t="shared" si="481"/>
        <v>0</v>
      </c>
      <c r="G483" s="1">
        <f t="shared" ref="G483:K483" si="484">G472-G494</f>
        <v>0</v>
      </c>
      <c r="H483" s="1">
        <f t="shared" si="484"/>
        <v>0</v>
      </c>
      <c r="I483" s="1">
        <f t="shared" si="484"/>
        <v>0</v>
      </c>
      <c r="J483" s="1">
        <f t="shared" si="484"/>
        <v>0</v>
      </c>
      <c r="K483" s="1">
        <f t="shared" si="484"/>
        <v>1.535718778826521E-4</v>
      </c>
      <c r="L483" s="1">
        <f t="shared" ref="L483" si="485">L472-L494</f>
        <v>8.6021078601833235E-5</v>
      </c>
      <c r="N483" s="1"/>
    </row>
    <row r="484" spans="1:18" x14ac:dyDescent="0.35">
      <c r="A484" s="5"/>
      <c r="B484" s="5" t="s">
        <v>6</v>
      </c>
      <c r="C484" s="5" t="s">
        <v>7</v>
      </c>
      <c r="D484" t="s">
        <v>599</v>
      </c>
      <c r="E484" t="str">
        <f>E404</f>
        <v>PJ/yr.</v>
      </c>
      <c r="F484" s="1">
        <f t="shared" si="481"/>
        <v>0</v>
      </c>
      <c r="G484" s="1">
        <f t="shared" ref="G484:K484" si="486">G473-G495</f>
        <v>0</v>
      </c>
      <c r="H484" s="1">
        <f t="shared" si="486"/>
        <v>0</v>
      </c>
      <c r="I484" s="1">
        <f t="shared" si="486"/>
        <v>0</v>
      </c>
      <c r="J484" s="1">
        <f t="shared" si="486"/>
        <v>0</v>
      </c>
      <c r="K484" s="1">
        <f t="shared" si="486"/>
        <v>0</v>
      </c>
      <c r="L484" s="1">
        <f t="shared" ref="L484" si="487">L473-L495</f>
        <v>0</v>
      </c>
      <c r="N484" s="1"/>
    </row>
    <row r="485" spans="1:18" x14ac:dyDescent="0.35">
      <c r="A485" s="5"/>
      <c r="B485" s="5" t="s">
        <v>6</v>
      </c>
      <c r="C485" s="5" t="s">
        <v>7</v>
      </c>
      <c r="D485" t="s">
        <v>600</v>
      </c>
      <c r="E485" t="str">
        <f>E429</f>
        <v>PJ/yr.</v>
      </c>
      <c r="F485" s="1">
        <f t="shared" si="481"/>
        <v>3.7350281673882324E-2</v>
      </c>
      <c r="G485" s="1">
        <f t="shared" ref="G485:K485" si="488">G474-G496</f>
        <v>2.1908667236411631E-3</v>
      </c>
      <c r="H485" s="1">
        <f t="shared" si="488"/>
        <v>5.6443625220778558E-3</v>
      </c>
      <c r="I485" s="1">
        <f>IFERROR(I474-I496,0)</f>
        <v>0</v>
      </c>
      <c r="J485" s="1">
        <f t="shared" si="488"/>
        <v>2.0460634151974886E-2</v>
      </c>
      <c r="K485" s="1">
        <f t="shared" si="488"/>
        <v>1.2442404486700278E-2</v>
      </c>
      <c r="L485" s="1">
        <f t="shared" ref="L485" si="489">L474-L496</f>
        <v>6.5341138126049679E-3</v>
      </c>
      <c r="N485" s="1"/>
    </row>
    <row r="486" spans="1:18" x14ac:dyDescent="0.35">
      <c r="A486" s="5"/>
      <c r="B486" s="5" t="s">
        <v>6</v>
      </c>
      <c r="C486" s="5" t="s">
        <v>7</v>
      </c>
      <c r="D486" t="s">
        <v>601</v>
      </c>
      <c r="E486" t="str">
        <f>E431</f>
        <v>PJ/yr.</v>
      </c>
      <c r="F486" s="1">
        <f t="shared" si="481"/>
        <v>0</v>
      </c>
      <c r="G486" s="1">
        <f t="shared" ref="G486:K486" si="490">G475-G497</f>
        <v>0</v>
      </c>
      <c r="H486" s="1">
        <f t="shared" si="490"/>
        <v>0</v>
      </c>
      <c r="I486" s="1">
        <f t="shared" si="490"/>
        <v>0</v>
      </c>
      <c r="J486" s="1">
        <f t="shared" si="490"/>
        <v>0</v>
      </c>
      <c r="K486" s="1">
        <f t="shared" si="490"/>
        <v>0</v>
      </c>
      <c r="L486" s="1">
        <f t="shared" ref="L486" si="491">L475-L497</f>
        <v>0</v>
      </c>
      <c r="N486" s="1"/>
    </row>
    <row r="487" spans="1:18" x14ac:dyDescent="0.35">
      <c r="A487" s="5"/>
      <c r="B487" s="5" t="s">
        <v>6</v>
      </c>
      <c r="C487" s="5" t="s">
        <v>7</v>
      </c>
      <c r="D487" t="s">
        <v>602</v>
      </c>
      <c r="E487" t="str">
        <f>E433</f>
        <v>PJ/yr.</v>
      </c>
      <c r="F487" s="1">
        <f t="shared" si="481"/>
        <v>6.7186668414921547E-2</v>
      </c>
      <c r="G487" s="1">
        <f t="shared" ref="G487:K487" si="492">G476-G498</f>
        <v>3.4783653889022994E-3</v>
      </c>
      <c r="H487" s="1">
        <f t="shared" si="492"/>
        <v>6.3066014134151522E-3</v>
      </c>
      <c r="I487" s="1">
        <f t="shared" si="492"/>
        <v>0</v>
      </c>
      <c r="J487" s="1">
        <f t="shared" si="492"/>
        <v>2.6209609329383343</v>
      </c>
      <c r="K487" s="1">
        <f t="shared" si="492"/>
        <v>8.4746077432613731</v>
      </c>
      <c r="L487" s="1">
        <f t="shared" ref="L487" si="493">L476-L498</f>
        <v>7.3464437344896867</v>
      </c>
      <c r="N487" s="1"/>
    </row>
    <row r="488" spans="1:18" x14ac:dyDescent="0.35">
      <c r="A488" s="5"/>
      <c r="B488" s="5" t="s">
        <v>6</v>
      </c>
      <c r="C488" s="5" t="s">
        <v>7</v>
      </c>
      <c r="D488" t="s">
        <v>603</v>
      </c>
      <c r="E488" t="str">
        <f>E434</f>
        <v>PJ/yr.</v>
      </c>
      <c r="F488" s="1">
        <f t="shared" si="481"/>
        <v>0</v>
      </c>
      <c r="G488" s="1">
        <f t="shared" ref="G488:K488" si="494">G477-G499</f>
        <v>0</v>
      </c>
      <c r="H488" s="1">
        <f t="shared" si="494"/>
        <v>0</v>
      </c>
      <c r="I488" s="1">
        <f t="shared" si="494"/>
        <v>0</v>
      </c>
      <c r="J488" s="1">
        <f t="shared" si="494"/>
        <v>0</v>
      </c>
      <c r="K488" s="1">
        <f t="shared" si="494"/>
        <v>0</v>
      </c>
      <c r="L488" s="1">
        <f t="shared" ref="L488" si="495">L477-L499</f>
        <v>0</v>
      </c>
      <c r="N488" s="1"/>
    </row>
    <row r="489" spans="1:18" x14ac:dyDescent="0.35">
      <c r="A489" s="5"/>
      <c r="B489" s="5" t="s">
        <v>6</v>
      </c>
      <c r="C489" s="5" t="s">
        <v>7</v>
      </c>
      <c r="D489" t="s">
        <v>604</v>
      </c>
      <c r="E489" t="str">
        <f>E471</f>
        <v>PJ/yr.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N489" s="1"/>
    </row>
    <row r="490" spans="1:18" x14ac:dyDescent="0.35">
      <c r="A490" s="5"/>
      <c r="B490" s="5" t="s">
        <v>6</v>
      </c>
      <c r="C490" s="5" t="s">
        <v>7</v>
      </c>
      <c r="D490" t="s">
        <v>605</v>
      </c>
      <c r="E490" t="str">
        <f>E473</f>
        <v>PJ/yr.</v>
      </c>
      <c r="F490" s="1">
        <f>F479-F501</f>
        <v>0.86808066094139424</v>
      </c>
      <c r="G490" s="1">
        <f t="shared" ref="G490:K490" si="496">G479-G501</f>
        <v>0.91995752297349043</v>
      </c>
      <c r="H490" s="1">
        <f t="shared" si="496"/>
        <v>2.1628959214149333E-2</v>
      </c>
      <c r="I490" s="1">
        <f t="shared" si="496"/>
        <v>0</v>
      </c>
      <c r="J490" s="1">
        <f t="shared" si="496"/>
        <v>8.890364292974148</v>
      </c>
      <c r="K490" s="1">
        <f t="shared" si="496"/>
        <v>8.7787392195495713</v>
      </c>
      <c r="L490" s="1">
        <f t="shared" ref="L490" si="497">L479-L501</f>
        <v>1.6401468148285439E-3</v>
      </c>
      <c r="N490" s="1"/>
    </row>
    <row r="491" spans="1:18" x14ac:dyDescent="0.35">
      <c r="A491" s="5"/>
      <c r="B491" s="5" t="s">
        <v>6</v>
      </c>
      <c r="C491" s="5" t="s">
        <v>7</v>
      </c>
      <c r="D491" t="s">
        <v>606</v>
      </c>
      <c r="E491" t="str">
        <f>E475</f>
        <v>PJ/yr.</v>
      </c>
      <c r="F491" s="1">
        <f>F480-F502</f>
        <v>0</v>
      </c>
      <c r="G491" s="1">
        <f t="shared" ref="G491:K491" si="498">G480-G502</f>
        <v>0</v>
      </c>
      <c r="H491" s="1">
        <f t="shared" si="498"/>
        <v>0</v>
      </c>
      <c r="I491" s="1">
        <f t="shared" si="498"/>
        <v>0</v>
      </c>
      <c r="J491" s="1">
        <f t="shared" si="498"/>
        <v>6.6287949072498062E-4</v>
      </c>
      <c r="K491" s="1">
        <f t="shared" si="498"/>
        <v>2.4832255300177449E-3</v>
      </c>
      <c r="L491" s="1">
        <f t="shared" ref="L491" si="499">L480-L502</f>
        <v>2.6927218823579926</v>
      </c>
      <c r="N491" s="1"/>
    </row>
    <row r="492" spans="1:18" x14ac:dyDescent="0.35">
      <c r="A492" s="5"/>
      <c r="B492" s="5" t="s">
        <v>6</v>
      </c>
      <c r="C492" s="5" t="s">
        <v>7</v>
      </c>
      <c r="D492" t="s">
        <v>896</v>
      </c>
      <c r="E492" t="str">
        <f>E403</f>
        <v>PJ/yr.</v>
      </c>
      <c r="F492" s="1">
        <f>SUM(F493:F502)</f>
        <v>1.6322327866577457</v>
      </c>
      <c r="G492" s="1">
        <f t="shared" ref="G492:K492" si="500">SUM(G493:G502)</f>
        <v>1.8264139306427014</v>
      </c>
      <c r="H492" s="1">
        <f t="shared" si="500"/>
        <v>1.8636950102404313</v>
      </c>
      <c r="I492" s="1">
        <f>IFERROR(SUM(I493:I502),0)</f>
        <v>1.9258351210756057</v>
      </c>
      <c r="J492" s="1">
        <f t="shared" si="500"/>
        <v>1.7435233623951596</v>
      </c>
      <c r="K492" s="1">
        <f t="shared" si="500"/>
        <v>1.4864146555317692</v>
      </c>
      <c r="L492" s="1">
        <f t="shared" ref="L492" si="501">SUM(L493:L502)</f>
        <v>1.3920500407192364</v>
      </c>
      <c r="M492" s="8"/>
      <c r="N492" s="1"/>
      <c r="O492" s="8"/>
      <c r="P492" s="8"/>
      <c r="Q492" s="8"/>
      <c r="R492" s="8"/>
    </row>
    <row r="493" spans="1:18" x14ac:dyDescent="0.35">
      <c r="A493" s="5"/>
      <c r="B493" s="5" t="s">
        <v>6</v>
      </c>
      <c r="C493" s="5" t="s">
        <v>7</v>
      </c>
      <c r="D493" t="s">
        <v>658</v>
      </c>
      <c r="E493" t="str">
        <f>E405</f>
        <v>PJ/yr.</v>
      </c>
      <c r="F493" s="1">
        <f t="shared" ref="F493:F499" si="502">IFERROR(F348/F316,0)*F471</f>
        <v>2.6108247613332896E-2</v>
      </c>
      <c r="G493" s="1">
        <f t="shared" ref="G493:K493" si="503">IFERROR(G348/G316,0)*G471</f>
        <v>7.3453279643641237E-3</v>
      </c>
      <c r="H493" s="1">
        <f t="shared" si="503"/>
        <v>0.1179382845699076</v>
      </c>
      <c r="I493" s="1">
        <f t="shared" si="503"/>
        <v>0.27378132294641538</v>
      </c>
      <c r="J493" s="1">
        <f t="shared" si="503"/>
        <v>2.7331124364012138E-2</v>
      </c>
      <c r="K493" s="1">
        <f t="shared" si="503"/>
        <v>1.3934008001853519E-3</v>
      </c>
      <c r="L493" s="1">
        <f t="shared" ref="L493" si="504">IFERROR(L348/L316,0)*L471</f>
        <v>1.5785411539230107E-4</v>
      </c>
      <c r="N493" s="1"/>
    </row>
    <row r="494" spans="1:18" x14ac:dyDescent="0.35">
      <c r="A494" s="5"/>
      <c r="B494" s="5" t="s">
        <v>6</v>
      </c>
      <c r="C494" s="5" t="s">
        <v>7</v>
      </c>
      <c r="D494" t="s">
        <v>659</v>
      </c>
      <c r="E494" t="str">
        <f>E406</f>
        <v>PJ/yr.</v>
      </c>
      <c r="F494" s="1">
        <f t="shared" si="502"/>
        <v>0</v>
      </c>
      <c r="G494" s="1">
        <f t="shared" ref="G494:K494" si="505">IFERROR(G349/G317,0)*G472</f>
        <v>0</v>
      </c>
      <c r="H494" s="1">
        <f t="shared" si="505"/>
        <v>0</v>
      </c>
      <c r="I494" s="1">
        <f t="shared" si="505"/>
        <v>0</v>
      </c>
      <c r="J494" s="1">
        <f t="shared" si="505"/>
        <v>0</v>
      </c>
      <c r="K494" s="1">
        <f t="shared" si="505"/>
        <v>0</v>
      </c>
      <c r="L494" s="1">
        <f t="shared" ref="L494" si="506">IFERROR(L349/L317,0)*L472</f>
        <v>0</v>
      </c>
      <c r="N494" s="1"/>
    </row>
    <row r="495" spans="1:18" x14ac:dyDescent="0.35">
      <c r="A495" s="5"/>
      <c r="B495" s="5" t="s">
        <v>6</v>
      </c>
      <c r="C495" s="5" t="s">
        <v>7</v>
      </c>
      <c r="D495" t="s">
        <v>660</v>
      </c>
      <c r="E495" t="str">
        <f>E407</f>
        <v>PJ/yr.</v>
      </c>
      <c r="F495" s="1">
        <f t="shared" si="502"/>
        <v>0</v>
      </c>
      <c r="G495" s="1">
        <f t="shared" ref="G495:K495" si="507">IFERROR(G350/G318,0)*G473</f>
        <v>0</v>
      </c>
      <c r="H495" s="1">
        <f t="shared" si="507"/>
        <v>0</v>
      </c>
      <c r="I495" s="1">
        <f t="shared" si="507"/>
        <v>0</v>
      </c>
      <c r="J495" s="1">
        <f t="shared" si="507"/>
        <v>0</v>
      </c>
      <c r="K495" s="1">
        <f t="shared" si="507"/>
        <v>0</v>
      </c>
      <c r="L495" s="1">
        <f t="shared" ref="L495" si="508">IFERROR(L350/L318,0)*L473</f>
        <v>0</v>
      </c>
      <c r="N495" s="1"/>
    </row>
    <row r="496" spans="1:18" x14ac:dyDescent="0.35">
      <c r="A496" s="5"/>
      <c r="B496" s="5" t="s">
        <v>6</v>
      </c>
      <c r="C496" s="5" t="s">
        <v>7</v>
      </c>
      <c r="D496" t="s">
        <v>661</v>
      </c>
      <c r="E496" t="str">
        <f>E435</f>
        <v>PJ/yr.</v>
      </c>
      <c r="F496" s="1">
        <f t="shared" si="502"/>
        <v>9.7655297814464601E-4</v>
      </c>
      <c r="G496" s="1">
        <f t="shared" ref="G496:K496" si="509">IFERROR(G351/G319,0)*G474</f>
        <v>6.6325771425116724E-5</v>
      </c>
      <c r="H496" s="1">
        <f t="shared" si="509"/>
        <v>5.1226193326137342E-4</v>
      </c>
      <c r="I496" s="1">
        <f>IFERROR(IFERROR(I351/I319,0)*I474,0)</f>
        <v>0</v>
      </c>
      <c r="J496" s="1">
        <f t="shared" si="509"/>
        <v>3.2300930068830577E-4</v>
      </c>
      <c r="K496" s="1">
        <f t="shared" si="509"/>
        <v>5.7644038215926496E-5</v>
      </c>
      <c r="L496" s="1">
        <f t="shared" ref="L496" si="510">IFERROR(L351/L319,0)*L474</f>
        <v>1.5725845151317619E-5</v>
      </c>
      <c r="N496" s="1"/>
    </row>
    <row r="497" spans="1:14" x14ac:dyDescent="0.35">
      <c r="A497" s="5"/>
      <c r="B497" s="5" t="s">
        <v>6</v>
      </c>
      <c r="C497" s="5" t="s">
        <v>7</v>
      </c>
      <c r="D497" t="s">
        <v>662</v>
      </c>
      <c r="E497" t="str">
        <f>E437</f>
        <v>PJ/yr.</v>
      </c>
      <c r="F497" s="1">
        <f t="shared" si="502"/>
        <v>0</v>
      </c>
      <c r="G497" s="1">
        <f t="shared" ref="G497:K497" si="511">IFERROR(G352/G320,0)*G475</f>
        <v>0</v>
      </c>
      <c r="H497" s="1">
        <f t="shared" si="511"/>
        <v>0</v>
      </c>
      <c r="I497" s="1">
        <f t="shared" si="511"/>
        <v>0</v>
      </c>
      <c r="J497" s="1">
        <f t="shared" si="511"/>
        <v>0</v>
      </c>
      <c r="K497" s="1">
        <f t="shared" si="511"/>
        <v>0</v>
      </c>
      <c r="L497" s="1">
        <f t="shared" ref="L497" si="512">IFERROR(L352/L320,0)*L475</f>
        <v>0</v>
      </c>
      <c r="N497" s="1"/>
    </row>
    <row r="498" spans="1:14" x14ac:dyDescent="0.35">
      <c r="A498" s="5"/>
      <c r="B498" s="5" t="s">
        <v>6</v>
      </c>
      <c r="C498" s="5" t="s">
        <v>7</v>
      </c>
      <c r="D498" t="s">
        <v>663</v>
      </c>
      <c r="E498" t="str">
        <f>E439</f>
        <v>PJ/yr.</v>
      </c>
      <c r="F498" s="1">
        <f t="shared" si="502"/>
        <v>1.7566491654623312E-3</v>
      </c>
      <c r="G498" s="1">
        <f t="shared" ref="G498:K498" si="513">IFERROR(G353/G321,0)*G476</f>
        <v>1.0530319586667782E-4</v>
      </c>
      <c r="H498" s="1">
        <f t="shared" si="513"/>
        <v>5.7236434047394755E-4</v>
      </c>
      <c r="I498" s="1">
        <f t="shared" si="513"/>
        <v>0</v>
      </c>
      <c r="J498" s="1">
        <f t="shared" si="513"/>
        <v>4.1376760455788093E-2</v>
      </c>
      <c r="K498" s="1">
        <f t="shared" si="513"/>
        <v>3.9261753075116111E-2</v>
      </c>
      <c r="L498" s="1">
        <f t="shared" ref="L498" si="514">IFERROR(L353/L321,0)*L476</f>
        <v>1.7680903622857878E-2</v>
      </c>
      <c r="N498" s="1"/>
    </row>
    <row r="499" spans="1:14" x14ac:dyDescent="0.35">
      <c r="A499" s="5"/>
      <c r="B499" s="5" t="s">
        <v>6</v>
      </c>
      <c r="C499" s="5" t="s">
        <v>7</v>
      </c>
      <c r="D499" t="s">
        <v>664</v>
      </c>
      <c r="E499" t="str">
        <f>E440</f>
        <v>PJ/yr.</v>
      </c>
      <c r="F499" s="1">
        <f t="shared" si="502"/>
        <v>0</v>
      </c>
      <c r="G499" s="1">
        <f t="shared" ref="G499:K499" si="515">IFERROR(G354/G322,0)*G477</f>
        <v>0</v>
      </c>
      <c r="H499" s="1">
        <f t="shared" si="515"/>
        <v>0</v>
      </c>
      <c r="I499" s="1">
        <f t="shared" si="515"/>
        <v>0</v>
      </c>
      <c r="J499" s="1">
        <f t="shared" si="515"/>
        <v>0</v>
      </c>
      <c r="K499" s="1">
        <f t="shared" si="515"/>
        <v>0</v>
      </c>
      <c r="L499" s="1">
        <f t="shared" ref="L499" si="516">IFERROR(L354/L322,0)*L477</f>
        <v>0</v>
      </c>
      <c r="N499" s="1"/>
    </row>
    <row r="500" spans="1:14" x14ac:dyDescent="0.35">
      <c r="A500" s="5"/>
      <c r="B500" s="5" t="s">
        <v>6</v>
      </c>
      <c r="C500" s="5" t="s">
        <v>7</v>
      </c>
      <c r="D500" t="s">
        <v>665</v>
      </c>
      <c r="E500" t="str">
        <f>E463</f>
        <v>PJ/yr.</v>
      </c>
      <c r="F500" s="1">
        <f>F478</f>
        <v>1.5806946739381575</v>
      </c>
      <c r="G500" s="1">
        <f t="shared" ref="G500:K500" si="517">G478</f>
        <v>1.7910464012726872</v>
      </c>
      <c r="H500" s="1">
        <f t="shared" si="517"/>
        <v>1.7427091332658686</v>
      </c>
      <c r="I500" s="1">
        <f t="shared" si="517"/>
        <v>1.6520537981291903</v>
      </c>
      <c r="J500" s="1">
        <f t="shared" si="517"/>
        <v>1.5341310088962774</v>
      </c>
      <c r="K500" s="1">
        <f t="shared" si="517"/>
        <v>1.4050195985944596</v>
      </c>
      <c r="L500" s="1">
        <f t="shared" ref="L500" si="518">L478</f>
        <v>1.3677109562752521</v>
      </c>
      <c r="N500" s="1"/>
    </row>
    <row r="501" spans="1:14" x14ac:dyDescent="0.35">
      <c r="A501" s="5"/>
      <c r="B501" s="5" t="s">
        <v>6</v>
      </c>
      <c r="C501" s="5" t="s">
        <v>7</v>
      </c>
      <c r="D501" t="s">
        <v>666</v>
      </c>
      <c r="E501" t="str">
        <f>E465</f>
        <v>PJ/yr.</v>
      </c>
      <c r="F501" s="1">
        <f>IFERROR(F356/F324,0)*F479</f>
        <v>2.2696662962648374E-2</v>
      </c>
      <c r="G501" s="1">
        <f t="shared" ref="G501:K501" si="519">IFERROR(G356/G324,0)*G479</f>
        <v>2.7850572438358097E-2</v>
      </c>
      <c r="H501" s="1">
        <f t="shared" si="519"/>
        <v>1.9629661309197351E-3</v>
      </c>
      <c r="I501" s="1">
        <f t="shared" si="519"/>
        <v>0</v>
      </c>
      <c r="J501" s="1">
        <f t="shared" si="519"/>
        <v>0.14035099458834127</v>
      </c>
      <c r="K501" s="1">
        <f t="shared" si="519"/>
        <v>4.0670754563580956E-2</v>
      </c>
      <c r="L501" s="1">
        <f t="shared" ref="L501" si="520">IFERROR(L356/L324,0)*L479</f>
        <v>3.9473898948110117E-6</v>
      </c>
      <c r="N501" s="1"/>
    </row>
    <row r="502" spans="1:14" x14ac:dyDescent="0.35">
      <c r="A502" s="5"/>
      <c r="B502" s="5" t="s">
        <v>6</v>
      </c>
      <c r="C502" s="5" t="s">
        <v>7</v>
      </c>
      <c r="D502" t="s">
        <v>667</v>
      </c>
      <c r="E502" t="str">
        <f>E469</f>
        <v>PJ/yr.</v>
      </c>
      <c r="F502" s="1">
        <f>IFERROR(F357/F325,0)*F480</f>
        <v>0</v>
      </c>
      <c r="G502" s="1">
        <f t="shared" ref="G502:K502" si="521">IFERROR(G357/G325,0)*G480</f>
        <v>0</v>
      </c>
      <c r="H502" s="1">
        <f t="shared" si="521"/>
        <v>0</v>
      </c>
      <c r="I502" s="1">
        <f t="shared" si="521"/>
        <v>0</v>
      </c>
      <c r="J502" s="1">
        <f t="shared" si="521"/>
        <v>1.0464790052415261E-5</v>
      </c>
      <c r="K502" s="1">
        <f t="shared" si="521"/>
        <v>1.1504460211377101E-5</v>
      </c>
      <c r="L502" s="1">
        <f t="shared" ref="L502" si="522">IFERROR(L357/L325,0)*L480</f>
        <v>6.4806534706879568E-3</v>
      </c>
      <c r="N502" s="1"/>
    </row>
    <row r="503" spans="1:14" x14ac:dyDescent="0.35">
      <c r="A503" s="5"/>
      <c r="B503" s="5" t="s">
        <v>6</v>
      </c>
      <c r="C503" s="5" t="s">
        <v>7</v>
      </c>
      <c r="D503" t="s">
        <v>897</v>
      </c>
      <c r="E503" t="str">
        <f>E407</f>
        <v>PJ/yr.</v>
      </c>
      <c r="F503" s="1">
        <f>SUM(F504:F505)</f>
        <v>3.3175189361403143</v>
      </c>
      <c r="G503" s="1">
        <f t="shared" ref="G503:K503" si="523">SUM(G504:G505)</f>
        <v>3.3046581816677643</v>
      </c>
      <c r="H503" s="1">
        <f t="shared" si="523"/>
        <v>4.217707121869003E-3</v>
      </c>
      <c r="I503" s="1">
        <f t="shared" si="523"/>
        <v>3.7083601381431011E-3</v>
      </c>
      <c r="J503" s="1">
        <f t="shared" si="523"/>
        <v>2.0261693910612909E-2</v>
      </c>
      <c r="K503" s="1">
        <f t="shared" si="523"/>
        <v>1.1427814101557928E-2</v>
      </c>
      <c r="L503" s="1">
        <f t="shared" ref="L503" si="524">SUM(L504:L505)</f>
        <v>3.629713066233573E-3</v>
      </c>
      <c r="N503" s="1"/>
    </row>
    <row r="504" spans="1:14" x14ac:dyDescent="0.35">
      <c r="A504" s="5"/>
      <c r="B504" s="5" t="s">
        <v>6</v>
      </c>
      <c r="C504" s="5" t="s">
        <v>7</v>
      </c>
      <c r="D504" t="s">
        <v>217</v>
      </c>
      <c r="E504" t="str">
        <f>E408</f>
        <v>PJ/yr.</v>
      </c>
      <c r="F504" s="6">
        <f>'[1]Electricity and CHPs_IN'!B$44-F363</f>
        <v>3.3175189361403143</v>
      </c>
      <c r="G504" s="6">
        <f>'[1]Electricity and CHPs_IN'!C$44-G363</f>
        <v>3.3046581816677643</v>
      </c>
      <c r="H504" s="6">
        <f>'[1]Electricity and CHPs_IN'!D$44-H363</f>
        <v>4.217707121869003E-3</v>
      </c>
      <c r="I504" s="6">
        <f>'[1]Electricity and CHPs_IN'!E$44-I363</f>
        <v>3.7083601381431011E-3</v>
      </c>
      <c r="J504" s="6">
        <f>'[2]Electricity and CHPs_IN'!F$44-J363</f>
        <v>2.0261693910612909E-2</v>
      </c>
      <c r="K504" s="6">
        <f>'[2]Electricity and CHPs_IN'!G$44-K363</f>
        <v>1.1427814101557928E-2</v>
      </c>
      <c r="L504" s="6">
        <f>'[2]Electricity and CHPs_IN'!H$44-L363</f>
        <v>3.629713066233573E-3</v>
      </c>
      <c r="N504" s="1"/>
    </row>
    <row r="505" spans="1:14" x14ac:dyDescent="0.35">
      <c r="A505" s="5"/>
      <c r="B505" s="5" t="s">
        <v>6</v>
      </c>
      <c r="C505" s="5" t="s">
        <v>7</v>
      </c>
      <c r="D505" t="s">
        <v>218</v>
      </c>
      <c r="E505" t="str">
        <f>E409</f>
        <v>PJ/yr.</v>
      </c>
      <c r="F505" s="1">
        <f>'[1]Electricity and CHPs_IN'!B$45</f>
        <v>0</v>
      </c>
      <c r="G505" s="1">
        <f>'[1]Electricity and CHPs_IN'!C$45</f>
        <v>0</v>
      </c>
      <c r="H505" s="1">
        <f>'[1]Electricity and CHPs_IN'!D$45</f>
        <v>0</v>
      </c>
      <c r="I505" s="1">
        <f>'[1]Electricity and CHPs_IN'!E$45</f>
        <v>0</v>
      </c>
      <c r="J505" s="1">
        <f>'[2]Electricity and CHPs_IN'!F$45</f>
        <v>0</v>
      </c>
      <c r="K505" s="1">
        <f>'[2]Electricity and CHPs_IN'!G$45</f>
        <v>0</v>
      </c>
      <c r="L505" s="1">
        <f>'[2]Electricity and CHPs_IN'!H$45</f>
        <v>0</v>
      </c>
      <c r="N505" s="1"/>
    </row>
    <row r="506" spans="1:14" x14ac:dyDescent="0.35">
      <c r="A506" s="5"/>
      <c r="B506" s="5" t="s">
        <v>6</v>
      </c>
      <c r="C506" s="5" t="s">
        <v>7</v>
      </c>
      <c r="D506" t="s">
        <v>898</v>
      </c>
      <c r="E506" t="str">
        <f>E409</f>
        <v>PJ/yr.</v>
      </c>
      <c r="F506" s="1">
        <f>SUM(F507:F508)</f>
        <v>0</v>
      </c>
      <c r="G506" s="1">
        <f t="shared" ref="G506:K506" si="525">SUM(G507:G508)</f>
        <v>0</v>
      </c>
      <c r="H506" s="1">
        <f t="shared" si="525"/>
        <v>0</v>
      </c>
      <c r="I506" s="1">
        <f t="shared" si="525"/>
        <v>0</v>
      </c>
      <c r="J506" s="1">
        <f t="shared" si="525"/>
        <v>0</v>
      </c>
      <c r="K506" s="1">
        <f t="shared" si="525"/>
        <v>0</v>
      </c>
      <c r="L506" s="1">
        <f t="shared" ref="L506" si="526">SUM(L507:L508)</f>
        <v>0</v>
      </c>
      <c r="N506" s="1"/>
    </row>
    <row r="507" spans="1:14" x14ac:dyDescent="0.35">
      <c r="A507" s="5"/>
      <c r="B507" s="5" t="s">
        <v>6</v>
      </c>
      <c r="C507" s="5" t="s">
        <v>7</v>
      </c>
      <c r="D507" t="s">
        <v>219</v>
      </c>
      <c r="E507" t="str">
        <f>E410</f>
        <v>PJ/yr.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N507" s="1"/>
    </row>
    <row r="508" spans="1:14" x14ac:dyDescent="0.35">
      <c r="A508" s="5"/>
      <c r="B508" s="5" t="s">
        <v>6</v>
      </c>
      <c r="C508" s="5" t="s">
        <v>7</v>
      </c>
      <c r="D508" t="s">
        <v>220</v>
      </c>
      <c r="E508" t="str">
        <f>E411</f>
        <v>PJ/yr.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N508" s="1"/>
    </row>
    <row r="509" spans="1:14" x14ac:dyDescent="0.35">
      <c r="A509" s="5"/>
      <c r="B509" s="5" t="s">
        <v>6</v>
      </c>
      <c r="C509" s="5" t="s">
        <v>7</v>
      </c>
      <c r="D509" t="s">
        <v>899</v>
      </c>
      <c r="E509" t="str">
        <f>E412</f>
        <v>PJ/yr.</v>
      </c>
      <c r="F509" s="1">
        <f>SUM(F510:F511)</f>
        <v>3.3175189361403143</v>
      </c>
      <c r="G509" s="1">
        <f t="shared" ref="G509:K509" si="527">SUM(G510:G511)</f>
        <v>3.3046581816677643</v>
      </c>
      <c r="H509" s="1">
        <f t="shared" si="527"/>
        <v>4.217707121869003E-3</v>
      </c>
      <c r="I509" s="1">
        <f t="shared" si="527"/>
        <v>3.7083601381431011E-3</v>
      </c>
      <c r="J509" s="1">
        <f t="shared" si="527"/>
        <v>2.0261693910612909E-2</v>
      </c>
      <c r="K509" s="1">
        <f t="shared" si="527"/>
        <v>1.1427814101557928E-2</v>
      </c>
      <c r="L509" s="1">
        <f t="shared" ref="L509" si="528">SUM(L510:L511)</f>
        <v>3.629713066233573E-3</v>
      </c>
      <c r="N509" s="1"/>
    </row>
    <row r="510" spans="1:14" x14ac:dyDescent="0.35">
      <c r="A510" s="5"/>
      <c r="B510" s="5" t="s">
        <v>6</v>
      </c>
      <c r="C510" s="5" t="s">
        <v>7</v>
      </c>
      <c r="D510" t="s">
        <v>221</v>
      </c>
      <c r="E510" t="str">
        <f>E413</f>
        <v>PJ/yr.</v>
      </c>
      <c r="F510" s="1">
        <f>F504</f>
        <v>3.3175189361403143</v>
      </c>
      <c r="G510" s="1">
        <f t="shared" ref="G510:K510" si="529">G504</f>
        <v>3.3046581816677643</v>
      </c>
      <c r="H510" s="1">
        <f t="shared" si="529"/>
        <v>4.217707121869003E-3</v>
      </c>
      <c r="I510" s="1">
        <f t="shared" si="529"/>
        <v>3.7083601381431011E-3</v>
      </c>
      <c r="J510" s="1">
        <f t="shared" si="529"/>
        <v>2.0261693910612909E-2</v>
      </c>
      <c r="K510" s="1">
        <f t="shared" si="529"/>
        <v>1.1427814101557928E-2</v>
      </c>
      <c r="L510" s="1">
        <f t="shared" ref="L510" si="530">L504</f>
        <v>3.629713066233573E-3</v>
      </c>
      <c r="N510" s="1"/>
    </row>
    <row r="511" spans="1:14" x14ac:dyDescent="0.35">
      <c r="A511" s="5"/>
      <c r="B511" s="5" t="s">
        <v>6</v>
      </c>
      <c r="C511" s="5" t="s">
        <v>7</v>
      </c>
      <c r="D511" t="s">
        <v>222</v>
      </c>
      <c r="E511" t="str">
        <f>E417</f>
        <v>PJ/yr.</v>
      </c>
      <c r="F511" s="1">
        <f>F505</f>
        <v>0</v>
      </c>
      <c r="G511" s="1">
        <f t="shared" ref="G511:K511" si="531">G505</f>
        <v>0</v>
      </c>
      <c r="H511" s="1">
        <f t="shared" si="531"/>
        <v>0</v>
      </c>
      <c r="I511" s="1">
        <f t="shared" si="531"/>
        <v>0</v>
      </c>
      <c r="J511" s="1">
        <f t="shared" si="531"/>
        <v>0</v>
      </c>
      <c r="K511" s="1">
        <f t="shared" si="531"/>
        <v>0</v>
      </c>
      <c r="L511" s="1">
        <f t="shared" ref="L511" si="532">L505</f>
        <v>0</v>
      </c>
      <c r="N511" s="1"/>
    </row>
    <row r="512" spans="1:14" x14ac:dyDescent="0.35">
      <c r="A512" s="5"/>
      <c r="B512" s="5" t="s">
        <v>6</v>
      </c>
      <c r="C512" s="5" t="s">
        <v>7</v>
      </c>
      <c r="D512" t="s">
        <v>900</v>
      </c>
      <c r="E512" t="str">
        <f>E418</f>
        <v>PJ/yr.</v>
      </c>
      <c r="F512" s="1">
        <f>SUM(F513:F517)</f>
        <v>0.69180919651144779</v>
      </c>
      <c r="G512" s="1">
        <f t="shared" ref="G512:K512" si="533">SUM(G513:G517)</f>
        <v>1.5773068040790048</v>
      </c>
      <c r="H512" s="1">
        <f t="shared" si="533"/>
        <v>3.5056481175919072</v>
      </c>
      <c r="I512" s="1">
        <f t="shared" si="533"/>
        <v>3.2174969146722212</v>
      </c>
      <c r="J512" s="1">
        <f t="shared" si="533"/>
        <v>4.4142569182237441</v>
      </c>
      <c r="K512" s="1">
        <f t="shared" si="533"/>
        <v>6.707600870143354</v>
      </c>
      <c r="L512" s="1">
        <f t="shared" ref="L512" si="534">SUM(L513:L517)</f>
        <v>7.2389221748997787</v>
      </c>
      <c r="N512" s="1"/>
    </row>
    <row r="513" spans="1:14" x14ac:dyDescent="0.35">
      <c r="A513" s="5"/>
      <c r="B513" s="5" t="s">
        <v>6</v>
      </c>
      <c r="C513" s="5" t="s">
        <v>7</v>
      </c>
      <c r="D513" t="s">
        <v>223</v>
      </c>
      <c r="E513" t="str">
        <f>E419</f>
        <v>PJ/yr.</v>
      </c>
      <c r="F513" s="6">
        <f>'[1]Electricity and CHPs_IN'!B$42-F382</f>
        <v>0.69180919651144779</v>
      </c>
      <c r="G513" s="6">
        <f>'[1]Electricity and CHPs_IN'!C$42-G382</f>
        <v>1.5773068040790048</v>
      </c>
      <c r="H513" s="6">
        <f>'[1]Electricity and CHPs_IN'!D$42-H382</f>
        <v>3.5056481175919072</v>
      </c>
      <c r="I513" s="6">
        <f>'[1]Electricity and CHPs_IN'!E$42-I382</f>
        <v>3.2174969146722212</v>
      </c>
      <c r="J513" s="6">
        <f>'[2]Electricity and CHPs_IN'!F$42-J382</f>
        <v>4.4005755775081914</v>
      </c>
      <c r="K513" s="6">
        <f>'[2]Electricity and CHPs_IN'!G$42-K382</f>
        <v>6.6979499116150265</v>
      </c>
      <c r="L513" s="6">
        <f>'[2]Electricity and CHPs_IN'!H$42-L382</f>
        <v>7.2333405097513026</v>
      </c>
      <c r="N513" s="1"/>
    </row>
    <row r="514" spans="1:14" x14ac:dyDescent="0.35">
      <c r="A514" s="5"/>
      <c r="B514" s="5" t="s">
        <v>6</v>
      </c>
      <c r="C514" s="5" t="s">
        <v>7</v>
      </c>
      <c r="D514" t="s">
        <v>224</v>
      </c>
      <c r="E514" t="str">
        <f>E420</f>
        <v>PJ/yr.</v>
      </c>
      <c r="F514" s="1">
        <f>'[1]Electricity and CHPs_IN'!B$43-F383</f>
        <v>0</v>
      </c>
      <c r="G514" s="1">
        <f>'[1]Electricity and CHPs_IN'!C$43-G383</f>
        <v>0</v>
      </c>
      <c r="H514" s="1">
        <f>'[1]Electricity and CHPs_IN'!D$43-H383</f>
        <v>0</v>
      </c>
      <c r="I514" s="1">
        <f>'[1]Electricity and CHPs_IN'!E$43-I383</f>
        <v>0</v>
      </c>
      <c r="J514" s="1">
        <f>'[2]Electricity and CHPs_IN'!F$43-J383</f>
        <v>0</v>
      </c>
      <c r="K514" s="1">
        <f>'[2]Electricity and CHPs_IN'!G$43-K383</f>
        <v>1.6302423700798399E-4</v>
      </c>
      <c r="L514" s="1">
        <f>'[2]Electricity and CHPs_IN'!H$43-L383</f>
        <v>1.2345632539481556E-4</v>
      </c>
      <c r="N514" s="1"/>
    </row>
    <row r="515" spans="1:14" x14ac:dyDescent="0.35">
      <c r="A515" s="5"/>
      <c r="B515" s="5" t="s">
        <v>6</v>
      </c>
      <c r="C515" s="5" t="s">
        <v>7</v>
      </c>
      <c r="D515" t="s">
        <v>225</v>
      </c>
      <c r="E515" t="str">
        <f>E442</f>
        <v>PJ/yr.</v>
      </c>
      <c r="F515" s="1">
        <f>'[1]Electricity and CHPs_IN'!B$50-F384</f>
        <v>0</v>
      </c>
      <c r="G515" s="1">
        <f>'[1]Electricity and CHPs_IN'!C$50-G384</f>
        <v>0</v>
      </c>
      <c r="H515" s="1">
        <f>'[1]Electricity and CHPs_IN'!D$50-H384</f>
        <v>0</v>
      </c>
      <c r="I515" s="1">
        <f>'[1]Electricity and CHPs_IN'!E$50-I384</f>
        <v>0</v>
      </c>
      <c r="J515" s="1">
        <f>'[2]Electricity and CHPs_IN'!F$50-J384</f>
        <v>4.2083725558861073E-3</v>
      </c>
      <c r="K515" s="1">
        <f>'[2]Electricity and CHPs_IN'!G$50-K384</f>
        <v>3.1788990578797112E-3</v>
      </c>
      <c r="L515" s="1">
        <f>'[2]Electricity and CHPs_IN'!H$50-L384</f>
        <v>1.9120675891549075E-3</v>
      </c>
      <c r="N515" s="1"/>
    </row>
    <row r="516" spans="1:14" x14ac:dyDescent="0.35">
      <c r="A516" s="5"/>
      <c r="B516" s="5" t="s">
        <v>6</v>
      </c>
      <c r="C516" s="5" t="s">
        <v>7</v>
      </c>
      <c r="D516" t="s">
        <v>226</v>
      </c>
      <c r="E516" t="str">
        <f>E446</f>
        <v>PJ/yr.</v>
      </c>
      <c r="F516" s="1">
        <f>'[1]Electricity and CHPs_IN'!B$53-F385</f>
        <v>0</v>
      </c>
      <c r="G516" s="1">
        <f>'[1]Electricity and CHPs_IN'!C$53-G385</f>
        <v>0</v>
      </c>
      <c r="H516" s="1">
        <f>'[1]Electricity and CHPs_IN'!D$53-H385</f>
        <v>0</v>
      </c>
      <c r="I516" s="1">
        <f>'[1]Electricity and CHPs_IN'!E$53-I385</f>
        <v>0</v>
      </c>
      <c r="J516" s="1">
        <f>'[2]Electricity and CHPs_IN'!F$53-J385</f>
        <v>6.921656998763728E-3</v>
      </c>
      <c r="K516" s="1">
        <f>'[2]Electricity and CHPs_IN'!G$53-K385</f>
        <v>4.4095615841975074E-3</v>
      </c>
      <c r="L516" s="1">
        <f>'[2]Electricity and CHPs_IN'!H$53-L385</f>
        <v>2.8371002225925845E-3</v>
      </c>
      <c r="N516" s="1"/>
    </row>
    <row r="517" spans="1:14" x14ac:dyDescent="0.35">
      <c r="A517" s="5"/>
      <c r="B517" s="5" t="s">
        <v>6</v>
      </c>
      <c r="C517" s="5" t="s">
        <v>7</v>
      </c>
      <c r="D517" t="s">
        <v>238</v>
      </c>
      <c r="E517" t="str">
        <f>E471</f>
        <v>PJ/yr.</v>
      </c>
      <c r="F517" s="1">
        <f>'[1]Electricity and CHPs_IN'!B$56-F386</f>
        <v>0</v>
      </c>
      <c r="G517" s="1">
        <f>'[1]Electricity and CHPs_IN'!C$56-G386</f>
        <v>0</v>
      </c>
      <c r="H517" s="1">
        <f>'[1]Electricity and CHPs_IN'!D$56-H386</f>
        <v>0</v>
      </c>
      <c r="I517" s="1">
        <f>'[1]Electricity and CHPs_IN'!E$56-I386</f>
        <v>0</v>
      </c>
      <c r="J517" s="1">
        <f>'[2]Electricity and CHPs_IN'!F$56-J386</f>
        <v>2.5513111609026433E-3</v>
      </c>
      <c r="K517" s="1">
        <f>'[2]Electricity and CHPs_IN'!G$56-K386</f>
        <v>1.8994736492424032E-3</v>
      </c>
      <c r="L517" s="1">
        <f>'[2]Electricity and CHPs_IN'!H$56-L386</f>
        <v>7.0904101133434892E-4</v>
      </c>
      <c r="N517" s="1"/>
    </row>
    <row r="518" spans="1:14" x14ac:dyDescent="0.35">
      <c r="A518" s="5"/>
      <c r="B518" s="5" t="s">
        <v>6</v>
      </c>
      <c r="C518" s="5" t="s">
        <v>7</v>
      </c>
      <c r="D518" t="s">
        <v>901</v>
      </c>
      <c r="E518" t="str">
        <f>E425</f>
        <v>PJ/yr.</v>
      </c>
      <c r="F518" s="1">
        <f>SUM(F519:F520)</f>
        <v>0</v>
      </c>
      <c r="G518" s="1">
        <f t="shared" ref="G518:K518" si="535">SUM(G519:G520)</f>
        <v>0</v>
      </c>
      <c r="H518" s="1">
        <f t="shared" si="535"/>
        <v>0</v>
      </c>
      <c r="I518" s="1">
        <f t="shared" si="535"/>
        <v>0</v>
      </c>
      <c r="J518" s="1">
        <f t="shared" si="535"/>
        <v>0</v>
      </c>
      <c r="K518" s="1">
        <f t="shared" si="535"/>
        <v>0</v>
      </c>
      <c r="L518" s="1">
        <f t="shared" ref="L518" si="536">SUM(L519:L520)</f>
        <v>0</v>
      </c>
      <c r="N518" s="1"/>
    </row>
    <row r="519" spans="1:14" x14ac:dyDescent="0.35">
      <c r="A519" s="5"/>
      <c r="B519" s="5" t="s">
        <v>6</v>
      </c>
      <c r="C519" s="5" t="s">
        <v>7</v>
      </c>
      <c r="D519" t="s">
        <v>227</v>
      </c>
      <c r="E519" t="str">
        <f>E426</f>
        <v>PJ/yr.</v>
      </c>
      <c r="F519" s="1">
        <f>'[1]Electricity and CHPs_IN'!B$46-F399</f>
        <v>0</v>
      </c>
      <c r="G519" s="1">
        <f>'[1]Electricity and CHPs_IN'!C$46-G399</f>
        <v>0</v>
      </c>
      <c r="H519" s="1">
        <f>'[1]Electricity and CHPs_IN'!D$46-H399</f>
        <v>0</v>
      </c>
      <c r="I519" s="1">
        <f>'[1]Electricity and CHPs_IN'!E$46-I399</f>
        <v>0</v>
      </c>
      <c r="J519" s="1">
        <f>'[2]Electricity and CHPs_IN'!F$46-J399</f>
        <v>0</v>
      </c>
      <c r="K519" s="1">
        <f>'[2]Electricity and CHPs_IN'!G$46-K399</f>
        <v>0</v>
      </c>
      <c r="L519" s="1">
        <f>'[2]Electricity and CHPs_IN'!H$46-L399</f>
        <v>0</v>
      </c>
      <c r="N519" s="1"/>
    </row>
    <row r="520" spans="1:14" x14ac:dyDescent="0.35">
      <c r="A520" s="5"/>
      <c r="B520" s="5" t="s">
        <v>6</v>
      </c>
      <c r="C520" s="5" t="s">
        <v>7</v>
      </c>
      <c r="D520" t="s">
        <v>239</v>
      </c>
      <c r="E520" t="str">
        <f>E473</f>
        <v>PJ/yr.</v>
      </c>
      <c r="F520" s="1">
        <f>'[1]Electricity and CHPs_IN'!B$57-F400</f>
        <v>0</v>
      </c>
      <c r="G520" s="1">
        <f>'[1]Electricity and CHPs_IN'!C$57-G400</f>
        <v>0</v>
      </c>
      <c r="H520" s="1">
        <f>'[1]Electricity and CHPs_IN'!D$57-H400</f>
        <v>0</v>
      </c>
      <c r="I520" s="1">
        <f>'[1]Electricity and CHPs_IN'!E$57-I400</f>
        <v>0</v>
      </c>
      <c r="J520" s="1">
        <f>'[2]Electricity and CHPs_IN'!F$57-J400</f>
        <v>0</v>
      </c>
      <c r="K520" s="1">
        <f>'[2]Electricity and CHPs_IN'!G$57-K400</f>
        <v>0</v>
      </c>
      <c r="L520" s="1">
        <f>'[2]Electricity and CHPs_IN'!H$57-L400</f>
        <v>0</v>
      </c>
      <c r="N520" s="1"/>
    </row>
    <row r="521" spans="1:14" x14ac:dyDescent="0.35">
      <c r="A521" s="5"/>
      <c r="B521" s="9" t="s">
        <v>6</v>
      </c>
      <c r="C521" s="9" t="s">
        <v>7</v>
      </c>
      <c r="D521" s="2" t="s">
        <v>241</v>
      </c>
      <c r="E521" s="5" t="s">
        <v>240</v>
      </c>
      <c r="F521" s="12" t="s">
        <v>292</v>
      </c>
      <c r="G521" s="12" t="s">
        <v>292</v>
      </c>
      <c r="H521" s="12" t="s">
        <v>292</v>
      </c>
      <c r="I521" s="12" t="s">
        <v>292</v>
      </c>
      <c r="J521" s="12" t="s">
        <v>292</v>
      </c>
      <c r="K521" s="12" t="s">
        <v>292</v>
      </c>
      <c r="L521" s="12" t="s">
        <v>292</v>
      </c>
      <c r="N521" s="1"/>
    </row>
    <row r="522" spans="1:14" x14ac:dyDescent="0.35">
      <c r="A522" s="5"/>
      <c r="B522" s="5" t="s">
        <v>6</v>
      </c>
      <c r="C522" s="5" t="s">
        <v>7</v>
      </c>
      <c r="D522" t="s">
        <v>242</v>
      </c>
      <c r="E522" s="5" t="s">
        <v>240</v>
      </c>
      <c r="F522" s="13">
        <f t="shared" ref="F522:K522" si="537">IFERROR(F65/F293,"-")</f>
        <v>0.32978920497088227</v>
      </c>
      <c r="G522" s="13">
        <f t="shared" si="537"/>
        <v>0.32672708803837769</v>
      </c>
      <c r="H522" s="13">
        <f t="shared" si="537"/>
        <v>0.32629920836797122</v>
      </c>
      <c r="I522" s="13">
        <f t="shared" si="537"/>
        <v>0.33003145293999292</v>
      </c>
      <c r="J522" s="13">
        <f t="shared" si="537"/>
        <v>0.33041945011012031</v>
      </c>
      <c r="K522" s="13">
        <f t="shared" si="537"/>
        <v>0.33170584005147608</v>
      </c>
      <c r="L522" s="13" t="str">
        <f t="shared" ref="L522" si="538">IFERROR(L65/L293,"-")</f>
        <v>-</v>
      </c>
      <c r="N522" s="1"/>
    </row>
    <row r="523" spans="1:14" x14ac:dyDescent="0.35">
      <c r="A523" s="5"/>
      <c r="B523" s="5" t="s">
        <v>6</v>
      </c>
      <c r="C523" s="5" t="s">
        <v>7</v>
      </c>
      <c r="D523" t="s">
        <v>243</v>
      </c>
      <c r="E523" s="5" t="s">
        <v>240</v>
      </c>
      <c r="F523" s="13">
        <f t="shared" ref="F523:K525" si="539">IFERROR(F67/F295,"-")</f>
        <v>1</v>
      </c>
      <c r="G523" s="13">
        <f t="shared" si="539"/>
        <v>1</v>
      </c>
      <c r="H523" s="13">
        <f t="shared" si="539"/>
        <v>1</v>
      </c>
      <c r="I523" s="13">
        <f t="shared" si="539"/>
        <v>1</v>
      </c>
      <c r="J523" s="13">
        <f t="shared" si="539"/>
        <v>1</v>
      </c>
      <c r="K523" s="13">
        <f t="shared" si="539"/>
        <v>1</v>
      </c>
      <c r="L523" s="13">
        <f t="shared" ref="L523" si="540">IFERROR(L67/L295,"-")</f>
        <v>1</v>
      </c>
      <c r="N523" s="1"/>
    </row>
    <row r="524" spans="1:14" x14ac:dyDescent="0.35">
      <c r="A524" s="5"/>
      <c r="B524" s="5" t="s">
        <v>6</v>
      </c>
      <c r="C524" s="5" t="s">
        <v>7</v>
      </c>
      <c r="D524" t="s">
        <v>244</v>
      </c>
      <c r="E524" s="5" t="s">
        <v>240</v>
      </c>
      <c r="F524" s="13">
        <f t="shared" si="539"/>
        <v>1</v>
      </c>
      <c r="G524" s="13">
        <f t="shared" si="539"/>
        <v>1</v>
      </c>
      <c r="H524" s="13">
        <f t="shared" si="539"/>
        <v>1</v>
      </c>
      <c r="I524" s="13">
        <f t="shared" si="539"/>
        <v>1</v>
      </c>
      <c r="J524" s="13">
        <f t="shared" si="539"/>
        <v>1</v>
      </c>
      <c r="K524" s="13">
        <f t="shared" si="539"/>
        <v>1</v>
      </c>
      <c r="L524" s="13">
        <f t="shared" ref="L524" si="541">IFERROR(L68/L296,"-")</f>
        <v>1</v>
      </c>
      <c r="N524" s="1"/>
    </row>
    <row r="525" spans="1:14" x14ac:dyDescent="0.35">
      <c r="A525" s="5"/>
      <c r="B525" s="5" t="s">
        <v>6</v>
      </c>
      <c r="C525" s="5" t="s">
        <v>7</v>
      </c>
      <c r="D525" t="s">
        <v>245</v>
      </c>
      <c r="E525" s="5" t="s">
        <v>240</v>
      </c>
      <c r="F525" s="13">
        <f t="shared" si="539"/>
        <v>0.79999996707485099</v>
      </c>
      <c r="G525" s="13">
        <f t="shared" si="539"/>
        <v>0.79999994694805221</v>
      </c>
      <c r="H525" s="13">
        <f t="shared" si="539"/>
        <v>0.79999990031290191</v>
      </c>
      <c r="I525" s="13">
        <f t="shared" si="539"/>
        <v>0.80000000665779825</v>
      </c>
      <c r="J525" s="13">
        <f t="shared" si="539"/>
        <v>0.80000000379987157</v>
      </c>
      <c r="K525" s="13">
        <f t="shared" si="539"/>
        <v>0.80000000625413348</v>
      </c>
      <c r="L525" s="13">
        <f t="shared" ref="L525" si="542">IFERROR(L69/L297,"-")</f>
        <v>0.80000000620040945</v>
      </c>
      <c r="N525" s="1"/>
    </row>
    <row r="526" spans="1:14" x14ac:dyDescent="0.35">
      <c r="A526" s="5"/>
      <c r="B526" s="5" t="s">
        <v>6</v>
      </c>
      <c r="C526" s="5" t="s">
        <v>7</v>
      </c>
      <c r="D526" t="s">
        <v>246</v>
      </c>
      <c r="E526" s="5" t="s">
        <v>240</v>
      </c>
      <c r="F526" s="13">
        <f>IFERROR(F71/F299,"-")</f>
        <v>0.34420846136138794</v>
      </c>
      <c r="G526" s="13">
        <f t="shared" ref="G526:K526" si="543">IFERROR(G71/G299,"-")</f>
        <v>5.1578036155227304E-2</v>
      </c>
      <c r="H526" s="13">
        <f t="shared" si="543"/>
        <v>0.32603567055646565</v>
      </c>
      <c r="I526" s="13">
        <f t="shared" si="543"/>
        <v>0.29130371774168889</v>
      </c>
      <c r="J526" s="13">
        <f t="shared" si="543"/>
        <v>0.29621812902562666</v>
      </c>
      <c r="K526" s="13">
        <f t="shared" si="543"/>
        <v>0.31637997005218282</v>
      </c>
      <c r="L526" s="13">
        <f t="shared" ref="L526" si="544">IFERROR(L71/L299,"-")</f>
        <v>0.3160442585282961</v>
      </c>
      <c r="N526" s="1"/>
    </row>
    <row r="527" spans="1:14" x14ac:dyDescent="0.35">
      <c r="A527" s="5"/>
      <c r="B527" s="5" t="s">
        <v>6</v>
      </c>
      <c r="C527" s="5" t="s">
        <v>7</v>
      </c>
      <c r="D527" t="s">
        <v>247</v>
      </c>
      <c r="E527" s="5" t="s">
        <v>240</v>
      </c>
      <c r="F527" s="13">
        <f>IFERROR(F72/(F300+F413),"-")</f>
        <v>9.8649785416739036E-2</v>
      </c>
      <c r="G527" s="13">
        <f t="shared" ref="G527:K527" si="545">IFERROR(G72/(G300+G413),"-")</f>
        <v>3.9814668407197218E-2</v>
      </c>
      <c r="H527" s="13">
        <f t="shared" si="545"/>
        <v>9.7589282767963831E-2</v>
      </c>
      <c r="I527" s="13">
        <f t="shared" si="545"/>
        <v>0.10084401361653735</v>
      </c>
      <c r="J527" s="13">
        <f t="shared" si="545"/>
        <v>0.10266360443841756</v>
      </c>
      <c r="K527" s="13">
        <f t="shared" si="545"/>
        <v>0.10742213294399938</v>
      </c>
      <c r="L527" s="13">
        <f t="shared" ref="L527" si="546">IFERROR(L72/(L300+L413),"-")</f>
        <v>0.10672207223629465</v>
      </c>
      <c r="N527" s="1"/>
    </row>
    <row r="528" spans="1:14" x14ac:dyDescent="0.35">
      <c r="A528" s="5"/>
      <c r="B528" s="5" t="s">
        <v>6</v>
      </c>
      <c r="C528" s="5" t="s">
        <v>7</v>
      </c>
      <c r="D528" t="s">
        <v>248</v>
      </c>
      <c r="E528" s="5" t="s">
        <v>240</v>
      </c>
      <c r="F528" s="13">
        <f>IFERROR(F73/(F301+F465),"-")</f>
        <v>0.2412338048911081</v>
      </c>
      <c r="G528" s="13">
        <f t="shared" ref="G528:K528" si="547">IFERROR(G73/(G301+G465),"-")</f>
        <v>0.24667071322334794</v>
      </c>
      <c r="H528" s="13">
        <f t="shared" si="547"/>
        <v>0.24903060488782816</v>
      </c>
      <c r="I528" s="13">
        <f t="shared" si="547"/>
        <v>0.26336229809405015</v>
      </c>
      <c r="J528" s="13">
        <f t="shared" si="547"/>
        <v>0.26299257061732739</v>
      </c>
      <c r="K528" s="13">
        <f t="shared" si="547"/>
        <v>0.26160486309765973</v>
      </c>
      <c r="L528" s="13">
        <f t="shared" ref="L528" si="548">IFERROR(L73/(L301+L465),"-")</f>
        <v>0.25891284012687282</v>
      </c>
      <c r="N528" s="1"/>
    </row>
    <row r="529" spans="1:14" x14ac:dyDescent="0.35">
      <c r="A529" s="5"/>
      <c r="B529" s="5" t="s">
        <v>6</v>
      </c>
      <c r="C529" s="5" t="s">
        <v>7</v>
      </c>
      <c r="D529" t="s">
        <v>249</v>
      </c>
      <c r="E529" s="5" t="s">
        <v>240</v>
      </c>
      <c r="F529" s="13" t="str">
        <f>IFERROR(F83/F311,"-")</f>
        <v>-</v>
      </c>
      <c r="G529" s="13" t="str">
        <f t="shared" ref="G529:K529" si="549">IFERROR(G83/G311,"-")</f>
        <v>-</v>
      </c>
      <c r="H529" s="13" t="str">
        <f t="shared" si="549"/>
        <v>-</v>
      </c>
      <c r="I529" s="13" t="str">
        <f t="shared" si="549"/>
        <v>-</v>
      </c>
      <c r="J529" s="13" t="str">
        <f t="shared" si="549"/>
        <v>-</v>
      </c>
      <c r="K529" s="13">
        <f t="shared" si="549"/>
        <v>0.6225998303328063</v>
      </c>
      <c r="L529" s="13">
        <f t="shared" ref="L529" si="550">IFERROR(L83/L311,"-")</f>
        <v>0.62778809191638429</v>
      </c>
      <c r="N529" s="1"/>
    </row>
    <row r="530" spans="1:14" x14ac:dyDescent="0.35">
      <c r="A530" s="5"/>
      <c r="B530" s="5" t="s">
        <v>6</v>
      </c>
      <c r="C530" s="5" t="s">
        <v>7</v>
      </c>
      <c r="D530" t="s">
        <v>250</v>
      </c>
      <c r="E530" s="5" t="s">
        <v>240</v>
      </c>
      <c r="F530" s="13" t="str">
        <f>IFERROR(F84/F312,"-")</f>
        <v>-</v>
      </c>
      <c r="G530" s="13" t="str">
        <f t="shared" ref="G530:K530" si="551">IFERROR(G84/G312,"-")</f>
        <v>-</v>
      </c>
      <c r="H530" s="13" t="str">
        <f t="shared" si="551"/>
        <v>-</v>
      </c>
      <c r="I530" s="13" t="str">
        <f t="shared" si="551"/>
        <v>-</v>
      </c>
      <c r="J530" s="13">
        <f t="shared" si="551"/>
        <v>0.39418019796058829</v>
      </c>
      <c r="K530" s="13">
        <f t="shared" si="551"/>
        <v>0.38197804057035828</v>
      </c>
      <c r="L530" s="13">
        <f t="shared" ref="L530" si="552">IFERROR(L84/L312,"-")</f>
        <v>0.42323813435900609</v>
      </c>
      <c r="N530" s="1"/>
    </row>
    <row r="531" spans="1:14" x14ac:dyDescent="0.35">
      <c r="A531" s="5"/>
      <c r="B531" s="5" t="s">
        <v>6</v>
      </c>
      <c r="C531" s="5" t="s">
        <v>7</v>
      </c>
      <c r="D531" t="s">
        <v>251</v>
      </c>
      <c r="E531" s="5" t="s">
        <v>240</v>
      </c>
      <c r="F531" s="13" t="str">
        <f>IFERROR(F85/F313,"-")</f>
        <v>-</v>
      </c>
      <c r="G531" s="13" t="str">
        <f t="shared" ref="G531:K531" si="553">IFERROR(G85/G313,"-")</f>
        <v>-</v>
      </c>
      <c r="H531" s="13" t="str">
        <f t="shared" si="553"/>
        <v>-</v>
      </c>
      <c r="I531" s="13" t="str">
        <f t="shared" si="553"/>
        <v>-</v>
      </c>
      <c r="J531" s="13" t="str">
        <f t="shared" si="553"/>
        <v>-</v>
      </c>
      <c r="K531" s="13">
        <f t="shared" si="553"/>
        <v>0</v>
      </c>
      <c r="L531" s="13">
        <f t="shared" ref="L531" si="554">IFERROR(L85/L313,"-")</f>
        <v>0</v>
      </c>
      <c r="N531" s="1"/>
    </row>
    <row r="532" spans="1:14" x14ac:dyDescent="0.35">
      <c r="A532" s="5"/>
      <c r="B532" s="5" t="s">
        <v>6</v>
      </c>
      <c r="C532" s="5" t="s">
        <v>7</v>
      </c>
      <c r="D532" t="s">
        <v>252</v>
      </c>
      <c r="E532" s="5" t="s">
        <v>240</v>
      </c>
      <c r="F532" s="13">
        <f>IFERROR(F86/SUM(F314,F419),"-")</f>
        <v>0.26319093386336617</v>
      </c>
      <c r="G532" s="13">
        <f t="shared" ref="G532:K532" si="555">IFERROR(G86/SUM(G314,G419),"-")</f>
        <v>0.22064536318624611</v>
      </c>
      <c r="H532" s="13">
        <f t="shared" si="555"/>
        <v>0.25464340399285207</v>
      </c>
      <c r="I532" s="13">
        <f t="shared" si="555"/>
        <v>0.24591012080291028</v>
      </c>
      <c r="J532" s="13">
        <f t="shared" si="555"/>
        <v>0.24624616066254451</v>
      </c>
      <c r="K532" s="13">
        <f t="shared" si="555"/>
        <v>0.24911415262734077</v>
      </c>
      <c r="L532" s="13">
        <f t="shared" ref="L532" si="556">IFERROR(L86/SUM(L314,L419),"-")</f>
        <v>0.25101590469282009</v>
      </c>
      <c r="N532" s="1"/>
    </row>
    <row r="533" spans="1:14" x14ac:dyDescent="0.35">
      <c r="A533" s="5"/>
      <c r="B533" s="5" t="s">
        <v>6</v>
      </c>
      <c r="C533" s="5" t="s">
        <v>7</v>
      </c>
      <c r="D533" t="s">
        <v>253</v>
      </c>
      <c r="E533" s="5" t="s">
        <v>240</v>
      </c>
      <c r="F533" s="13" t="str">
        <f>IFERROR(F87/SUM(F315,F420),"-")</f>
        <v>-</v>
      </c>
      <c r="G533" s="13" t="str">
        <f t="shared" ref="G533:K533" si="557">IFERROR(G87/SUM(G315,G420),"-")</f>
        <v>-</v>
      </c>
      <c r="H533" s="13" t="str">
        <f t="shared" si="557"/>
        <v>-</v>
      </c>
      <c r="I533" s="13" t="str">
        <f t="shared" si="557"/>
        <v>-</v>
      </c>
      <c r="J533" s="13" t="str">
        <f t="shared" si="557"/>
        <v>-</v>
      </c>
      <c r="K533" s="13">
        <f t="shared" si="557"/>
        <v>0.40000000000000013</v>
      </c>
      <c r="L533" s="13">
        <f t="shared" ref="L533" si="558">IFERROR(L87/SUM(L315,L420),"-")</f>
        <v>0.4</v>
      </c>
      <c r="N533" s="1"/>
    </row>
    <row r="534" spans="1:14" x14ac:dyDescent="0.35">
      <c r="A534" s="5"/>
      <c r="B534" s="5" t="s">
        <v>6</v>
      </c>
      <c r="C534" s="5" t="s">
        <v>7</v>
      </c>
      <c r="D534" t="s">
        <v>254</v>
      </c>
      <c r="E534" s="5" t="s">
        <v>240</v>
      </c>
      <c r="F534" s="13">
        <f>IFERROR(F88/SUM(F316,F471),"-'")</f>
        <v>0.3493120651420929</v>
      </c>
      <c r="G534" s="13">
        <f t="shared" ref="G534:K534" si="559">IFERROR(G88/SUM(G316,G471),"-'")</f>
        <v>0.35197338471120188</v>
      </c>
      <c r="H534" s="13">
        <f t="shared" si="559"/>
        <v>0.35495242450428416</v>
      </c>
      <c r="I534" s="13">
        <f t="shared" si="559"/>
        <v>0.35999487296738103</v>
      </c>
      <c r="J534" s="13">
        <f t="shared" si="559"/>
        <v>0.35996473319666189</v>
      </c>
      <c r="K534" s="13">
        <f t="shared" si="559"/>
        <v>0.35544448962336095</v>
      </c>
      <c r="L534" s="13">
        <f t="shared" ref="L534" si="560">IFERROR(L88/SUM(L316,L471),"-'")</f>
        <v>0.35576692924098585</v>
      </c>
      <c r="N534" s="1"/>
    </row>
    <row r="535" spans="1:14" x14ac:dyDescent="0.35">
      <c r="A535" s="5"/>
      <c r="B535" s="5" t="s">
        <v>6</v>
      </c>
      <c r="C535" s="5" t="s">
        <v>7</v>
      </c>
      <c r="D535" t="s">
        <v>255</v>
      </c>
      <c r="E535" s="5" t="s">
        <v>240</v>
      </c>
      <c r="F535" s="13" t="str">
        <f t="shared" ref="F535:F543" si="561">IFERROR(F89/SUM(F317,F472),"-")</f>
        <v>-</v>
      </c>
      <c r="G535" s="13" t="str">
        <f t="shared" ref="G535:K535" si="562">IFERROR(G89/SUM(G317,G472),"-")</f>
        <v>-</v>
      </c>
      <c r="H535" s="13" t="str">
        <f t="shared" si="562"/>
        <v>-</v>
      </c>
      <c r="I535" s="13" t="str">
        <f t="shared" si="562"/>
        <v>-</v>
      </c>
      <c r="J535" s="13" t="str">
        <f t="shared" si="562"/>
        <v>-</v>
      </c>
      <c r="K535" s="13">
        <f t="shared" si="562"/>
        <v>0</v>
      </c>
      <c r="L535" s="13">
        <f t="shared" ref="L535" si="563">IFERROR(L89/SUM(L317,L472),"-")</f>
        <v>0</v>
      </c>
      <c r="N535" s="1"/>
    </row>
    <row r="536" spans="1:14" x14ac:dyDescent="0.35">
      <c r="A536" s="5"/>
      <c r="B536" s="5" t="s">
        <v>6</v>
      </c>
      <c r="C536" s="5" t="s">
        <v>7</v>
      </c>
      <c r="D536" t="s">
        <v>256</v>
      </c>
      <c r="E536" s="5" t="s">
        <v>240</v>
      </c>
      <c r="F536" s="13" t="str">
        <f t="shared" si="561"/>
        <v>-</v>
      </c>
      <c r="G536" s="13" t="str">
        <f t="shared" ref="G536:K536" si="564">IFERROR(G90/SUM(G318,G473),"-")</f>
        <v>-</v>
      </c>
      <c r="H536" s="13" t="str">
        <f t="shared" si="564"/>
        <v>-</v>
      </c>
      <c r="I536" s="13" t="str">
        <f t="shared" si="564"/>
        <v>-</v>
      </c>
      <c r="J536" s="13" t="str">
        <f t="shared" si="564"/>
        <v>-</v>
      </c>
      <c r="K536" s="13" t="str">
        <f t="shared" si="564"/>
        <v>-</v>
      </c>
      <c r="L536" s="13" t="str">
        <f t="shared" ref="L536" si="565">IFERROR(L90/SUM(L318,L473),"-")</f>
        <v>-</v>
      </c>
      <c r="N536" s="1"/>
    </row>
    <row r="537" spans="1:14" x14ac:dyDescent="0.35">
      <c r="A537" s="5"/>
      <c r="B537" s="5" t="s">
        <v>6</v>
      </c>
      <c r="C537" s="5" t="s">
        <v>7</v>
      </c>
      <c r="D537" t="s">
        <v>257</v>
      </c>
      <c r="E537" s="5" t="s">
        <v>240</v>
      </c>
      <c r="F537" s="13">
        <f t="shared" si="561"/>
        <v>0.24230989515412144</v>
      </c>
      <c r="G537" s="13">
        <f t="shared" ref="G537:K537" si="566">IFERROR(G91/SUM(G319,G474),"-")</f>
        <v>0.26726425921397151</v>
      </c>
      <c r="H537" s="13">
        <f t="shared" si="566"/>
        <v>0.22744840431488761</v>
      </c>
      <c r="I537" s="13" t="str">
        <f t="shared" si="566"/>
        <v>-</v>
      </c>
      <c r="J537" s="13">
        <f t="shared" si="566"/>
        <v>0.23070687581754742</v>
      </c>
      <c r="K537" s="13">
        <f t="shared" si="566"/>
        <v>0.21944893815484903</v>
      </c>
      <c r="L537" s="13">
        <f t="shared" ref="L537" si="567">IFERROR(L91/SUM(L319,L474),"-")</f>
        <v>0.22253846716545189</v>
      </c>
      <c r="N537" s="1"/>
    </row>
    <row r="538" spans="1:14" x14ac:dyDescent="0.35">
      <c r="A538" s="5"/>
      <c r="B538" s="5" t="s">
        <v>6</v>
      </c>
      <c r="C538" s="5" t="s">
        <v>7</v>
      </c>
      <c r="D538" t="s">
        <v>258</v>
      </c>
      <c r="E538" s="5" t="s">
        <v>240</v>
      </c>
      <c r="F538" s="13" t="str">
        <f t="shared" si="561"/>
        <v>-</v>
      </c>
      <c r="G538" s="13" t="str">
        <f t="shared" ref="G538:K538" si="568">IFERROR(G92/SUM(G320,G475),"-")</f>
        <v>-</v>
      </c>
      <c r="H538" s="13" t="str">
        <f t="shared" si="568"/>
        <v>-</v>
      </c>
      <c r="I538" s="13" t="str">
        <f t="shared" si="568"/>
        <v>-</v>
      </c>
      <c r="J538" s="13">
        <f t="shared" si="568"/>
        <v>0.42999999999999983</v>
      </c>
      <c r="K538" s="13">
        <f t="shared" si="568"/>
        <v>0.43999999999999984</v>
      </c>
      <c r="L538" s="13">
        <f t="shared" ref="L538" si="569">IFERROR(L92/SUM(L320,L475),"-")</f>
        <v>0.45000000000000012</v>
      </c>
      <c r="N538" s="1"/>
    </row>
    <row r="539" spans="1:14" x14ac:dyDescent="0.35">
      <c r="A539" s="5"/>
      <c r="B539" s="5" t="s">
        <v>6</v>
      </c>
      <c r="C539" s="5" t="s">
        <v>7</v>
      </c>
      <c r="D539" t="s">
        <v>259</v>
      </c>
      <c r="E539" s="5" t="s">
        <v>240</v>
      </c>
      <c r="F539" s="13">
        <f t="shared" si="561"/>
        <v>0.27502031666048304</v>
      </c>
      <c r="G539" s="13">
        <f t="shared" ref="G539:K539" si="570">IFERROR(G93/SUM(G321,G476),"-")</f>
        <v>0.28880065556020507</v>
      </c>
      <c r="H539" s="13">
        <f t="shared" si="570"/>
        <v>0.25290505227225007</v>
      </c>
      <c r="I539" s="13" t="str">
        <f t="shared" si="570"/>
        <v>-</v>
      </c>
      <c r="J539" s="13">
        <f t="shared" si="570"/>
        <v>0.30128428824116232</v>
      </c>
      <c r="K539" s="13">
        <f t="shared" si="570"/>
        <v>0.30330008588472046</v>
      </c>
      <c r="L539" s="13">
        <f t="shared" ref="L539" si="571">IFERROR(L93/SUM(L321,L476),"-")</f>
        <v>0.30759273175626095</v>
      </c>
      <c r="N539" s="1"/>
    </row>
    <row r="540" spans="1:14" x14ac:dyDescent="0.35">
      <c r="A540" s="5"/>
      <c r="B540" s="5" t="s">
        <v>6</v>
      </c>
      <c r="C540" s="5" t="s">
        <v>7</v>
      </c>
      <c r="D540" t="s">
        <v>260</v>
      </c>
      <c r="E540" s="5" t="s">
        <v>240</v>
      </c>
      <c r="F540" s="13" t="str">
        <f t="shared" si="561"/>
        <v>-</v>
      </c>
      <c r="G540" s="13" t="str">
        <f t="shared" ref="G540:K540" si="572">IFERROR(G94/SUM(G322,G477),"-")</f>
        <v>-</v>
      </c>
      <c r="H540" s="13" t="str">
        <f t="shared" si="572"/>
        <v>-</v>
      </c>
      <c r="I540" s="13" t="str">
        <f t="shared" si="572"/>
        <v>-</v>
      </c>
      <c r="J540" s="13">
        <f t="shared" si="572"/>
        <v>0.42999999999999955</v>
      </c>
      <c r="K540" s="13">
        <f t="shared" si="572"/>
        <v>0.43999999999999972</v>
      </c>
      <c r="L540" s="13">
        <f t="shared" ref="L540" si="573">IFERROR(L94/SUM(L322,L477),"-")</f>
        <v>0.45</v>
      </c>
      <c r="N540" s="1"/>
    </row>
    <row r="541" spans="1:14" x14ac:dyDescent="0.35">
      <c r="A541" s="5"/>
      <c r="B541" s="5" t="s">
        <v>6</v>
      </c>
      <c r="C541" s="5" t="s">
        <v>7</v>
      </c>
      <c r="D541" t="s">
        <v>261</v>
      </c>
      <c r="E541" s="5" t="s">
        <v>240</v>
      </c>
      <c r="F541" s="13">
        <f t="shared" si="561"/>
        <v>0.36265563525444594</v>
      </c>
      <c r="G541" s="13">
        <f t="shared" ref="G541:K541" si="574">IFERROR(G95/SUM(G323,G478),"-")</f>
        <v>0.3630754890066632</v>
      </c>
      <c r="H541" s="13">
        <f t="shared" si="574"/>
        <v>0.36351067488218425</v>
      </c>
      <c r="I541" s="13">
        <f t="shared" si="574"/>
        <v>0.36474454623056479</v>
      </c>
      <c r="J541" s="13">
        <f t="shared" si="574"/>
        <v>0.36981201501812722</v>
      </c>
      <c r="K541" s="13">
        <f t="shared" si="574"/>
        <v>0.37493215448057648</v>
      </c>
      <c r="L541" s="13">
        <f t="shared" ref="L541" si="575">IFERROR(L95/SUM(L323,L478),"-")</f>
        <v>0.38515964527601448</v>
      </c>
      <c r="N541" s="1"/>
    </row>
    <row r="542" spans="1:14" x14ac:dyDescent="0.35">
      <c r="A542" s="5"/>
      <c r="B542" s="5" t="s">
        <v>6</v>
      </c>
      <c r="C542" s="5" t="s">
        <v>7</v>
      </c>
      <c r="D542" t="s">
        <v>262</v>
      </c>
      <c r="E542" s="5" t="s">
        <v>240</v>
      </c>
      <c r="F542" s="13">
        <f t="shared" si="561"/>
        <v>0.35909346048943558</v>
      </c>
      <c r="G542" s="13">
        <f t="shared" ref="G542:K542" si="576">IFERROR(G96/SUM(G324,G479),"-")</f>
        <v>0.35999865440545292</v>
      </c>
      <c r="H542" s="13">
        <f t="shared" si="576"/>
        <v>0.35482474672192726</v>
      </c>
      <c r="I542" s="13" t="str">
        <f t="shared" si="576"/>
        <v>-</v>
      </c>
      <c r="J542" s="13">
        <f t="shared" si="576"/>
        <v>0.3598976189685465</v>
      </c>
      <c r="K542" s="13">
        <f t="shared" si="576"/>
        <v>0.35969595898027007</v>
      </c>
      <c r="L542" s="13">
        <f t="shared" ref="L542" si="577">IFERROR(L96/SUM(L324,L479),"-")</f>
        <v>0.21306248130338393</v>
      </c>
      <c r="N542" s="1"/>
    </row>
    <row r="543" spans="1:14" x14ac:dyDescent="0.35">
      <c r="A543" s="5"/>
      <c r="B543" s="5" t="s">
        <v>6</v>
      </c>
      <c r="C543" s="5" t="s">
        <v>7</v>
      </c>
      <c r="D543" t="s">
        <v>263</v>
      </c>
      <c r="E543" s="5" t="s">
        <v>240</v>
      </c>
      <c r="F543" s="13" t="str">
        <f t="shared" si="561"/>
        <v>-</v>
      </c>
      <c r="G543" s="13" t="str">
        <f t="shared" ref="G543:K543" si="578">IFERROR(G97/SUM(G325,G480),"-")</f>
        <v>-</v>
      </c>
      <c r="H543" s="13" t="str">
        <f t="shared" si="578"/>
        <v>-</v>
      </c>
      <c r="I543" s="13" t="str">
        <f t="shared" si="578"/>
        <v>-</v>
      </c>
      <c r="J543" s="13">
        <f t="shared" si="578"/>
        <v>0.60499999999999987</v>
      </c>
      <c r="K543" s="13">
        <f t="shared" si="578"/>
        <v>0.60999999999999965</v>
      </c>
      <c r="L543" s="13">
        <f t="shared" ref="L543" si="579">IFERROR(L97/SUM(L325,L480),"-")</f>
        <v>0.62000000000000022</v>
      </c>
      <c r="N543" s="1"/>
    </row>
    <row r="544" spans="1:14" x14ac:dyDescent="0.35">
      <c r="B544" s="5" t="s">
        <v>6</v>
      </c>
      <c r="C544" s="5" t="s">
        <v>7</v>
      </c>
      <c r="D544" t="s">
        <v>264</v>
      </c>
      <c r="E544" s="5" t="s">
        <v>240</v>
      </c>
      <c r="F544" s="13">
        <f>IFERROR(F131/F359,"-")</f>
        <v>0.35745695376016595</v>
      </c>
      <c r="G544" s="13">
        <f t="shared" ref="G544:K544" si="580">IFERROR(G131/G359,"-")</f>
        <v>0.35745695376016628</v>
      </c>
      <c r="H544" s="13">
        <f t="shared" si="580"/>
        <v>0.35745695376016617</v>
      </c>
      <c r="I544" s="13">
        <f t="shared" si="580"/>
        <v>0.35745695376016584</v>
      </c>
      <c r="J544" s="13">
        <f t="shared" si="580"/>
        <v>0.35745695376016623</v>
      </c>
      <c r="K544" s="13">
        <f t="shared" si="580"/>
        <v>0.35745695376016617</v>
      </c>
      <c r="L544" s="13">
        <f t="shared" ref="L544" si="581">IFERROR(L131/L359,"-")</f>
        <v>0.3574569537601659</v>
      </c>
      <c r="N544" s="1"/>
    </row>
    <row r="545" spans="2:14" x14ac:dyDescent="0.35">
      <c r="B545" s="5" t="s">
        <v>6</v>
      </c>
      <c r="C545" s="5" t="s">
        <v>7</v>
      </c>
      <c r="D545" t="s">
        <v>265</v>
      </c>
      <c r="E545" s="5" t="s">
        <v>240</v>
      </c>
      <c r="F545" s="13" t="str">
        <f>IFERROR(F132/F360,"-")</f>
        <v>-</v>
      </c>
      <c r="G545" s="13" t="str">
        <f t="shared" ref="G545:K545" si="582">IFERROR(G132/G360,"-")</f>
        <v>-</v>
      </c>
      <c r="H545" s="13" t="str">
        <f t="shared" si="582"/>
        <v>-</v>
      </c>
      <c r="I545" s="13" t="str">
        <f t="shared" si="582"/>
        <v>-</v>
      </c>
      <c r="J545" s="13" t="str">
        <f t="shared" si="582"/>
        <v>-</v>
      </c>
      <c r="K545" s="13" t="str">
        <f t="shared" si="582"/>
        <v>-</v>
      </c>
      <c r="L545" s="13" t="str">
        <f t="shared" ref="L545" si="583">IFERROR(L132/L360,"-")</f>
        <v>-</v>
      </c>
      <c r="N545" s="1"/>
    </row>
    <row r="546" spans="2:14" x14ac:dyDescent="0.35">
      <c r="B546" s="5" t="s">
        <v>6</v>
      </c>
      <c r="C546" s="5" t="s">
        <v>7</v>
      </c>
      <c r="D546" t="s">
        <v>266</v>
      </c>
      <c r="E546" s="5" t="s">
        <v>240</v>
      </c>
      <c r="F546" s="13">
        <f>IFERROR(F133/SUM(F361,F428),"-")</f>
        <v>3.838365258461305E-2</v>
      </c>
      <c r="G546" s="13">
        <f t="shared" ref="G546:K546" si="584">IFERROR(G133/SUM(G361,G428),"-")</f>
        <v>3.7020568751244556E-2</v>
      </c>
      <c r="H546" s="13">
        <f t="shared" si="584"/>
        <v>3.6789043449981705E-2</v>
      </c>
      <c r="I546" s="13">
        <f t="shared" si="584"/>
        <v>3.6991513302823374E-2</v>
      </c>
      <c r="J546" s="13">
        <f t="shared" si="584"/>
        <v>3.6948476642900907E-2</v>
      </c>
      <c r="K546" s="13">
        <f t="shared" si="584"/>
        <v>3.7149610175058509E-2</v>
      </c>
      <c r="L546" s="13">
        <f t="shared" ref="L546" si="585">IFERROR(L133/SUM(L361,L428),"-")</f>
        <v>3.7549324995068502E-2</v>
      </c>
      <c r="N546" s="1"/>
    </row>
    <row r="547" spans="2:14" x14ac:dyDescent="0.35">
      <c r="B547" s="5" t="s">
        <v>6</v>
      </c>
      <c r="C547" s="5" t="s">
        <v>7</v>
      </c>
      <c r="D547" t="s">
        <v>267</v>
      </c>
      <c r="E547" s="5" t="s">
        <v>240</v>
      </c>
      <c r="F547" s="13" t="str">
        <f>IFERROR(F134/SUM(F362,F429),"-")</f>
        <v>-</v>
      </c>
      <c r="G547" s="13" t="str">
        <f t="shared" ref="G547:K547" si="586">IFERROR(G134/SUM(G362,G429),"-")</f>
        <v>-</v>
      </c>
      <c r="H547" s="13" t="str">
        <f t="shared" si="586"/>
        <v>-</v>
      </c>
      <c r="I547" s="13" t="str">
        <f t="shared" si="586"/>
        <v>-</v>
      </c>
      <c r="J547" s="13" t="str">
        <f t="shared" si="586"/>
        <v>-</v>
      </c>
      <c r="K547" s="13" t="str">
        <f t="shared" si="586"/>
        <v>-</v>
      </c>
      <c r="L547" s="13" t="str">
        <f t="shared" ref="L547" si="587">IFERROR(L134/SUM(L362,L429),"-")</f>
        <v>-</v>
      </c>
      <c r="N547" s="1"/>
    </row>
    <row r="548" spans="2:14" x14ac:dyDescent="0.35">
      <c r="B548" s="5" t="s">
        <v>6</v>
      </c>
      <c r="C548" s="5" t="s">
        <v>7</v>
      </c>
      <c r="D548" t="s">
        <v>268</v>
      </c>
      <c r="E548" s="5" t="s">
        <v>240</v>
      </c>
      <c r="F548" s="13">
        <f>IFERROR(F135/SUM(F363,F504),"-")</f>
        <v>6.1973971356448665E-2</v>
      </c>
      <c r="G548" s="13">
        <f t="shared" ref="G548:K548" si="588">IFERROR(G135/SUM(G363,G504),"-")</f>
        <v>6.1972882536304445E-2</v>
      </c>
      <c r="H548" s="13">
        <f t="shared" si="588"/>
        <v>6.1972650567355313E-2</v>
      </c>
      <c r="I548" s="13">
        <f t="shared" si="588"/>
        <v>6.1972650567355334E-2</v>
      </c>
      <c r="J548" s="13">
        <f t="shared" si="588"/>
        <v>6.1972650567355313E-2</v>
      </c>
      <c r="K548" s="13">
        <f t="shared" si="588"/>
        <v>6.1972650567355264E-2</v>
      </c>
      <c r="L548" s="13">
        <f t="shared" ref="L548" si="589">IFERROR(L135/SUM(L363,L504),"-")</f>
        <v>6.1972650567355389E-2</v>
      </c>
      <c r="N548" s="1"/>
    </row>
    <row r="549" spans="2:14" x14ac:dyDescent="0.35">
      <c r="B549" s="5" t="s">
        <v>6</v>
      </c>
      <c r="C549" s="5" t="s">
        <v>7</v>
      </c>
      <c r="D549" t="s">
        <v>269</v>
      </c>
      <c r="E549" s="5" t="s">
        <v>240</v>
      </c>
      <c r="F549" s="13" t="str">
        <f>IFERROR(F136/SUM(F364,F505),"-")</f>
        <v>-</v>
      </c>
      <c r="G549" s="13" t="str">
        <f t="shared" ref="G549:K549" si="590">IFERROR(G136/SUM(G364,G505),"-")</f>
        <v>-</v>
      </c>
      <c r="H549" s="13" t="str">
        <f t="shared" si="590"/>
        <v>-</v>
      </c>
      <c r="I549" s="13" t="str">
        <f t="shared" si="590"/>
        <v>-</v>
      </c>
      <c r="J549" s="13" t="str">
        <f t="shared" si="590"/>
        <v>-</v>
      </c>
      <c r="K549" s="13" t="str">
        <f t="shared" si="590"/>
        <v>-</v>
      </c>
      <c r="L549" s="13" t="str">
        <f t="shared" ref="L549" si="591">IFERROR(L136/SUM(L364,L505),"-")</f>
        <v>-</v>
      </c>
      <c r="N549" s="1"/>
    </row>
    <row r="550" spans="2:14" x14ac:dyDescent="0.35">
      <c r="B550" s="5" t="s">
        <v>6</v>
      </c>
      <c r="C550" s="5" t="s">
        <v>7</v>
      </c>
      <c r="D550" t="s">
        <v>270</v>
      </c>
      <c r="E550" s="5" t="s">
        <v>240</v>
      </c>
      <c r="F550" s="13">
        <f>IFERROR(F152/SUM(F380,F437),"-")</f>
        <v>0.24390904677888847</v>
      </c>
      <c r="G550" s="13">
        <f t="shared" ref="G550:K550" si="592">IFERROR(G152/SUM(G380,G437),"-")</f>
        <v>0.25013601790773232</v>
      </c>
      <c r="H550" s="13">
        <f t="shared" si="592"/>
        <v>0.25852271555639794</v>
      </c>
      <c r="I550" s="13">
        <f t="shared" si="592"/>
        <v>0.27507934611412177</v>
      </c>
      <c r="J550" s="13">
        <f t="shared" si="592"/>
        <v>0.29064167829521959</v>
      </c>
      <c r="K550" s="13">
        <f t="shared" si="592"/>
        <v>0.3062229209265443</v>
      </c>
      <c r="L550" s="13">
        <f t="shared" ref="L550" si="593">IFERROR(L152/SUM(L380,L437),"-")</f>
        <v>0.30601292439768352</v>
      </c>
      <c r="N550" s="1"/>
    </row>
    <row r="551" spans="2:14" x14ac:dyDescent="0.35">
      <c r="B551" s="5" t="s">
        <v>6</v>
      </c>
      <c r="C551" s="5" t="s">
        <v>7</v>
      </c>
      <c r="D551" t="s">
        <v>271</v>
      </c>
      <c r="E551" s="5" t="s">
        <v>240</v>
      </c>
      <c r="F551" s="13" t="str">
        <f>IFERROR(F153/F381,"-")</f>
        <v>-</v>
      </c>
      <c r="G551" s="13" t="str">
        <f t="shared" ref="G551:K551" si="594">IFERROR(G153/G381,"-")</f>
        <v>-</v>
      </c>
      <c r="H551" s="13" t="str">
        <f t="shared" si="594"/>
        <v>-</v>
      </c>
      <c r="I551" s="13" t="str">
        <f t="shared" si="594"/>
        <v>-</v>
      </c>
      <c r="J551" s="13" t="str">
        <f t="shared" si="594"/>
        <v>-</v>
      </c>
      <c r="K551" s="13">
        <f t="shared" si="594"/>
        <v>0</v>
      </c>
      <c r="L551" s="13">
        <f t="shared" ref="L551" si="595">IFERROR(L153/L381,"-")</f>
        <v>0</v>
      </c>
      <c r="N551" s="1"/>
    </row>
    <row r="552" spans="2:14" x14ac:dyDescent="0.35">
      <c r="B552" s="5" t="s">
        <v>6</v>
      </c>
      <c r="C552" s="5" t="s">
        <v>7</v>
      </c>
      <c r="D552" t="s">
        <v>272</v>
      </c>
      <c r="E552" s="5" t="s">
        <v>240</v>
      </c>
      <c r="F552" s="13">
        <f>IFERROR(F154/SUM(F382,F513),"-")</f>
        <v>0.19762171433049253</v>
      </c>
      <c r="G552" s="13">
        <f t="shared" ref="G552:K552" si="596">IFERROR(G154/SUM(G382,G513),"-")</f>
        <v>0.22581697761616587</v>
      </c>
      <c r="H552" s="13">
        <f t="shared" si="596"/>
        <v>0.26805990957486658</v>
      </c>
      <c r="I552" s="13">
        <f t="shared" si="596"/>
        <v>0.33851062790629061</v>
      </c>
      <c r="J552" s="13">
        <f t="shared" si="596"/>
        <v>0.34579103002012623</v>
      </c>
      <c r="K552" s="13">
        <f t="shared" si="596"/>
        <v>0.35307843066221911</v>
      </c>
      <c r="L552" s="13">
        <f t="shared" ref="L552" si="597">IFERROR(L154/SUM(L382,L513),"-")</f>
        <v>0.36767607403730784</v>
      </c>
      <c r="N552" s="1"/>
    </row>
    <row r="553" spans="2:14" x14ac:dyDescent="0.35">
      <c r="B553" s="5" t="s">
        <v>6</v>
      </c>
      <c r="C553" s="5" t="s">
        <v>7</v>
      </c>
      <c r="D553" t="s">
        <v>273</v>
      </c>
      <c r="E553" s="5" t="s">
        <v>240</v>
      </c>
      <c r="F553" s="13" t="str">
        <f>IFERROR(F155/SUM(F383,F514),"-")</f>
        <v>-</v>
      </c>
      <c r="G553" s="13" t="str">
        <f t="shared" ref="G553:K553" si="598">IFERROR(G155/SUM(G383,G514),"-")</f>
        <v>-</v>
      </c>
      <c r="H553" s="13" t="str">
        <f t="shared" si="598"/>
        <v>-</v>
      </c>
      <c r="I553" s="13" t="str">
        <f t="shared" si="598"/>
        <v>-</v>
      </c>
      <c r="J553" s="13" t="str">
        <f t="shared" si="598"/>
        <v>-</v>
      </c>
      <c r="K553" s="13">
        <f t="shared" si="598"/>
        <v>0</v>
      </c>
      <c r="L553" s="13">
        <f t="shared" ref="L553" si="599">IFERROR(L155/SUM(L383,L514),"-")</f>
        <v>0</v>
      </c>
      <c r="N553" s="1"/>
    </row>
    <row r="554" spans="2:14" x14ac:dyDescent="0.35">
      <c r="B554" s="5" t="s">
        <v>6</v>
      </c>
      <c r="C554" s="5" t="s">
        <v>7</v>
      </c>
      <c r="D554" t="s">
        <v>274</v>
      </c>
      <c r="E554" s="5" t="s">
        <v>240</v>
      </c>
      <c r="F554" s="13" t="str">
        <f>IFERROR(F156/SUM(F384,F515),"-")</f>
        <v>-</v>
      </c>
      <c r="G554" s="13" t="str">
        <f t="shared" ref="G554:K554" si="600">IFERROR(G156/SUM(G384,G515),"-")</f>
        <v>-</v>
      </c>
      <c r="H554" s="13" t="str">
        <f t="shared" si="600"/>
        <v>-</v>
      </c>
      <c r="I554" s="13" t="str">
        <f t="shared" si="600"/>
        <v>-</v>
      </c>
      <c r="J554" s="13">
        <f t="shared" si="600"/>
        <v>0.20625758336386649</v>
      </c>
      <c r="K554" s="13">
        <f t="shared" si="600"/>
        <v>0.2153046753482856</v>
      </c>
      <c r="L554" s="13">
        <f t="shared" ref="L554" si="601">IFERROR(L156/SUM(L384,L515),"-")</f>
        <v>0.21518235028836463</v>
      </c>
      <c r="N554" s="1"/>
    </row>
    <row r="555" spans="2:14" x14ac:dyDescent="0.35">
      <c r="B555" s="5" t="s">
        <v>6</v>
      </c>
      <c r="C555" s="5" t="s">
        <v>7</v>
      </c>
      <c r="D555" t="s">
        <v>275</v>
      </c>
      <c r="E555" s="5" t="s">
        <v>240</v>
      </c>
      <c r="F555" s="13" t="str">
        <f>IFERROR(F157/SUM(F385,F516),"-")</f>
        <v>-</v>
      </c>
      <c r="G555" s="13" t="str">
        <f t="shared" ref="G555:K555" si="602">IFERROR(G157/SUM(G385,G516),"-")</f>
        <v>-</v>
      </c>
      <c r="H555" s="13" t="str">
        <f t="shared" si="602"/>
        <v>-</v>
      </c>
      <c r="I555" s="13" t="str">
        <f t="shared" si="602"/>
        <v>-</v>
      </c>
      <c r="J555" s="13">
        <f t="shared" si="602"/>
        <v>0.24071349479641177</v>
      </c>
      <c r="K555" s="13">
        <f t="shared" si="602"/>
        <v>0.24130279413021821</v>
      </c>
      <c r="L555" s="13">
        <f t="shared" ref="L555" si="603">IFERROR(L157/SUM(L385,L516),"-")</f>
        <v>0.24767722076564364</v>
      </c>
      <c r="N555" s="1"/>
    </row>
    <row r="556" spans="2:14" x14ac:dyDescent="0.35">
      <c r="B556" s="5" t="s">
        <v>6</v>
      </c>
      <c r="C556" s="5" t="s">
        <v>7</v>
      </c>
      <c r="D556" t="s">
        <v>293</v>
      </c>
      <c r="E556" s="5" t="s">
        <v>240</v>
      </c>
      <c r="F556" s="13" t="str">
        <f>IFERROR(F158/SUM(F386,F517),"-")</f>
        <v>-</v>
      </c>
      <c r="G556" s="13" t="str">
        <f t="shared" ref="G556:K556" si="604">IFERROR(G158/SUM(G386,G517),"-")</f>
        <v>-</v>
      </c>
      <c r="H556" s="13" t="str">
        <f t="shared" si="604"/>
        <v>-</v>
      </c>
      <c r="I556" s="13" t="str">
        <f t="shared" si="604"/>
        <v>-</v>
      </c>
      <c r="J556" s="13">
        <f t="shared" si="604"/>
        <v>0.29871451708271834</v>
      </c>
      <c r="K556" s="13">
        <f t="shared" si="604"/>
        <v>0.30952661235100554</v>
      </c>
      <c r="L556" s="13">
        <f t="shared" ref="L556" si="605">IFERROR(L158/SUM(L386,L517),"-")</f>
        <v>0.28756637448693373</v>
      </c>
      <c r="N556" s="1"/>
    </row>
    <row r="557" spans="2:14" x14ac:dyDescent="0.35">
      <c r="B557" s="5" t="s">
        <v>6</v>
      </c>
      <c r="C557" s="5" t="s">
        <v>7</v>
      </c>
      <c r="D557" t="s">
        <v>276</v>
      </c>
      <c r="E557" s="5" t="s">
        <v>240</v>
      </c>
      <c r="F557" s="13">
        <v>1</v>
      </c>
      <c r="G557" s="13">
        <v>1</v>
      </c>
      <c r="H557" s="13">
        <v>1</v>
      </c>
      <c r="I557" s="13">
        <v>1</v>
      </c>
      <c r="J557" s="13">
        <v>1</v>
      </c>
      <c r="K557" s="13">
        <v>1</v>
      </c>
      <c r="L557" s="13">
        <v>1</v>
      </c>
      <c r="N557" s="1"/>
    </row>
    <row r="558" spans="2:14" x14ac:dyDescent="0.35">
      <c r="B558" s="5" t="s">
        <v>6</v>
      </c>
      <c r="C558" s="5" t="s">
        <v>7</v>
      </c>
      <c r="D558" t="s">
        <v>277</v>
      </c>
      <c r="E558" s="5" t="s">
        <v>240</v>
      </c>
      <c r="F558" s="13">
        <v>1</v>
      </c>
      <c r="G558" s="13">
        <v>1</v>
      </c>
      <c r="H558" s="13">
        <v>1</v>
      </c>
      <c r="I558" s="13">
        <v>1</v>
      </c>
      <c r="J558" s="13">
        <v>1</v>
      </c>
      <c r="K558" s="13">
        <v>1</v>
      </c>
      <c r="L558" s="13">
        <v>1</v>
      </c>
      <c r="N558" s="1"/>
    </row>
    <row r="559" spans="2:14" x14ac:dyDescent="0.35">
      <c r="B559" s="5" t="s">
        <v>6</v>
      </c>
      <c r="C559" s="5" t="s">
        <v>7</v>
      </c>
      <c r="D559" t="s">
        <v>278</v>
      </c>
      <c r="E559" s="5" t="s">
        <v>240</v>
      </c>
      <c r="F559" s="13">
        <v>1</v>
      </c>
      <c r="G559" s="13">
        <v>1</v>
      </c>
      <c r="H559" s="13">
        <v>1</v>
      </c>
      <c r="I559" s="13">
        <v>1</v>
      </c>
      <c r="J559" s="13">
        <v>1</v>
      </c>
      <c r="K559" s="13">
        <v>1</v>
      </c>
      <c r="L559" s="13">
        <v>1</v>
      </c>
      <c r="N559" s="1"/>
    </row>
    <row r="560" spans="2:14" x14ac:dyDescent="0.35">
      <c r="B560" s="5" t="s">
        <v>6</v>
      </c>
      <c r="C560" s="5" t="s">
        <v>7</v>
      </c>
      <c r="D560" t="s">
        <v>279</v>
      </c>
      <c r="E560" s="5" t="s">
        <v>240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1</v>
      </c>
      <c r="L560" s="13">
        <v>1</v>
      </c>
      <c r="N560" s="1"/>
    </row>
    <row r="561" spans="2:14" x14ac:dyDescent="0.35">
      <c r="B561" s="5" t="s">
        <v>6</v>
      </c>
      <c r="C561" s="5" t="s">
        <v>7</v>
      </c>
      <c r="D561" t="s">
        <v>280</v>
      </c>
      <c r="E561" s="5" t="s">
        <v>240</v>
      </c>
      <c r="F561" s="13">
        <v>1</v>
      </c>
      <c r="G561" s="13">
        <v>1</v>
      </c>
      <c r="H561" s="13">
        <v>1</v>
      </c>
      <c r="I561" s="13">
        <v>1</v>
      </c>
      <c r="J561" s="13">
        <v>1</v>
      </c>
      <c r="K561" s="13">
        <v>1</v>
      </c>
      <c r="L561" s="13">
        <v>1</v>
      </c>
      <c r="N561" s="1"/>
    </row>
    <row r="562" spans="2:14" x14ac:dyDescent="0.35">
      <c r="B562" s="5" t="s">
        <v>6</v>
      </c>
      <c r="C562" s="5" t="s">
        <v>7</v>
      </c>
      <c r="D562" t="s">
        <v>281</v>
      </c>
      <c r="E562" s="5" t="s">
        <v>240</v>
      </c>
      <c r="F562" s="13">
        <v>1</v>
      </c>
      <c r="G562" s="13">
        <v>1</v>
      </c>
      <c r="H562" s="13">
        <v>1</v>
      </c>
      <c r="I562" s="13">
        <v>1</v>
      </c>
      <c r="J562" s="13">
        <v>1</v>
      </c>
      <c r="K562" s="13">
        <v>1</v>
      </c>
      <c r="L562" s="13">
        <v>1</v>
      </c>
      <c r="N562" s="1"/>
    </row>
    <row r="563" spans="2:14" x14ac:dyDescent="0.35">
      <c r="B563" s="5" t="s">
        <v>6</v>
      </c>
      <c r="C563" s="5" t="s">
        <v>7</v>
      </c>
      <c r="D563" t="s">
        <v>282</v>
      </c>
      <c r="E563" s="5" t="s">
        <v>240</v>
      </c>
      <c r="F563" s="13" t="str">
        <f>IFERROR(F168/F396,"-")</f>
        <v>-</v>
      </c>
      <c r="G563" s="13" t="str">
        <f t="shared" ref="G563:K563" si="606">IFERROR(G168/G396,"-")</f>
        <v>-</v>
      </c>
      <c r="H563" s="13" t="str">
        <f t="shared" si="606"/>
        <v>-</v>
      </c>
      <c r="I563" s="13" t="str">
        <f t="shared" si="606"/>
        <v>-</v>
      </c>
      <c r="J563" s="13" t="str">
        <f t="shared" si="606"/>
        <v>-</v>
      </c>
      <c r="K563" s="13">
        <f t="shared" si="606"/>
        <v>0.14999999999999997</v>
      </c>
      <c r="L563" s="13">
        <f t="shared" ref="L563" si="607">IFERROR(L168/L396,"-")</f>
        <v>0.14999999999999988</v>
      </c>
      <c r="N563" s="1"/>
    </row>
    <row r="564" spans="2:14" x14ac:dyDescent="0.35">
      <c r="B564" s="5" t="s">
        <v>6</v>
      </c>
      <c r="C564" s="5" t="s">
        <v>7</v>
      </c>
      <c r="D564" t="s">
        <v>283</v>
      </c>
      <c r="E564" s="5" t="s">
        <v>240</v>
      </c>
      <c r="F564" s="13" t="str">
        <f>IFERROR(F170/SUM(F398,F439),"-")</f>
        <v>-</v>
      </c>
      <c r="G564" s="13" t="str">
        <f t="shared" ref="G564:K564" si="608">IFERROR(G170/SUM(G398,G439),"-")</f>
        <v>-</v>
      </c>
      <c r="H564" s="13" t="str">
        <f t="shared" si="608"/>
        <v>-</v>
      </c>
      <c r="I564" s="13" t="str">
        <f t="shared" si="608"/>
        <v>-</v>
      </c>
      <c r="J564" s="13" t="str">
        <f t="shared" si="608"/>
        <v>-</v>
      </c>
      <c r="K564" s="13" t="str">
        <f t="shared" si="608"/>
        <v>-</v>
      </c>
      <c r="L564" s="13" t="str">
        <f t="shared" ref="L564" si="609">IFERROR(L170/SUM(L398,L439),"-")</f>
        <v>-</v>
      </c>
      <c r="N564" s="1"/>
    </row>
    <row r="565" spans="2:14" x14ac:dyDescent="0.35">
      <c r="B565" s="5" t="s">
        <v>6</v>
      </c>
      <c r="C565" s="5" t="s">
        <v>7</v>
      </c>
      <c r="D565" t="s">
        <v>284</v>
      </c>
      <c r="E565" s="5" t="s">
        <v>240</v>
      </c>
      <c r="F565" s="13" t="str">
        <f>IFERROR(F171/SUM(F399,F519),"-")</f>
        <v>-</v>
      </c>
      <c r="G565" s="13" t="str">
        <f t="shared" ref="G565:K565" si="610">IFERROR(G171/SUM(G399,G519),"-")</f>
        <v>-</v>
      </c>
      <c r="H565" s="13" t="str">
        <f t="shared" si="610"/>
        <v>-</v>
      </c>
      <c r="I565" s="13" t="str">
        <f t="shared" si="610"/>
        <v>-</v>
      </c>
      <c r="J565" s="13" t="str">
        <f t="shared" si="610"/>
        <v>-</v>
      </c>
      <c r="K565" s="13" t="str">
        <f t="shared" si="610"/>
        <v>-</v>
      </c>
      <c r="L565" s="13" t="str">
        <f t="shared" ref="L565" si="611">IFERROR(L171/SUM(L399,L519),"-")</f>
        <v>-</v>
      </c>
      <c r="N565" s="1"/>
    </row>
    <row r="566" spans="2:14" x14ac:dyDescent="0.35">
      <c r="B566" s="5" t="s">
        <v>6</v>
      </c>
      <c r="C566" s="5" t="s">
        <v>7</v>
      </c>
      <c r="D566" t="s">
        <v>285</v>
      </c>
      <c r="E566" s="5" t="s">
        <v>240</v>
      </c>
      <c r="F566" s="13" t="str">
        <f>IFERROR(F172/SUM(F400,F520),"-")</f>
        <v>-</v>
      </c>
      <c r="G566" s="13" t="str">
        <f t="shared" ref="G566:K566" si="612">IFERROR(G172/SUM(G400,G520),"-")</f>
        <v>-</v>
      </c>
      <c r="H566" s="13" t="str">
        <f t="shared" si="612"/>
        <v>-</v>
      </c>
      <c r="I566" s="13" t="str">
        <f t="shared" si="612"/>
        <v>-</v>
      </c>
      <c r="J566" s="13" t="str">
        <f t="shared" si="612"/>
        <v>-</v>
      </c>
      <c r="K566" s="13" t="str">
        <f t="shared" si="612"/>
        <v>-</v>
      </c>
      <c r="L566" s="13" t="str">
        <f t="shared" ref="L566" si="613">IFERROR(L172/SUM(L400,L520),"-")</f>
        <v>-</v>
      </c>
      <c r="N566" s="1"/>
    </row>
    <row r="567" spans="2:14" x14ac:dyDescent="0.35">
      <c r="B567" s="5" t="s">
        <v>6</v>
      </c>
      <c r="C567" s="5" t="s">
        <v>7</v>
      </c>
      <c r="D567" t="s">
        <v>286</v>
      </c>
      <c r="E567" s="5" t="s">
        <v>240</v>
      </c>
      <c r="F567" s="13">
        <f t="shared" ref="F567:K573" si="614">IFERROR(F174/F402,"-")</f>
        <v>0.69997602643025225</v>
      </c>
      <c r="G567" s="13">
        <f t="shared" si="614"/>
        <v>0.69968562449135152</v>
      </c>
      <c r="H567" s="13">
        <f t="shared" si="614"/>
        <v>0.69999905674312768</v>
      </c>
      <c r="I567" s="13">
        <f t="shared" si="614"/>
        <v>0.69998592812010052</v>
      </c>
      <c r="J567" s="13">
        <f t="shared" si="614"/>
        <v>0.69991045328454649</v>
      </c>
      <c r="K567" s="13">
        <f t="shared" si="614"/>
        <v>0.69983274903590797</v>
      </c>
      <c r="L567" s="13">
        <f t="shared" ref="L567" si="615">IFERROR(L174/L402,"-")</f>
        <v>0.69999726308380339</v>
      </c>
      <c r="N567" s="1"/>
    </row>
    <row r="568" spans="2:14" x14ac:dyDescent="0.35">
      <c r="B568" s="5" t="s">
        <v>6</v>
      </c>
      <c r="C568" s="5" t="s">
        <v>7</v>
      </c>
      <c r="D568" t="s">
        <v>287</v>
      </c>
      <c r="E568" s="5" t="s">
        <v>240</v>
      </c>
      <c r="F568" s="13">
        <f t="shared" si="614"/>
        <v>0.86258709479520934</v>
      </c>
      <c r="G568" s="13">
        <f t="shared" si="614"/>
        <v>0.86344349171337498</v>
      </c>
      <c r="H568" s="13">
        <f t="shared" si="614"/>
        <v>0.86703803853665207</v>
      </c>
      <c r="I568" s="13">
        <f t="shared" si="614"/>
        <v>0.8670338403961394</v>
      </c>
      <c r="J568" s="13">
        <f t="shared" si="614"/>
        <v>0.86703296154683707</v>
      </c>
      <c r="K568" s="13">
        <f t="shared" si="614"/>
        <v>0.86703382636803716</v>
      </c>
      <c r="L568" s="13">
        <f t="shared" ref="L568" si="616">IFERROR(L175/L403,"-")</f>
        <v>0.86703892185611431</v>
      </c>
      <c r="N568" s="1"/>
    </row>
    <row r="569" spans="2:14" x14ac:dyDescent="0.35">
      <c r="B569" s="5" t="s">
        <v>6</v>
      </c>
      <c r="C569" s="5" t="s">
        <v>7</v>
      </c>
      <c r="D569" t="s">
        <v>288</v>
      </c>
      <c r="E569" s="5" t="s">
        <v>240</v>
      </c>
      <c r="F569" s="13">
        <f t="shared" si="614"/>
        <v>0.89426967500005494</v>
      </c>
      <c r="G569" s="13">
        <f t="shared" si="614"/>
        <v>0.8941152476612505</v>
      </c>
      <c r="H569" s="13">
        <f t="shared" si="614"/>
        <v>0.89425395618097969</v>
      </c>
      <c r="I569" s="13">
        <f t="shared" si="614"/>
        <v>0.8942557529211288</v>
      </c>
      <c r="J569" s="13">
        <f t="shared" si="614"/>
        <v>0.89426689263461057</v>
      </c>
      <c r="K569" s="13">
        <f t="shared" si="614"/>
        <v>0.89426511474513837</v>
      </c>
      <c r="L569" s="13">
        <f t="shared" ref="L569" si="617">IFERROR(L176/L404,"-")</f>
        <v>0.89426955252333162</v>
      </c>
      <c r="N569" s="1"/>
    </row>
    <row r="570" spans="2:14" x14ac:dyDescent="0.35">
      <c r="B570" s="5" t="s">
        <v>6</v>
      </c>
      <c r="C570" s="5" t="s">
        <v>7</v>
      </c>
      <c r="D570" t="s">
        <v>289</v>
      </c>
      <c r="E570" s="5" t="s">
        <v>240</v>
      </c>
      <c r="F570" s="13">
        <f t="shared" si="614"/>
        <v>0.90154274744700214</v>
      </c>
      <c r="G570" s="13">
        <f t="shared" si="614"/>
        <v>0.89881623179568626</v>
      </c>
      <c r="H570" s="13">
        <f t="shared" si="614"/>
        <v>0.90426696752052993</v>
      </c>
      <c r="I570" s="13">
        <f t="shared" si="614"/>
        <v>0.90426834936776779</v>
      </c>
      <c r="J570" s="13">
        <f t="shared" si="614"/>
        <v>0.90426887533896483</v>
      </c>
      <c r="K570" s="13">
        <f t="shared" si="614"/>
        <v>0.90426914737135855</v>
      </c>
      <c r="L570" s="13">
        <f t="shared" ref="L570" si="618">IFERROR(L177/L405,"-")</f>
        <v>0.90426932036214858</v>
      </c>
      <c r="N570" s="1"/>
    </row>
    <row r="571" spans="2:14" x14ac:dyDescent="0.35">
      <c r="B571" s="5" t="s">
        <v>6</v>
      </c>
      <c r="C571" s="5" t="s">
        <v>7</v>
      </c>
      <c r="D571" t="s">
        <v>1854</v>
      </c>
      <c r="E571" s="5" t="s">
        <v>240</v>
      </c>
      <c r="F571" s="13">
        <f t="shared" si="614"/>
        <v>0.8974552484160595</v>
      </c>
      <c r="G571" s="13">
        <f t="shared" si="614"/>
        <v>0.8988341210016757</v>
      </c>
      <c r="H571" s="13">
        <f t="shared" si="614"/>
        <v>0.90426700483222311</v>
      </c>
      <c r="I571" s="13">
        <f t="shared" si="614"/>
        <v>0.90426377335681574</v>
      </c>
      <c r="J571" s="13">
        <f t="shared" si="614"/>
        <v>0.9042677070565176</v>
      </c>
      <c r="K571" s="13">
        <f t="shared" si="614"/>
        <v>0.90426720995152665</v>
      </c>
      <c r="L571" s="13">
        <f t="shared" ref="L571" si="619">IFERROR(L178/L406,"-")</f>
        <v>0.90426865120992328</v>
      </c>
      <c r="N571" s="1"/>
    </row>
    <row r="572" spans="2:14" x14ac:dyDescent="0.35">
      <c r="B572" s="5" t="s">
        <v>6</v>
      </c>
      <c r="C572" s="5" t="s">
        <v>7</v>
      </c>
      <c r="D572" t="s">
        <v>290</v>
      </c>
      <c r="E572" s="5" t="s">
        <v>240</v>
      </c>
      <c r="F572" s="13">
        <f t="shared" si="614"/>
        <v>0.89732347305979399</v>
      </c>
      <c r="G572" s="13">
        <f t="shared" si="614"/>
        <v>0.89872850638443835</v>
      </c>
      <c r="H572" s="13">
        <f t="shared" si="614"/>
        <v>0.9042647479341559</v>
      </c>
      <c r="I572" s="13">
        <f t="shared" si="614"/>
        <v>0.90425460099221244</v>
      </c>
      <c r="J572" s="13">
        <f t="shared" si="614"/>
        <v>0.90426533873063963</v>
      </c>
      <c r="K572" s="13">
        <f t="shared" si="614"/>
        <v>0.90426417795387637</v>
      </c>
      <c r="L572" s="13">
        <f t="shared" ref="L572" si="620">IFERROR(L179/L407,"-")</f>
        <v>0.90426638882228205</v>
      </c>
      <c r="N572" s="1"/>
    </row>
    <row r="573" spans="2:14" x14ac:dyDescent="0.35">
      <c r="B573" s="5" t="s">
        <v>6</v>
      </c>
      <c r="C573" s="5" t="s">
        <v>7</v>
      </c>
      <c r="D573" t="s">
        <v>291</v>
      </c>
      <c r="E573" s="5" t="s">
        <v>240</v>
      </c>
      <c r="F573" s="13">
        <f t="shared" si="614"/>
        <v>0.89751524445077058</v>
      </c>
      <c r="G573" s="13">
        <f t="shared" si="614"/>
        <v>0.89888415033470803</v>
      </c>
      <c r="H573" s="13">
        <f t="shared" si="614"/>
        <v>0.90426870793107383</v>
      </c>
      <c r="I573" s="13">
        <f t="shared" si="614"/>
        <v>0.90426698724864307</v>
      </c>
      <c r="J573" s="13">
        <f t="shared" si="614"/>
        <v>0.90426861802630643</v>
      </c>
      <c r="K573" s="13">
        <f t="shared" si="614"/>
        <v>0.90426836719481984</v>
      </c>
      <c r="L573" s="13">
        <f t="shared" ref="L573" si="621">IFERROR(L180/L408,"-")</f>
        <v>0.90426912668323434</v>
      </c>
      <c r="N573" s="1"/>
    </row>
    <row r="574" spans="2:14" x14ac:dyDescent="0.35">
      <c r="B574" s="9" t="s">
        <v>6</v>
      </c>
      <c r="C574" s="9" t="s">
        <v>7</v>
      </c>
      <c r="D574" s="2" t="s">
        <v>296</v>
      </c>
      <c r="E574" s="5" t="s">
        <v>240</v>
      </c>
      <c r="F574" t="s">
        <v>292</v>
      </c>
      <c r="G574" t="s">
        <v>292</v>
      </c>
      <c r="H574" t="s">
        <v>292</v>
      </c>
      <c r="I574" t="s">
        <v>292</v>
      </c>
      <c r="J574" t="s">
        <v>292</v>
      </c>
      <c r="K574" t="s">
        <v>292</v>
      </c>
      <c r="L574" t="s">
        <v>292</v>
      </c>
      <c r="N574" s="1"/>
    </row>
    <row r="575" spans="2:14" x14ac:dyDescent="0.35">
      <c r="B575" s="5" t="s">
        <v>6</v>
      </c>
      <c r="C575" s="5" t="s">
        <v>7</v>
      </c>
      <c r="D575" t="s">
        <v>297</v>
      </c>
      <c r="E575" s="5" t="s">
        <v>240</v>
      </c>
      <c r="F575" s="4">
        <f>IFERROR(F212/F442,"-")</f>
        <v>0.59933762677181668</v>
      </c>
      <c r="G575" s="4">
        <f t="shared" ref="G575:K575" si="622">IFERROR(G212/G442,"-")</f>
        <v>0.57980077519558559</v>
      </c>
      <c r="H575" s="4">
        <f t="shared" si="622"/>
        <v>0.51693111938837</v>
      </c>
      <c r="I575" s="4">
        <f t="shared" si="622"/>
        <v>0.66493132384340403</v>
      </c>
      <c r="J575" s="4">
        <f t="shared" si="622"/>
        <v>0.60682974213688445</v>
      </c>
      <c r="K575" s="4">
        <f t="shared" si="622"/>
        <v>0.60682693149617162</v>
      </c>
      <c r="L575" s="4">
        <f t="shared" ref="L575" si="623">IFERROR(L212/L442,"-")</f>
        <v>0.4106471803281877</v>
      </c>
      <c r="N575" s="1"/>
    </row>
    <row r="576" spans="2:14" x14ac:dyDescent="0.35">
      <c r="B576" s="5" t="s">
        <v>6</v>
      </c>
      <c r="C576" s="5" t="s">
        <v>7</v>
      </c>
      <c r="D576" t="s">
        <v>298</v>
      </c>
      <c r="E576" s="5" t="s">
        <v>240</v>
      </c>
      <c r="F576" s="4">
        <f>IFERROR(F218/F448,"-")</f>
        <v>2</v>
      </c>
      <c r="G576" s="4">
        <f t="shared" ref="G576:K576" si="624">IFERROR(G218/G448,"-")</f>
        <v>2</v>
      </c>
      <c r="H576" s="4">
        <f t="shared" si="624"/>
        <v>2</v>
      </c>
      <c r="I576" s="4">
        <f t="shared" si="624"/>
        <v>2</v>
      </c>
      <c r="J576" s="4">
        <f t="shared" si="624"/>
        <v>2</v>
      </c>
      <c r="K576" s="4" t="str">
        <f t="shared" si="624"/>
        <v>-</v>
      </c>
      <c r="L576" s="4" t="str">
        <f t="shared" ref="L576" si="625">IFERROR(L218/L448,"-")</f>
        <v>-</v>
      </c>
      <c r="N576" s="1"/>
    </row>
    <row r="577" spans="2:14" x14ac:dyDescent="0.35">
      <c r="B577" s="5" t="s">
        <v>6</v>
      </c>
      <c r="C577" s="5" t="s">
        <v>7</v>
      </c>
      <c r="D577" t="s">
        <v>299</v>
      </c>
      <c r="E577" s="5" t="s">
        <v>240</v>
      </c>
      <c r="F577" s="4">
        <f>IFERROR(F220/F450,"-")</f>
        <v>0.8544550111113246</v>
      </c>
      <c r="G577" s="4">
        <f t="shared" ref="G577:K577" si="626">IFERROR(G220/G450,"-")</f>
        <v>0.85445501111132471</v>
      </c>
      <c r="H577" s="4">
        <f t="shared" si="626"/>
        <v>0.85445501111132482</v>
      </c>
      <c r="I577" s="4">
        <f t="shared" si="626"/>
        <v>0.85445501111132549</v>
      </c>
      <c r="J577" s="4">
        <f t="shared" si="626"/>
        <v>0.85445501111132571</v>
      </c>
      <c r="K577" s="4">
        <f t="shared" si="626"/>
        <v>0.85445501111132449</v>
      </c>
      <c r="L577" s="4">
        <f t="shared" ref="L577" si="627">IFERROR(L220/L450,"-")</f>
        <v>0.85445501111132494</v>
      </c>
      <c r="N577" s="1"/>
    </row>
    <row r="578" spans="2:14" x14ac:dyDescent="0.35">
      <c r="B578" s="5" t="s">
        <v>6</v>
      </c>
      <c r="C578" s="5" t="s">
        <v>7</v>
      </c>
      <c r="D578" t="s">
        <v>300</v>
      </c>
      <c r="E578" s="5" t="s">
        <v>240</v>
      </c>
      <c r="F578" s="4">
        <f>IFERROR(F226/F456,"-")</f>
        <v>0.7</v>
      </c>
      <c r="G578" s="4">
        <f t="shared" ref="G578:K578" si="628">IFERROR(G226/G456,"-")</f>
        <v>0.6999999999999994</v>
      </c>
      <c r="H578" s="4">
        <f t="shared" si="628"/>
        <v>0.70000000000000018</v>
      </c>
      <c r="I578" s="4">
        <f t="shared" si="628"/>
        <v>0.7</v>
      </c>
      <c r="J578" s="4">
        <f t="shared" si="628"/>
        <v>0.69999999999999907</v>
      </c>
      <c r="K578" s="4">
        <f t="shared" si="628"/>
        <v>0.69999999999999951</v>
      </c>
      <c r="L578" s="4">
        <f t="shared" ref="L578" si="629">IFERROR(L226/L456,"-")</f>
        <v>0.70000000000000007</v>
      </c>
      <c r="N578" s="1"/>
    </row>
    <row r="579" spans="2:14" x14ac:dyDescent="0.35">
      <c r="B579" s="5" t="s">
        <v>6</v>
      </c>
      <c r="C579" s="5" t="s">
        <v>7</v>
      </c>
      <c r="D579" t="s">
        <v>301</v>
      </c>
      <c r="E579" s="5" t="s">
        <v>240</v>
      </c>
      <c r="F579" t="str">
        <f>IFERROR(F228/F458,"-")</f>
        <v>-</v>
      </c>
      <c r="G579" t="str">
        <f t="shared" ref="G579:K579" si="630">IFERROR(G228/G458,"-")</f>
        <v>-</v>
      </c>
      <c r="H579" t="str">
        <f t="shared" si="630"/>
        <v>-</v>
      </c>
      <c r="I579">
        <f t="shared" si="630"/>
        <v>0.50000000000000067</v>
      </c>
      <c r="J579">
        <f t="shared" si="630"/>
        <v>0.50000000000000022</v>
      </c>
      <c r="K579">
        <f t="shared" si="630"/>
        <v>0.50000000000000033</v>
      </c>
      <c r="L579">
        <f t="shared" ref="L579" si="631">IFERROR(L228/L458,"-")</f>
        <v>0.49999999999999983</v>
      </c>
      <c r="N579" s="1"/>
    </row>
    <row r="580" spans="2:14" x14ac:dyDescent="0.35">
      <c r="B580" s="5" t="s">
        <v>6</v>
      </c>
      <c r="C580" s="5" t="s">
        <v>7</v>
      </c>
      <c r="D580" t="s">
        <v>302</v>
      </c>
      <c r="E580" s="5" t="s">
        <v>240</v>
      </c>
      <c r="F580" t="str">
        <f>IFERROR(F230/F460,"-")</f>
        <v>-</v>
      </c>
      <c r="G580" t="str">
        <f t="shared" ref="G580:K580" si="632">IFERROR(G230/G460,"-")</f>
        <v>-</v>
      </c>
      <c r="H580" t="str">
        <f t="shared" si="632"/>
        <v>-</v>
      </c>
      <c r="I580" t="str">
        <f t="shared" si="632"/>
        <v>-</v>
      </c>
      <c r="J580" t="str">
        <f t="shared" si="632"/>
        <v>-</v>
      </c>
      <c r="K580">
        <f t="shared" si="632"/>
        <v>0.84999999999999942</v>
      </c>
      <c r="L580">
        <f t="shared" ref="L580" si="633">IFERROR(L230/L460,"-")</f>
        <v>0.85000000000000031</v>
      </c>
      <c r="N580" s="1"/>
    </row>
    <row r="581" spans="2:14" x14ac:dyDescent="0.35">
      <c r="B581" s="5" t="s">
        <v>6</v>
      </c>
      <c r="C581" s="5" t="s">
        <v>7</v>
      </c>
      <c r="D581" t="s">
        <v>720</v>
      </c>
      <c r="E581" s="5" t="s">
        <v>240</v>
      </c>
      <c r="F581" s="4" t="str">
        <f>IFERROR(F232/F462,"-")</f>
        <v>-</v>
      </c>
      <c r="G581" s="4">
        <f t="shared" ref="G581:K581" si="634">IFERROR(G232/G462,"-")</f>
        <v>3.0000000000000013</v>
      </c>
      <c r="H581" s="4">
        <f t="shared" si="634"/>
        <v>2.9999999999999969</v>
      </c>
      <c r="I581" s="4">
        <f t="shared" si="634"/>
        <v>3.0000000000000009</v>
      </c>
      <c r="J581" s="4">
        <f t="shared" si="634"/>
        <v>2.999999999999996</v>
      </c>
      <c r="K581" s="4">
        <f t="shared" si="634"/>
        <v>3.0000000000000004</v>
      </c>
      <c r="L581" s="4">
        <f t="shared" ref="L581" si="635">IFERROR(L232/L462,"-")</f>
        <v>3.0000000000000013</v>
      </c>
      <c r="N581" s="1"/>
    </row>
    <row r="582" spans="2:14" x14ac:dyDescent="0.35">
      <c r="B582" s="9" t="s">
        <v>6</v>
      </c>
      <c r="C582" s="9" t="s">
        <v>7</v>
      </c>
      <c r="D582" s="2" t="s">
        <v>303</v>
      </c>
      <c r="E582" s="9" t="s">
        <v>8</v>
      </c>
      <c r="F582" s="3">
        <f>[1]Other_transformation!B$5</f>
        <v>0.64505964940675253</v>
      </c>
      <c r="G582" s="3">
        <f>[1]Other_transformation!C$5</f>
        <v>0.63725221790630937</v>
      </c>
      <c r="H582" s="3">
        <f>[1]Other_transformation!D$5</f>
        <v>1.2038229470264161</v>
      </c>
      <c r="I582" s="3">
        <f>[1]Other_transformation!E$5</f>
        <v>4.0322246870264504E-5</v>
      </c>
      <c r="J582" s="3">
        <f>[2]Other_transformation!F$5</f>
        <v>1.1567837075007621E-4</v>
      </c>
      <c r="K582" s="3">
        <f>[2]Other_transformation!G$5</f>
        <v>9.4195212201809945E-5</v>
      </c>
      <c r="L582" s="3">
        <f>[2]Other_transformation!H$5</f>
        <v>6.632540716744814E-5</v>
      </c>
      <c r="N582" s="1"/>
    </row>
    <row r="583" spans="2:14" x14ac:dyDescent="0.35">
      <c r="B583" s="5" t="s">
        <v>6</v>
      </c>
      <c r="C583" s="5" t="s">
        <v>7</v>
      </c>
      <c r="D583" t="s">
        <v>902</v>
      </c>
      <c r="E583" s="5" t="s">
        <v>8</v>
      </c>
      <c r="F583" s="1">
        <f>F582</f>
        <v>0.64505964940675253</v>
      </c>
      <c r="G583" s="1">
        <f t="shared" ref="G583:K583" si="636">G582</f>
        <v>0.63725221790630937</v>
      </c>
      <c r="H583" s="1">
        <f t="shared" si="636"/>
        <v>1.2038229470264161</v>
      </c>
      <c r="I583" s="1">
        <f t="shared" si="636"/>
        <v>4.0322246870264504E-5</v>
      </c>
      <c r="J583" s="1">
        <f t="shared" si="636"/>
        <v>1.1567837075007621E-4</v>
      </c>
      <c r="K583" s="1">
        <f t="shared" si="636"/>
        <v>9.4195212201809945E-5</v>
      </c>
      <c r="L583" s="1">
        <f t="shared" ref="L583" si="637">L582</f>
        <v>6.632540716744814E-5</v>
      </c>
      <c r="N583" s="1"/>
    </row>
    <row r="584" spans="2:14" x14ac:dyDescent="0.35">
      <c r="B584" s="5" t="s">
        <v>6</v>
      </c>
      <c r="C584" s="5" t="s">
        <v>7</v>
      </c>
      <c r="D584" t="s">
        <v>304</v>
      </c>
      <c r="E584" s="5" t="s">
        <v>8</v>
      </c>
      <c r="F584" s="1" cm="1">
        <f t="array" ref="F584">SUMPRODUCT(("CT_CWODBDS"=[1]OUT_SyntheticFuels!$C$4:$C$1000)*1,("BDS"=[1]OUT_SyntheticFuels!$A$4:$A$1000)*1,("Var_Fout"=[1]OUT_SyntheticFuels!$B$4:$B$1000)*1,[1]OUT_SyntheticFuels!E$4:E$1000)</f>
        <v>0.64505964940675253</v>
      </c>
      <c r="G584" s="1" cm="1">
        <f t="array" ref="G584">SUMPRODUCT(("CT_CWODBDS"=[1]OUT_SyntheticFuels!$C$4:$C$1000)*1,("BDS"=[1]OUT_SyntheticFuels!$A$4:$A$1000)*1,("Var_Fout"=[1]OUT_SyntheticFuels!$B$4:$B$1000)*1,[1]OUT_SyntheticFuels!F$4:F$1000)</f>
        <v>0.63725221790630937</v>
      </c>
      <c r="H584" s="1" cm="1">
        <f t="array" ref="H584">SUMPRODUCT(("CT_CWODBDS"=[1]OUT_SyntheticFuels!$C$4:$C$1000)*1,("BDS"=[1]OUT_SyntheticFuels!$A$4:$A$1000)*1,("Var_Fout"=[1]OUT_SyntheticFuels!$B$4:$B$1000)*1,[1]OUT_SyntheticFuels!G$4:G$1000)</f>
        <v>1.2038229470264161</v>
      </c>
      <c r="I584" s="1" cm="1">
        <f t="array" ref="I584">SUMPRODUCT(("CT_CWODBDS"=[1]OUT_SyntheticFuels!$C$4:$C$1000)*1,("BDS"=[1]OUT_SyntheticFuels!$A$4:$A$1000)*1,("Var_Fout"=[1]OUT_SyntheticFuels!$B$4:$B$1000)*1,[1]OUT_SyntheticFuels!H$4:H$1000)</f>
        <v>4.0322246870264504E-5</v>
      </c>
      <c r="J584" s="1" cm="1">
        <f t="array" ref="J584">SUMPRODUCT(("CT_CWODBDS"=[2]OUT_SyntheticFuels!$C$4:$C$1000)*1,("BDS"=[2]OUT_SyntheticFuels!$A$4:$A$1000)*1,("Var_Fout"=[2]OUT_SyntheticFuels!$B$4:$B$1000)*1,[2]OUT_SyntheticFuels!I$4:I$1000)</f>
        <v>1.1567837075007621E-4</v>
      </c>
      <c r="K584" s="1" cm="1">
        <f t="array" ref="K584">SUMPRODUCT(("CT_CWODBDS"=[2]OUT_SyntheticFuels!$C$4:$C$1000)*1,("BDS"=[2]OUT_SyntheticFuels!$A$4:$A$1000)*1,("Var_Fout"=[2]OUT_SyntheticFuels!$B$4:$B$1000)*1,[2]OUT_SyntheticFuels!J$4:J$1000)</f>
        <v>9.4195212201809945E-5</v>
      </c>
      <c r="L584" s="1" cm="1">
        <f t="array" ref="L584">SUMPRODUCT(("CT_CWODBDS"=[2]OUT_SyntheticFuels!$C$4:$C$1000)*1,("BDS"=[2]OUT_SyntheticFuels!$A$4:$A$1000)*1,("Var_Fout"=[2]OUT_SyntheticFuels!$B$4:$B$1000)*1,[2]OUT_SyntheticFuels!K$4:K$1000)</f>
        <v>6.632540716744814E-5</v>
      </c>
      <c r="N584" s="1"/>
    </row>
    <row r="585" spans="2:14" x14ac:dyDescent="0.35">
      <c r="B585" s="5" t="s">
        <v>6</v>
      </c>
      <c r="C585" s="5" t="s">
        <v>7</v>
      </c>
      <c r="D585" t="s">
        <v>305</v>
      </c>
      <c r="E585" s="5" t="s">
        <v>8</v>
      </c>
      <c r="F585" s="1" cm="1">
        <f t="array" ref="F585">SUMPRODUCT(("CT_CWODBDSCCS"=[1]OUT_SyntheticFuels!$C$4:$C$1000)*1,("BDS"=[1]OUT_SyntheticFuels!$A$4:$A$1000)*1,("Var_Fout"=[1]OUT_SyntheticFuels!$B$4:$B$1000)*1,[1]OUT_SyntheticFuels!E$4:E$1000)</f>
        <v>0</v>
      </c>
      <c r="G585" s="1" cm="1">
        <f t="array" ref="G585">SUMPRODUCT(("CT_CWODBDSCCS"=[1]OUT_SyntheticFuels!$C$4:$C$1000)*1,("BDS"=[1]OUT_SyntheticFuels!$A$4:$A$1000)*1,("Var_Fout"=[1]OUT_SyntheticFuels!$B$4:$B$1000)*1,[1]OUT_SyntheticFuels!F$4:F$1000)</f>
        <v>0</v>
      </c>
      <c r="H585" s="1" cm="1">
        <f t="array" ref="H585">SUMPRODUCT(("CT_CWODBDSCCS"=[1]OUT_SyntheticFuels!$C$4:$C$1000)*1,("BDS"=[1]OUT_SyntheticFuels!$A$4:$A$1000)*1,("Var_Fout"=[1]OUT_SyntheticFuels!$B$4:$B$1000)*1,[1]OUT_SyntheticFuels!G$4:G$1000)</f>
        <v>0</v>
      </c>
      <c r="I585" s="1" cm="1">
        <f t="array" ref="I585">SUMPRODUCT(("CT_CWODBDSCCS"=[1]OUT_SyntheticFuels!$C$4:$C$1000)*1,("BDS"=[1]OUT_SyntheticFuels!$A$4:$A$1000)*1,("Var_Fout"=[1]OUT_SyntheticFuels!$B$4:$B$1000)*1,[1]OUT_SyntheticFuels!H$4:H$1000)</f>
        <v>0</v>
      </c>
      <c r="J585" s="1" cm="1">
        <f t="array" ref="J585">SUMPRODUCT(("CT_CWODBDSCCS"=[2]OUT_SyntheticFuels!$C$4:$C$1000)*1,("BDS"=[2]OUT_SyntheticFuels!$A$4:$A$1000)*1,("Var_Fout"=[2]OUT_SyntheticFuels!$B$4:$B$1000)*1,[2]OUT_SyntheticFuels!I$4:I$1000)</f>
        <v>0</v>
      </c>
      <c r="K585" s="1" cm="1">
        <f t="array" ref="K585">SUMPRODUCT(("CT_CWODBDSCCS"=[2]OUT_SyntheticFuels!$C$4:$C$1000)*1,("BDS"=[2]OUT_SyntheticFuels!$A$4:$A$1000)*1,("Var_Fout"=[2]OUT_SyntheticFuels!$B$4:$B$1000)*1,[2]OUT_SyntheticFuels!J$4:J$1000)</f>
        <v>0</v>
      </c>
      <c r="L585" s="1" cm="1">
        <f t="array" ref="L585">SUMPRODUCT(("CT_CWODBDSCCS"=[2]OUT_SyntheticFuels!$C$4:$C$1000)*1,("BDS"=[2]OUT_SyntheticFuels!$A$4:$A$1000)*1,("Var_Fout"=[2]OUT_SyntheticFuels!$B$4:$B$1000)*1,[2]OUT_SyntheticFuels!K$4:K$1000)</f>
        <v>0</v>
      </c>
      <c r="N585" s="1"/>
    </row>
    <row r="586" spans="2:14" x14ac:dyDescent="0.35">
      <c r="B586" s="9" t="s">
        <v>6</v>
      </c>
      <c r="C586" s="9" t="s">
        <v>7</v>
      </c>
      <c r="D586" s="2" t="s">
        <v>370</v>
      </c>
      <c r="E586" s="9" t="s">
        <v>8</v>
      </c>
      <c r="F586" s="3">
        <f>F587</f>
        <v>0.251573263268633</v>
      </c>
      <c r="G586" s="3">
        <f t="shared" ref="G586:L586" si="638">G587</f>
        <v>0.24852836498346009</v>
      </c>
      <c r="H586" s="3">
        <f t="shared" si="638"/>
        <v>0.46949094934030172</v>
      </c>
      <c r="I586" s="3">
        <f t="shared" si="638"/>
        <v>1.5725676279403134E-5</v>
      </c>
      <c r="J586" s="3">
        <f t="shared" si="638"/>
        <v>4.5114564592529658E-5</v>
      </c>
      <c r="K586" s="3">
        <f t="shared" si="638"/>
        <v>3.6736132758705845E-5</v>
      </c>
      <c r="L586" s="3">
        <f t="shared" si="638"/>
        <v>2.5866908795304747E-5</v>
      </c>
      <c r="N586" s="1"/>
    </row>
    <row r="587" spans="2:14" x14ac:dyDescent="0.35">
      <c r="B587" s="5" t="s">
        <v>6</v>
      </c>
      <c r="C587" s="5" t="s">
        <v>7</v>
      </c>
      <c r="D587" t="s">
        <v>903</v>
      </c>
      <c r="E587" s="5" t="s">
        <v>8</v>
      </c>
      <c r="F587" s="1">
        <f>SUM(F588:F589)</f>
        <v>0.251573263268633</v>
      </c>
      <c r="G587" s="1">
        <f t="shared" ref="G587:K587" si="639">SUM(G588:G589)</f>
        <v>0.24852836498346009</v>
      </c>
      <c r="H587" s="1">
        <f t="shared" si="639"/>
        <v>0.46949094934030172</v>
      </c>
      <c r="I587" s="1">
        <f t="shared" si="639"/>
        <v>1.5725676279403134E-5</v>
      </c>
      <c r="J587" s="1">
        <f t="shared" si="639"/>
        <v>4.5114564592529658E-5</v>
      </c>
      <c r="K587" s="1">
        <f t="shared" si="639"/>
        <v>3.6736132758705845E-5</v>
      </c>
      <c r="L587" s="1">
        <f t="shared" ref="L587" si="640">SUM(L588:L589)</f>
        <v>2.5866908795304747E-5</v>
      </c>
      <c r="N587" s="1"/>
    </row>
    <row r="588" spans="2:14" x14ac:dyDescent="0.35">
      <c r="B588" s="5" t="s">
        <v>6</v>
      </c>
      <c r="C588" s="5" t="s">
        <v>7</v>
      </c>
      <c r="D588" t="s">
        <v>307</v>
      </c>
      <c r="E588" s="5" t="s">
        <v>8</v>
      </c>
      <c r="F588" s="1" cm="1">
        <f t="array" ref="F588">SUMPRODUCT(("CT_CWODBDS"=[1]OUT_SyntheticFuels!$C$4:$C$1000)*1,("LTH"=[1]OUT_SyntheticFuels!$A$4:$A$1000)*1,("Var_Fout"=[1]OUT_SyntheticFuels!$B$4:$B$1000)*1,[1]OUT_SyntheticFuels!E$4:E$1000)</f>
        <v>0.251573263268633</v>
      </c>
      <c r="G588" s="1" cm="1">
        <f t="array" ref="G588">SUMPRODUCT(("CT_CWODBDS"=[1]OUT_SyntheticFuels!$C$4:$C$1000)*1,("LTH"=[1]OUT_SyntheticFuels!$A$4:$A$1000)*1,("Var_Fout"=[1]OUT_SyntheticFuels!$B$4:$B$1000)*1,[1]OUT_SyntheticFuels!F$4:F$1000)</f>
        <v>0.24852836498346009</v>
      </c>
      <c r="H588" s="1" cm="1">
        <f t="array" ref="H588">SUMPRODUCT(("CT_CWODBDS"=[1]OUT_SyntheticFuels!$C$4:$C$1000)*1,("LTH"=[1]OUT_SyntheticFuels!$A$4:$A$1000)*1,("Var_Fout"=[1]OUT_SyntheticFuels!$B$4:$B$1000)*1,[1]OUT_SyntheticFuels!G$4:G$1000)</f>
        <v>0.46949094934030172</v>
      </c>
      <c r="I588" s="1" cm="1">
        <f t="array" ref="I588">SUMPRODUCT(("CT_CWODBDS"=[1]OUT_SyntheticFuels!$C$4:$C$1000)*1,("LTH"=[1]OUT_SyntheticFuels!$A$4:$A$1000)*1,("Var_Fout"=[1]OUT_SyntheticFuels!$B$4:$B$1000)*1,[1]OUT_SyntheticFuels!H$4:H$1000)</f>
        <v>1.5725676279403134E-5</v>
      </c>
      <c r="J588" s="1" cm="1">
        <f t="array" ref="J588">SUMPRODUCT(("CT_CWODBDS"=[2]OUT_SyntheticFuels!$C$4:$C$1000)*1,("LTH"=[2]OUT_SyntheticFuels!$A$4:$A$1000)*1,("Var_Fout"=[2]OUT_SyntheticFuels!$B$4:$B$1000)*1,[2]OUT_SyntheticFuels!I$4:I$1000)</f>
        <v>4.5114564592529658E-5</v>
      </c>
      <c r="K588" s="1" cm="1">
        <f t="array" ref="K588">SUMPRODUCT(("CT_CWODBDS"=[2]OUT_SyntheticFuels!$C$4:$C$1000)*1,("LTH"=[2]OUT_SyntheticFuels!$A$4:$A$1000)*1,("Var_Fout"=[2]OUT_SyntheticFuels!$B$4:$B$1000)*1,[2]OUT_SyntheticFuels!J$4:J$1000)</f>
        <v>3.6736132758705845E-5</v>
      </c>
      <c r="L588" s="1" cm="1">
        <f t="array" ref="L588">SUMPRODUCT(("CT_CWODBDS"=[2]OUT_SyntheticFuels!$C$4:$C$1000)*1,("LTH"=[2]OUT_SyntheticFuels!$A$4:$A$1000)*1,("Var_Fout"=[2]OUT_SyntheticFuels!$B$4:$B$1000)*1,[2]OUT_SyntheticFuels!K$4:K$1000)</f>
        <v>2.5866908795304747E-5</v>
      </c>
      <c r="N588" s="1"/>
    </row>
    <row r="589" spans="2:14" x14ac:dyDescent="0.35">
      <c r="B589" s="5" t="s">
        <v>6</v>
      </c>
      <c r="C589" s="5" t="s">
        <v>7</v>
      </c>
      <c r="D589" t="s">
        <v>308</v>
      </c>
      <c r="E589" s="5" t="s">
        <v>8</v>
      </c>
      <c r="F589" s="1" cm="1">
        <f t="array" ref="F589">SUMPRODUCT(("CT_CWODBDSCCS"=[1]OUT_SyntheticFuels!$C$4:$C$1000)*1,("LTH"=[1]OUT_SyntheticFuels!$A$4:$A$1000)*1,("Var_Fout"=[1]OUT_SyntheticFuels!$B$4:$B$1000)*1,[1]OUT_SyntheticFuels!E$4:E$1000)</f>
        <v>0</v>
      </c>
      <c r="G589" s="1" cm="1">
        <f t="array" ref="G589">SUMPRODUCT(("CT_CWODBDSCCS"=[1]OUT_SyntheticFuels!$C$4:$C$1000)*1,("LTH"=[1]OUT_SyntheticFuels!$A$4:$A$1000)*1,("Var_Fout"=[1]OUT_SyntheticFuels!$B$4:$B$1000)*1,[1]OUT_SyntheticFuels!F$4:F$1000)</f>
        <v>0</v>
      </c>
      <c r="H589" s="1" cm="1">
        <f t="array" ref="H589">SUMPRODUCT(("CT_CWODBDSCCS"=[1]OUT_SyntheticFuels!$C$4:$C$1000)*1,("LTH"=[1]OUT_SyntheticFuels!$A$4:$A$1000)*1,("Var_Fout"=[1]OUT_SyntheticFuels!$B$4:$B$1000)*1,[1]OUT_SyntheticFuels!G$4:G$1000)</f>
        <v>0</v>
      </c>
      <c r="I589" s="1" cm="1">
        <f t="array" ref="I589">SUMPRODUCT(("CT_CWODBDSCCS"=[1]OUT_SyntheticFuels!$C$4:$C$1000)*1,("LTH"=[1]OUT_SyntheticFuels!$A$4:$A$1000)*1,("Var_Fout"=[1]OUT_SyntheticFuels!$B$4:$B$1000)*1,[1]OUT_SyntheticFuels!H$4:H$1000)</f>
        <v>0</v>
      </c>
      <c r="J589" s="1" cm="1">
        <f t="array" ref="J589">SUMPRODUCT(("CT_CWODBDSCCS"=[2]OUT_SyntheticFuels!$C$4:$C$1000)*1,("LTH"=[2]OUT_SyntheticFuels!$A$4:$A$1000)*1,("Var_Fout"=[2]OUT_SyntheticFuels!$B$4:$B$1000)*1,[2]OUT_SyntheticFuels!I$4:I$1000)</f>
        <v>0</v>
      </c>
      <c r="K589" s="1" cm="1">
        <f t="array" ref="K589">SUMPRODUCT(("CT_CWODBDSCCS"=[2]OUT_SyntheticFuels!$C$4:$C$1000)*1,("LTH"=[2]OUT_SyntheticFuels!$A$4:$A$1000)*1,("Var_Fout"=[2]OUT_SyntheticFuels!$B$4:$B$1000)*1,[2]OUT_SyntheticFuels!J$4:J$1000)</f>
        <v>0</v>
      </c>
      <c r="L589" s="1" cm="1">
        <f t="array" ref="L589">SUMPRODUCT(("CT_CWODBDSCCS"=[2]OUT_SyntheticFuels!$C$4:$C$1000)*1,("LTH"=[2]OUT_SyntheticFuels!$A$4:$A$1000)*1,("Var_Fout"=[2]OUT_SyntheticFuels!$B$4:$B$1000)*1,[2]OUT_SyntheticFuels!K$4:K$1000)</f>
        <v>0</v>
      </c>
      <c r="N589" s="1"/>
    </row>
    <row r="590" spans="2:14" x14ac:dyDescent="0.35">
      <c r="B590" s="9" t="s">
        <v>6</v>
      </c>
      <c r="C590" s="9" t="s">
        <v>7</v>
      </c>
      <c r="D590" s="2" t="s">
        <v>373</v>
      </c>
      <c r="E590" s="9" t="s">
        <v>8</v>
      </c>
      <c r="F590" s="3">
        <f>F591+F594</f>
        <v>1.8829291166183095</v>
      </c>
      <c r="G590" s="3">
        <f t="shared" ref="G590:K590" si="641">G591+G594</f>
        <v>1.860139224068516</v>
      </c>
      <c r="H590" s="3">
        <f t="shared" si="641"/>
        <v>3.5139591823701104</v>
      </c>
      <c r="I590" s="3">
        <f t="shared" si="641"/>
        <v>1.1770063861430201E-4</v>
      </c>
      <c r="J590" s="3">
        <f t="shared" si="641"/>
        <v>3.3766516421947218E-4</v>
      </c>
      <c r="K590" s="3">
        <f t="shared" si="641"/>
        <v>2.7495582441708295E-4</v>
      </c>
      <c r="L590" s="3">
        <f t="shared" ref="L590" si="642">L591+L594</f>
        <v>1.9360386352178114E-4</v>
      </c>
      <c r="N590" s="1"/>
    </row>
    <row r="591" spans="2:14" x14ac:dyDescent="0.35">
      <c r="B591" s="5" t="s">
        <v>6</v>
      </c>
      <c r="C591" s="5" t="s">
        <v>7</v>
      </c>
      <c r="D591" t="s">
        <v>904</v>
      </c>
      <c r="E591" s="5" t="s">
        <v>8</v>
      </c>
      <c r="F591" s="1">
        <f>SUM(F592:F593)</f>
        <v>1.8380974709845401</v>
      </c>
      <c r="G591" s="1">
        <f t="shared" ref="G591:K591" si="643">SUM(G592:G593)</f>
        <v>1.8158501949240275</v>
      </c>
      <c r="H591" s="1">
        <f t="shared" si="643"/>
        <v>3.4302934875517743</v>
      </c>
      <c r="I591" s="1">
        <f t="shared" si="643"/>
        <v>1.1489824245681863E-4</v>
      </c>
      <c r="J591" s="1">
        <f t="shared" si="643"/>
        <v>3.2962551745234188E-4</v>
      </c>
      <c r="K591" s="1">
        <f t="shared" si="643"/>
        <v>2.6840925716905715E-4</v>
      </c>
      <c r="L591" s="1">
        <f t="shared" ref="L591" si="644">SUM(L592:L593)</f>
        <v>1.8899424772364349E-4</v>
      </c>
      <c r="N591" s="1"/>
    </row>
    <row r="592" spans="2:14" x14ac:dyDescent="0.35">
      <c r="B592" s="5" t="s">
        <v>6</v>
      </c>
      <c r="C592" s="5" t="s">
        <v>7</v>
      </c>
      <c r="D592" t="s">
        <v>325</v>
      </c>
      <c r="E592" s="5" t="s">
        <v>8</v>
      </c>
      <c r="F592" s="1" cm="1">
        <f t="array" ref="F592">SUMPRODUCT(("CT_CWODBDS"=[1]OUT_SyntheticFuels!$C$4:$C$1000)*1,("CWOD"=[1]OUT_SyntheticFuels!$A$4:$A$1000)*1,("Var_Fin"=[1]OUT_SyntheticFuels!$B$4:$B$1000)*1,[1]OUT_SyntheticFuels!E$4:E$1000)</f>
        <v>1.8380974709845401</v>
      </c>
      <c r="G592" s="1" cm="1">
        <f t="array" ref="G592">SUMPRODUCT(("CT_CWODBDS"=[1]OUT_SyntheticFuels!$C$4:$C$1000)*1,("CWOD"=[1]OUT_SyntheticFuels!$A$4:$A$1000)*1,("Var_Fin"=[1]OUT_SyntheticFuels!$B$4:$B$1000)*1,[1]OUT_SyntheticFuels!F$4:F$1000)</f>
        <v>1.8158501949240275</v>
      </c>
      <c r="H592" s="1" cm="1">
        <f t="array" ref="H592">SUMPRODUCT(("CT_CWODBDS"=[1]OUT_SyntheticFuels!$C$4:$C$1000)*1,("CWOD"=[1]OUT_SyntheticFuels!$A$4:$A$1000)*1,("Var_Fin"=[1]OUT_SyntheticFuels!$B$4:$B$1000)*1,[1]OUT_SyntheticFuels!G$4:G$1000)</f>
        <v>3.4302934875517743</v>
      </c>
      <c r="I592" s="1" cm="1">
        <f t="array" ref="I592">SUMPRODUCT(("CT_CWODBDS"=[1]OUT_SyntheticFuels!$C$4:$C$1000)*1,("CWOD"=[1]OUT_SyntheticFuels!$A$4:$A$1000)*1,("Var_Fin"=[1]OUT_SyntheticFuels!$B$4:$B$1000)*1,[1]OUT_SyntheticFuels!H$4:H$1000)</f>
        <v>1.1489824245681863E-4</v>
      </c>
      <c r="J592" s="1" cm="1">
        <f t="array" ref="J592">SUMPRODUCT(("CT_CWODBDS"=[2]OUT_SyntheticFuels!$C$4:$C$1000)*1,("CWOD"=[2]OUT_SyntheticFuels!$A$4:$A$1000)*1,("Var_Fin"=[2]OUT_SyntheticFuels!$B$4:$B$1000)*1,[2]OUT_SyntheticFuels!I$4:I$1000)</f>
        <v>3.2962551745234188E-4</v>
      </c>
      <c r="K592" s="1" cm="1">
        <f t="array" ref="K592">SUMPRODUCT(("CT_CWODBDS"=[2]OUT_SyntheticFuels!$C$4:$C$1000)*1,("CWOD"=[2]OUT_SyntheticFuels!$A$4:$A$1000)*1,("Var_Fin"=[2]OUT_SyntheticFuels!$B$4:$B$1000)*1,[2]OUT_SyntheticFuels!J$4:J$1000)</f>
        <v>2.6840925716905715E-4</v>
      </c>
      <c r="L592" s="1" cm="1">
        <f t="array" ref="L592">SUMPRODUCT(("CT_CWODBDS"=[2]OUT_SyntheticFuels!$C$4:$C$1000)*1,("CWOD"=[2]OUT_SyntheticFuels!$A$4:$A$1000)*1,("Var_Fin"=[2]OUT_SyntheticFuels!$B$4:$B$1000)*1,[2]OUT_SyntheticFuels!K$4:K$1000)</f>
        <v>1.8899424772364349E-4</v>
      </c>
      <c r="N592" s="1"/>
    </row>
    <row r="593" spans="2:14" x14ac:dyDescent="0.35">
      <c r="B593" s="5" t="s">
        <v>6</v>
      </c>
      <c r="C593" s="5" t="s">
        <v>7</v>
      </c>
      <c r="D593" t="s">
        <v>326</v>
      </c>
      <c r="E593" s="5" t="s">
        <v>8</v>
      </c>
      <c r="F593" s="1" cm="1">
        <f t="array" ref="F593">SUMPRODUCT(("CT_CWODBDSCCS"=[1]OUT_SyntheticFuels!$C$4:$C$1000)*1,("CWOD"=[1]OUT_SyntheticFuels!$A$4:$A$1000)*1,("Var_Fin"=[1]OUT_SyntheticFuels!$B$4:$B$1000)*1,[1]OUT_SyntheticFuels!E$4:E$1000)</f>
        <v>0</v>
      </c>
      <c r="G593" s="1" cm="1">
        <f t="array" ref="G593">SUMPRODUCT(("CT_CWODBDSCCS"=[1]OUT_SyntheticFuels!$C$4:$C$1000)*1,("CWOD"=[1]OUT_SyntheticFuels!$A$4:$A$1000)*1,("Var_Fin"=[1]OUT_SyntheticFuels!$B$4:$B$1000)*1,[1]OUT_SyntheticFuels!F$4:F$1000)</f>
        <v>0</v>
      </c>
      <c r="H593" s="1" cm="1">
        <f t="array" ref="H593">SUMPRODUCT(("CT_CWODBDSCCS"=[1]OUT_SyntheticFuels!$C$4:$C$1000)*1,("CWOD"=[1]OUT_SyntheticFuels!$A$4:$A$1000)*1,("Var_Fin"=[1]OUT_SyntheticFuels!$B$4:$B$1000)*1,[1]OUT_SyntheticFuels!G$4:G$1000)</f>
        <v>0</v>
      </c>
      <c r="I593" s="1" cm="1">
        <f t="array" ref="I593">SUMPRODUCT(("CT_CWODBDSCCS"=[1]OUT_SyntheticFuels!$C$4:$C$1000)*1,("CWOD"=[1]OUT_SyntheticFuels!$A$4:$A$1000)*1,("Var_Fin"=[1]OUT_SyntheticFuels!$B$4:$B$1000)*1,[1]OUT_SyntheticFuels!H$4:H$1000)</f>
        <v>0</v>
      </c>
      <c r="J593" s="1" cm="1">
        <f t="array" ref="J593">SUMPRODUCT(("CT_CWODBDSCCS"=[2]OUT_SyntheticFuels!$C$4:$C$1000)*1,("CWOD"=[2]OUT_SyntheticFuels!$A$4:$A$1000)*1,("Var_Fin"=[2]OUT_SyntheticFuels!$B$4:$B$1000)*1,[2]OUT_SyntheticFuels!I$4:I$1000)</f>
        <v>0</v>
      </c>
      <c r="K593" s="1" cm="1">
        <f t="array" ref="K593">SUMPRODUCT(("CT_CWODBDSCCS"=[2]OUT_SyntheticFuels!$C$4:$C$1000)*1,("CWOD"=[2]OUT_SyntheticFuels!$A$4:$A$1000)*1,("Var_Fin"=[2]OUT_SyntheticFuels!$B$4:$B$1000)*1,[2]OUT_SyntheticFuels!J$4:J$1000)</f>
        <v>0</v>
      </c>
      <c r="L593" s="1" cm="1">
        <f t="array" ref="L593">SUMPRODUCT(("CT_CWODBDSCCS"=[2]OUT_SyntheticFuels!$C$4:$C$1000)*1,("CWOD"=[2]OUT_SyntheticFuels!$A$4:$A$1000)*1,("Var_Fin"=[2]OUT_SyntheticFuels!$B$4:$B$1000)*1,[2]OUT_SyntheticFuels!K$4:K$1000)</f>
        <v>0</v>
      </c>
      <c r="N593" s="1"/>
    </row>
    <row r="594" spans="2:14" x14ac:dyDescent="0.35">
      <c r="B594" s="5" t="s">
        <v>6</v>
      </c>
      <c r="C594" s="5" t="s">
        <v>7</v>
      </c>
      <c r="D594" t="s">
        <v>905</v>
      </c>
      <c r="E594" s="5" t="s">
        <v>8</v>
      </c>
      <c r="F594" s="1">
        <f>SUM(F595:F596)</f>
        <v>4.4831645633769304E-2</v>
      </c>
      <c r="G594" s="1">
        <f t="shared" ref="G594:K594" si="645">SUM(G595:G596)</f>
        <v>4.4289029144488491E-2</v>
      </c>
      <c r="H594" s="1">
        <f t="shared" si="645"/>
        <v>8.3665694818335967E-2</v>
      </c>
      <c r="I594" s="1">
        <f t="shared" si="645"/>
        <v>2.8023961574833818E-6</v>
      </c>
      <c r="J594" s="1">
        <f t="shared" si="645"/>
        <v>8.0396467671302991E-6</v>
      </c>
      <c r="K594" s="1">
        <f t="shared" si="645"/>
        <v>6.5465672480257878E-6</v>
      </c>
      <c r="L594" s="1">
        <f t="shared" ref="L594" si="646">SUM(L595:L596)</f>
        <v>4.6096157981376469E-6</v>
      </c>
      <c r="N594" s="1"/>
    </row>
    <row r="595" spans="2:14" x14ac:dyDescent="0.35">
      <c r="B595" s="5" t="s">
        <v>6</v>
      </c>
      <c r="C595" s="5" t="s">
        <v>7</v>
      </c>
      <c r="D595" t="s">
        <v>327</v>
      </c>
      <c r="E595" s="5" t="s">
        <v>8</v>
      </c>
      <c r="F595" s="1" cm="1">
        <f t="array" ref="F595">SUMPRODUCT(("CT_CWODBDS"=[1]OUT_SyntheticFuels!$C$4:$C$1000)*1,("Celc"=[1]OUT_SyntheticFuels!$A$4:$A$1000)*1,("Var_Fin"=[1]OUT_SyntheticFuels!$B$4:$B$1000)*1,[1]OUT_SyntheticFuels!E$4:E$1000)</f>
        <v>4.4831645633769304E-2</v>
      </c>
      <c r="G595" s="1" cm="1">
        <f t="array" ref="G595">SUMPRODUCT(("CT_CWODBDS"=[1]OUT_SyntheticFuels!$C$4:$C$1000)*1,("Celc"=[1]OUT_SyntheticFuels!$A$4:$A$1000)*1,("Var_Fin"=[1]OUT_SyntheticFuels!$B$4:$B$1000)*1,[1]OUT_SyntheticFuels!F$4:F$1000)</f>
        <v>4.4289029144488491E-2</v>
      </c>
      <c r="H595" s="1" cm="1">
        <f t="array" ref="H595">SUMPRODUCT(("CT_CWODBDS"=[1]OUT_SyntheticFuels!$C$4:$C$1000)*1,("Celc"=[1]OUT_SyntheticFuels!$A$4:$A$1000)*1,("Var_Fin"=[1]OUT_SyntheticFuels!$B$4:$B$1000)*1,[1]OUT_SyntheticFuels!G$4:G$1000)</f>
        <v>8.3665694818335967E-2</v>
      </c>
      <c r="I595" s="1" cm="1">
        <f t="array" ref="I595">SUMPRODUCT(("CT_CWODBDS"=[1]OUT_SyntheticFuels!$C$4:$C$1000)*1,("Celc"=[1]OUT_SyntheticFuels!$A$4:$A$1000)*1,("Var_Fin"=[1]OUT_SyntheticFuels!$B$4:$B$1000)*1,[1]OUT_SyntheticFuels!H$4:H$1000)</f>
        <v>2.8023961574833818E-6</v>
      </c>
      <c r="J595" s="1" cm="1">
        <f t="array" ref="J595">SUMPRODUCT(("CT_CWODBDS"=[2]OUT_SyntheticFuels!$C$4:$C$1000)*1,("Celc"=[2]OUT_SyntheticFuels!$A$4:$A$1000)*1,("Var_Fin"=[2]OUT_SyntheticFuels!$B$4:$B$1000)*1,[2]OUT_SyntheticFuels!I$4:I$1000)</f>
        <v>8.0396467671302991E-6</v>
      </c>
      <c r="K595" s="1" cm="1">
        <f t="array" ref="K595">SUMPRODUCT(("CT_CWODBDS"=[2]OUT_SyntheticFuels!$C$4:$C$1000)*1,("Celc"=[2]OUT_SyntheticFuels!$A$4:$A$1000)*1,("Var_Fin"=[2]OUT_SyntheticFuels!$B$4:$B$1000)*1,[2]OUT_SyntheticFuels!J$4:J$1000)</f>
        <v>6.5465672480257878E-6</v>
      </c>
      <c r="L595" s="1" cm="1">
        <f t="array" ref="L595">SUMPRODUCT(("CT_CWODBDS"=[2]OUT_SyntheticFuels!$C$4:$C$1000)*1,("Celc"=[2]OUT_SyntheticFuels!$A$4:$A$1000)*1,("Var_Fin"=[2]OUT_SyntheticFuels!$B$4:$B$1000)*1,[2]OUT_SyntheticFuels!K$4:K$1000)</f>
        <v>4.6096157981376469E-6</v>
      </c>
      <c r="N595" s="1"/>
    </row>
    <row r="596" spans="2:14" x14ac:dyDescent="0.35">
      <c r="B596" s="5" t="s">
        <v>6</v>
      </c>
      <c r="C596" s="5" t="s">
        <v>7</v>
      </c>
      <c r="D596" t="s">
        <v>328</v>
      </c>
      <c r="E596" s="5" t="s">
        <v>8</v>
      </c>
      <c r="F596" s="1" cm="1">
        <f t="array" ref="F596">SUMPRODUCT(("CT_CWODBDSCCS"=[1]OUT_SyntheticFuels!$C$4:$C$1000)*1,("Celc"=[1]OUT_SyntheticFuels!$A$4:$A$1000)*1,("Var_Fin"=[1]OUT_SyntheticFuels!$B$4:$B$1000)*1,[1]OUT_SyntheticFuels!E$4:E$1000)</f>
        <v>0</v>
      </c>
      <c r="G596" s="1" cm="1">
        <f t="array" ref="G596">SUMPRODUCT(("CT_CWODBDSCCS"=[1]OUT_SyntheticFuels!$C$4:$C$1000)*1,("Celc"=[1]OUT_SyntheticFuels!$A$4:$A$1000)*1,("Var_Fin"=[1]OUT_SyntheticFuels!$B$4:$B$1000)*1,[1]OUT_SyntheticFuels!F$4:F$1000)</f>
        <v>0</v>
      </c>
      <c r="H596" s="1" cm="1">
        <f t="array" ref="H596">SUMPRODUCT(("CT_CWODBDSCCS"=[1]OUT_SyntheticFuels!$C$4:$C$1000)*1,("Celc"=[1]OUT_SyntheticFuels!$A$4:$A$1000)*1,("Var_Fin"=[1]OUT_SyntheticFuels!$B$4:$B$1000)*1,[1]OUT_SyntheticFuels!G$4:G$1000)</f>
        <v>0</v>
      </c>
      <c r="I596" s="1" cm="1">
        <f t="array" ref="I596">SUMPRODUCT(("CT_CWODBDSCCS"=[1]OUT_SyntheticFuels!$C$4:$C$1000)*1,("Celc"=[1]OUT_SyntheticFuels!$A$4:$A$1000)*1,("Var_Fin"=[1]OUT_SyntheticFuels!$B$4:$B$1000)*1,[1]OUT_SyntheticFuels!H$4:H$1000)</f>
        <v>0</v>
      </c>
      <c r="J596" s="1" cm="1">
        <f t="array" ref="J596">SUMPRODUCT(("CT_CWODBDSCCS"=[2]OUT_SyntheticFuels!$C$4:$C$1000)*1,("Celc"=[2]OUT_SyntheticFuels!$A$4:$A$1000)*1,("Var_Fin"=[2]OUT_SyntheticFuels!$B$4:$B$1000)*1,[2]OUT_SyntheticFuels!I$4:I$1000)</f>
        <v>0</v>
      </c>
      <c r="K596" s="1" cm="1">
        <f t="array" ref="K596">SUMPRODUCT(("CT_CWODBDSCCS"=[2]OUT_SyntheticFuels!$C$4:$C$1000)*1,("Celc"=[2]OUT_SyntheticFuels!$A$4:$A$1000)*1,("Var_Fin"=[2]OUT_SyntheticFuels!$B$4:$B$1000)*1,[2]OUT_SyntheticFuels!J$4:J$1000)</f>
        <v>0</v>
      </c>
      <c r="L596" s="1" cm="1">
        <f t="array" ref="L596">SUMPRODUCT(("CT_CWODBDSCCS"=[2]OUT_SyntheticFuels!$C$4:$C$1000)*1,("Celc"=[2]OUT_SyntheticFuels!$A$4:$A$1000)*1,("Var_Fin"=[2]OUT_SyntheticFuels!$B$4:$B$1000)*1,[2]OUT_SyntheticFuels!K$4:K$1000)</f>
        <v>0</v>
      </c>
      <c r="N596" s="1"/>
    </row>
    <row r="597" spans="2:14" x14ac:dyDescent="0.35">
      <c r="B597" s="9" t="s">
        <v>6</v>
      </c>
      <c r="C597" s="9" t="s">
        <v>7</v>
      </c>
      <c r="D597" s="2" t="s">
        <v>306</v>
      </c>
      <c r="E597" s="9" t="s">
        <v>240</v>
      </c>
      <c r="F597" t="s">
        <v>292</v>
      </c>
      <c r="G597" t="s">
        <v>292</v>
      </c>
      <c r="H597" t="s">
        <v>292</v>
      </c>
      <c r="I597" t="s">
        <v>292</v>
      </c>
      <c r="J597" t="s">
        <v>292</v>
      </c>
      <c r="K597" t="s">
        <v>292</v>
      </c>
      <c r="L597" t="s">
        <v>292</v>
      </c>
      <c r="N597" s="1"/>
    </row>
    <row r="598" spans="2:14" x14ac:dyDescent="0.35">
      <c r="B598" s="5" t="s">
        <v>6</v>
      </c>
      <c r="C598" s="5" t="s">
        <v>7</v>
      </c>
      <c r="D598" t="s">
        <v>309</v>
      </c>
      <c r="E598" s="5" t="s">
        <v>240</v>
      </c>
      <c r="F598" s="4">
        <f>IFERROR(SUM(F584,F588)/SUM(F592,F595),"-")</f>
        <v>0.47619047619047622</v>
      </c>
      <c r="G598" s="4">
        <f t="shared" ref="G598:K599" si="647">IFERROR(SUM(G584,G588)/SUM(G592,G595),"-")</f>
        <v>0.47619047619047616</v>
      </c>
      <c r="H598" s="4">
        <f t="shared" si="647"/>
        <v>0.47619047619047578</v>
      </c>
      <c r="I598" s="4">
        <f t="shared" si="647"/>
        <v>0.47619047619047628</v>
      </c>
      <c r="J598" s="4">
        <f t="shared" si="647"/>
        <v>0.47619047619047639</v>
      </c>
      <c r="K598" s="4">
        <f t="shared" si="647"/>
        <v>0.4761904761904765</v>
      </c>
      <c r="L598" s="4">
        <f t="shared" ref="L598" si="648">IFERROR(SUM(L584,L588)/SUM(L592,L595),"-")</f>
        <v>0.476190476190476</v>
      </c>
      <c r="N598" s="1"/>
    </row>
    <row r="599" spans="2:14" x14ac:dyDescent="0.35">
      <c r="B599" s="5" t="s">
        <v>6</v>
      </c>
      <c r="C599" s="5" t="s">
        <v>7</v>
      </c>
      <c r="D599" t="s">
        <v>310</v>
      </c>
      <c r="E599" s="5" t="s">
        <v>240</v>
      </c>
      <c r="F599" s="4" t="str">
        <f>IFERROR(SUM(F585,F589)/SUM(F593,F596),"-")</f>
        <v>-</v>
      </c>
      <c r="G599" s="4" t="str">
        <f t="shared" si="647"/>
        <v>-</v>
      </c>
      <c r="H599" s="4" t="str">
        <f t="shared" si="647"/>
        <v>-</v>
      </c>
      <c r="I599" s="4" t="str">
        <f t="shared" si="647"/>
        <v>-</v>
      </c>
      <c r="J599" s="4" t="str">
        <f t="shared" si="647"/>
        <v>-</v>
      </c>
      <c r="K599" s="4" t="str">
        <f t="shared" si="647"/>
        <v>-</v>
      </c>
      <c r="L599" s="4" t="str">
        <f t="shared" ref="L599" si="649">IFERROR(SUM(L585,L589)/SUM(L593,L596),"-")</f>
        <v>-</v>
      </c>
      <c r="N599" s="1"/>
    </row>
    <row r="600" spans="2:14" x14ac:dyDescent="0.35">
      <c r="B600" s="9" t="s">
        <v>6</v>
      </c>
      <c r="C600" s="9" t="s">
        <v>7</v>
      </c>
      <c r="D600" s="2" t="s">
        <v>376</v>
      </c>
      <c r="E600" s="9" t="s">
        <v>8</v>
      </c>
      <c r="F600" s="1">
        <f>[1]Other_transformation!B$12</f>
        <v>0.22985656360389739</v>
      </c>
      <c r="G600" s="1">
        <f>[1]Other_transformation!C$12</f>
        <v>1.1249629377452704E-5</v>
      </c>
      <c r="H600" s="1">
        <f>[1]Other_transformation!D$12</f>
        <v>0.22985781698420915</v>
      </c>
      <c r="I600" s="1">
        <f>[1]Other_transformation!E$12</f>
        <v>1.8346684366102156E-5</v>
      </c>
      <c r="J600" s="1">
        <f>[2]Other_transformation!F$12</f>
        <v>8.0652523477055865E-5</v>
      </c>
      <c r="K600" s="1">
        <f>[2]Other_transformation!G$12</f>
        <v>4.1662112347345059E-5</v>
      </c>
      <c r="L600" s="1">
        <f>[2]Other_transformation!H$12</f>
        <v>4.1038194662723633E-5</v>
      </c>
      <c r="N600" s="1"/>
    </row>
    <row r="601" spans="2:14" x14ac:dyDescent="0.35">
      <c r="B601" s="5" t="s">
        <v>6</v>
      </c>
      <c r="C601" s="5" t="s">
        <v>7</v>
      </c>
      <c r="D601" t="s">
        <v>2164</v>
      </c>
      <c r="E601" t="str">
        <f>E600</f>
        <v>PJ/yr.</v>
      </c>
      <c r="F601" s="1">
        <f>SUM(F602:F603)</f>
        <v>0.22985656360389739</v>
      </c>
      <c r="G601" s="1">
        <f t="shared" ref="G601:K601" si="650">SUM(G602:G603)</f>
        <v>1.1249629377452704E-5</v>
      </c>
      <c r="H601" s="1">
        <f t="shared" si="650"/>
        <v>0.22985781698420915</v>
      </c>
      <c r="I601" s="1">
        <f t="shared" si="650"/>
        <v>1.8346684366102156E-5</v>
      </c>
      <c r="J601" s="1">
        <f t="shared" si="650"/>
        <v>8.0652523477055865E-5</v>
      </c>
      <c r="K601" s="1">
        <f t="shared" si="650"/>
        <v>4.1662112347345059E-5</v>
      </c>
      <c r="L601" s="1">
        <f t="shared" ref="L601" si="651">SUM(L602:L603)</f>
        <v>4.1038194662723633E-5</v>
      </c>
      <c r="N601" s="1"/>
    </row>
    <row r="602" spans="2:14" x14ac:dyDescent="0.35">
      <c r="B602" s="5" t="s">
        <v>6</v>
      </c>
      <c r="C602" s="5" t="s">
        <v>7</v>
      </c>
      <c r="D602" t="s">
        <v>2165</v>
      </c>
      <c r="E602" t="str">
        <f t="shared" ref="E602:E603" si="652">E601</f>
        <v>PJ/yr.</v>
      </c>
      <c r="F602" s="1" cm="1">
        <f t="array" ref="F602">SUMPRODUCT(("CT_CWODETH"=[1]OUT_SyntheticFuels!$C$4:$C$1000)*1,("ETH"=[1]OUT_SyntheticFuels!$A$4:$A$1000)*1,("Var_Fout"=[1]OUT_SyntheticFuels!$B$4:$B$1000)*1,[1]OUT_SyntheticFuels!E$4:E$1000)</f>
        <v>0.22985656360389739</v>
      </c>
      <c r="G602" s="1" cm="1">
        <f t="array" ref="G602">SUMPRODUCT(("CT_CWODETH"=[1]OUT_SyntheticFuels!$C$4:$C$1000)*1,("ETH"=[1]OUT_SyntheticFuels!$A$4:$A$1000)*1,("Var_Fout"=[1]OUT_SyntheticFuels!$B$4:$B$1000)*1,[1]OUT_SyntheticFuels!F$4:F$1000)</f>
        <v>1.1249629377452704E-5</v>
      </c>
      <c r="H602" s="1" cm="1">
        <f t="array" ref="H602">SUMPRODUCT(("CT_CWODETH"=[1]OUT_SyntheticFuels!$C$4:$C$1000)*1,("ETH"=[1]OUT_SyntheticFuels!$A$4:$A$1000)*1,("Var_Fout"=[1]OUT_SyntheticFuels!$B$4:$B$1000)*1,[1]OUT_SyntheticFuels!G$4:G$1000)</f>
        <v>0.22985781698420915</v>
      </c>
      <c r="I602" s="1" cm="1">
        <f t="array" ref="I602">SUMPRODUCT(("CT_CWODETH"=[1]OUT_SyntheticFuels!$C$4:$C$1000)*1,("ETH"=[1]OUT_SyntheticFuels!$A$4:$A$1000)*1,("Var_Fout"=[1]OUT_SyntheticFuels!$B$4:$B$1000)*1,[1]OUT_SyntheticFuels!H$4:H$1000)</f>
        <v>1.8346684366102156E-5</v>
      </c>
      <c r="J602" s="1" cm="1">
        <f t="array" ref="J602">SUMPRODUCT(("CT_CWODETH"=[2]OUT_SyntheticFuels!$C$4:$C$1000)*1,("ETH"=[2]OUT_SyntheticFuels!$A$4:$A$1000)*1,("Var_Fout"=[2]OUT_SyntheticFuels!$B$4:$B$1000)*1,[2]OUT_SyntheticFuels!I$4:I$1000)</f>
        <v>8.0652523477055865E-5</v>
      </c>
      <c r="K602" s="1" cm="1">
        <f t="array" ref="K602">SUMPRODUCT(("CT_CWODETH"=[2]OUT_SyntheticFuels!$C$4:$C$1000)*1,("ETH"=[2]OUT_SyntheticFuels!$A$4:$A$1000)*1,("Var_Fout"=[2]OUT_SyntheticFuels!$B$4:$B$1000)*1,[2]OUT_SyntheticFuels!J$4:J$1000)</f>
        <v>4.1662112347345059E-5</v>
      </c>
      <c r="L602" s="1" cm="1">
        <f t="array" ref="L602">SUMPRODUCT(("CT_CWODETH"=[2]OUT_SyntheticFuels!$C$4:$C$1000)*1,("ETH"=[2]OUT_SyntheticFuels!$A$4:$A$1000)*1,("Var_Fout"=[2]OUT_SyntheticFuels!$B$4:$B$1000)*1,[2]OUT_SyntheticFuels!K$4:K$1000)</f>
        <v>4.1038194662723633E-5</v>
      </c>
      <c r="N602" s="1"/>
    </row>
    <row r="603" spans="2:14" x14ac:dyDescent="0.35">
      <c r="B603" s="5" t="s">
        <v>6</v>
      </c>
      <c r="C603" s="5" t="s">
        <v>7</v>
      </c>
      <c r="D603" t="s">
        <v>2166</v>
      </c>
      <c r="E603" t="str">
        <f t="shared" si="652"/>
        <v>PJ/yr.</v>
      </c>
      <c r="F603" s="1" cm="1">
        <f t="array" ref="F603">SUMPRODUCT(("CT_CWODETHCCS"=[1]OUT_SyntheticFuels!$C$4:$C$1000)*1,("ETH"=[1]OUT_SyntheticFuels!$A$4:$A$1000)*1,("Var_Fout"=[1]OUT_SyntheticFuels!$B$4:$B$1000)*1,[1]OUT_SyntheticFuels!E$4:E$1000)</f>
        <v>0</v>
      </c>
      <c r="G603" s="1" cm="1">
        <f t="array" ref="G603">SUMPRODUCT(("CT_CWODETHCCS"=[1]OUT_SyntheticFuels!$C$4:$C$1000)*1,("ETH"=[1]OUT_SyntheticFuels!$A$4:$A$1000)*1,("Var_Fout"=[1]OUT_SyntheticFuels!$B$4:$B$1000)*1,[1]OUT_SyntheticFuels!F$4:F$1000)</f>
        <v>0</v>
      </c>
      <c r="H603" s="1" cm="1">
        <f t="array" ref="H603">SUMPRODUCT(("CT_CWODETHCCS"=[1]OUT_SyntheticFuels!$C$4:$C$1000)*1,("ETH"=[1]OUT_SyntheticFuels!$A$4:$A$1000)*1,("Var_Fout"=[1]OUT_SyntheticFuels!$B$4:$B$1000)*1,[1]OUT_SyntheticFuels!G$4:G$1000)</f>
        <v>0</v>
      </c>
      <c r="I603" s="1" cm="1">
        <f t="array" ref="I603">SUMPRODUCT(("CT_CWODETHCCS"=[1]OUT_SyntheticFuels!$C$4:$C$1000)*1,("ETH"=[1]OUT_SyntheticFuels!$A$4:$A$1000)*1,("Var_Fout"=[1]OUT_SyntheticFuels!$B$4:$B$1000)*1,[1]OUT_SyntheticFuels!H$4:H$1000)</f>
        <v>0</v>
      </c>
      <c r="J603" s="1" cm="1">
        <f t="array" ref="J603">SUMPRODUCT(("CT_CWODETHCCS"=[2]OUT_SyntheticFuels!$C$4:$C$1000)*1,("ETH"=[2]OUT_SyntheticFuels!$A$4:$A$1000)*1,("Var_Fout"=[2]OUT_SyntheticFuels!$B$4:$B$1000)*1,[2]OUT_SyntheticFuels!I$4:I$1000)</f>
        <v>0</v>
      </c>
      <c r="K603" s="1" cm="1">
        <f t="array" ref="K603">SUMPRODUCT(("CT_CWODETHCCS"=[2]OUT_SyntheticFuels!$C$4:$C$1000)*1,("ETH"=[2]OUT_SyntheticFuels!$A$4:$A$1000)*1,("Var_Fout"=[2]OUT_SyntheticFuels!$B$4:$B$1000)*1,[2]OUT_SyntheticFuels!J$4:J$1000)</f>
        <v>0</v>
      </c>
      <c r="L603" s="1" cm="1">
        <f t="array" ref="L603">SUMPRODUCT(("CT_CWODETHCCS"=[2]OUT_SyntheticFuels!$C$4:$C$1000)*1,("ETH"=[2]OUT_SyntheticFuels!$A$4:$A$1000)*1,("Var_Fout"=[2]OUT_SyntheticFuels!$B$4:$B$1000)*1,[2]OUT_SyntheticFuels!K$4:K$1000)</f>
        <v>0</v>
      </c>
      <c r="N603" s="1"/>
    </row>
    <row r="604" spans="2:14" x14ac:dyDescent="0.35">
      <c r="B604" s="9" t="s">
        <v>6</v>
      </c>
      <c r="C604" s="9" t="s">
        <v>7</v>
      </c>
      <c r="D604" s="2" t="s">
        <v>378</v>
      </c>
      <c r="E604" s="9" t="s">
        <v>8</v>
      </c>
      <c r="F604" s="3">
        <f>F605+F608</f>
        <v>0.85736498224253666</v>
      </c>
      <c r="G604" s="3">
        <f t="shared" ref="G604:K604" si="653">G605+G608</f>
        <v>4.1961117577898589E-5</v>
      </c>
      <c r="H604" s="3">
        <f t="shared" si="653"/>
        <v>0.85736965735110049</v>
      </c>
      <c r="I604" s="3">
        <f t="shared" si="653"/>
        <v>6.8433132685561106E-5</v>
      </c>
      <c r="J604" s="3">
        <f t="shared" si="653"/>
        <v>3.0083391256941849E-4</v>
      </c>
      <c r="K604" s="3">
        <f t="shared" si="653"/>
        <v>1.5539967905559693E-4</v>
      </c>
      <c r="L604" s="3">
        <f t="shared" ref="L604" si="654">L605+L608</f>
        <v>1.5307246609195916E-4</v>
      </c>
      <c r="N604" s="1"/>
    </row>
    <row r="605" spans="2:14" x14ac:dyDescent="0.35">
      <c r="B605" s="5" t="s">
        <v>6</v>
      </c>
      <c r="C605" s="5" t="s">
        <v>7</v>
      </c>
      <c r="D605" t="s">
        <v>906</v>
      </c>
      <c r="E605" s="5" t="s">
        <v>8</v>
      </c>
      <c r="F605" s="1">
        <f>SUM(F606:F607)</f>
        <v>0.4804002179321451</v>
      </c>
      <c r="G605" s="1">
        <f t="shared" ref="G605:K605" si="655">SUM(G606:G607)</f>
        <v>2.3511725398876152E-5</v>
      </c>
      <c r="H605" s="1">
        <f t="shared" si="655"/>
        <v>0.48040283749699741</v>
      </c>
      <c r="I605" s="1">
        <f t="shared" si="655"/>
        <v>3.8344570325153522E-5</v>
      </c>
      <c r="J605" s="1">
        <f t="shared" si="655"/>
        <v>1.6856377406704673E-4</v>
      </c>
      <c r="K605" s="1">
        <f t="shared" si="655"/>
        <v>8.7073814805951075E-5</v>
      </c>
      <c r="L605" s="1">
        <f t="shared" ref="L605" si="656">SUM(L606:L607)</f>
        <v>8.5769826845092393E-5</v>
      </c>
      <c r="N605" s="1"/>
    </row>
    <row r="606" spans="2:14" x14ac:dyDescent="0.35">
      <c r="B606" s="5" t="s">
        <v>6</v>
      </c>
      <c r="C606" s="5" t="s">
        <v>7</v>
      </c>
      <c r="D606" t="s">
        <v>321</v>
      </c>
      <c r="E606" s="5" t="s">
        <v>8</v>
      </c>
      <c r="F606" s="1" cm="1">
        <f t="array" ref="F606">SUMPRODUCT(("CT_CWODETH"=[1]OUT_SyntheticFuels!$C$4:$C$1000)*1,("cwod"=[1]OUT_SyntheticFuels!$A$4:$A$1000)*1,("Var_Fin"=[1]OUT_SyntheticFuels!$B$4:$B$1000)*1,[1]OUT_SyntheticFuels!E$4:E$1000)</f>
        <v>0.4804002179321451</v>
      </c>
      <c r="G606" s="1" cm="1">
        <f t="array" ref="G606">SUMPRODUCT(("CT_CWODETH"=[1]OUT_SyntheticFuels!$C$4:$C$1000)*1,("cwod"=[1]OUT_SyntheticFuels!$A$4:$A$1000)*1,("Var_Fin"=[1]OUT_SyntheticFuels!$B$4:$B$1000)*1,[1]OUT_SyntheticFuels!F$4:F$1000)</f>
        <v>2.3511725398876152E-5</v>
      </c>
      <c r="H606" s="1" cm="1">
        <f t="array" ref="H606">SUMPRODUCT(("CT_CWODETH"=[1]OUT_SyntheticFuels!$C$4:$C$1000)*1,("cwod"=[1]OUT_SyntheticFuels!$A$4:$A$1000)*1,("Var_Fin"=[1]OUT_SyntheticFuels!$B$4:$B$1000)*1,[1]OUT_SyntheticFuels!G$4:G$1000)</f>
        <v>0.48040283749699741</v>
      </c>
      <c r="I606" s="1" cm="1">
        <f t="array" ref="I606">SUMPRODUCT(("CT_CWODETH"=[1]OUT_SyntheticFuels!$C$4:$C$1000)*1,("cwod"=[1]OUT_SyntheticFuels!$A$4:$A$1000)*1,("Var_Fin"=[1]OUT_SyntheticFuels!$B$4:$B$1000)*1,[1]OUT_SyntheticFuels!H$4:H$1000)</f>
        <v>3.8344570325153522E-5</v>
      </c>
      <c r="J606" s="1" cm="1">
        <f t="array" ref="J606">SUMPRODUCT(("CT_CWODETH"=[2]OUT_SyntheticFuels!$C$4:$C$1000)*1,("cwod"=[2]OUT_SyntheticFuels!$A$4:$A$1000)*1,("Var_Fin"=[2]OUT_SyntheticFuels!$B$4:$B$1000)*1,[2]OUT_SyntheticFuels!I$4:I$1000)</f>
        <v>1.6856377406704673E-4</v>
      </c>
      <c r="K606" s="1" cm="1">
        <f t="array" ref="K606">SUMPRODUCT(("CT_CWODETH"=[2]OUT_SyntheticFuels!$C$4:$C$1000)*1,("cwod"=[2]OUT_SyntheticFuels!$A$4:$A$1000)*1,("Var_Fin"=[2]OUT_SyntheticFuels!$B$4:$B$1000)*1,[2]OUT_SyntheticFuels!J$4:J$1000)</f>
        <v>8.7073814805951075E-5</v>
      </c>
      <c r="L606" s="1" cm="1">
        <f t="array" ref="L606">SUMPRODUCT(("CT_CWODETH"=[2]OUT_SyntheticFuels!$C$4:$C$1000)*1,("cwod"=[2]OUT_SyntheticFuels!$A$4:$A$1000)*1,("Var_Fin"=[2]OUT_SyntheticFuels!$B$4:$B$1000)*1,[2]OUT_SyntheticFuels!K$4:K$1000)</f>
        <v>8.5769826845092393E-5</v>
      </c>
      <c r="N606" s="1"/>
    </row>
    <row r="607" spans="2:14" x14ac:dyDescent="0.35">
      <c r="B607" s="5" t="s">
        <v>6</v>
      </c>
      <c r="C607" s="5" t="s">
        <v>7</v>
      </c>
      <c r="D607" t="s">
        <v>322</v>
      </c>
      <c r="E607" s="5" t="s">
        <v>8</v>
      </c>
      <c r="F607" s="1" cm="1">
        <f t="array" ref="F607">SUMPRODUCT(("CT_CWODETHCCS"=[1]OUT_SyntheticFuels!$C$4:$C$1000)*1,("cwod"=[1]OUT_SyntheticFuels!$A$4:$A$1000)*1,("Var_Fin"=[1]OUT_SyntheticFuels!$B$4:$B$1000)*1,[1]OUT_SyntheticFuels!E$4:E$1000)</f>
        <v>0</v>
      </c>
      <c r="G607" s="1" cm="1">
        <f t="array" ref="G607">SUMPRODUCT(("CT_CWODETHCCS"=[1]OUT_SyntheticFuels!$C$4:$C$1000)*1,("cwod"=[1]OUT_SyntheticFuels!$A$4:$A$1000)*1,("Var_Fin"=[1]OUT_SyntheticFuels!$B$4:$B$1000)*1,[1]OUT_SyntheticFuels!F$4:F$1000)</f>
        <v>0</v>
      </c>
      <c r="H607" s="1" cm="1">
        <f t="array" ref="H607">SUMPRODUCT(("CT_CWODETHCCS"=[1]OUT_SyntheticFuels!$C$4:$C$1000)*1,("cwod"=[1]OUT_SyntheticFuels!$A$4:$A$1000)*1,("Var_Fin"=[1]OUT_SyntheticFuels!$B$4:$B$1000)*1,[1]OUT_SyntheticFuels!G$4:G$1000)</f>
        <v>0</v>
      </c>
      <c r="I607" s="1" cm="1">
        <f t="array" ref="I607">SUMPRODUCT(("CT_CWODETHCCS"=[1]OUT_SyntheticFuels!$C$4:$C$1000)*1,("cwod"=[1]OUT_SyntheticFuels!$A$4:$A$1000)*1,("Var_Fin"=[1]OUT_SyntheticFuels!$B$4:$B$1000)*1,[1]OUT_SyntheticFuels!H$4:H$1000)</f>
        <v>0</v>
      </c>
      <c r="J607" s="1" cm="1">
        <f t="array" ref="J607">SUMPRODUCT(("CT_CWODETHCCS"=[2]OUT_SyntheticFuels!$C$4:$C$1000)*1,("cwod"=[2]OUT_SyntheticFuels!$A$4:$A$1000)*1,("Var_Fin"=[2]OUT_SyntheticFuels!$B$4:$B$1000)*1,[2]OUT_SyntheticFuels!I$4:I$1000)</f>
        <v>0</v>
      </c>
      <c r="K607" s="1" cm="1">
        <f t="array" ref="K607">SUMPRODUCT(("CT_CWODETHCCS"=[2]OUT_SyntheticFuels!$C$4:$C$1000)*1,("cwod"=[2]OUT_SyntheticFuels!$A$4:$A$1000)*1,("Var_Fin"=[2]OUT_SyntheticFuels!$B$4:$B$1000)*1,[2]OUT_SyntheticFuels!J$4:J$1000)</f>
        <v>0</v>
      </c>
      <c r="L607" s="1" cm="1">
        <f t="array" ref="L607">SUMPRODUCT(("CT_CWODETHCCS"=[2]OUT_SyntheticFuels!$C$4:$C$1000)*1,("cwod"=[2]OUT_SyntheticFuels!$A$4:$A$1000)*1,("Var_Fin"=[2]OUT_SyntheticFuels!$B$4:$B$1000)*1,[2]OUT_SyntheticFuels!K$4:K$1000)</f>
        <v>0</v>
      </c>
      <c r="N607" s="1"/>
    </row>
    <row r="608" spans="2:14" x14ac:dyDescent="0.35">
      <c r="B608" s="5" t="s">
        <v>6</v>
      </c>
      <c r="C608" s="5" t="s">
        <v>7</v>
      </c>
      <c r="D608" t="s">
        <v>907</v>
      </c>
      <c r="E608" s="5" t="s">
        <v>8</v>
      </c>
      <c r="F608" s="1">
        <f>SUM(F609:F610)</f>
        <v>0.37696476431039161</v>
      </c>
      <c r="G608" s="1">
        <f t="shared" ref="G608:K608" si="657">SUM(G609:G610)</f>
        <v>1.8449392179022438E-5</v>
      </c>
      <c r="H608" s="1">
        <f t="shared" si="657"/>
        <v>0.37696681985410307</v>
      </c>
      <c r="I608" s="1">
        <f t="shared" si="657"/>
        <v>3.0088562360407584E-5</v>
      </c>
      <c r="J608" s="1">
        <f t="shared" si="657"/>
        <v>1.3227013850237174E-4</v>
      </c>
      <c r="K608" s="1">
        <f t="shared" si="657"/>
        <v>6.8325864249645855E-5</v>
      </c>
      <c r="L608" s="1">
        <f t="shared" ref="L608" si="658">SUM(L609:L610)</f>
        <v>6.7302639246866758E-5</v>
      </c>
      <c r="N608" s="1"/>
    </row>
    <row r="609" spans="2:14" x14ac:dyDescent="0.35">
      <c r="B609" s="5" t="s">
        <v>6</v>
      </c>
      <c r="C609" s="5" t="s">
        <v>7</v>
      </c>
      <c r="D609" t="s">
        <v>323</v>
      </c>
      <c r="E609" s="5" t="s">
        <v>8</v>
      </c>
      <c r="F609" s="1" cm="1">
        <f t="array" ref="F609">SUMPRODUCT(("CT_CWODETH"=[1]OUT_SyntheticFuels!$C$4:$C$1000)*1,("celc"=[1]OUT_SyntheticFuels!$A$4:$A$1000)*1,("Var_Fin"=[1]OUT_SyntheticFuels!$B$4:$B$1000)*1,[1]OUT_SyntheticFuels!E$4:E$1000)</f>
        <v>0.37696476431039161</v>
      </c>
      <c r="G609" s="1" cm="1">
        <f t="array" ref="G609">SUMPRODUCT(("CT_CWODETH"=[1]OUT_SyntheticFuels!$C$4:$C$1000)*1,("celc"=[1]OUT_SyntheticFuels!$A$4:$A$1000)*1,("Var_Fin"=[1]OUT_SyntheticFuels!$B$4:$B$1000)*1,[1]OUT_SyntheticFuels!F$4:F$1000)</f>
        <v>1.8449392179022438E-5</v>
      </c>
      <c r="H609" s="1" cm="1">
        <f t="array" ref="H609">SUMPRODUCT(("CT_CWODETH"=[1]OUT_SyntheticFuels!$C$4:$C$1000)*1,("celc"=[1]OUT_SyntheticFuels!$A$4:$A$1000)*1,("Var_Fin"=[1]OUT_SyntheticFuels!$B$4:$B$1000)*1,[1]OUT_SyntheticFuels!G$4:G$1000)</f>
        <v>0.37696681985410307</v>
      </c>
      <c r="I609" s="1" cm="1">
        <f t="array" ref="I609">SUMPRODUCT(("CT_CWODETH"=[1]OUT_SyntheticFuels!$C$4:$C$1000)*1,("celc"=[1]OUT_SyntheticFuels!$A$4:$A$1000)*1,("Var_Fin"=[1]OUT_SyntheticFuels!$B$4:$B$1000)*1,[1]OUT_SyntheticFuels!H$4:H$1000)</f>
        <v>3.0088562360407584E-5</v>
      </c>
      <c r="J609" s="1" cm="1">
        <f t="array" ref="J609">SUMPRODUCT(("CT_CWODETH"=[2]OUT_SyntheticFuels!$C$4:$C$1000)*1,("celc"=[2]OUT_SyntheticFuels!$A$4:$A$1000)*1,("Var_Fin"=[2]OUT_SyntheticFuels!$B$4:$B$1000)*1,[2]OUT_SyntheticFuels!I$4:I$1000)</f>
        <v>1.3227013850237174E-4</v>
      </c>
      <c r="K609" s="1" cm="1">
        <f t="array" ref="K609">SUMPRODUCT(("CT_CWODETH"=[2]OUT_SyntheticFuels!$C$4:$C$1000)*1,("celc"=[2]OUT_SyntheticFuels!$A$4:$A$1000)*1,("Var_Fin"=[2]OUT_SyntheticFuels!$B$4:$B$1000)*1,[2]OUT_SyntheticFuels!J$4:J$1000)</f>
        <v>6.8325864249645855E-5</v>
      </c>
      <c r="L609" s="1" cm="1">
        <f t="array" ref="L609">SUMPRODUCT(("CT_CWODETH"=[2]OUT_SyntheticFuels!$C$4:$C$1000)*1,("celc"=[2]OUT_SyntheticFuels!$A$4:$A$1000)*1,("Var_Fin"=[2]OUT_SyntheticFuels!$B$4:$B$1000)*1,[2]OUT_SyntheticFuels!K$4:K$1000)</f>
        <v>6.7302639246866758E-5</v>
      </c>
      <c r="N609" s="1"/>
    </row>
    <row r="610" spans="2:14" x14ac:dyDescent="0.35">
      <c r="B610" s="5" t="s">
        <v>6</v>
      </c>
      <c r="C610" s="5" t="s">
        <v>7</v>
      </c>
      <c r="D610" t="s">
        <v>324</v>
      </c>
      <c r="E610" s="5" t="s">
        <v>8</v>
      </c>
      <c r="F610" s="1" cm="1">
        <f t="array" ref="F610">SUMPRODUCT(("CT_CWODETHCCS"=[1]OUT_SyntheticFuels!$C$4:$C$1000)*1,("celc"=[1]OUT_SyntheticFuels!$A$4:$A$1000)*1,("Var_Fin"=[1]OUT_SyntheticFuels!$B$4:$B$1000)*1,[1]OUT_SyntheticFuels!E$4:E$1000)</f>
        <v>0</v>
      </c>
      <c r="G610" s="1" cm="1">
        <f t="array" ref="G610">SUMPRODUCT(("CT_CWODETHCCS"=[1]OUT_SyntheticFuels!$C$4:$C$1000)*1,("celc"=[1]OUT_SyntheticFuels!$A$4:$A$1000)*1,("Var_Fin"=[1]OUT_SyntheticFuels!$B$4:$B$1000)*1,[1]OUT_SyntheticFuels!F$4:F$1000)</f>
        <v>0</v>
      </c>
      <c r="H610" s="1" cm="1">
        <f t="array" ref="H610">SUMPRODUCT(("CT_CWODETHCCS"=[1]OUT_SyntheticFuels!$C$4:$C$1000)*1,("celc"=[1]OUT_SyntheticFuels!$A$4:$A$1000)*1,("Var_Fin"=[1]OUT_SyntheticFuels!$B$4:$B$1000)*1,[1]OUT_SyntheticFuels!G$4:G$1000)</f>
        <v>0</v>
      </c>
      <c r="I610" s="1" cm="1">
        <f t="array" ref="I610">SUMPRODUCT(("CT_CWODETHCCS"=[1]OUT_SyntheticFuels!$C$4:$C$1000)*1,("celc"=[1]OUT_SyntheticFuels!$A$4:$A$1000)*1,("Var_Fin"=[1]OUT_SyntheticFuels!$B$4:$B$1000)*1,[1]OUT_SyntheticFuels!H$4:H$1000)</f>
        <v>0</v>
      </c>
      <c r="J610" s="1" cm="1">
        <f t="array" ref="J610">SUMPRODUCT(("CT_CWODETHCCS"=[2]OUT_SyntheticFuels!$C$4:$C$1000)*1,("celc"=[2]OUT_SyntheticFuels!$A$4:$A$1000)*1,("Var_Fin"=[2]OUT_SyntheticFuels!$B$4:$B$1000)*1,[2]OUT_SyntheticFuels!I$4:I$1000)</f>
        <v>0</v>
      </c>
      <c r="K610" s="1" cm="1">
        <f t="array" ref="K610">SUMPRODUCT(("CT_CWODETHCCS"=[2]OUT_SyntheticFuels!$C$4:$C$1000)*1,("celc"=[2]OUT_SyntheticFuels!$A$4:$A$1000)*1,("Var_Fin"=[2]OUT_SyntheticFuels!$B$4:$B$1000)*1,[2]OUT_SyntheticFuels!J$4:J$1000)</f>
        <v>0</v>
      </c>
      <c r="L610" s="1" cm="1">
        <f t="array" ref="L610">SUMPRODUCT(("CT_CWODETHCCS"=[2]OUT_SyntheticFuels!$C$4:$C$1000)*1,("celc"=[2]OUT_SyntheticFuels!$A$4:$A$1000)*1,("Var_Fin"=[2]OUT_SyntheticFuels!$B$4:$B$1000)*1,[2]OUT_SyntheticFuels!K$4:K$1000)</f>
        <v>0</v>
      </c>
      <c r="N610" s="1"/>
    </row>
    <row r="611" spans="2:14" x14ac:dyDescent="0.35">
      <c r="B611" s="9" t="s">
        <v>6</v>
      </c>
      <c r="C611" s="9" t="s">
        <v>7</v>
      </c>
      <c r="D611" s="2" t="s">
        <v>311</v>
      </c>
      <c r="E611" s="9" t="s">
        <v>240</v>
      </c>
      <c r="F611" t="s">
        <v>292</v>
      </c>
      <c r="G611" t="s">
        <v>292</v>
      </c>
      <c r="H611" t="s">
        <v>292</v>
      </c>
      <c r="I611" t="s">
        <v>292</v>
      </c>
      <c r="J611" t="s">
        <v>292</v>
      </c>
      <c r="K611" t="s">
        <v>292</v>
      </c>
      <c r="L611" t="s">
        <v>292</v>
      </c>
      <c r="N611" s="1"/>
    </row>
    <row r="612" spans="2:14" x14ac:dyDescent="0.35">
      <c r="B612" s="5" t="s">
        <v>6</v>
      </c>
      <c r="C612" s="5" t="s">
        <v>7</v>
      </c>
      <c r="D612" t="s">
        <v>312</v>
      </c>
      <c r="E612" s="5" t="s">
        <v>240</v>
      </c>
      <c r="F612" s="4">
        <f>IFERROR(F602/SUM(F606,F609),"-")</f>
        <v>0.26809651474530849</v>
      </c>
      <c r="G612">
        <f t="shared" ref="G612:K613" si="659">IFERROR(G602/SUM(G606,G609),"-")</f>
        <v>0.26809651474530827</v>
      </c>
      <c r="H612">
        <f t="shared" si="659"/>
        <v>0.26809651474530821</v>
      </c>
      <c r="I612">
        <f t="shared" si="659"/>
        <v>0.26809651474530805</v>
      </c>
      <c r="J612">
        <f t="shared" si="659"/>
        <v>0.26809651474530821</v>
      </c>
      <c r="K612">
        <f t="shared" si="659"/>
        <v>0.26809651474530855</v>
      </c>
      <c r="L612">
        <f t="shared" ref="L612" si="660">IFERROR(L602/SUM(L606,L609),"-")</f>
        <v>0.26809651474530827</v>
      </c>
      <c r="N612" s="1"/>
    </row>
    <row r="613" spans="2:14" x14ac:dyDescent="0.35">
      <c r="B613" s="5" t="s">
        <v>6</v>
      </c>
      <c r="C613" s="5" t="s">
        <v>7</v>
      </c>
      <c r="D613" t="s">
        <v>313</v>
      </c>
      <c r="E613" s="5" t="s">
        <v>240</v>
      </c>
      <c r="F613" t="str">
        <f>IFERROR(F603/SUM(F607,F610),"-")</f>
        <v>-</v>
      </c>
      <c r="G613" t="str">
        <f t="shared" si="659"/>
        <v>-</v>
      </c>
      <c r="H613" t="str">
        <f t="shared" si="659"/>
        <v>-</v>
      </c>
      <c r="I613" t="str">
        <f t="shared" si="659"/>
        <v>-</v>
      </c>
      <c r="J613" t="str">
        <f t="shared" si="659"/>
        <v>-</v>
      </c>
      <c r="K613" t="str">
        <f t="shared" si="659"/>
        <v>-</v>
      </c>
      <c r="L613" t="str">
        <f t="shared" ref="L613" si="661">IFERROR(L603/SUM(L607,L610),"-")</f>
        <v>-</v>
      </c>
      <c r="N613" s="1"/>
    </row>
    <row r="614" spans="2:14" x14ac:dyDescent="0.35">
      <c r="B614" s="5" t="s">
        <v>6</v>
      </c>
      <c r="C614" s="5" t="s">
        <v>7</v>
      </c>
      <c r="D614" s="2" t="s">
        <v>381</v>
      </c>
      <c r="E614" s="9" t="s">
        <v>8</v>
      </c>
      <c r="F614" s="3">
        <f>F615+F616+F621</f>
        <v>6.9574149547390007</v>
      </c>
      <c r="G614" s="3">
        <f t="shared" ref="G614" si="662">G615+G616+G621</f>
        <v>10.474469408903911</v>
      </c>
      <c r="H614" s="3">
        <f t="shared" ref="H614" si="663">H615+H616+H621</f>
        <v>10.413843643825615</v>
      </c>
      <c r="I614" s="3">
        <f t="shared" ref="I614" si="664">I615+I616+I621</f>
        <v>10.603597215622086</v>
      </c>
      <c r="J614" s="3">
        <f t="shared" ref="J614" si="665">J615+J616+J621</f>
        <v>10.591501441363624</v>
      </c>
      <c r="K614" s="3">
        <f t="shared" ref="K614:L614" si="666">K615+K616+K621</f>
        <v>10.466245002210053</v>
      </c>
      <c r="L614" s="3">
        <f t="shared" si="666"/>
        <v>11.891332108676947</v>
      </c>
      <c r="N614" s="1"/>
    </row>
    <row r="615" spans="2:14" x14ac:dyDescent="0.35">
      <c r="B615" s="5" t="s">
        <v>6</v>
      </c>
      <c r="C615" s="5" t="s">
        <v>7</v>
      </c>
      <c r="D615" t="s">
        <v>314</v>
      </c>
      <c r="E615" s="5" t="s">
        <v>8</v>
      </c>
      <c r="F615" s="1">
        <f>[1]Other_transformation!B$19</f>
        <v>1.3280019752265102</v>
      </c>
      <c r="G615" s="1">
        <f>[1]Other_transformation!C$19</f>
        <v>4.2362056033759155</v>
      </c>
      <c r="H615" s="1">
        <f>[1]Other_transformation!D$19</f>
        <v>4.3847312883975667</v>
      </c>
      <c r="I615" s="1">
        <f>[1]Other_transformation!E$19</f>
        <v>4.384764263299056</v>
      </c>
      <c r="J615" s="1">
        <f>[2]Other_transformation!F$19</f>
        <v>4.3847646301659085</v>
      </c>
      <c r="K615" s="1">
        <f>[2]Other_transformation!G$19</f>
        <v>4.4201641868376962</v>
      </c>
      <c r="L615" s="1">
        <f>[2]Other_transformation!H$19</f>
        <v>6.1666750265715349</v>
      </c>
      <c r="N615" s="1"/>
    </row>
    <row r="616" spans="2:14" x14ac:dyDescent="0.35">
      <c r="B616" s="5" t="s">
        <v>6</v>
      </c>
      <c r="C616" s="5" t="s">
        <v>7</v>
      </c>
      <c r="D616" t="s">
        <v>908</v>
      </c>
      <c r="E616" s="5" t="s">
        <v>8</v>
      </c>
      <c r="F616" s="1">
        <f>[1]Other_transformation!B$20</f>
        <v>5.629412979512491</v>
      </c>
      <c r="G616" s="1">
        <f>[1]Other_transformation!C$20</f>
        <v>6.2382338806993749</v>
      </c>
      <c r="H616" s="1">
        <f>[1]Other_transformation!D$20</f>
        <v>6.029047941182804</v>
      </c>
      <c r="I616" s="1">
        <f>[1]Other_transformation!E$20</f>
        <v>6.2187592720217086</v>
      </c>
      <c r="J616" s="1">
        <f>[2]Other_transformation!F$20</f>
        <v>6.2065230502350595</v>
      </c>
      <c r="K616" s="1">
        <f>[2]Other_transformation!G$20</f>
        <v>6.0458624222211741</v>
      </c>
      <c r="L616" s="1">
        <f>[2]Other_transformation!H$20</f>
        <v>5.7244291326394796</v>
      </c>
      <c r="N616" s="1"/>
    </row>
    <row r="617" spans="2:14" x14ac:dyDescent="0.35">
      <c r="B617" s="5" t="s">
        <v>6</v>
      </c>
      <c r="C617" s="5" t="s">
        <v>7</v>
      </c>
      <c r="D617" t="s">
        <v>315</v>
      </c>
      <c r="E617" s="5" t="s">
        <v>8</v>
      </c>
      <c r="F617" s="1" cm="1">
        <f t="array" ref="F617">SUMPRODUCT(("SUP_WSTBIO"=[1]OUT_SyntheticFuels!$C$4:$C$1000)*1,("BIO"=[1]OUT_SyntheticFuels!$A$4:$A$1000)*1,("Var_Fout"=[1]OUT_SyntheticFuels!$B$4:$B$1000)*1,[1]OUT_SyntheticFuels!E$4:E$1000)</f>
        <v>5.629412979512491</v>
      </c>
      <c r="G617" s="1" cm="1">
        <f t="array" ref="G617">SUMPRODUCT(("SUP_WSTBIO"=[1]OUT_SyntheticFuels!$C$4:$C$1000)*1,("BIO"=[1]OUT_SyntheticFuels!$A$4:$A$1000)*1,("Var_Fout"=[1]OUT_SyntheticFuels!$B$4:$B$1000)*1,[1]OUT_SyntheticFuels!F$4:F$1000)</f>
        <v>6.2382338806993749</v>
      </c>
      <c r="H617" s="1" cm="1">
        <f t="array" ref="H617">SUMPRODUCT(("SUP_WSTBIO"=[1]OUT_SyntheticFuels!$C$4:$C$1000)*1,("BIO"=[1]OUT_SyntheticFuels!$A$4:$A$1000)*1,("Var_Fout"=[1]OUT_SyntheticFuels!$B$4:$B$1000)*1,[1]OUT_SyntheticFuels!G$4:G$1000)</f>
        <v>6.029047941182804</v>
      </c>
      <c r="I617" s="1" cm="1">
        <f t="array" ref="I617">SUMPRODUCT(("SUP_WSTBIO"=[1]OUT_SyntheticFuels!$C$4:$C$1000)*1,("BIO"=[1]OUT_SyntheticFuels!$A$4:$A$1000)*1,("Var_Fout"=[1]OUT_SyntheticFuels!$B$4:$B$1000)*1,[1]OUT_SyntheticFuels!H$4:H$1000)</f>
        <v>6.2187592720217086</v>
      </c>
      <c r="J617" s="1" cm="1">
        <f t="array" ref="J617">SUMPRODUCT(("SUP_WSTBIO"=[2]OUT_SyntheticFuels!$C$4:$C$1000)*1,("BIO"=[2]OUT_SyntheticFuels!$A$4:$A$1000)*1,("Var_Fout"=[2]OUT_SyntheticFuels!$B$4:$B$1000)*1,[2]OUT_SyntheticFuels!I$4:I$1000)</f>
        <v>6.2065230502350595</v>
      </c>
      <c r="K617" s="1" cm="1">
        <f t="array" ref="K617">SUMPRODUCT(("SUP_WSTBIO"=[2]OUT_SyntheticFuels!$C$4:$C$1000)*1,("BIO"=[2]OUT_SyntheticFuels!$A$4:$A$1000)*1,("Var_Fout"=[2]OUT_SyntheticFuels!$B$4:$B$1000)*1,[2]OUT_SyntheticFuels!J$4:J$1000)</f>
        <v>6.0455500711299361</v>
      </c>
      <c r="L617" s="1" cm="1">
        <f t="array" ref="L617">SUMPRODUCT(("SUP_WSTBIO"=[2]OUT_SyntheticFuels!$C$4:$C$1000)*1,("BIO"=[2]OUT_SyntheticFuels!$A$4:$A$1000)*1,("Var_Fout"=[2]OUT_SyntheticFuels!$B$4:$B$1000)*1,[2]OUT_SyntheticFuels!K$4:K$1000)</f>
        <v>5.7240861483764052</v>
      </c>
      <c r="N617" s="1"/>
    </row>
    <row r="618" spans="2:14" x14ac:dyDescent="0.35">
      <c r="B618" s="5" t="s">
        <v>6</v>
      </c>
      <c r="C618" s="5" t="s">
        <v>7</v>
      </c>
      <c r="D618" t="s">
        <v>316</v>
      </c>
      <c r="E618" s="5" t="s">
        <v>8</v>
      </c>
      <c r="F618" s="1" cm="1">
        <f t="array" ref="F618">SUMPRODUCT(("SUP_WSTBIOCCS"=[1]OUT_SyntheticFuels!$C$4:$C$1000)*1,("BIO"=[1]OUT_SyntheticFuels!$A$4:$A$1000)*1,("Var_Fout"=[1]OUT_SyntheticFuels!$B$4:$B$1000)*1,[1]OUT_SyntheticFuels!E$4:E$1000)</f>
        <v>0</v>
      </c>
      <c r="G618" s="1" cm="1">
        <f t="array" ref="G618">SUMPRODUCT(("SUP_WSTBIOCCS"=[1]OUT_SyntheticFuels!$C$4:$C$1000)*1,("BIO"=[1]OUT_SyntheticFuels!$A$4:$A$1000)*1,("Var_Fout"=[1]OUT_SyntheticFuels!$B$4:$B$1000)*1,[1]OUT_SyntheticFuels!F$4:F$1000)</f>
        <v>0</v>
      </c>
      <c r="H618" s="1" cm="1">
        <f t="array" ref="H618">SUMPRODUCT(("SUP_WSTBIOCCS"=[1]OUT_SyntheticFuels!$C$4:$C$1000)*1,("BIO"=[1]OUT_SyntheticFuels!$A$4:$A$1000)*1,("Var_Fout"=[1]OUT_SyntheticFuels!$B$4:$B$1000)*1,[1]OUT_SyntheticFuels!G$4:G$1000)</f>
        <v>0</v>
      </c>
      <c r="I618" s="1" cm="1">
        <f t="array" ref="I618">SUMPRODUCT(("SUP_WSTBIOCCS"=[1]OUT_SyntheticFuels!$C$4:$C$1000)*1,("BIO"=[1]OUT_SyntheticFuels!$A$4:$A$1000)*1,("Var_Fout"=[1]OUT_SyntheticFuels!$B$4:$B$1000)*1,[1]OUT_SyntheticFuels!H$4:H$1000)</f>
        <v>0</v>
      </c>
      <c r="J618" s="1" cm="1">
        <f t="array" ref="J618">SUMPRODUCT(("SUP_WSTBIOCCS"=[2]OUT_SyntheticFuels!$C$4:$C$1000)*1,("BIO"=[2]OUT_SyntheticFuels!$A$4:$A$1000)*1,("Var_Fout"=[2]OUT_SyntheticFuels!$B$4:$B$1000)*1,[2]OUT_SyntheticFuels!I$4:I$1000)</f>
        <v>0</v>
      </c>
      <c r="K618" s="1" cm="1">
        <f t="array" ref="K618">SUMPRODUCT(("SUP_WSTBIOCCS"=[2]OUT_SyntheticFuels!$C$4:$C$1000)*1,("BIO"=[2]OUT_SyntheticFuels!$A$4:$A$1000)*1,("Var_Fout"=[2]OUT_SyntheticFuels!$B$4:$B$1000)*1,[2]OUT_SyntheticFuels!J$4:J$1000)</f>
        <v>0</v>
      </c>
      <c r="L618" s="1" cm="1">
        <f t="array" ref="L618">SUMPRODUCT(("SUP_WSTBIOCCS"=[2]OUT_SyntheticFuels!$C$4:$C$1000)*1,("BIO"=[2]OUT_SyntheticFuels!$A$4:$A$1000)*1,("Var_Fout"=[2]OUT_SyntheticFuels!$B$4:$B$1000)*1,[2]OUT_SyntheticFuels!K$4:K$1000)</f>
        <v>0</v>
      </c>
      <c r="N618" s="1"/>
    </row>
    <row r="619" spans="2:14" x14ac:dyDescent="0.35">
      <c r="B619" s="5" t="s">
        <v>6</v>
      </c>
      <c r="C619" s="5" t="s">
        <v>7</v>
      </c>
      <c r="D619" t="s">
        <v>318</v>
      </c>
      <c r="E619" s="5" t="s">
        <v>8</v>
      </c>
      <c r="F619" s="1" cm="1">
        <f t="array" ref="F619">SUMPRODUCT(("SUP_WSTHTGBIO"=[1]OUT_SyntheticFuels!$C$4:$C$1000)*1,("BIO"=[1]OUT_SyntheticFuels!$A$4:$A$1000)*1,("Var_Fout"=[1]OUT_SyntheticFuels!$B$4:$B$1000)*1,[1]OUT_SyntheticFuels!E$4:E$1000)</f>
        <v>0</v>
      </c>
      <c r="G619" s="1" cm="1">
        <f t="array" ref="G619">SUMPRODUCT(("SUP_WSTHTGBIO"=[1]OUT_SyntheticFuels!$C$4:$C$1000)*1,("BIO"=[1]OUT_SyntheticFuels!$A$4:$A$1000)*1,("Var_Fout"=[1]OUT_SyntheticFuels!$B$4:$B$1000)*1,[1]OUT_SyntheticFuels!F$4:F$1000)</f>
        <v>0</v>
      </c>
      <c r="H619" s="1" cm="1">
        <f t="array" ref="H619">SUMPRODUCT(("SUP_WSTHTGBIO"=[1]OUT_SyntheticFuels!$C$4:$C$1000)*1,("BIO"=[1]OUT_SyntheticFuels!$A$4:$A$1000)*1,("Var_Fout"=[1]OUT_SyntheticFuels!$B$4:$B$1000)*1,[1]OUT_SyntheticFuels!G$4:G$1000)</f>
        <v>0</v>
      </c>
      <c r="I619" s="1" cm="1">
        <f t="array" ref="I619">SUMPRODUCT(("SUP_WSTHTGBIO"=[1]OUT_SyntheticFuels!$C$4:$C$1000)*1,("BIO"=[1]OUT_SyntheticFuels!$A$4:$A$1000)*1,("Var_Fout"=[1]OUT_SyntheticFuels!$B$4:$B$1000)*1,[1]OUT_SyntheticFuels!H$4:H$1000)</f>
        <v>0</v>
      </c>
      <c r="J619" s="1" cm="1">
        <f t="array" ref="J619">SUMPRODUCT(("SUP_WSTHTGBIO"=[2]OUT_SyntheticFuels!$C$4:$C$1000)*1,("BIO"=[2]OUT_SyntheticFuels!$A$4:$A$1000)*1,("Var_Fout"=[2]OUT_SyntheticFuels!$B$4:$B$1000)*1,[2]OUT_SyntheticFuels!I$4:I$1000)</f>
        <v>0</v>
      </c>
      <c r="K619" s="1" cm="1">
        <f t="array" ref="K619">SUMPRODUCT(("SUP_WSTHTGBIO"=[2]OUT_SyntheticFuels!$C$4:$C$1000)*1,("BIO"=[2]OUT_SyntheticFuels!$A$4:$A$1000)*1,("Var_Fout"=[2]OUT_SyntheticFuels!$B$4:$B$1000)*1,[2]OUT_SyntheticFuels!J$4:J$1000)</f>
        <v>3.1235109123767892E-4</v>
      </c>
      <c r="L619" s="1" cm="1">
        <f t="array" ref="L619">SUMPRODUCT(("SUP_WSTHTGBIO"=[2]OUT_SyntheticFuels!$C$4:$C$1000)*1,("BIO"=[2]OUT_SyntheticFuels!$A$4:$A$1000)*1,("Var_Fout"=[2]OUT_SyntheticFuels!$B$4:$B$1000)*1,[2]OUT_SyntheticFuels!K$4:K$1000)</f>
        <v>3.4298426307400952E-4</v>
      </c>
      <c r="N619" s="1"/>
    </row>
    <row r="620" spans="2:14" x14ac:dyDescent="0.35">
      <c r="B620" s="5" t="s">
        <v>6</v>
      </c>
      <c r="C620" s="5" t="s">
        <v>7</v>
      </c>
      <c r="D620" t="s">
        <v>317</v>
      </c>
      <c r="E620" s="5" t="s">
        <v>8</v>
      </c>
      <c r="F620" s="1" cm="1">
        <f t="array" ref="F620">SUMPRODUCT(("SUP_WSTHTGBIOCCS"=[1]OUT_SyntheticFuels!$C$4:$C$1000)*1,("BIO"=[1]OUT_SyntheticFuels!$A$4:$A$1000)*1,("Var_Fout"=[1]OUT_SyntheticFuels!$B$4:$B$1000)*1,[1]OUT_SyntheticFuels!E$4:E$1000)</f>
        <v>0</v>
      </c>
      <c r="G620" s="1" cm="1">
        <f t="array" ref="G620">SUMPRODUCT(("SUP_WSTHTGBIOCCS"=[1]OUT_SyntheticFuels!$C$4:$C$1000)*1,("BIO"=[1]OUT_SyntheticFuels!$A$4:$A$1000)*1,("Var_Fout"=[1]OUT_SyntheticFuels!$B$4:$B$1000)*1,[1]OUT_SyntheticFuels!F$4:F$1000)</f>
        <v>0</v>
      </c>
      <c r="H620" s="1" cm="1">
        <f t="array" ref="H620">SUMPRODUCT(("SUP_WSTHTGBIOCCS"=[1]OUT_SyntheticFuels!$C$4:$C$1000)*1,("BIO"=[1]OUT_SyntheticFuels!$A$4:$A$1000)*1,("Var_Fout"=[1]OUT_SyntheticFuels!$B$4:$B$1000)*1,[1]OUT_SyntheticFuels!G$4:G$1000)</f>
        <v>0</v>
      </c>
      <c r="I620" s="1" cm="1">
        <f t="array" ref="I620">SUMPRODUCT(("SUP_WSTHTGBIOCCS"=[1]OUT_SyntheticFuels!$C$4:$C$1000)*1,("BIO"=[1]OUT_SyntheticFuels!$A$4:$A$1000)*1,("Var_Fout"=[1]OUT_SyntheticFuels!$B$4:$B$1000)*1,[1]OUT_SyntheticFuels!H$4:H$1000)</f>
        <v>0</v>
      </c>
      <c r="J620" s="1" cm="1">
        <f t="array" ref="J620">SUMPRODUCT(("SUP_WSTHTGBIOCCS"=[2]OUT_SyntheticFuels!$C$4:$C$1000)*1,("BIO"=[2]OUT_SyntheticFuels!$A$4:$A$1000)*1,("Var_Fout"=[2]OUT_SyntheticFuels!$B$4:$B$1000)*1,[2]OUT_SyntheticFuels!I$4:I$1000)</f>
        <v>0</v>
      </c>
      <c r="K620" s="1" cm="1">
        <f t="array" ref="K620">SUMPRODUCT(("SUP_WSTHTGBIOCCS"=[2]OUT_SyntheticFuels!$C$4:$C$1000)*1,("BIO"=[2]OUT_SyntheticFuels!$A$4:$A$1000)*1,("Var_Fout"=[2]OUT_SyntheticFuels!$B$4:$B$1000)*1,[2]OUT_SyntheticFuels!J$4:J$1000)</f>
        <v>0</v>
      </c>
      <c r="L620" s="1" cm="1">
        <f t="array" ref="L620">SUMPRODUCT(("SUP_WSTHTGBIOCCS"=[2]OUT_SyntheticFuels!$C$4:$C$1000)*1,("BIO"=[2]OUT_SyntheticFuels!$A$4:$A$1000)*1,("Var_Fout"=[2]OUT_SyntheticFuels!$B$4:$B$1000)*1,[2]OUT_SyntheticFuels!K$4:K$1000)</f>
        <v>0</v>
      </c>
      <c r="N620" s="1"/>
    </row>
    <row r="621" spans="2:14" x14ac:dyDescent="0.35">
      <c r="B621" s="5" t="s">
        <v>6</v>
      </c>
      <c r="C621" s="5" t="s">
        <v>7</v>
      </c>
      <c r="D621" t="s">
        <v>909</v>
      </c>
      <c r="E621" s="5" t="s">
        <v>8</v>
      </c>
      <c r="F621" s="1">
        <f>[1]Other_transformation!B$21</f>
        <v>0</v>
      </c>
      <c r="G621" s="1">
        <f>[1]Other_transformation!C$21</f>
        <v>2.9924828619671559E-5</v>
      </c>
      <c r="H621" s="1">
        <f>[1]Other_transformation!D$21</f>
        <v>6.4414245245076102E-5</v>
      </c>
      <c r="I621" s="1">
        <f>[1]Other_transformation!E$21</f>
        <v>7.3680301321450307E-5</v>
      </c>
      <c r="J621" s="1">
        <f>[2]Other_transformation!F$21</f>
        <v>2.1376096265627708E-4</v>
      </c>
      <c r="K621" s="1">
        <f>[2]Other_transformation!G$21</f>
        <v>2.1839315118355764E-4</v>
      </c>
      <c r="L621" s="1">
        <f>[2]Other_transformation!H$21</f>
        <v>2.2794946593275171E-4</v>
      </c>
      <c r="N621" s="1"/>
    </row>
    <row r="622" spans="2:14" x14ac:dyDescent="0.35">
      <c r="B622" s="5" t="s">
        <v>6</v>
      </c>
      <c r="C622" s="5" t="s">
        <v>7</v>
      </c>
      <c r="D622" t="s">
        <v>319</v>
      </c>
      <c r="E622" s="5" t="s">
        <v>8</v>
      </c>
      <c r="F622" s="1" cm="1">
        <f t="array" ref="F622">SUMPRODUCT(("SUP_WODBIO"=[1]OUT_SyntheticFuels!$C$4:$C$1000)*1,("BIO"=[1]OUT_SyntheticFuels!$A$4:$A$1000)*1,("Var_Fout"=[1]OUT_SyntheticFuels!$B$4:$B$1000)*1,[1]OUT_SyntheticFuels!E$4:E$1000)</f>
        <v>0</v>
      </c>
      <c r="G622" s="1" cm="1">
        <f t="array" ref="G622">SUMPRODUCT(("SUP_WODBIO"=[1]OUT_SyntheticFuels!$C$4:$C$1000)*1,("BIO"=[1]OUT_SyntheticFuels!$A$4:$A$1000)*1,("Var_Fout"=[1]OUT_SyntheticFuels!$B$4:$B$1000)*1,[1]OUT_SyntheticFuels!F$4:F$1000)</f>
        <v>2.9924828619671559E-5</v>
      </c>
      <c r="H622" s="1" cm="1">
        <f t="array" ref="H622">SUMPRODUCT(("SUP_WODBIO"=[1]OUT_SyntheticFuels!$C$4:$C$1000)*1,("BIO"=[1]OUT_SyntheticFuels!$A$4:$A$1000)*1,("Var_Fout"=[1]OUT_SyntheticFuels!$B$4:$B$1000)*1,[1]OUT_SyntheticFuels!G$4:G$1000)</f>
        <v>6.4414245245076102E-5</v>
      </c>
      <c r="I622" s="1" cm="1">
        <f t="array" ref="I622">SUMPRODUCT(("SUP_WODBIO"=[1]OUT_SyntheticFuels!$C$4:$C$1000)*1,("BIO"=[1]OUT_SyntheticFuels!$A$4:$A$1000)*1,("Var_Fout"=[1]OUT_SyntheticFuels!$B$4:$B$1000)*1,[1]OUT_SyntheticFuels!H$4:H$1000)</f>
        <v>7.3680301321450307E-5</v>
      </c>
      <c r="J622" s="1" cm="1">
        <f t="array" ref="J622">SUMPRODUCT(("SUP_WODBIO"=[2]OUT_SyntheticFuels!$C$4:$C$1000)*1,("BIO"=[2]OUT_SyntheticFuels!$A$4:$A$1000)*1,("Var_Fout"=[2]OUT_SyntheticFuels!$B$4:$B$1000)*1,[2]OUT_SyntheticFuels!I$4:I$1000)</f>
        <v>2.1376096265627708E-4</v>
      </c>
      <c r="K622" s="1" cm="1">
        <f t="array" ref="K622">SUMPRODUCT(("SUP_WODBIO"=[2]OUT_SyntheticFuels!$C$4:$C$1000)*1,("BIO"=[2]OUT_SyntheticFuels!$A$4:$A$1000)*1,("Var_Fout"=[2]OUT_SyntheticFuels!$B$4:$B$1000)*1,[2]OUT_SyntheticFuels!J$4:J$1000)</f>
        <v>2.1839315118355764E-4</v>
      </c>
      <c r="L622" s="1" cm="1">
        <f t="array" ref="L622">SUMPRODUCT(("SUP_WODBIO"=[2]OUT_SyntheticFuels!$C$4:$C$1000)*1,("BIO"=[2]OUT_SyntheticFuels!$A$4:$A$1000)*1,("Var_Fout"=[2]OUT_SyntheticFuels!$B$4:$B$1000)*1,[2]OUT_SyntheticFuels!K$4:K$1000)</f>
        <v>2.2794946593275171E-4</v>
      </c>
      <c r="N622" s="1"/>
    </row>
    <row r="623" spans="2:14" x14ac:dyDescent="0.35">
      <c r="B623" s="5" t="s">
        <v>6</v>
      </c>
      <c r="C623" s="5" t="s">
        <v>7</v>
      </c>
      <c r="D623" t="s">
        <v>320</v>
      </c>
      <c r="E623" s="5" t="s">
        <v>8</v>
      </c>
      <c r="F623" s="1" cm="1">
        <f t="array" ref="F623">SUMPRODUCT(("SUP_WODBIOCCS"=[1]OUT_SyntheticFuels!$C$4:$C$1000)*1,("BIO"=[1]OUT_SyntheticFuels!$A$4:$A$1000)*1,("Var_Fout"=[1]OUT_SyntheticFuels!$B$4:$B$1000)*1,[1]OUT_SyntheticFuels!E$4:E$1000)</f>
        <v>0</v>
      </c>
      <c r="G623" s="1" cm="1">
        <f t="array" ref="G623">SUMPRODUCT(("SUP_WODBIOCCS"=[1]OUT_SyntheticFuels!$C$4:$C$1000)*1,("BIO"=[1]OUT_SyntheticFuels!$A$4:$A$1000)*1,("Var_Fout"=[1]OUT_SyntheticFuels!$B$4:$B$1000)*1,[1]OUT_SyntheticFuels!F$4:F$1000)</f>
        <v>0</v>
      </c>
      <c r="H623" s="1" cm="1">
        <f t="array" ref="H623">SUMPRODUCT(("SUP_WODBIOCCS"=[1]OUT_SyntheticFuels!$C$4:$C$1000)*1,("BIO"=[1]OUT_SyntheticFuels!$A$4:$A$1000)*1,("Var_Fout"=[1]OUT_SyntheticFuels!$B$4:$B$1000)*1,[1]OUT_SyntheticFuels!G$4:G$1000)</f>
        <v>0</v>
      </c>
      <c r="I623" s="1" cm="1">
        <f t="array" ref="I623">SUMPRODUCT(("SUP_WODBIOCCS"=[1]OUT_SyntheticFuels!$C$4:$C$1000)*1,("BIO"=[1]OUT_SyntheticFuels!$A$4:$A$1000)*1,("Var_Fout"=[1]OUT_SyntheticFuels!$B$4:$B$1000)*1,[1]OUT_SyntheticFuels!H$4:H$1000)</f>
        <v>0</v>
      </c>
      <c r="J623" s="1" cm="1">
        <f t="array" ref="J623">SUMPRODUCT(("SUP_WODBIOCCS"=[2]OUT_SyntheticFuels!$C$4:$C$1000)*1,("BIO"=[2]OUT_SyntheticFuels!$A$4:$A$1000)*1,("Var_Fout"=[2]OUT_SyntheticFuels!$B$4:$B$1000)*1,[2]OUT_SyntheticFuels!I$4:I$1000)</f>
        <v>0</v>
      </c>
      <c r="K623" s="1" cm="1">
        <f t="array" ref="K623">SUMPRODUCT(("SUP_WODBIOCCS"=[2]OUT_SyntheticFuels!$C$4:$C$1000)*1,("BIO"=[2]OUT_SyntheticFuels!$A$4:$A$1000)*1,("Var_Fout"=[2]OUT_SyntheticFuels!$B$4:$B$1000)*1,[2]OUT_SyntheticFuels!J$4:J$1000)</f>
        <v>0</v>
      </c>
      <c r="L623" s="1" cm="1">
        <f t="array" ref="L623">SUMPRODUCT(("SUP_WODBIOCCS"=[2]OUT_SyntheticFuels!$C$4:$C$1000)*1,("BIO"=[2]OUT_SyntheticFuels!$A$4:$A$1000)*1,("Var_Fout"=[2]OUT_SyntheticFuels!$B$4:$B$1000)*1,[2]OUT_SyntheticFuels!K$4:K$1000)</f>
        <v>0</v>
      </c>
      <c r="N623" s="1"/>
    </row>
    <row r="624" spans="2:14" x14ac:dyDescent="0.35">
      <c r="B624" s="5" t="s">
        <v>6</v>
      </c>
      <c r="C624" s="5" t="s">
        <v>7</v>
      </c>
      <c r="D624" s="2" t="s">
        <v>383</v>
      </c>
      <c r="E624" s="9" t="s">
        <v>8</v>
      </c>
      <c r="F624" s="3">
        <f>F625+F626+F631</f>
        <v>0.11258825959024969</v>
      </c>
      <c r="G624" s="3">
        <f t="shared" ref="G624" si="667">G625+G626+G631</f>
        <v>0.1247646776139875</v>
      </c>
      <c r="H624" s="3">
        <f t="shared" ref="H624" si="668">H625+H626+H631</f>
        <v>0.12058239273330085</v>
      </c>
      <c r="I624" s="3">
        <f t="shared" ref="I624" si="669">I625+I626+I631</f>
        <v>0.12437689227789143</v>
      </c>
      <c r="J624" s="3">
        <f t="shared" ref="J624" si="670">J625+J626+J631</f>
        <v>0.12413901144320741</v>
      </c>
      <c r="K624" s="3">
        <f t="shared" ref="K624:L624" si="671">K625+K626+K631</f>
        <v>0.12091973714864593</v>
      </c>
      <c r="L624" s="3">
        <f t="shared" si="671"/>
        <v>0.11449084094616553</v>
      </c>
      <c r="N624" s="1"/>
    </row>
    <row r="625" spans="2:14" x14ac:dyDescent="0.35">
      <c r="B625" s="5" t="s">
        <v>6</v>
      </c>
      <c r="C625" s="5" t="s">
        <v>7</v>
      </c>
      <c r="D625" t="s">
        <v>329</v>
      </c>
      <c r="E625" s="5" t="s">
        <v>8</v>
      </c>
      <c r="F625" s="1" cm="1">
        <f t="array" ref="F625">SUMPRODUCT(("SUP_MNRBIO"=[1]OUT_SyntheticFuels!$C$4:$C$1000)*1,("Var_Fout"=[1]OUT_SyntheticFuels!$B$4:$B$1000)*1,("ELC35"=[1]OUT_SyntheticFuels!$A$4:$A$1000)*1,[1]OUT_SyntheticFuels!E$4:E$1000)</f>
        <v>0</v>
      </c>
      <c r="G625" s="1" cm="1">
        <f t="array" ref="G625">SUMPRODUCT(("SUP_MNRBIO"=[1]OUT_SyntheticFuels!$C$4:$C$1000)*1,("Var_Fout"=[1]OUT_SyntheticFuels!$B$4:$B$1000)*1,("ELC35"=[1]OUT_SyntheticFuels!$A$4:$A$1000)*1,[1]OUT_SyntheticFuels!F$4:F$1000)</f>
        <v>0</v>
      </c>
      <c r="H625" s="1" cm="1">
        <f t="array" ref="H625">SUMPRODUCT(("SUP_MNRBIO"=[1]OUT_SyntheticFuels!$C$4:$C$1000)*1,("Var_Fout"=[1]OUT_SyntheticFuels!$B$4:$B$1000)*1,("ELC35"=[1]OUT_SyntheticFuels!$A$4:$A$1000)*1,[1]OUT_SyntheticFuels!G$4:G$1000)</f>
        <v>0</v>
      </c>
      <c r="I625" s="1" cm="1">
        <f t="array" ref="I625">SUMPRODUCT(("SUP_MNRBIO"=[1]OUT_SyntheticFuels!$C$4:$C$1000)*1,("Var_Fout"=[1]OUT_SyntheticFuels!$B$4:$B$1000)*1,("ELC35"=[1]OUT_SyntheticFuels!$A$4:$A$1000)*1,[1]OUT_SyntheticFuels!H$4:H$1000)</f>
        <v>0</v>
      </c>
      <c r="J625" s="1" cm="1">
        <f t="array" ref="J625">SUMPRODUCT(("SUP_MNRBIO"=[2]OUT_SyntheticFuels!$C$4:$C$1000)*1,("Var_Fout"=[2]OUT_SyntheticFuels!$B$4:$B$1000)*1,("ELC35"=[2]OUT_SyntheticFuels!$A$4:$A$1000)*1,[2]OUT_SyntheticFuels!I$4:I$1000)</f>
        <v>0</v>
      </c>
      <c r="K625" s="1" cm="1">
        <f t="array" ref="K625">SUMPRODUCT(("SUP_MNRBIO"=[2]OUT_SyntheticFuels!$C$4:$C$1000)*1,("Var_Fout"=[2]OUT_SyntheticFuels!$B$4:$B$1000)*1,("ELC35"=[2]OUT_SyntheticFuels!$A$4:$A$1000)*1,[2]OUT_SyntheticFuels!J$4:J$1000)</f>
        <v>0</v>
      </c>
      <c r="L625" s="1" cm="1">
        <f t="array" ref="L625">SUMPRODUCT(("SUP_MNRBIO"=[2]OUT_SyntheticFuels!$C$4:$C$1000)*1,("Var_Fout"=[2]OUT_SyntheticFuels!$B$4:$B$1000)*1,("ELC35"=[2]OUT_SyntheticFuels!$A$4:$A$1000)*1,[2]OUT_SyntheticFuels!K$4:K$1000)</f>
        <v>0</v>
      </c>
      <c r="N625" s="1"/>
    </row>
    <row r="626" spans="2:14" x14ac:dyDescent="0.35">
      <c r="B626" s="5" t="s">
        <v>6</v>
      </c>
      <c r="C626" s="5" t="s">
        <v>7</v>
      </c>
      <c r="D626" t="s">
        <v>330</v>
      </c>
      <c r="E626" s="5" t="s">
        <v>8</v>
      </c>
      <c r="F626" s="1">
        <f>SUM(F627:F630)</f>
        <v>0.11258825959024969</v>
      </c>
      <c r="G626" s="1">
        <f t="shared" ref="G626:K626" si="672">SUM(G627:G630)</f>
        <v>0.1247646776139875</v>
      </c>
      <c r="H626" s="1">
        <f t="shared" si="672"/>
        <v>0.12058095882365599</v>
      </c>
      <c r="I626" s="1">
        <f t="shared" si="672"/>
        <v>0.12437518544043411</v>
      </c>
      <c r="J626" s="1">
        <f t="shared" si="672"/>
        <v>0.12413046100470115</v>
      </c>
      <c r="K626" s="1">
        <f t="shared" si="672"/>
        <v>0.12091100142259859</v>
      </c>
      <c r="L626" s="1">
        <f t="shared" ref="L626" si="673">SUM(L627:L630)</f>
        <v>0.11448172296752822</v>
      </c>
      <c r="N626" s="1"/>
    </row>
    <row r="627" spans="2:14" x14ac:dyDescent="0.35">
      <c r="B627" s="5" t="s">
        <v>6</v>
      </c>
      <c r="C627" s="5" t="s">
        <v>7</v>
      </c>
      <c r="D627" t="s">
        <v>331</v>
      </c>
      <c r="E627" s="5" t="s">
        <v>8</v>
      </c>
      <c r="F627" s="1" cm="1">
        <f t="array" ref="F627">SUMPRODUCT(("SUP_WSTBIO"=[1]OUT_SyntheticFuels!$C$4:$C$1000)*1,("elc35"=[1]OUT_SyntheticFuels!$A$4:$A$1000)*1,("Var_Fout"=[1]OUT_SyntheticFuels!$B$4:$B$1000)*1,[1]OUT_SyntheticFuels!E$4:E$1000)</f>
        <v>0.11258825959024969</v>
      </c>
      <c r="G627" s="1" cm="1">
        <f t="array" ref="G627">SUMPRODUCT(("SUP_WSTBIO"=[1]OUT_SyntheticFuels!$C$4:$C$1000)*1,("elc35"=[1]OUT_SyntheticFuels!$A$4:$A$1000)*1,("Var_Fout"=[1]OUT_SyntheticFuels!$B$4:$B$1000)*1,[1]OUT_SyntheticFuels!F$4:F$1000)</f>
        <v>0.1247646776139875</v>
      </c>
      <c r="H627" s="1" cm="1">
        <f t="array" ref="H627">SUMPRODUCT(("SUP_WSTBIO"=[1]OUT_SyntheticFuels!$C$4:$C$1000)*1,("elc35"=[1]OUT_SyntheticFuels!$A$4:$A$1000)*1,("Var_Fout"=[1]OUT_SyntheticFuels!$B$4:$B$1000)*1,[1]OUT_SyntheticFuels!G$4:G$1000)</f>
        <v>0.12058095882365599</v>
      </c>
      <c r="I627" s="1" cm="1">
        <f t="array" ref="I627">SUMPRODUCT(("SUP_WSTBIO"=[1]OUT_SyntheticFuels!$C$4:$C$1000)*1,("elc35"=[1]OUT_SyntheticFuels!$A$4:$A$1000)*1,("Var_Fout"=[1]OUT_SyntheticFuels!$B$4:$B$1000)*1,[1]OUT_SyntheticFuels!H$4:H$1000)</f>
        <v>0.12437518544043411</v>
      </c>
      <c r="J627" s="1" cm="1">
        <f t="array" ref="J627">SUMPRODUCT(("SUP_WSTBIO"=[2]OUT_SyntheticFuels!$C$4:$C$1000)*1,("elc35"=[2]OUT_SyntheticFuels!$A$4:$A$1000)*1,("Var_Fout"=[2]OUT_SyntheticFuels!$B$4:$B$1000)*1,[2]OUT_SyntheticFuels!I$4:I$1000)</f>
        <v>0.12413046100470115</v>
      </c>
      <c r="K627" s="1" cm="1">
        <f t="array" ref="K627">SUMPRODUCT(("SUP_WSTBIO"=[2]OUT_SyntheticFuels!$C$4:$C$1000)*1,("elc35"=[2]OUT_SyntheticFuels!$A$4:$A$1000)*1,("Var_Fout"=[2]OUT_SyntheticFuels!$B$4:$B$1000)*1,[2]OUT_SyntheticFuels!J$4:J$1000)</f>
        <v>0.12091100142259859</v>
      </c>
      <c r="L627" s="1" cm="1">
        <f t="array" ref="L627">SUMPRODUCT(("SUP_WSTBIO"=[2]OUT_SyntheticFuels!$C$4:$C$1000)*1,("elc35"=[2]OUT_SyntheticFuels!$A$4:$A$1000)*1,("Var_Fout"=[2]OUT_SyntheticFuels!$B$4:$B$1000)*1,[2]OUT_SyntheticFuels!K$4:K$1000)</f>
        <v>0.11448172296752822</v>
      </c>
      <c r="N627" s="1"/>
    </row>
    <row r="628" spans="2:14" x14ac:dyDescent="0.35">
      <c r="B628" s="5" t="s">
        <v>6</v>
      </c>
      <c r="C628" s="5" t="s">
        <v>7</v>
      </c>
      <c r="D628" t="s">
        <v>332</v>
      </c>
      <c r="E628" s="5" t="s">
        <v>8</v>
      </c>
      <c r="F628" s="1" cm="1">
        <f t="array" ref="F628">SUMPRODUCT(("SUP_WSTBIOCCS"=[1]OUT_SyntheticFuels!$C$4:$C$1000)*1,("elc35"=[1]OUT_SyntheticFuels!$A$4:$A$1000)*1,("Var_Fout"=[1]OUT_SyntheticFuels!$B$4:$B$1000)*1,[1]OUT_SyntheticFuels!E$4:E$1000)</f>
        <v>0</v>
      </c>
      <c r="G628" s="1" cm="1">
        <f t="array" ref="G628">SUMPRODUCT(("SUP_WSTBIOCCS"=[1]OUT_SyntheticFuels!$C$4:$C$1000)*1,("elc35"=[1]OUT_SyntheticFuels!$A$4:$A$1000)*1,("Var_Fout"=[1]OUT_SyntheticFuels!$B$4:$B$1000)*1,[1]OUT_SyntheticFuels!F$4:F$1000)</f>
        <v>0</v>
      </c>
      <c r="H628" s="1" cm="1">
        <f t="array" ref="H628">SUMPRODUCT(("SUP_WSTBIOCCS"=[1]OUT_SyntheticFuels!$C$4:$C$1000)*1,("elc35"=[1]OUT_SyntheticFuels!$A$4:$A$1000)*1,("Var_Fout"=[1]OUT_SyntheticFuels!$B$4:$B$1000)*1,[1]OUT_SyntheticFuels!G$4:G$1000)</f>
        <v>0</v>
      </c>
      <c r="I628" s="1" cm="1">
        <f t="array" ref="I628">SUMPRODUCT(("SUP_WSTBIOCCS"=[1]OUT_SyntheticFuels!$C$4:$C$1000)*1,("elc35"=[1]OUT_SyntheticFuels!$A$4:$A$1000)*1,("Var_Fout"=[1]OUT_SyntheticFuels!$B$4:$B$1000)*1,[1]OUT_SyntheticFuels!H$4:H$1000)</f>
        <v>0</v>
      </c>
      <c r="J628" s="1" cm="1">
        <f t="array" ref="J628">SUMPRODUCT(("SUP_WSTBIOCCS"=[2]OUT_SyntheticFuels!$C$4:$C$1000)*1,("elc35"=[2]OUT_SyntheticFuels!$A$4:$A$1000)*1,("Var_Fout"=[2]OUT_SyntheticFuels!$B$4:$B$1000)*1,[2]OUT_SyntheticFuels!I$4:I$1000)</f>
        <v>0</v>
      </c>
      <c r="K628" s="1" cm="1">
        <f t="array" ref="K628">SUMPRODUCT(("SUP_WSTBIOCCS"=[2]OUT_SyntheticFuels!$C$4:$C$1000)*1,("elc35"=[2]OUT_SyntheticFuels!$A$4:$A$1000)*1,("Var_Fout"=[2]OUT_SyntheticFuels!$B$4:$B$1000)*1,[2]OUT_SyntheticFuels!J$4:J$1000)</f>
        <v>0</v>
      </c>
      <c r="L628" s="1" cm="1">
        <f t="array" ref="L628">SUMPRODUCT(("SUP_WSTBIOCCS"=[2]OUT_SyntheticFuels!$C$4:$C$1000)*1,("elc35"=[2]OUT_SyntheticFuels!$A$4:$A$1000)*1,("Var_Fout"=[2]OUT_SyntheticFuels!$B$4:$B$1000)*1,[2]OUT_SyntheticFuels!K$4:K$1000)</f>
        <v>0</v>
      </c>
      <c r="N628" s="1"/>
    </row>
    <row r="629" spans="2:14" x14ac:dyDescent="0.35">
      <c r="B629" s="5" t="s">
        <v>6</v>
      </c>
      <c r="C629" s="5" t="s">
        <v>7</v>
      </c>
      <c r="D629" t="s">
        <v>333</v>
      </c>
      <c r="E629" s="5" t="s">
        <v>8</v>
      </c>
      <c r="F629" s="1" cm="1">
        <f t="array" ref="F629">SUMPRODUCT(("SUP_WSTHTGBIO"=[1]OUT_SyntheticFuels!$C$4:$C$1000)*1,("elc35"=[1]OUT_SyntheticFuels!$A$4:$A$1000)*1,("Var_Fout"=[1]OUT_SyntheticFuels!$B$4:$B$1000)*1,[1]OUT_SyntheticFuels!E$4:E$1000)</f>
        <v>0</v>
      </c>
      <c r="G629" s="1" cm="1">
        <f t="array" ref="G629">SUMPRODUCT(("SUP_WSTHTGBIO"=[1]OUT_SyntheticFuels!$C$4:$C$1000)*1,("elc35"=[1]OUT_SyntheticFuels!$A$4:$A$1000)*1,("Var_Fout"=[1]OUT_SyntheticFuels!$B$4:$B$1000)*1,[1]OUT_SyntheticFuels!F$4:F$1000)</f>
        <v>0</v>
      </c>
      <c r="H629" s="1" cm="1">
        <f t="array" ref="H629">SUMPRODUCT(("SUP_WSTHTGBIO"=[1]OUT_SyntheticFuels!$C$4:$C$1000)*1,("elc35"=[1]OUT_SyntheticFuels!$A$4:$A$1000)*1,("Var_Fout"=[1]OUT_SyntheticFuels!$B$4:$B$1000)*1,[1]OUT_SyntheticFuels!G$4:G$1000)</f>
        <v>0</v>
      </c>
      <c r="I629" s="1" cm="1">
        <f t="array" ref="I629">SUMPRODUCT(("SUP_WSTHTGBIO"=[1]OUT_SyntheticFuels!$C$4:$C$1000)*1,("elc35"=[1]OUT_SyntheticFuels!$A$4:$A$1000)*1,("Var_Fout"=[1]OUT_SyntheticFuels!$B$4:$B$1000)*1,[1]OUT_SyntheticFuels!H$4:H$1000)</f>
        <v>0</v>
      </c>
      <c r="J629" s="1" cm="1">
        <f t="array" ref="J629">SUMPRODUCT(("SUP_WSTHTGBIO"=[2]OUT_SyntheticFuels!$C$4:$C$1000)*1,("elc35"=[2]OUT_SyntheticFuels!$A$4:$A$1000)*1,("Var_Fout"=[2]OUT_SyntheticFuels!$B$4:$B$1000)*1,[2]OUT_SyntheticFuels!I$4:I$1000)</f>
        <v>0</v>
      </c>
      <c r="K629" s="1" cm="1">
        <f t="array" ref="K629">SUMPRODUCT(("SUP_WSTHTGBIO"=[2]OUT_SyntheticFuels!$C$4:$C$1000)*1,("elc35"=[2]OUT_SyntheticFuels!$A$4:$A$1000)*1,("Var_Fout"=[2]OUT_SyntheticFuels!$B$4:$B$1000)*1,[2]OUT_SyntheticFuels!J$4:J$1000)</f>
        <v>0</v>
      </c>
      <c r="L629" s="1" cm="1">
        <f t="array" ref="L629">SUMPRODUCT(("SUP_WSTHTGBIO"=[2]OUT_SyntheticFuels!$C$4:$C$1000)*1,("elc35"=[2]OUT_SyntheticFuels!$A$4:$A$1000)*1,("Var_Fout"=[2]OUT_SyntheticFuels!$B$4:$B$1000)*1,[2]OUT_SyntheticFuels!K$4:K$1000)</f>
        <v>0</v>
      </c>
      <c r="N629" s="1"/>
    </row>
    <row r="630" spans="2:14" x14ac:dyDescent="0.35">
      <c r="B630" s="5" t="s">
        <v>6</v>
      </c>
      <c r="C630" s="5" t="s">
        <v>7</v>
      </c>
      <c r="D630" t="s">
        <v>334</v>
      </c>
      <c r="E630" s="5" t="s">
        <v>8</v>
      </c>
      <c r="F630" s="1" cm="1">
        <f t="array" ref="F630">SUMPRODUCT(("SUP_WSTHTGBIOCCS"=[1]OUT_SyntheticFuels!$C$4:$C$1000)*1,("elc35"=[1]OUT_SyntheticFuels!$A$4:$A$1000)*1,("Var_Fout"=[1]OUT_SyntheticFuels!$B$4:$B$1000)*1,[1]OUT_SyntheticFuels!E$4:E$1000)</f>
        <v>0</v>
      </c>
      <c r="G630" s="1" cm="1">
        <f t="array" ref="G630">SUMPRODUCT(("SUP_WSTHTGBIOCCS"=[1]OUT_SyntheticFuels!$C$4:$C$1000)*1,("elc35"=[1]OUT_SyntheticFuels!$A$4:$A$1000)*1,("Var_Fout"=[1]OUT_SyntheticFuels!$B$4:$B$1000)*1,[1]OUT_SyntheticFuels!F$4:F$1000)</f>
        <v>0</v>
      </c>
      <c r="H630" s="1" cm="1">
        <f t="array" ref="H630">SUMPRODUCT(("SUP_WSTHTGBIOCCS"=[1]OUT_SyntheticFuels!$C$4:$C$1000)*1,("elc35"=[1]OUT_SyntheticFuels!$A$4:$A$1000)*1,("Var_Fout"=[1]OUT_SyntheticFuels!$B$4:$B$1000)*1,[1]OUT_SyntheticFuels!G$4:G$1000)</f>
        <v>0</v>
      </c>
      <c r="I630" s="1" cm="1">
        <f t="array" ref="I630">SUMPRODUCT(("SUP_WSTHTGBIOCCS"=[1]OUT_SyntheticFuels!$C$4:$C$1000)*1,("elc35"=[1]OUT_SyntheticFuels!$A$4:$A$1000)*1,("Var_Fout"=[1]OUT_SyntheticFuels!$B$4:$B$1000)*1,[1]OUT_SyntheticFuels!H$4:H$1000)</f>
        <v>0</v>
      </c>
      <c r="J630" s="1" cm="1">
        <f t="array" ref="J630">SUMPRODUCT(("SUP_WSTHTGBIOCCS"=[2]OUT_SyntheticFuels!$C$4:$C$1000)*1,("elc35"=[2]OUT_SyntheticFuels!$A$4:$A$1000)*1,("Var_Fout"=[2]OUT_SyntheticFuels!$B$4:$B$1000)*1,[2]OUT_SyntheticFuels!I$4:I$1000)</f>
        <v>0</v>
      </c>
      <c r="K630" s="1" cm="1">
        <f t="array" ref="K630">SUMPRODUCT(("SUP_WSTHTGBIOCCS"=[2]OUT_SyntheticFuels!$C$4:$C$1000)*1,("elc35"=[2]OUT_SyntheticFuels!$A$4:$A$1000)*1,("Var_Fout"=[2]OUT_SyntheticFuels!$B$4:$B$1000)*1,[2]OUT_SyntheticFuels!J$4:J$1000)</f>
        <v>0</v>
      </c>
      <c r="L630" s="1" cm="1">
        <f t="array" ref="L630">SUMPRODUCT(("SUP_WSTHTGBIOCCS"=[2]OUT_SyntheticFuels!$C$4:$C$1000)*1,("elc35"=[2]OUT_SyntheticFuels!$A$4:$A$1000)*1,("Var_Fout"=[2]OUT_SyntheticFuels!$B$4:$B$1000)*1,[2]OUT_SyntheticFuels!K$4:K$1000)</f>
        <v>0</v>
      </c>
      <c r="N630" s="1"/>
    </row>
    <row r="631" spans="2:14" x14ac:dyDescent="0.35">
      <c r="B631" s="5" t="s">
        <v>6</v>
      </c>
      <c r="C631" s="5" t="s">
        <v>7</v>
      </c>
      <c r="D631" t="s">
        <v>910</v>
      </c>
      <c r="E631" s="5" t="s">
        <v>8</v>
      </c>
      <c r="F631" s="1">
        <f>SUM(F632:F633)</f>
        <v>0</v>
      </c>
      <c r="G631" s="1">
        <f t="shared" ref="G631:K631" si="674">SUM(G632:G633)</f>
        <v>0</v>
      </c>
      <c r="H631" s="1">
        <f t="shared" si="674"/>
        <v>1.4339096448499721E-6</v>
      </c>
      <c r="I631" s="1">
        <f t="shared" si="674"/>
        <v>1.7068374573268985E-6</v>
      </c>
      <c r="J631" s="1">
        <f t="shared" si="674"/>
        <v>8.5504385062510936E-6</v>
      </c>
      <c r="K631" s="1">
        <f t="shared" si="674"/>
        <v>8.7357260473423142E-6</v>
      </c>
      <c r="L631" s="1">
        <f t="shared" ref="L631" si="675">SUM(L632:L633)</f>
        <v>9.1179786373100777E-6</v>
      </c>
      <c r="N631" s="1"/>
    </row>
    <row r="632" spans="2:14" x14ac:dyDescent="0.35">
      <c r="B632" s="5" t="s">
        <v>6</v>
      </c>
      <c r="C632" s="5" t="s">
        <v>7</v>
      </c>
      <c r="D632" t="s">
        <v>335</v>
      </c>
      <c r="E632" s="5" t="s">
        <v>8</v>
      </c>
      <c r="F632" s="1" cm="1">
        <f t="array" ref="F632">SUMPRODUCT(("SUP_WODBIO"=[1]OUT_SyntheticFuels!$C$4:$C$1000)*1,("elc35"=[1]OUT_SyntheticFuels!$A$4:$A$1000)*1,("Var_Fout"=[1]OUT_SyntheticFuels!$B$4:$B$1000)*1,[1]OUT_SyntheticFuels!E$4:E$1000)</f>
        <v>0</v>
      </c>
      <c r="G632" s="1" cm="1">
        <f t="array" ref="G632">SUMPRODUCT(("SUP_WODBIO"=[1]OUT_SyntheticFuels!$C$4:$C$1000)*1,("elc35"=[1]OUT_SyntheticFuels!$A$4:$A$1000)*1,("Var_Fout"=[1]OUT_SyntheticFuels!$B$4:$B$1000)*1,[1]OUT_SyntheticFuels!F$4:F$1000)</f>
        <v>0</v>
      </c>
      <c r="H632" s="1" cm="1">
        <f t="array" ref="H632">SUMPRODUCT(("SUP_WODBIO"=[1]OUT_SyntheticFuels!$C$4:$C$1000)*1,("elc35"=[1]OUT_SyntheticFuels!$A$4:$A$1000)*1,("Var_Fout"=[1]OUT_SyntheticFuels!$B$4:$B$1000)*1,[1]OUT_SyntheticFuels!G$4:G$1000)</f>
        <v>1.4339096448499721E-6</v>
      </c>
      <c r="I632" s="1" cm="1">
        <f t="array" ref="I632">SUMPRODUCT(("SUP_WODBIO"=[1]OUT_SyntheticFuels!$C$4:$C$1000)*1,("elc35"=[1]OUT_SyntheticFuels!$A$4:$A$1000)*1,("Var_Fout"=[1]OUT_SyntheticFuels!$B$4:$B$1000)*1,[1]OUT_SyntheticFuels!H$4:H$1000)</f>
        <v>1.7068374573268985E-6</v>
      </c>
      <c r="J632" s="1" cm="1">
        <f t="array" ref="J632">SUMPRODUCT(("SUP_WODBIO"=[2]OUT_SyntheticFuels!$C$4:$C$1000)*1,("elc35"=[2]OUT_SyntheticFuels!$A$4:$A$1000)*1,("Var_Fout"=[2]OUT_SyntheticFuels!$B$4:$B$1000)*1,[2]OUT_SyntheticFuels!I$4:I$1000)</f>
        <v>8.5504385062510936E-6</v>
      </c>
      <c r="K632" s="1" cm="1">
        <f t="array" ref="K632">SUMPRODUCT(("SUP_WODBIO"=[2]OUT_SyntheticFuels!$C$4:$C$1000)*1,("elc35"=[2]OUT_SyntheticFuels!$A$4:$A$1000)*1,("Var_Fout"=[2]OUT_SyntheticFuels!$B$4:$B$1000)*1,[2]OUT_SyntheticFuels!J$4:J$1000)</f>
        <v>8.7357260473423142E-6</v>
      </c>
      <c r="L632" s="1" cm="1">
        <f t="array" ref="L632">SUMPRODUCT(("SUP_WODBIO"=[2]OUT_SyntheticFuels!$C$4:$C$1000)*1,("elc35"=[2]OUT_SyntheticFuels!$A$4:$A$1000)*1,("Var_Fout"=[2]OUT_SyntheticFuels!$B$4:$B$1000)*1,[2]OUT_SyntheticFuels!K$4:K$1000)</f>
        <v>9.1179786373100777E-6</v>
      </c>
      <c r="N632" s="1"/>
    </row>
    <row r="633" spans="2:14" x14ac:dyDescent="0.35">
      <c r="B633" s="5" t="s">
        <v>6</v>
      </c>
      <c r="C633" s="5" t="s">
        <v>7</v>
      </c>
      <c r="D633" t="s">
        <v>336</v>
      </c>
      <c r="E633" s="5" t="s">
        <v>8</v>
      </c>
      <c r="F633" s="1" cm="1">
        <f t="array" ref="F633">SUMPRODUCT(("SUP_WODBIOCCS"=[1]OUT_SyntheticFuels!$C$4:$C$1000)*1,("elc35"=[1]OUT_SyntheticFuels!$A$4:$A$1000)*1,("Var_Fout"=[1]OUT_SyntheticFuels!$B$4:$B$1000)*1,[1]OUT_SyntheticFuels!E$4:E$1000)</f>
        <v>0</v>
      </c>
      <c r="G633" s="1" cm="1">
        <f t="array" ref="G633">SUMPRODUCT(("SUP_WODBIOCCS"=[1]OUT_SyntheticFuels!$C$4:$C$1000)*1,("elc35"=[1]OUT_SyntheticFuels!$A$4:$A$1000)*1,("Var_Fout"=[1]OUT_SyntheticFuels!$B$4:$B$1000)*1,[1]OUT_SyntheticFuels!F$4:F$1000)</f>
        <v>0</v>
      </c>
      <c r="H633" s="1" cm="1">
        <f t="array" ref="H633">SUMPRODUCT(("SUP_WODBIOCCS"=[1]OUT_SyntheticFuels!$C$4:$C$1000)*1,("elc35"=[1]OUT_SyntheticFuels!$A$4:$A$1000)*1,("Var_Fout"=[1]OUT_SyntheticFuels!$B$4:$B$1000)*1,[1]OUT_SyntheticFuels!G$4:G$1000)</f>
        <v>0</v>
      </c>
      <c r="I633" s="1" cm="1">
        <f t="array" ref="I633">SUMPRODUCT(("SUP_WODBIOCCS"=[1]OUT_SyntheticFuels!$C$4:$C$1000)*1,("elc35"=[1]OUT_SyntheticFuels!$A$4:$A$1000)*1,("Var_Fout"=[1]OUT_SyntheticFuels!$B$4:$B$1000)*1,[1]OUT_SyntheticFuels!H$4:H$1000)</f>
        <v>0</v>
      </c>
      <c r="J633" s="1" cm="1">
        <f t="array" ref="J633">SUMPRODUCT(("SUP_WODBIOCCS"=[2]OUT_SyntheticFuels!$C$4:$C$1000)*1,("elc35"=[2]OUT_SyntheticFuels!$A$4:$A$1000)*1,("Var_Fout"=[2]OUT_SyntheticFuels!$B$4:$B$1000)*1,[2]OUT_SyntheticFuels!I$4:I$1000)</f>
        <v>0</v>
      </c>
      <c r="K633" s="1" cm="1">
        <f t="array" ref="K633">SUMPRODUCT(("SUP_WODBIOCCS"=[2]OUT_SyntheticFuels!$C$4:$C$1000)*1,("elc35"=[2]OUT_SyntheticFuels!$A$4:$A$1000)*1,("Var_Fout"=[2]OUT_SyntheticFuels!$B$4:$B$1000)*1,[2]OUT_SyntheticFuels!J$4:J$1000)</f>
        <v>0</v>
      </c>
      <c r="L633" s="1" cm="1">
        <f t="array" ref="L633">SUMPRODUCT(("SUP_WODBIOCCS"=[2]OUT_SyntheticFuels!$C$4:$C$1000)*1,("elc35"=[2]OUT_SyntheticFuels!$A$4:$A$1000)*1,("Var_Fout"=[2]OUT_SyntheticFuels!$B$4:$B$1000)*1,[2]OUT_SyntheticFuels!K$4:K$1000)</f>
        <v>0</v>
      </c>
      <c r="N633" s="1"/>
    </row>
    <row r="634" spans="2:14" x14ac:dyDescent="0.35">
      <c r="B634" s="5" t="s">
        <v>6</v>
      </c>
      <c r="C634" s="5" t="s">
        <v>7</v>
      </c>
      <c r="D634" s="2" t="s">
        <v>385</v>
      </c>
      <c r="E634" s="9" t="s">
        <v>8</v>
      </c>
      <c r="F634" s="3">
        <f>F635+F636+F641</f>
        <v>0</v>
      </c>
      <c r="G634" s="3">
        <f t="shared" ref="G634" si="676">G635+G636+G641</f>
        <v>3.590979434360588E-6</v>
      </c>
      <c r="H634" s="3">
        <f t="shared" ref="H634" si="677">H635+H636+H641</f>
        <v>7.7297094294091306E-6</v>
      </c>
      <c r="I634" s="3">
        <f t="shared" ref="I634" si="678">I635+I636+I641</f>
        <v>8.8416361585740396E-6</v>
      </c>
      <c r="J634" s="3">
        <f t="shared" ref="J634" si="679">J635+J636+J641</f>
        <v>2.5651315518753278E-5</v>
      </c>
      <c r="K634" s="3">
        <f t="shared" ref="K634:L634" si="680">K635+K636+K641</f>
        <v>2.6207178142026956E-5</v>
      </c>
      <c r="L634" s="3">
        <f t="shared" si="680"/>
        <v>2.7353935911930187E-5</v>
      </c>
      <c r="N634" s="1"/>
    </row>
    <row r="635" spans="2:14" x14ac:dyDescent="0.35">
      <c r="B635" s="5" t="s">
        <v>6</v>
      </c>
      <c r="C635" s="5" t="s">
        <v>7</v>
      </c>
      <c r="D635" t="s">
        <v>337</v>
      </c>
      <c r="E635" s="5" t="s">
        <v>8</v>
      </c>
      <c r="F635" s="1" cm="1">
        <f t="array" ref="F635">SUMPRODUCT(("SUP_MNRBIO"=[1]OUT_SyntheticFuels!$C$4:$C$1000)*1,("Var_Fout"=[1]OUT_SyntheticFuels!$B$4:$B$1000)*1,("LTH"=[1]OUT_SyntheticFuels!$A$4:$A$1000)*1,[1]OUT_SyntheticFuels!E$4:E$1000)</f>
        <v>0</v>
      </c>
      <c r="G635" s="1" cm="1">
        <f t="array" ref="G635">SUMPRODUCT(("SUP_MNRBIO"=[1]OUT_SyntheticFuels!$C$4:$C$1000)*1,("Var_Fout"=[1]OUT_SyntheticFuels!$B$4:$B$1000)*1,("LTH"=[1]OUT_SyntheticFuels!$A$4:$A$1000)*1,[1]OUT_SyntheticFuels!F$4:F$1000)</f>
        <v>0</v>
      </c>
      <c r="H635" s="1" cm="1">
        <f t="array" ref="H635">SUMPRODUCT(("SUP_MNRBIO"=[1]OUT_SyntheticFuels!$C$4:$C$1000)*1,("Var_Fout"=[1]OUT_SyntheticFuels!$B$4:$B$1000)*1,("LTH"=[1]OUT_SyntheticFuels!$A$4:$A$1000)*1,[1]OUT_SyntheticFuels!G$4:G$1000)</f>
        <v>0</v>
      </c>
      <c r="I635" s="1" cm="1">
        <f t="array" ref="I635">SUMPRODUCT(("SUP_MNRBIO"=[1]OUT_SyntheticFuels!$C$4:$C$1000)*1,("Var_Fout"=[1]OUT_SyntheticFuels!$B$4:$B$1000)*1,("LTH"=[1]OUT_SyntheticFuels!$A$4:$A$1000)*1,[1]OUT_SyntheticFuels!H$4:H$1000)</f>
        <v>0</v>
      </c>
      <c r="J635" s="1" cm="1">
        <f t="array" ref="J635">SUMPRODUCT(("SUP_MNRBIO"=[2]OUT_SyntheticFuels!$C$4:$C$1000)*1,("Var_Fout"=[2]OUT_SyntheticFuels!$B$4:$B$1000)*1,("LTH"=[2]OUT_SyntheticFuels!$A$4:$A$1000)*1,[2]OUT_SyntheticFuels!I$4:I$1000)</f>
        <v>0</v>
      </c>
      <c r="K635" s="1" cm="1">
        <f t="array" ref="K635">SUMPRODUCT(("SUP_MNRBIO"=[2]OUT_SyntheticFuels!$C$4:$C$1000)*1,("Var_Fout"=[2]OUT_SyntheticFuels!$B$4:$B$1000)*1,("LTH"=[2]OUT_SyntheticFuels!$A$4:$A$1000)*1,[2]OUT_SyntheticFuels!J$4:J$1000)</f>
        <v>0</v>
      </c>
      <c r="L635" s="1" cm="1">
        <f t="array" ref="L635">SUMPRODUCT(("SUP_MNRBIO"=[2]OUT_SyntheticFuels!$C$4:$C$1000)*1,("Var_Fout"=[2]OUT_SyntheticFuels!$B$4:$B$1000)*1,("LTH"=[2]OUT_SyntheticFuels!$A$4:$A$1000)*1,[2]OUT_SyntheticFuels!K$4:K$1000)</f>
        <v>0</v>
      </c>
      <c r="N635" s="1"/>
    </row>
    <row r="636" spans="2:14" x14ac:dyDescent="0.35">
      <c r="B636" s="5" t="s">
        <v>6</v>
      </c>
      <c r="C636" s="5" t="s">
        <v>7</v>
      </c>
      <c r="D636" t="s">
        <v>912</v>
      </c>
      <c r="E636" s="5" t="s">
        <v>8</v>
      </c>
      <c r="F636" s="1">
        <f>SUM(F637:F640)</f>
        <v>0</v>
      </c>
      <c r="G636" s="1">
        <f t="shared" ref="G636" si="681">SUM(G637:G640)</f>
        <v>0</v>
      </c>
      <c r="H636" s="1">
        <f t="shared" ref="H636" si="682">SUM(H637:H640)</f>
        <v>0</v>
      </c>
      <c r="I636" s="1">
        <f t="shared" ref="I636" si="683">SUM(I637:I640)</f>
        <v>0</v>
      </c>
      <c r="J636" s="1">
        <f t="shared" ref="J636" si="684">SUM(J637:J640)</f>
        <v>0</v>
      </c>
      <c r="K636" s="1">
        <f t="shared" ref="K636:L636" si="685">SUM(K637:K640)</f>
        <v>0</v>
      </c>
      <c r="L636" s="1">
        <f t="shared" si="685"/>
        <v>0</v>
      </c>
      <c r="N636" s="1"/>
    </row>
    <row r="637" spans="2:14" x14ac:dyDescent="0.35">
      <c r="B637" s="5" t="s">
        <v>6</v>
      </c>
      <c r="C637" s="5" t="s">
        <v>7</v>
      </c>
      <c r="D637" t="s">
        <v>338</v>
      </c>
      <c r="E637" s="5" t="s">
        <v>8</v>
      </c>
      <c r="F637" s="1" cm="1">
        <f t="array" ref="F637">SUMPRODUCT(("SUP_WSTBIO"=[1]OUT_SyntheticFuels!$C$4:$C$1000)*1,("LTH"=[1]OUT_SyntheticFuels!$A$4:$A$1000)*1,("Var_Fout"=[1]OUT_SyntheticFuels!$B$4:$B$1000)*1,[1]OUT_SyntheticFuels!E$4:E$1000)</f>
        <v>0</v>
      </c>
      <c r="G637" s="1" cm="1">
        <f t="array" ref="G637">SUMPRODUCT(("SUP_WSTBIO"=[1]OUT_SyntheticFuels!$C$4:$C$1000)*1,("LTH"=[1]OUT_SyntheticFuels!$A$4:$A$1000)*1,("Var_Fout"=[1]OUT_SyntheticFuels!$B$4:$B$1000)*1,[1]OUT_SyntheticFuels!F$4:F$1000)</f>
        <v>0</v>
      </c>
      <c r="H637" s="1" cm="1">
        <f t="array" ref="H637">SUMPRODUCT(("SUP_WSTBIO"=[1]OUT_SyntheticFuels!$C$4:$C$1000)*1,("LTH"=[1]OUT_SyntheticFuels!$A$4:$A$1000)*1,("Var_Fout"=[1]OUT_SyntheticFuels!$B$4:$B$1000)*1,[1]OUT_SyntheticFuels!G$4:G$1000)</f>
        <v>0</v>
      </c>
      <c r="I637" s="1" cm="1">
        <f t="array" ref="I637">SUMPRODUCT(("SUP_WSTBIO"=[1]OUT_SyntheticFuels!$C$4:$C$1000)*1,("LTH"=[1]OUT_SyntheticFuels!$A$4:$A$1000)*1,("Var_Fout"=[1]OUT_SyntheticFuels!$B$4:$B$1000)*1,[1]OUT_SyntheticFuels!H$4:H$1000)</f>
        <v>0</v>
      </c>
      <c r="J637" s="1" cm="1">
        <f t="array" ref="J637">SUMPRODUCT(("SUP_WSTBIO"=[2]OUT_SyntheticFuels!$C$4:$C$1000)*1,("LTH"=[2]OUT_SyntheticFuels!$A$4:$A$1000)*1,("Var_Fout"=[2]OUT_SyntheticFuels!$B$4:$B$1000)*1,[2]OUT_SyntheticFuels!I$4:I$1000)</f>
        <v>0</v>
      </c>
      <c r="K637" s="1" cm="1">
        <f t="array" ref="K637">SUMPRODUCT(("SUP_WSTBIO"=[2]OUT_SyntheticFuels!$C$4:$C$1000)*1,("LTH"=[2]OUT_SyntheticFuels!$A$4:$A$1000)*1,("Var_Fout"=[2]OUT_SyntheticFuels!$B$4:$B$1000)*1,[2]OUT_SyntheticFuels!J$4:J$1000)</f>
        <v>0</v>
      </c>
      <c r="L637" s="1" cm="1">
        <f t="array" ref="L637">SUMPRODUCT(("SUP_WSTBIO"=[2]OUT_SyntheticFuels!$C$4:$C$1000)*1,("LTH"=[2]OUT_SyntheticFuels!$A$4:$A$1000)*1,("Var_Fout"=[2]OUT_SyntheticFuels!$B$4:$B$1000)*1,[2]OUT_SyntheticFuels!K$4:K$1000)</f>
        <v>0</v>
      </c>
      <c r="N637" s="1"/>
    </row>
    <row r="638" spans="2:14" x14ac:dyDescent="0.35">
      <c r="B638" s="5" t="s">
        <v>6</v>
      </c>
      <c r="C638" s="5" t="s">
        <v>7</v>
      </c>
      <c r="D638" t="s">
        <v>339</v>
      </c>
      <c r="E638" s="5" t="s">
        <v>8</v>
      </c>
      <c r="F638" s="1" cm="1">
        <f t="array" ref="F638">SUMPRODUCT(("SUP_WSTBIOCCS"=[1]OUT_SyntheticFuels!$C$4:$C$1000)*1,("LTH"=[1]OUT_SyntheticFuels!$A$4:$A$1000)*1,("Var_Fout"=[1]OUT_SyntheticFuels!$B$4:$B$1000)*1,[1]OUT_SyntheticFuels!E$4:E$1000)</f>
        <v>0</v>
      </c>
      <c r="G638" s="1" cm="1">
        <f t="array" ref="G638">SUMPRODUCT(("SUP_WSTBIOCCS"=[1]OUT_SyntheticFuels!$C$4:$C$1000)*1,("LTH"=[1]OUT_SyntheticFuels!$A$4:$A$1000)*1,("Var_Fout"=[1]OUT_SyntheticFuels!$B$4:$B$1000)*1,[1]OUT_SyntheticFuels!F$4:F$1000)</f>
        <v>0</v>
      </c>
      <c r="H638" s="1" cm="1">
        <f t="array" ref="H638">SUMPRODUCT(("SUP_WSTBIOCCS"=[1]OUT_SyntheticFuels!$C$4:$C$1000)*1,("LTH"=[1]OUT_SyntheticFuels!$A$4:$A$1000)*1,("Var_Fout"=[1]OUT_SyntheticFuels!$B$4:$B$1000)*1,[1]OUT_SyntheticFuels!G$4:G$1000)</f>
        <v>0</v>
      </c>
      <c r="I638" s="1" cm="1">
        <f t="array" ref="I638">SUMPRODUCT(("SUP_WSTBIOCCS"=[1]OUT_SyntheticFuels!$C$4:$C$1000)*1,("LTH"=[1]OUT_SyntheticFuels!$A$4:$A$1000)*1,("Var_Fout"=[1]OUT_SyntheticFuels!$B$4:$B$1000)*1,[1]OUT_SyntheticFuels!H$4:H$1000)</f>
        <v>0</v>
      </c>
      <c r="J638" s="1" cm="1">
        <f t="array" ref="J638">SUMPRODUCT(("SUP_WSTBIOCCS"=[2]OUT_SyntheticFuels!$C$4:$C$1000)*1,("LTH"=[2]OUT_SyntheticFuels!$A$4:$A$1000)*1,("Var_Fout"=[2]OUT_SyntheticFuels!$B$4:$B$1000)*1,[2]OUT_SyntheticFuels!I$4:I$1000)</f>
        <v>0</v>
      </c>
      <c r="K638" s="1" cm="1">
        <f t="array" ref="K638">SUMPRODUCT(("SUP_WSTBIOCCS"=[2]OUT_SyntheticFuels!$C$4:$C$1000)*1,("LTH"=[2]OUT_SyntheticFuels!$A$4:$A$1000)*1,("Var_Fout"=[2]OUT_SyntheticFuels!$B$4:$B$1000)*1,[2]OUT_SyntheticFuels!J$4:J$1000)</f>
        <v>0</v>
      </c>
      <c r="L638" s="1" cm="1">
        <f t="array" ref="L638">SUMPRODUCT(("SUP_WSTBIOCCS"=[2]OUT_SyntheticFuels!$C$4:$C$1000)*1,("LTH"=[2]OUT_SyntheticFuels!$A$4:$A$1000)*1,("Var_Fout"=[2]OUT_SyntheticFuels!$B$4:$B$1000)*1,[2]OUT_SyntheticFuels!K$4:K$1000)</f>
        <v>0</v>
      </c>
      <c r="N638" s="1"/>
    </row>
    <row r="639" spans="2:14" x14ac:dyDescent="0.35">
      <c r="B639" s="5" t="s">
        <v>6</v>
      </c>
      <c r="C639" s="5" t="s">
        <v>7</v>
      </c>
      <c r="D639" t="s">
        <v>340</v>
      </c>
      <c r="E639" s="5" t="s">
        <v>8</v>
      </c>
      <c r="F639" s="1" cm="1">
        <f t="array" ref="F639">SUMPRODUCT(("SUP_WSTHTGBIO"=[1]OUT_SyntheticFuels!$C$4:$C$1000)*1,("LTH"=[1]OUT_SyntheticFuels!$A$4:$A$1000)*1,("Var_Fout"=[1]OUT_SyntheticFuels!$B$4:$B$1000)*1,[1]OUT_SyntheticFuels!E$4:E$1000)</f>
        <v>0</v>
      </c>
      <c r="G639" s="1" cm="1">
        <f t="array" ref="G639">SUMPRODUCT(("SUP_WSTHTGBIO"=[1]OUT_SyntheticFuels!$C$4:$C$1000)*1,("LTH"=[1]OUT_SyntheticFuels!$A$4:$A$1000)*1,("Var_Fout"=[1]OUT_SyntheticFuels!$B$4:$B$1000)*1,[1]OUT_SyntheticFuels!F$4:F$1000)</f>
        <v>0</v>
      </c>
      <c r="H639" s="1" cm="1">
        <f t="array" ref="H639">SUMPRODUCT(("SUP_WSTHTGBIO"=[1]OUT_SyntheticFuels!$C$4:$C$1000)*1,("LTH"=[1]OUT_SyntheticFuels!$A$4:$A$1000)*1,("Var_Fout"=[1]OUT_SyntheticFuels!$B$4:$B$1000)*1,[1]OUT_SyntheticFuels!G$4:G$1000)</f>
        <v>0</v>
      </c>
      <c r="I639" s="1" cm="1">
        <f t="array" ref="I639">SUMPRODUCT(("SUP_WSTHTGBIO"=[1]OUT_SyntheticFuels!$C$4:$C$1000)*1,("LTH"=[1]OUT_SyntheticFuels!$A$4:$A$1000)*1,("Var_Fout"=[1]OUT_SyntheticFuels!$B$4:$B$1000)*1,[1]OUT_SyntheticFuels!H$4:H$1000)</f>
        <v>0</v>
      </c>
      <c r="J639" s="1" cm="1">
        <f t="array" ref="J639">SUMPRODUCT(("SUP_WSTHTGBIO"=[2]OUT_SyntheticFuels!$C$4:$C$1000)*1,("LTH"=[2]OUT_SyntheticFuels!$A$4:$A$1000)*1,("Var_Fout"=[2]OUT_SyntheticFuels!$B$4:$B$1000)*1,[2]OUT_SyntheticFuels!I$4:I$1000)</f>
        <v>0</v>
      </c>
      <c r="K639" s="1" cm="1">
        <f t="array" ref="K639">SUMPRODUCT(("SUP_WSTHTGBIO"=[2]OUT_SyntheticFuels!$C$4:$C$1000)*1,("LTH"=[2]OUT_SyntheticFuels!$A$4:$A$1000)*1,("Var_Fout"=[2]OUT_SyntheticFuels!$B$4:$B$1000)*1,[2]OUT_SyntheticFuels!J$4:J$1000)</f>
        <v>0</v>
      </c>
      <c r="L639" s="1" cm="1">
        <f t="array" ref="L639">SUMPRODUCT(("SUP_WSTHTGBIO"=[2]OUT_SyntheticFuels!$C$4:$C$1000)*1,("LTH"=[2]OUT_SyntheticFuels!$A$4:$A$1000)*1,("Var_Fout"=[2]OUT_SyntheticFuels!$B$4:$B$1000)*1,[2]OUT_SyntheticFuels!K$4:K$1000)</f>
        <v>0</v>
      </c>
      <c r="N639" s="1"/>
    </row>
    <row r="640" spans="2:14" x14ac:dyDescent="0.35">
      <c r="B640" s="5" t="s">
        <v>6</v>
      </c>
      <c r="C640" s="5" t="s">
        <v>7</v>
      </c>
      <c r="D640" t="s">
        <v>341</v>
      </c>
      <c r="E640" s="5" t="s">
        <v>8</v>
      </c>
      <c r="F640" s="1" cm="1">
        <f t="array" ref="F640">SUMPRODUCT(("SUP_WSTHTGBIOCCS"=[1]OUT_SyntheticFuels!$C$4:$C$1000)*1,("LTH"=[1]OUT_SyntheticFuels!$A$4:$A$1000)*1,("Var_Fout"=[1]OUT_SyntheticFuels!$B$4:$B$1000)*1,[1]OUT_SyntheticFuels!E$4:E$1000)</f>
        <v>0</v>
      </c>
      <c r="G640" s="1" cm="1">
        <f t="array" ref="G640">SUMPRODUCT(("SUP_WSTHTGBIOCCS"=[1]OUT_SyntheticFuels!$C$4:$C$1000)*1,("LTH"=[1]OUT_SyntheticFuels!$A$4:$A$1000)*1,("Var_Fout"=[1]OUT_SyntheticFuels!$B$4:$B$1000)*1,[1]OUT_SyntheticFuels!F$4:F$1000)</f>
        <v>0</v>
      </c>
      <c r="H640" s="1" cm="1">
        <f t="array" ref="H640">SUMPRODUCT(("SUP_WSTHTGBIOCCS"=[1]OUT_SyntheticFuels!$C$4:$C$1000)*1,("LTH"=[1]OUT_SyntheticFuels!$A$4:$A$1000)*1,("Var_Fout"=[1]OUT_SyntheticFuels!$B$4:$B$1000)*1,[1]OUT_SyntheticFuels!G$4:G$1000)</f>
        <v>0</v>
      </c>
      <c r="I640" s="1" cm="1">
        <f t="array" ref="I640">SUMPRODUCT(("SUP_WSTHTGBIOCCS"=[1]OUT_SyntheticFuels!$C$4:$C$1000)*1,("LTH"=[1]OUT_SyntheticFuels!$A$4:$A$1000)*1,("Var_Fout"=[1]OUT_SyntheticFuels!$B$4:$B$1000)*1,[1]OUT_SyntheticFuels!H$4:H$1000)</f>
        <v>0</v>
      </c>
      <c r="J640" s="1" cm="1">
        <f t="array" ref="J640">SUMPRODUCT(("SUP_WSTHTGBIOCCS"=[2]OUT_SyntheticFuels!$C$4:$C$1000)*1,("LTH"=[2]OUT_SyntheticFuels!$A$4:$A$1000)*1,("Var_Fout"=[2]OUT_SyntheticFuels!$B$4:$B$1000)*1,[2]OUT_SyntheticFuels!I$4:I$1000)</f>
        <v>0</v>
      </c>
      <c r="K640" s="1" cm="1">
        <f t="array" ref="K640">SUMPRODUCT(("SUP_WSTHTGBIOCCS"=[2]OUT_SyntheticFuels!$C$4:$C$1000)*1,("LTH"=[2]OUT_SyntheticFuels!$A$4:$A$1000)*1,("Var_Fout"=[2]OUT_SyntheticFuels!$B$4:$B$1000)*1,[2]OUT_SyntheticFuels!J$4:J$1000)</f>
        <v>0</v>
      </c>
      <c r="L640" s="1" cm="1">
        <f t="array" ref="L640">SUMPRODUCT(("SUP_WSTHTGBIOCCS"=[2]OUT_SyntheticFuels!$C$4:$C$1000)*1,("LTH"=[2]OUT_SyntheticFuels!$A$4:$A$1000)*1,("Var_Fout"=[2]OUT_SyntheticFuels!$B$4:$B$1000)*1,[2]OUT_SyntheticFuels!K$4:K$1000)</f>
        <v>0</v>
      </c>
      <c r="N640" s="1"/>
    </row>
    <row r="641" spans="2:14" x14ac:dyDescent="0.35">
      <c r="B641" s="5" t="s">
        <v>6</v>
      </c>
      <c r="C641" s="5" t="s">
        <v>7</v>
      </c>
      <c r="D641" t="s">
        <v>911</v>
      </c>
      <c r="E641" s="5" t="s">
        <v>8</v>
      </c>
      <c r="F641" s="1">
        <f>SUM(F642:F643)</f>
        <v>0</v>
      </c>
      <c r="G641" s="1">
        <f t="shared" ref="G641" si="686">SUM(G642:G643)</f>
        <v>3.590979434360588E-6</v>
      </c>
      <c r="H641" s="1">
        <f t="shared" ref="H641" si="687">SUM(H642:H643)</f>
        <v>7.7297094294091306E-6</v>
      </c>
      <c r="I641" s="1">
        <f t="shared" ref="I641" si="688">SUM(I642:I643)</f>
        <v>8.8416361585740396E-6</v>
      </c>
      <c r="J641" s="1">
        <f t="shared" ref="J641" si="689">SUM(J642:J643)</f>
        <v>2.5651315518753278E-5</v>
      </c>
      <c r="K641" s="1">
        <f t="shared" ref="K641:L641" si="690">SUM(K642:K643)</f>
        <v>2.6207178142026956E-5</v>
      </c>
      <c r="L641" s="1">
        <f t="shared" si="690"/>
        <v>2.7353935911930187E-5</v>
      </c>
      <c r="N641" s="1"/>
    </row>
    <row r="642" spans="2:14" x14ac:dyDescent="0.35">
      <c r="B642" s="5" t="s">
        <v>6</v>
      </c>
      <c r="C642" s="5" t="s">
        <v>7</v>
      </c>
      <c r="D642" t="s">
        <v>342</v>
      </c>
      <c r="E642" s="5" t="s">
        <v>8</v>
      </c>
      <c r="F642" s="1" cm="1">
        <f t="array" ref="F642">SUMPRODUCT(("SUP_WODBIO"=[1]OUT_SyntheticFuels!$C$4:$C$1000)*1,("LTH"=[1]OUT_SyntheticFuels!$A$4:$A$1000)*1,("Var_Fout"=[1]OUT_SyntheticFuels!$B$4:$B$1000)*1,[1]OUT_SyntheticFuels!E$4:E$1000)</f>
        <v>0</v>
      </c>
      <c r="G642" s="1" cm="1">
        <f t="array" ref="G642">SUMPRODUCT(("SUP_WODBIO"=[1]OUT_SyntheticFuels!$C$4:$C$1000)*1,("LTH"=[1]OUT_SyntheticFuels!$A$4:$A$1000)*1,("Var_Fout"=[1]OUT_SyntheticFuels!$B$4:$B$1000)*1,[1]OUT_SyntheticFuels!F$4:F$1000)</f>
        <v>3.590979434360588E-6</v>
      </c>
      <c r="H642" s="1" cm="1">
        <f t="array" ref="H642">SUMPRODUCT(("SUP_WODBIO"=[1]OUT_SyntheticFuels!$C$4:$C$1000)*1,("LTH"=[1]OUT_SyntheticFuels!$A$4:$A$1000)*1,("Var_Fout"=[1]OUT_SyntheticFuels!$B$4:$B$1000)*1,[1]OUT_SyntheticFuels!G$4:G$1000)</f>
        <v>7.7297094294091306E-6</v>
      </c>
      <c r="I642" s="1" cm="1">
        <f t="array" ref="I642">SUMPRODUCT(("SUP_WODBIO"=[1]OUT_SyntheticFuels!$C$4:$C$1000)*1,("LTH"=[1]OUT_SyntheticFuels!$A$4:$A$1000)*1,("Var_Fout"=[1]OUT_SyntheticFuels!$B$4:$B$1000)*1,[1]OUT_SyntheticFuels!H$4:H$1000)</f>
        <v>8.8416361585740396E-6</v>
      </c>
      <c r="J642" s="1" cm="1">
        <f t="array" ref="J642">SUMPRODUCT(("SUP_WODBIO"=[2]OUT_SyntheticFuels!$C$4:$C$1000)*1,("LTH"=[2]OUT_SyntheticFuels!$A$4:$A$1000)*1,("Var_Fout"=[2]OUT_SyntheticFuels!$B$4:$B$1000)*1,[2]OUT_SyntheticFuels!I$4:I$1000)</f>
        <v>2.5651315518753278E-5</v>
      </c>
      <c r="K642" s="1" cm="1">
        <f t="array" ref="K642">SUMPRODUCT(("SUP_WODBIO"=[2]OUT_SyntheticFuels!$C$4:$C$1000)*1,("LTH"=[2]OUT_SyntheticFuels!$A$4:$A$1000)*1,("Var_Fout"=[2]OUT_SyntheticFuels!$B$4:$B$1000)*1,[2]OUT_SyntheticFuels!J$4:J$1000)</f>
        <v>2.6207178142026956E-5</v>
      </c>
      <c r="L642" s="1" cm="1">
        <f t="array" ref="L642">SUMPRODUCT(("SUP_WODBIO"=[2]OUT_SyntheticFuels!$C$4:$C$1000)*1,("LTH"=[2]OUT_SyntheticFuels!$A$4:$A$1000)*1,("Var_Fout"=[2]OUT_SyntheticFuels!$B$4:$B$1000)*1,[2]OUT_SyntheticFuels!K$4:K$1000)</f>
        <v>2.7353935911930187E-5</v>
      </c>
      <c r="N642" s="1"/>
    </row>
    <row r="643" spans="2:14" x14ac:dyDescent="0.35">
      <c r="B643" s="5" t="s">
        <v>6</v>
      </c>
      <c r="C643" s="5" t="s">
        <v>7</v>
      </c>
      <c r="D643" t="s">
        <v>343</v>
      </c>
      <c r="E643" s="5" t="s">
        <v>8</v>
      </c>
      <c r="F643" s="1" cm="1">
        <f t="array" ref="F643">SUMPRODUCT(("SUP_WODBIOCCS"=[1]OUT_SyntheticFuels!$C$4:$C$1000)*1,("LTH"=[1]OUT_SyntheticFuels!$A$4:$A$1000)*1,("Var_Fout"=[1]OUT_SyntheticFuels!$B$4:$B$1000)*1,[1]OUT_SyntheticFuels!E$4:E$1000)</f>
        <v>0</v>
      </c>
      <c r="G643" s="1" cm="1">
        <f t="array" ref="G643">SUMPRODUCT(("SUP_WODBIOCCS"=[1]OUT_SyntheticFuels!$C$4:$C$1000)*1,("LTH"=[1]OUT_SyntheticFuels!$A$4:$A$1000)*1,("Var_Fout"=[1]OUT_SyntheticFuels!$B$4:$B$1000)*1,[1]OUT_SyntheticFuels!F$4:F$1000)</f>
        <v>0</v>
      </c>
      <c r="H643" s="1" cm="1">
        <f t="array" ref="H643">SUMPRODUCT(("SUP_WODBIOCCS"=[1]OUT_SyntheticFuels!$C$4:$C$1000)*1,("LTH"=[1]OUT_SyntheticFuels!$A$4:$A$1000)*1,("Var_Fout"=[1]OUT_SyntheticFuels!$B$4:$B$1000)*1,[1]OUT_SyntheticFuels!G$4:G$1000)</f>
        <v>0</v>
      </c>
      <c r="I643" s="1" cm="1">
        <f t="array" ref="I643">SUMPRODUCT(("SUP_WODBIOCCS"=[1]OUT_SyntheticFuels!$C$4:$C$1000)*1,("LTH"=[1]OUT_SyntheticFuels!$A$4:$A$1000)*1,("Var_Fout"=[1]OUT_SyntheticFuels!$B$4:$B$1000)*1,[1]OUT_SyntheticFuels!H$4:H$1000)</f>
        <v>0</v>
      </c>
      <c r="J643" s="1" cm="1">
        <f t="array" ref="J643">SUMPRODUCT(("SUP_WODBIOCCS"=[2]OUT_SyntheticFuels!$C$4:$C$1000)*1,("LTH"=[2]OUT_SyntheticFuels!$A$4:$A$1000)*1,("Var_Fout"=[2]OUT_SyntheticFuels!$B$4:$B$1000)*1,[2]OUT_SyntheticFuels!I$4:I$1000)</f>
        <v>0</v>
      </c>
      <c r="K643" s="1" cm="1">
        <f t="array" ref="K643">SUMPRODUCT(("SUP_WODBIOCCS"=[2]OUT_SyntheticFuels!$C$4:$C$1000)*1,("LTH"=[2]OUT_SyntheticFuels!$A$4:$A$1000)*1,("Var_Fout"=[2]OUT_SyntheticFuels!$B$4:$B$1000)*1,[2]OUT_SyntheticFuels!J$4:J$1000)</f>
        <v>0</v>
      </c>
      <c r="L643" s="1" cm="1">
        <f t="array" ref="L643">SUMPRODUCT(("SUP_WODBIOCCS"=[2]OUT_SyntheticFuels!$C$4:$C$1000)*1,("LTH"=[2]OUT_SyntheticFuels!$A$4:$A$1000)*1,("Var_Fout"=[2]OUT_SyntheticFuels!$B$4:$B$1000)*1,[2]OUT_SyntheticFuels!K$4:K$1000)</f>
        <v>0</v>
      </c>
      <c r="N643" s="1"/>
    </row>
    <row r="644" spans="2:14" x14ac:dyDescent="0.35">
      <c r="B644" s="5" t="s">
        <v>6</v>
      </c>
      <c r="C644" s="5" t="s">
        <v>7</v>
      </c>
      <c r="D644" s="2" t="s">
        <v>387</v>
      </c>
      <c r="E644" s="9" t="s">
        <v>8</v>
      </c>
      <c r="F644" s="3">
        <f>F645+F646+F651</f>
        <v>13.477459166492427</v>
      </c>
      <c r="G644" s="3">
        <f t="shared" ref="G644" si="691">G645+G646+G651</f>
        <v>22.841785993902008</v>
      </c>
      <c r="H644" s="3">
        <f t="shared" ref="H644" si="692">H645+H646+H651</f>
        <v>22.906935732630423</v>
      </c>
      <c r="I644" s="3">
        <f t="shared" ref="I644" si="693">I645+I646+I651</f>
        <v>23.233237632592537</v>
      </c>
      <c r="J644" s="3">
        <f t="shared" ref="J644" si="694">J645+J646+J651</f>
        <v>23.212388481378234</v>
      </c>
      <c r="K644" s="3">
        <f t="shared" ref="K644:L644" si="695">K645+K646+K651</f>
        <v>23.03730214325736</v>
      </c>
      <c r="L644" s="3">
        <f t="shared" si="695"/>
        <v>27.479645554129178</v>
      </c>
      <c r="N644" s="1"/>
    </row>
    <row r="645" spans="2:14" x14ac:dyDescent="0.35">
      <c r="B645" s="5" t="s">
        <v>6</v>
      </c>
      <c r="C645" s="5" t="s">
        <v>7</v>
      </c>
      <c r="D645" t="s">
        <v>344</v>
      </c>
      <c r="E645" s="5" t="s">
        <v>8</v>
      </c>
      <c r="F645" s="1" cm="1">
        <f t="array" ref="F645">SUMPRODUCT(("SUP_MNRBIO"=[1]OUT_SyntheticFuels!$C$4:$C$1000)*1,("VAR_FIN"=[1]OUT_SyntheticFuels!$B$4:$B$1000)*1,("MNR"=[1]OUT_SyntheticFuels!$A$4:$A$1000)*1,[1]OUT_SyntheticFuels!E$4:E$1000)</f>
        <v>3.798085649147819</v>
      </c>
      <c r="G645" s="1" cm="1">
        <f t="array" ref="G645">SUMPRODUCT(("SUP_MNRBIO"=[1]OUT_SyntheticFuels!$C$4:$C$1000)*1,("VAR_FIN"=[1]OUT_SyntheticFuels!$B$4:$B$1000)*1,("MNR"=[1]OUT_SyntheticFuels!$A$4:$A$1000)*1,[1]OUT_SyntheticFuels!F$4:F$1000)</f>
        <v>12.115548025655132</v>
      </c>
      <c r="H645" s="1" cm="1">
        <f t="array" ref="H645">SUMPRODUCT(("SUP_MNRBIO"=[1]OUT_SyntheticFuels!$C$4:$C$1000)*1,("VAR_FIN"=[1]OUT_SyntheticFuels!$B$4:$B$1000)*1,("MNR"=[1]OUT_SyntheticFuels!$A$4:$A$1000)*1,[1]OUT_SyntheticFuels!G$4:G$1000)</f>
        <v>12.540331484817028</v>
      </c>
      <c r="I645" s="1" cm="1">
        <f t="array" ref="I645">SUMPRODUCT(("SUP_MNRBIO"=[1]OUT_SyntheticFuels!$C$4:$C$1000)*1,("VAR_FIN"=[1]OUT_SyntheticFuels!$B$4:$B$1000)*1,("MNR"=[1]OUT_SyntheticFuels!$A$4:$A$1000)*1,[1]OUT_SyntheticFuels!H$4:H$1000)</f>
        <v>12.540425793035288</v>
      </c>
      <c r="J645" s="1" cm="1">
        <f t="array" ref="J645">SUMPRODUCT(("SUP_MNRBIO"=[2]OUT_SyntheticFuels!$C$4:$C$1000)*1,("VAR_FIN"=[2]OUT_SyntheticFuels!$B$4:$B$1000)*1,("MNR"=[2]OUT_SyntheticFuels!$A$4:$A$1000)*1,[2]OUT_SyntheticFuels!I$4:I$1000)</f>
        <v>12.54042684227449</v>
      </c>
      <c r="K645" s="1" cm="1">
        <f t="array" ref="K645">SUMPRODUCT(("SUP_MNRBIO"=[2]OUT_SyntheticFuels!$C$4:$C$1000)*1,("VAR_FIN"=[2]OUT_SyntheticFuels!$B$4:$B$1000)*1,("MNR"=[2]OUT_SyntheticFuels!$A$4:$A$1000)*1,[2]OUT_SyntheticFuels!J$4:J$1000)</f>
        <v>12.641669574355806</v>
      </c>
      <c r="L645" s="1" cm="1">
        <f t="array" ref="L645">SUMPRODUCT(("SUP_MNRBIO"=[2]OUT_SyntheticFuels!$C$4:$C$1000)*1,("VAR_FIN"=[2]OUT_SyntheticFuels!$B$4:$B$1000)*1,("MNR"=[2]OUT_SyntheticFuels!$A$4:$A$1000)*1,[2]OUT_SyntheticFuels!K$4:K$1000)</f>
        <v>17.636690575994574</v>
      </c>
      <c r="N645" s="1"/>
    </row>
    <row r="646" spans="2:14" x14ac:dyDescent="0.35">
      <c r="B646" s="5" t="s">
        <v>6</v>
      </c>
      <c r="C646" s="5" t="s">
        <v>7</v>
      </c>
      <c r="D646" t="s">
        <v>913</v>
      </c>
      <c r="E646" s="5" t="s">
        <v>8</v>
      </c>
      <c r="F646" s="1">
        <f>SUM(F647:F650)</f>
        <v>9.679373517344608</v>
      </c>
      <c r="G646" s="1">
        <f t="shared" ref="G646" si="696">SUM(G647:G650)</f>
        <v>10.726197569728241</v>
      </c>
      <c r="H646" s="1">
        <f t="shared" ref="H646" si="697">SUM(H647:H650)</f>
        <v>10.366517288582315</v>
      </c>
      <c r="I646" s="1">
        <f t="shared" ref="I646" si="698">SUM(I647:I650)</f>
        <v>10.692712371150463</v>
      </c>
      <c r="J646" s="1">
        <f t="shared" ref="J646" si="699">SUM(J647:J650)</f>
        <v>10.671673061804158</v>
      </c>
      <c r="K646" s="1">
        <f t="shared" ref="K646:L646" si="700">SUM(K647:K650)</f>
        <v>10.395337738147456</v>
      </c>
      <c r="L646" s="1">
        <f t="shared" si="700"/>
        <v>9.8426472463555914</v>
      </c>
      <c r="N646" s="1"/>
    </row>
    <row r="647" spans="2:14" x14ac:dyDescent="0.35">
      <c r="B647" s="5" t="s">
        <v>6</v>
      </c>
      <c r="C647" s="5" t="s">
        <v>7</v>
      </c>
      <c r="D647" t="s">
        <v>345</v>
      </c>
      <c r="E647" s="5" t="s">
        <v>8</v>
      </c>
      <c r="F647" s="1" cm="1">
        <f t="array" ref="F647">SUMPRODUCT(("SUP_WSTBIO"=[1]OUT_SyntheticFuels!$C$4:$C$1000)*1,("CWST"=[1]OUT_SyntheticFuels!$A$4:$A$1000)*1,("VAR_FIN"=[1]OUT_SyntheticFuels!$B$4:$B$1000)*1,[1]OUT_SyntheticFuels!E$4:E$1000)</f>
        <v>9.679373517344608</v>
      </c>
      <c r="G647" s="1" cm="1">
        <f t="array" ref="G647">SUMPRODUCT(("SUP_WSTBIO"=[1]OUT_SyntheticFuels!$C$4:$C$1000)*1,("CWST"=[1]OUT_SyntheticFuels!$A$4:$A$1000)*1,("VAR_FIN"=[1]OUT_SyntheticFuels!$B$4:$B$1000)*1,[1]OUT_SyntheticFuels!F$4:F$1000)</f>
        <v>10.726197569728241</v>
      </c>
      <c r="H647" s="1" cm="1">
        <f t="array" ref="H647">SUMPRODUCT(("SUP_WSTBIO"=[1]OUT_SyntheticFuels!$C$4:$C$1000)*1,("CWST"=[1]OUT_SyntheticFuels!$A$4:$A$1000)*1,("VAR_FIN"=[1]OUT_SyntheticFuels!$B$4:$B$1000)*1,[1]OUT_SyntheticFuels!G$4:G$1000)</f>
        <v>10.366517288582315</v>
      </c>
      <c r="I647" s="1" cm="1">
        <f t="array" ref="I647">SUMPRODUCT(("SUP_WSTBIO"=[1]OUT_SyntheticFuels!$C$4:$C$1000)*1,("CWST"=[1]OUT_SyntheticFuels!$A$4:$A$1000)*1,("VAR_FIN"=[1]OUT_SyntheticFuels!$B$4:$B$1000)*1,[1]OUT_SyntheticFuels!H$4:H$1000)</f>
        <v>10.692712371150463</v>
      </c>
      <c r="J647" s="1" cm="1">
        <f t="array" ref="J647">SUMPRODUCT(("SUP_WSTBIO"=[2]OUT_SyntheticFuels!$C$4:$C$1000)*1,("CWST"=[2]OUT_SyntheticFuels!$A$4:$A$1000)*1,("VAR_FIN"=[2]OUT_SyntheticFuels!$B$4:$B$1000)*1,[2]OUT_SyntheticFuels!I$4:I$1000)</f>
        <v>10.671673061804158</v>
      </c>
      <c r="K647" s="1" cm="1">
        <f t="array" ref="K647">SUMPRODUCT(("SUP_WSTBIO"=[2]OUT_SyntheticFuels!$C$4:$C$1000)*1,("CWST"=[2]OUT_SyntheticFuels!$A$4:$A$1000)*1,("VAR_FIN"=[2]OUT_SyntheticFuels!$B$4:$B$1000)*1,[2]OUT_SyntheticFuels!J$4:J$1000)</f>
        <v>10.39489152230283</v>
      </c>
      <c r="L647" s="1" cm="1">
        <f t="array" ref="L647">SUMPRODUCT(("SUP_WSTBIO"=[2]OUT_SyntheticFuels!$C$4:$C$1000)*1,("CWST"=[2]OUT_SyntheticFuels!$A$4:$A$1000)*1,("VAR_FIN"=[2]OUT_SyntheticFuels!$B$4:$B$1000)*1,[2]OUT_SyntheticFuels!K$4:K$1000)</f>
        <v>9.8421572688369139</v>
      </c>
      <c r="N647" s="1"/>
    </row>
    <row r="648" spans="2:14" x14ac:dyDescent="0.35">
      <c r="B648" s="5" t="s">
        <v>6</v>
      </c>
      <c r="C648" s="5" t="s">
        <v>7</v>
      </c>
      <c r="D648" t="s">
        <v>346</v>
      </c>
      <c r="E648" s="5" t="s">
        <v>8</v>
      </c>
      <c r="F648" s="1" cm="1">
        <f t="array" ref="F648">SUMPRODUCT(("SUP_WSTBIOCCS"=[1]OUT_SyntheticFuels!$C$4:$C$1000)*1,("CWST"=[1]OUT_SyntheticFuels!$A$4:$A$1000)*1,("VAR_FIN"=[1]OUT_SyntheticFuels!$B$4:$B$1000)*1,[1]OUT_SyntheticFuels!E$4:E$1000)</f>
        <v>0</v>
      </c>
      <c r="G648" s="1" cm="1">
        <f t="array" ref="G648">SUMPRODUCT(("SUP_WSTBIOCCS"=[1]OUT_SyntheticFuels!$C$4:$C$1000)*1,("CWST"=[1]OUT_SyntheticFuels!$A$4:$A$1000)*1,("VAR_FIN"=[1]OUT_SyntheticFuels!$B$4:$B$1000)*1,[1]OUT_SyntheticFuels!F$4:F$1000)</f>
        <v>0</v>
      </c>
      <c r="H648" s="1" cm="1">
        <f t="array" ref="H648">SUMPRODUCT(("SUP_WSTBIOCCS"=[1]OUT_SyntheticFuels!$C$4:$C$1000)*1,("CWST"=[1]OUT_SyntheticFuels!$A$4:$A$1000)*1,("VAR_FIN"=[1]OUT_SyntheticFuels!$B$4:$B$1000)*1,[1]OUT_SyntheticFuels!G$4:G$1000)</f>
        <v>0</v>
      </c>
      <c r="I648" s="1" cm="1">
        <f t="array" ref="I648">SUMPRODUCT(("SUP_WSTBIOCCS"=[1]OUT_SyntheticFuels!$C$4:$C$1000)*1,("CWST"=[1]OUT_SyntheticFuels!$A$4:$A$1000)*1,("VAR_FIN"=[1]OUT_SyntheticFuels!$B$4:$B$1000)*1,[1]OUT_SyntheticFuels!H$4:H$1000)</f>
        <v>0</v>
      </c>
      <c r="J648" s="1" cm="1">
        <f t="array" ref="J648">SUMPRODUCT(("SUP_WSTBIOCCS"=[2]OUT_SyntheticFuels!$C$4:$C$1000)*1,("CWST"=[2]OUT_SyntheticFuels!$A$4:$A$1000)*1,("VAR_FIN"=[2]OUT_SyntheticFuels!$B$4:$B$1000)*1,[2]OUT_SyntheticFuels!I$4:I$1000)</f>
        <v>0</v>
      </c>
      <c r="K648" s="1" cm="1">
        <f t="array" ref="K648">SUMPRODUCT(("SUP_WSTBIOCCS"=[2]OUT_SyntheticFuels!$C$4:$C$1000)*1,("CWST"=[2]OUT_SyntheticFuels!$A$4:$A$1000)*1,("VAR_FIN"=[2]OUT_SyntheticFuels!$B$4:$B$1000)*1,[2]OUT_SyntheticFuels!J$4:J$1000)</f>
        <v>0</v>
      </c>
      <c r="L648" s="1" cm="1">
        <f t="array" ref="L648">SUMPRODUCT(("SUP_WSTBIOCCS"=[2]OUT_SyntheticFuels!$C$4:$C$1000)*1,("CWST"=[2]OUT_SyntheticFuels!$A$4:$A$1000)*1,("VAR_FIN"=[2]OUT_SyntheticFuels!$B$4:$B$1000)*1,[2]OUT_SyntheticFuels!K$4:K$1000)</f>
        <v>0</v>
      </c>
      <c r="N648" s="1"/>
    </row>
    <row r="649" spans="2:14" x14ac:dyDescent="0.35">
      <c r="B649" s="5" t="s">
        <v>6</v>
      </c>
      <c r="C649" s="5" t="s">
        <v>7</v>
      </c>
      <c r="D649" t="s">
        <v>347</v>
      </c>
      <c r="E649" s="5" t="s">
        <v>8</v>
      </c>
      <c r="F649" s="1" cm="1">
        <f t="array" ref="F649">SUMPRODUCT(("SUP_WSTHTGBIO"=[1]OUT_SyntheticFuels!$C$4:$C$1000)*1,("CWST"=[1]OUT_SyntheticFuels!$A$4:$A$1000)*1,("VAR_FIN"=[1]OUT_SyntheticFuels!$B$4:$B$1000)*1,[1]OUT_SyntheticFuels!E$4:E$1000)</f>
        <v>0</v>
      </c>
      <c r="G649" s="1" cm="1">
        <f t="array" ref="G649">SUMPRODUCT(("SUP_WSTHTGBIO"=[1]OUT_SyntheticFuels!$C$4:$C$1000)*1,("CWST"=[1]OUT_SyntheticFuels!$A$4:$A$1000)*1,("VAR_FIN"=[1]OUT_SyntheticFuels!$B$4:$B$1000)*1,[1]OUT_SyntheticFuels!F$4:F$1000)</f>
        <v>0</v>
      </c>
      <c r="H649" s="1" cm="1">
        <f t="array" ref="H649">SUMPRODUCT(("SUP_WSTHTGBIO"=[1]OUT_SyntheticFuels!$C$4:$C$1000)*1,("CWST"=[1]OUT_SyntheticFuels!$A$4:$A$1000)*1,("VAR_FIN"=[1]OUT_SyntheticFuels!$B$4:$B$1000)*1,[1]OUT_SyntheticFuels!G$4:G$1000)</f>
        <v>0</v>
      </c>
      <c r="I649" s="1" cm="1">
        <f t="array" ref="I649">SUMPRODUCT(("SUP_WSTHTGBIO"=[1]OUT_SyntheticFuels!$C$4:$C$1000)*1,("CWST"=[1]OUT_SyntheticFuels!$A$4:$A$1000)*1,("VAR_FIN"=[1]OUT_SyntheticFuels!$B$4:$B$1000)*1,[1]OUT_SyntheticFuels!H$4:H$1000)</f>
        <v>0</v>
      </c>
      <c r="J649" s="1" cm="1">
        <f t="array" ref="J649">SUMPRODUCT(("SUP_WSTHTGBIO"=[2]OUT_SyntheticFuels!$C$4:$C$1000)*1,("CWST"=[2]OUT_SyntheticFuels!$A$4:$A$1000)*1,("VAR_FIN"=[2]OUT_SyntheticFuels!$B$4:$B$1000)*1,[2]OUT_SyntheticFuels!I$4:I$1000)</f>
        <v>0</v>
      </c>
      <c r="K649" s="1" cm="1">
        <f t="array" ref="K649">SUMPRODUCT(("SUP_WSTHTGBIO"=[2]OUT_SyntheticFuels!$C$4:$C$1000)*1,("CWST"=[2]OUT_SyntheticFuels!$A$4:$A$1000)*1,("VAR_FIN"=[2]OUT_SyntheticFuels!$B$4:$B$1000)*1,[2]OUT_SyntheticFuels!J$4:J$1000)</f>
        <v>4.4621584462525572E-4</v>
      </c>
      <c r="L649" s="1" cm="1">
        <f t="array" ref="L649">SUMPRODUCT(("SUP_WSTHTGBIO"=[2]OUT_SyntheticFuels!$C$4:$C$1000)*1,("CWST"=[2]OUT_SyntheticFuels!$A$4:$A$1000)*1,("VAR_FIN"=[2]OUT_SyntheticFuels!$B$4:$B$1000)*1,[2]OUT_SyntheticFuels!K$4:K$1000)</f>
        <v>4.8997751867715673E-4</v>
      </c>
      <c r="N649" s="1"/>
    </row>
    <row r="650" spans="2:14" x14ac:dyDescent="0.35">
      <c r="B650" s="5" t="s">
        <v>6</v>
      </c>
      <c r="C650" s="5" t="s">
        <v>7</v>
      </c>
      <c r="D650" t="s">
        <v>348</v>
      </c>
      <c r="E650" s="5" t="s">
        <v>8</v>
      </c>
      <c r="F650" s="1" cm="1">
        <f t="array" ref="F650">SUMPRODUCT(("SUP_WSTHTGBIOCCS"=[1]OUT_SyntheticFuels!$C$4:$C$1000)*1,("CWST"=[1]OUT_SyntheticFuels!$A$4:$A$1000)*1,("VAR_FIN"=[1]OUT_SyntheticFuels!$B$4:$B$1000)*1,[1]OUT_SyntheticFuels!E$4:E$1000)</f>
        <v>0</v>
      </c>
      <c r="G650" s="1" cm="1">
        <f t="array" ref="G650">SUMPRODUCT(("SUP_WSTHTGBIOCCS"=[1]OUT_SyntheticFuels!$C$4:$C$1000)*1,("CWST"=[1]OUT_SyntheticFuels!$A$4:$A$1000)*1,("VAR_FIN"=[1]OUT_SyntheticFuels!$B$4:$B$1000)*1,[1]OUT_SyntheticFuels!F$4:F$1000)</f>
        <v>0</v>
      </c>
      <c r="H650" s="1" cm="1">
        <f t="array" ref="H650">SUMPRODUCT(("SUP_WSTHTGBIOCCS"=[1]OUT_SyntheticFuels!$C$4:$C$1000)*1,("CWST"=[1]OUT_SyntheticFuels!$A$4:$A$1000)*1,("VAR_FIN"=[1]OUT_SyntheticFuels!$B$4:$B$1000)*1,[1]OUT_SyntheticFuels!G$4:G$1000)</f>
        <v>0</v>
      </c>
      <c r="I650" s="1" cm="1">
        <f t="array" ref="I650">SUMPRODUCT(("SUP_WSTHTGBIOCCS"=[1]OUT_SyntheticFuels!$C$4:$C$1000)*1,("CWST"=[1]OUT_SyntheticFuels!$A$4:$A$1000)*1,("VAR_FIN"=[1]OUT_SyntheticFuels!$B$4:$B$1000)*1,[1]OUT_SyntheticFuels!H$4:H$1000)</f>
        <v>0</v>
      </c>
      <c r="J650" s="1" cm="1">
        <f t="array" ref="J650">SUMPRODUCT(("SUP_WSTHTGBIOCCS"=[2]OUT_SyntheticFuels!$C$4:$C$1000)*1,("CWST"=[2]OUT_SyntheticFuels!$A$4:$A$1000)*1,("VAR_FIN"=[2]OUT_SyntheticFuels!$B$4:$B$1000)*1,[2]OUT_SyntheticFuels!I$4:I$1000)</f>
        <v>0</v>
      </c>
      <c r="K650" s="1" cm="1">
        <f t="array" ref="K650">SUMPRODUCT(("SUP_WSTHTGBIOCCS"=[2]OUT_SyntheticFuels!$C$4:$C$1000)*1,("CWST"=[2]OUT_SyntheticFuels!$A$4:$A$1000)*1,("VAR_FIN"=[2]OUT_SyntheticFuels!$B$4:$B$1000)*1,[2]OUT_SyntheticFuels!J$4:J$1000)</f>
        <v>0</v>
      </c>
      <c r="L650" s="1" cm="1">
        <f t="array" ref="L650">SUMPRODUCT(("SUP_WSTHTGBIOCCS"=[2]OUT_SyntheticFuels!$C$4:$C$1000)*1,("CWST"=[2]OUT_SyntheticFuels!$A$4:$A$1000)*1,("VAR_FIN"=[2]OUT_SyntheticFuels!$B$4:$B$1000)*1,[2]OUT_SyntheticFuels!K$4:K$1000)</f>
        <v>0</v>
      </c>
      <c r="N650" s="1"/>
    </row>
    <row r="651" spans="2:14" x14ac:dyDescent="0.35">
      <c r="B651" s="5" t="s">
        <v>6</v>
      </c>
      <c r="C651" s="5" t="s">
        <v>7</v>
      </c>
      <c r="D651" t="s">
        <v>914</v>
      </c>
      <c r="E651" s="5" t="s">
        <v>8</v>
      </c>
      <c r="F651" s="1">
        <f>SUM(F652:F653)</f>
        <v>0</v>
      </c>
      <c r="G651" s="1">
        <f t="shared" ref="G651" si="701">SUM(G652:G653)</f>
        <v>4.0398518636556609E-5</v>
      </c>
      <c r="H651" s="1">
        <f t="shared" ref="H651" si="702">SUM(H652:H653)</f>
        <v>8.6959231080852741E-5</v>
      </c>
      <c r="I651" s="1">
        <f t="shared" ref="I651" si="703">SUM(I652:I653)</f>
        <v>9.9468406783957908E-5</v>
      </c>
      <c r="J651" s="1">
        <f t="shared" ref="J651" si="704">SUM(J652:J653)</f>
        <v>2.8857729958597407E-4</v>
      </c>
      <c r="K651" s="1">
        <f t="shared" ref="K651:L651" si="705">SUM(K652:K653)</f>
        <v>2.9483075409780286E-4</v>
      </c>
      <c r="L651" s="1">
        <f t="shared" si="705"/>
        <v>3.0773177900921466E-4</v>
      </c>
      <c r="N651" s="1"/>
    </row>
    <row r="652" spans="2:14" x14ac:dyDescent="0.35">
      <c r="B652" s="5" t="s">
        <v>6</v>
      </c>
      <c r="C652" s="5" t="s">
        <v>7</v>
      </c>
      <c r="D652" t="s">
        <v>349</v>
      </c>
      <c r="E652" s="5" t="s">
        <v>8</v>
      </c>
      <c r="F652" s="1" cm="1">
        <f t="array" ref="F652">SUMPRODUCT(("SUP_WODBIO"=[1]OUT_SyntheticFuels!$C$4:$C$1000)*1,("CWOD"=[1]OUT_SyntheticFuels!$A$4:$A$1000)*1,("VAR_FIN"=[1]OUT_SyntheticFuels!$B$4:$B$1000)*1,[1]OUT_SyntheticFuels!E$4:E$1000)</f>
        <v>0</v>
      </c>
      <c r="G652" s="1" cm="1">
        <f t="array" ref="G652">SUMPRODUCT(("SUP_WODBIO"=[1]OUT_SyntheticFuels!$C$4:$C$1000)*1,("CWOD"=[1]OUT_SyntheticFuels!$A$4:$A$1000)*1,("VAR_FIN"=[1]OUT_SyntheticFuels!$B$4:$B$1000)*1,[1]OUT_SyntheticFuels!F$4:F$1000)</f>
        <v>4.0398518636556609E-5</v>
      </c>
      <c r="H652" s="1" cm="1">
        <f t="array" ref="H652">SUMPRODUCT(("SUP_WODBIO"=[1]OUT_SyntheticFuels!$C$4:$C$1000)*1,("CWOD"=[1]OUT_SyntheticFuels!$A$4:$A$1000)*1,("VAR_FIN"=[1]OUT_SyntheticFuels!$B$4:$B$1000)*1,[1]OUT_SyntheticFuels!G$4:G$1000)</f>
        <v>8.6959231080852741E-5</v>
      </c>
      <c r="I652" s="1" cm="1">
        <f t="array" ref="I652">SUMPRODUCT(("SUP_WODBIO"=[1]OUT_SyntheticFuels!$C$4:$C$1000)*1,("CWOD"=[1]OUT_SyntheticFuels!$A$4:$A$1000)*1,("VAR_FIN"=[1]OUT_SyntheticFuels!$B$4:$B$1000)*1,[1]OUT_SyntheticFuels!H$4:H$1000)</f>
        <v>9.9468406783957908E-5</v>
      </c>
      <c r="J652" s="1" cm="1">
        <f t="array" ref="J652">SUMPRODUCT(("SUP_WODBIO"=[2]OUT_SyntheticFuels!$C$4:$C$1000)*1,("CWOD"=[2]OUT_SyntheticFuels!$A$4:$A$1000)*1,("VAR_FIN"=[2]OUT_SyntheticFuels!$B$4:$B$1000)*1,[2]OUT_SyntheticFuels!I$4:I$1000)</f>
        <v>2.8857729958597407E-4</v>
      </c>
      <c r="K652" s="1" cm="1">
        <f t="array" ref="K652">SUMPRODUCT(("SUP_WODBIO"=[2]OUT_SyntheticFuels!$C$4:$C$1000)*1,("CWOD"=[2]OUT_SyntheticFuels!$A$4:$A$1000)*1,("VAR_FIN"=[2]OUT_SyntheticFuels!$B$4:$B$1000)*1,[2]OUT_SyntheticFuels!J$4:J$1000)</f>
        <v>2.9483075409780286E-4</v>
      </c>
      <c r="L652" s="1" cm="1">
        <f t="array" ref="L652">SUMPRODUCT(("SUP_WODBIO"=[2]OUT_SyntheticFuels!$C$4:$C$1000)*1,("CWOD"=[2]OUT_SyntheticFuels!$A$4:$A$1000)*1,("VAR_FIN"=[2]OUT_SyntheticFuels!$B$4:$B$1000)*1,[2]OUT_SyntheticFuels!K$4:K$1000)</f>
        <v>3.0773177900921466E-4</v>
      </c>
      <c r="N652" s="1"/>
    </row>
    <row r="653" spans="2:14" x14ac:dyDescent="0.35">
      <c r="B653" s="5" t="s">
        <v>6</v>
      </c>
      <c r="C653" s="5" t="s">
        <v>7</v>
      </c>
      <c r="D653" t="s">
        <v>350</v>
      </c>
      <c r="E653" s="5" t="s">
        <v>8</v>
      </c>
      <c r="F653" s="1" cm="1">
        <f t="array" ref="F653">SUMPRODUCT(("SUP_WODBIOCCS"=[1]OUT_SyntheticFuels!$C$4:$C$1000)*1,("CWOD"=[1]OUT_SyntheticFuels!$A$4:$A$1000)*1,("VAR_FIN"=[1]OUT_SyntheticFuels!$B$4:$B$1000)*1,[1]OUT_SyntheticFuels!E$4:E$1000)</f>
        <v>0</v>
      </c>
      <c r="G653" s="1" cm="1">
        <f t="array" ref="G653">SUMPRODUCT(("SUP_WODBIOCCS"=[1]OUT_SyntheticFuels!$C$4:$C$1000)*1,("CWOD"=[1]OUT_SyntheticFuels!$A$4:$A$1000)*1,("VAR_FIN"=[1]OUT_SyntheticFuels!$B$4:$B$1000)*1,[1]OUT_SyntheticFuels!F$4:F$1000)</f>
        <v>0</v>
      </c>
      <c r="H653" s="1" cm="1">
        <f t="array" ref="H653">SUMPRODUCT(("SUP_WODBIOCCS"=[1]OUT_SyntheticFuels!$C$4:$C$1000)*1,("CWOD"=[1]OUT_SyntheticFuels!$A$4:$A$1000)*1,("VAR_FIN"=[1]OUT_SyntheticFuels!$B$4:$B$1000)*1,[1]OUT_SyntheticFuels!G$4:G$1000)</f>
        <v>0</v>
      </c>
      <c r="I653" s="1" cm="1">
        <f t="array" ref="I653">SUMPRODUCT(("SUP_WODBIOCCS"=[1]OUT_SyntheticFuels!$C$4:$C$1000)*1,("CWOD"=[1]OUT_SyntheticFuels!$A$4:$A$1000)*1,("VAR_FIN"=[1]OUT_SyntheticFuels!$B$4:$B$1000)*1,[1]OUT_SyntheticFuels!H$4:H$1000)</f>
        <v>0</v>
      </c>
      <c r="J653" s="1" cm="1">
        <f t="array" ref="J653">SUMPRODUCT(("SUP_WODBIOCCS"=[2]OUT_SyntheticFuels!$C$4:$C$1000)*1,("CWOD"=[2]OUT_SyntheticFuels!$A$4:$A$1000)*1,("VAR_FIN"=[2]OUT_SyntheticFuels!$B$4:$B$1000)*1,[2]OUT_SyntheticFuels!I$4:I$1000)</f>
        <v>0</v>
      </c>
      <c r="K653" s="1" cm="1">
        <f t="array" ref="K653">SUMPRODUCT(("SUP_WODBIOCCS"=[2]OUT_SyntheticFuels!$C$4:$C$1000)*1,("CWOD"=[2]OUT_SyntheticFuels!$A$4:$A$1000)*1,("VAR_FIN"=[2]OUT_SyntheticFuels!$B$4:$B$1000)*1,[2]OUT_SyntheticFuels!J$4:J$1000)</f>
        <v>0</v>
      </c>
      <c r="L653" s="1" cm="1">
        <f t="array" ref="L653">SUMPRODUCT(("SUP_WODBIOCCS"=[2]OUT_SyntheticFuels!$C$4:$C$1000)*1,("CWOD"=[2]OUT_SyntheticFuels!$A$4:$A$1000)*1,("VAR_FIN"=[2]OUT_SyntheticFuels!$B$4:$B$1000)*1,[2]OUT_SyntheticFuels!K$4:K$1000)</f>
        <v>0</v>
      </c>
      <c r="N653" s="1"/>
    </row>
    <row r="654" spans="2:14" x14ac:dyDescent="0.35">
      <c r="B654" s="5" t="s">
        <v>6</v>
      </c>
      <c r="C654" s="5" t="s">
        <v>7</v>
      </c>
      <c r="D654" s="2" t="s">
        <v>388</v>
      </c>
      <c r="E654" s="9" t="s">
        <v>8</v>
      </c>
      <c r="F654" s="14" t="s">
        <v>292</v>
      </c>
      <c r="G654" s="14" t="s">
        <v>292</v>
      </c>
      <c r="H654" s="14" t="s">
        <v>292</v>
      </c>
      <c r="I654" s="14" t="s">
        <v>292</v>
      </c>
      <c r="J654" s="14" t="s">
        <v>292</v>
      </c>
      <c r="K654" s="14" t="s">
        <v>292</v>
      </c>
      <c r="L654" s="14" t="s">
        <v>292</v>
      </c>
      <c r="N654" s="1"/>
    </row>
    <row r="655" spans="2:14" x14ac:dyDescent="0.35">
      <c r="B655" s="5" t="s">
        <v>6</v>
      </c>
      <c r="C655" s="5" t="s">
        <v>7</v>
      </c>
      <c r="D655" t="s">
        <v>351</v>
      </c>
      <c r="E655" s="5" t="s">
        <v>8</v>
      </c>
      <c r="F655" s="4">
        <f t="shared" ref="F655:K655" si="706">IFERROR(SUM(F635,F625,F615)/F645,"-")</f>
        <v>0.34965034965034969</v>
      </c>
      <c r="G655" s="4">
        <f t="shared" si="706"/>
        <v>0.34965034965034925</v>
      </c>
      <c r="H655" s="4">
        <f t="shared" si="706"/>
        <v>0.34965034965035002</v>
      </c>
      <c r="I655" s="4">
        <f t="shared" si="706"/>
        <v>0.34965034965034997</v>
      </c>
      <c r="J655" s="4">
        <f t="shared" si="706"/>
        <v>0.34965034965034986</v>
      </c>
      <c r="K655" s="4">
        <f t="shared" si="706"/>
        <v>0.3496503496503498</v>
      </c>
      <c r="L655" s="4">
        <f t="shared" ref="L655" si="707">IFERROR(SUM(L635,L625,L615)/L645,"-")</f>
        <v>0.34965034965034997</v>
      </c>
      <c r="N655" s="1"/>
    </row>
    <row r="656" spans="2:14" x14ac:dyDescent="0.35">
      <c r="B656" s="5" t="s">
        <v>6</v>
      </c>
      <c r="C656" s="5" t="s">
        <v>7</v>
      </c>
      <c r="D656" t="s">
        <v>352</v>
      </c>
      <c r="E656" s="5" t="s">
        <v>8</v>
      </c>
      <c r="F656" s="4">
        <f t="shared" ref="F656:K659" si="708">IFERROR(SUM(F637,F627,F617)/F647,"-")</f>
        <v>0.5932203389830516</v>
      </c>
      <c r="G656" s="4">
        <f t="shared" si="708"/>
        <v>0.59322033898305082</v>
      </c>
      <c r="H656" s="4">
        <f t="shared" si="708"/>
        <v>0.59322033898305104</v>
      </c>
      <c r="I656" s="4">
        <f t="shared" si="708"/>
        <v>0.59322033898305115</v>
      </c>
      <c r="J656" s="4">
        <f t="shared" si="708"/>
        <v>0.59322033898305138</v>
      </c>
      <c r="K656" s="4">
        <f t="shared" si="708"/>
        <v>0.59322033898305171</v>
      </c>
      <c r="L656" s="4">
        <f t="shared" ref="L656" si="709">IFERROR(SUM(L637,L627,L617)/L647,"-")</f>
        <v>0.59322033898305093</v>
      </c>
      <c r="N656" s="1"/>
    </row>
    <row r="657" spans="2:14" x14ac:dyDescent="0.35">
      <c r="B657" s="5" t="s">
        <v>6</v>
      </c>
      <c r="C657" s="5" t="s">
        <v>7</v>
      </c>
      <c r="D657" t="s">
        <v>353</v>
      </c>
      <c r="E657" s="5" t="s">
        <v>8</v>
      </c>
      <c r="F657" s="4" t="str">
        <f t="shared" si="708"/>
        <v>-</v>
      </c>
      <c r="G657" s="4" t="str">
        <f t="shared" si="708"/>
        <v>-</v>
      </c>
      <c r="H657" s="4" t="str">
        <f t="shared" si="708"/>
        <v>-</v>
      </c>
      <c r="I657" s="4" t="str">
        <f t="shared" si="708"/>
        <v>-</v>
      </c>
      <c r="J657" s="4" t="str">
        <f t="shared" si="708"/>
        <v>-</v>
      </c>
      <c r="K657" s="4" t="str">
        <f t="shared" si="708"/>
        <v>-</v>
      </c>
      <c r="L657" s="4" t="str">
        <f t="shared" ref="L657" si="710">IFERROR(SUM(L638,L628,L618)/L648,"-")</f>
        <v>-</v>
      </c>
      <c r="N657" s="1"/>
    </row>
    <row r="658" spans="2:14" x14ac:dyDescent="0.35">
      <c r="B658" s="5" t="s">
        <v>6</v>
      </c>
      <c r="C658" s="5" t="s">
        <v>7</v>
      </c>
      <c r="D658" t="s">
        <v>354</v>
      </c>
      <c r="E658" s="5" t="s">
        <v>8</v>
      </c>
      <c r="F658" s="4" t="str">
        <f t="shared" si="708"/>
        <v>-</v>
      </c>
      <c r="G658" s="4" t="str">
        <f t="shared" si="708"/>
        <v>-</v>
      </c>
      <c r="H658" s="4" t="str">
        <f t="shared" si="708"/>
        <v>-</v>
      </c>
      <c r="I658" s="4" t="str">
        <f t="shared" si="708"/>
        <v>-</v>
      </c>
      <c r="J658" s="4" t="str">
        <f t="shared" si="708"/>
        <v>-</v>
      </c>
      <c r="K658" s="4">
        <f t="shared" si="708"/>
        <v>0.69999999999999984</v>
      </c>
      <c r="L658" s="4">
        <f t="shared" ref="L658" si="711">IFERROR(SUM(L639,L629,L619)/L649,"-")</f>
        <v>0.69999999999999962</v>
      </c>
      <c r="N658" s="1"/>
    </row>
    <row r="659" spans="2:14" x14ac:dyDescent="0.35">
      <c r="B659" s="5" t="s">
        <v>6</v>
      </c>
      <c r="C659" s="5" t="s">
        <v>7</v>
      </c>
      <c r="D659" t="s">
        <v>355</v>
      </c>
      <c r="E659" s="5" t="s">
        <v>8</v>
      </c>
      <c r="F659" s="4" t="str">
        <f t="shared" si="708"/>
        <v>-</v>
      </c>
      <c r="G659" s="4" t="str">
        <f t="shared" si="708"/>
        <v>-</v>
      </c>
      <c r="H659" s="4" t="str">
        <f t="shared" si="708"/>
        <v>-</v>
      </c>
      <c r="I659" s="4" t="str">
        <f t="shared" si="708"/>
        <v>-</v>
      </c>
      <c r="J659" s="4" t="str">
        <f t="shared" si="708"/>
        <v>-</v>
      </c>
      <c r="K659" s="4" t="str">
        <f t="shared" si="708"/>
        <v>-</v>
      </c>
      <c r="L659" s="4" t="str">
        <f t="shared" ref="L659" si="712">IFERROR(SUM(L640,L630,L620)/L650,"-")</f>
        <v>-</v>
      </c>
      <c r="N659" s="1"/>
    </row>
    <row r="660" spans="2:14" x14ac:dyDescent="0.35">
      <c r="B660" s="5" t="s">
        <v>6</v>
      </c>
      <c r="C660" s="5" t="s">
        <v>7</v>
      </c>
      <c r="D660" t="s">
        <v>356</v>
      </c>
      <c r="E660" s="5" t="s">
        <v>8</v>
      </c>
      <c r="F660" s="4" t="str">
        <f t="shared" ref="F660:K661" si="713">IFERROR(SUM(F642,F632,F622)/F652,"-")</f>
        <v>-</v>
      </c>
      <c r="G660" s="4">
        <f t="shared" si="713"/>
        <v>0.82962962962962961</v>
      </c>
      <c r="H660" s="4">
        <f t="shared" si="713"/>
        <v>0.84611907677661224</v>
      </c>
      <c r="I660" s="4">
        <f t="shared" si="713"/>
        <v>0.84678922343949237</v>
      </c>
      <c r="J660" s="4">
        <f t="shared" si="713"/>
        <v>0.85925925925925928</v>
      </c>
      <c r="K660" s="4">
        <f t="shared" si="713"/>
        <v>0.85925925925925928</v>
      </c>
      <c r="L660" s="4">
        <f t="shared" ref="L660" si="714">IFERROR(SUM(L642,L632,L622)/L652,"-")</f>
        <v>0.85925925925925961</v>
      </c>
      <c r="N660" s="1"/>
    </row>
    <row r="661" spans="2:14" x14ac:dyDescent="0.35">
      <c r="B661" s="5" t="s">
        <v>6</v>
      </c>
      <c r="C661" s="5" t="s">
        <v>7</v>
      </c>
      <c r="D661" t="s">
        <v>357</v>
      </c>
      <c r="E661" s="5" t="s">
        <v>8</v>
      </c>
      <c r="F661" s="4" t="str">
        <f t="shared" si="713"/>
        <v>-</v>
      </c>
      <c r="G661" s="4" t="str">
        <f t="shared" si="713"/>
        <v>-</v>
      </c>
      <c r="H661" s="4" t="str">
        <f t="shared" si="713"/>
        <v>-</v>
      </c>
      <c r="I661" s="4" t="str">
        <f t="shared" si="713"/>
        <v>-</v>
      </c>
      <c r="J661" s="4" t="str">
        <f t="shared" si="713"/>
        <v>-</v>
      </c>
      <c r="K661" s="4" t="str">
        <f t="shared" si="713"/>
        <v>-</v>
      </c>
      <c r="L661" s="4" t="str">
        <f t="shared" ref="L661" si="715">IFERROR(SUM(L643,L633,L623)/L653,"-")</f>
        <v>-</v>
      </c>
      <c r="N661" s="1"/>
    </row>
    <row r="662" spans="2:14" x14ac:dyDescent="0.35">
      <c r="B662" s="9" t="s">
        <v>6</v>
      </c>
      <c r="C662" s="9" t="s">
        <v>7</v>
      </c>
      <c r="D662" s="2" t="s">
        <v>390</v>
      </c>
      <c r="E662" s="9" t="s">
        <v>8</v>
      </c>
      <c r="F662" s="3">
        <f>SUM(F663,F667,F676)</f>
        <v>2.5538869309411267E-3</v>
      </c>
      <c r="G662" s="3">
        <f t="shared" ref="G662:K662" si="716">SUM(G663,G667,G676)</f>
        <v>2.6010142187142629E-3</v>
      </c>
      <c r="H662" s="3">
        <f t="shared" si="716"/>
        <v>2.6005748133837692E-3</v>
      </c>
      <c r="I662" s="3">
        <f t="shared" si="716"/>
        <v>2.600261201527487E-3</v>
      </c>
      <c r="J662" s="3">
        <f t="shared" si="716"/>
        <v>1.121979970608244E-2</v>
      </c>
      <c r="K662" s="3">
        <f t="shared" si="716"/>
        <v>1.2045653275824221E-2</v>
      </c>
      <c r="L662" s="3">
        <f t="shared" ref="L662" si="717">SUM(L663,L667,L676)</f>
        <v>0.11341563099825784</v>
      </c>
      <c r="N662" s="1"/>
    </row>
    <row r="663" spans="2:14" x14ac:dyDescent="0.35">
      <c r="B663" t="str">
        <f>B662</f>
        <v>SPS1</v>
      </c>
      <c r="C663" t="str">
        <f>C662</f>
        <v>CH</v>
      </c>
      <c r="D663" t="s">
        <v>915</v>
      </c>
      <c r="E663" s="5" t="s">
        <v>8</v>
      </c>
      <c r="F663" s="1">
        <f>[1]Other_transformation!B$28</f>
        <v>2.5538869309411267E-3</v>
      </c>
      <c r="G663" s="1">
        <f>[1]Other_transformation!C$28</f>
        <v>2.6010142187142629E-3</v>
      </c>
      <c r="H663" s="1">
        <f>[1]Other_transformation!D$28</f>
        <v>2.6005748133837692E-3</v>
      </c>
      <c r="I663" s="1">
        <f>[1]Other_transformation!E$28</f>
        <v>2.600261201527487E-3</v>
      </c>
      <c r="J663" s="1">
        <f>[2]Other_transformation!F$28</f>
        <v>1.121979970608244E-2</v>
      </c>
      <c r="K663" s="1">
        <f>[2]Other_transformation!G$28</f>
        <v>1.2045653275824221E-2</v>
      </c>
      <c r="L663" s="1">
        <f>[2]Other_transformation!H$28</f>
        <v>0.11243159702836238</v>
      </c>
      <c r="N663" s="1"/>
    </row>
    <row r="664" spans="2:14" x14ac:dyDescent="0.35">
      <c r="B664" t="str">
        <f t="shared" ref="B664:B675" si="718">B663</f>
        <v>SPS1</v>
      </c>
      <c r="C664" t="str">
        <f t="shared" ref="C664:C675" si="719">C663</f>
        <v>CH</v>
      </c>
      <c r="D664" t="s">
        <v>403</v>
      </c>
      <c r="E664" s="5" t="s">
        <v>8</v>
      </c>
      <c r="F664" s="1" cm="1">
        <f t="array" ref="F664">SUMPRODUCT(("SUP_ELCH2"=[1]OUT_SyntheticFuels!$C$4:$C$1000)*1,ISNUMBER(SEARCH("h2",[1]OUT_SyntheticFuels!$A$4:$A$1000))*1,("Var_Fout"=[1]OUT_SyntheticFuels!$B$4:$B$1000)*1,[1]OUT_SyntheticFuels!E$4:E$1000)</f>
        <v>2.5538869309411267E-3</v>
      </c>
      <c r="G664" s="1" cm="1">
        <f t="array" ref="G664">SUMPRODUCT(("SUP_ELCH2"=[1]OUT_SyntheticFuels!$C$4:$C$1000)*1,ISNUMBER(SEARCH("h2",[1]OUT_SyntheticFuels!$A$4:$A$1000))*1,("Var_Fout"=[1]OUT_SyntheticFuels!$B$4:$B$1000)*1,[1]OUT_SyntheticFuels!F$4:F$1000)</f>
        <v>2.6010142187142629E-3</v>
      </c>
      <c r="H664" s="1" cm="1">
        <f t="array" ref="H664">SUMPRODUCT(("SUP_ELCH2"=[1]OUT_SyntheticFuels!$C$4:$C$1000)*1,ISNUMBER(SEARCH("h2",[1]OUT_SyntheticFuels!$A$4:$A$1000))*1,("Var_Fout"=[1]OUT_SyntheticFuels!$B$4:$B$1000)*1,[1]OUT_SyntheticFuels!G$4:G$1000)</f>
        <v>2.6005748133837692E-3</v>
      </c>
      <c r="I664" s="1" cm="1">
        <f t="array" ref="I664">SUMPRODUCT(("SUP_ELCH2"=[1]OUT_SyntheticFuels!$C$4:$C$1000)*1,ISNUMBER(SEARCH("h2",[1]OUT_SyntheticFuels!$A$4:$A$1000))*1,("Var_Fout"=[1]OUT_SyntheticFuels!$B$4:$B$1000)*1,[1]OUT_SyntheticFuels!H$4:H$1000)</f>
        <v>2.5940530534279784E-3</v>
      </c>
      <c r="J664" s="1" cm="1">
        <f t="array" ref="J664">SUMPRODUCT(("SUP_ELCH2"=[2]OUT_SyntheticFuels!$C$4:$C$1000)*1,ISNUMBER(SEARCH("h2",[2]OUT_SyntheticFuels!$A$4:$A$1000))*1,("Var_Fout"=[2]OUT_SyntheticFuels!$B$4:$B$1000)*1,[2]OUT_SyntheticFuels!I$4:I$1000)</f>
        <v>1.1193302787270088E-2</v>
      </c>
      <c r="K664" s="1" cm="1">
        <f t="array" ref="K664">SUMPRODUCT(("SUP_ELCH2"=[2]OUT_SyntheticFuels!$C$4:$C$1000)*1,ISNUMBER(SEARCH("h2",[2]OUT_SyntheticFuels!$A$4:$A$1000))*1,("Var_Fout"=[2]OUT_SyntheticFuels!$B$4:$B$1000)*1,[2]OUT_SyntheticFuels!J$4:J$1000)</f>
        <v>9.0623319123783776E-3</v>
      </c>
      <c r="L664" s="1" cm="1">
        <f t="array" ref="L664">SUMPRODUCT(("SUP_ELCH2"=[2]OUT_SyntheticFuels!$C$4:$C$1000)*1,ISNUMBER(SEARCH("h2",[2]OUT_SyntheticFuels!$A$4:$A$1000))*1,("Var_Fout"=[2]OUT_SyntheticFuels!$B$4:$B$1000)*1,[2]OUT_SyntheticFuels!K$4:K$1000)</f>
        <v>0.10978116861105483</v>
      </c>
      <c r="N664" s="1"/>
    </row>
    <row r="665" spans="2:14" x14ac:dyDescent="0.35">
      <c r="B665" t="str">
        <f t="shared" ref="B665" si="720">B664</f>
        <v>SPS1</v>
      </c>
      <c r="C665" t="str">
        <f t="shared" ref="C665" si="721">C664</f>
        <v>CH</v>
      </c>
      <c r="D665" t="s">
        <v>402</v>
      </c>
      <c r="E665" s="5" t="s">
        <v>8</v>
      </c>
      <c r="F665" s="1" cm="1">
        <f t="array" ref="F665">SUMPRODUCT(("SUP_ELCH2_D"=[1]OUT_SyntheticFuels!$C$4:$C$1000)*1,ISNUMBER(SEARCH("h2",[1]OUT_SyntheticFuels!$A$4:$A$1000))*1,("Var_Fout"=[1]OUT_SyntheticFuels!$B$4:$B$1000)*1,[1]OUT_SyntheticFuels!E$4:E$1000)</f>
        <v>0</v>
      </c>
      <c r="G665" s="1" cm="1">
        <f t="array" ref="G665">SUMPRODUCT(("SUP_ELCH2_D"=[1]OUT_SyntheticFuels!$C$4:$C$1000)*1,ISNUMBER(SEARCH("h2",[1]OUT_SyntheticFuels!$A$4:$A$1000))*1,("Var_Fout"=[1]OUT_SyntheticFuels!$B$4:$B$1000)*1,[1]OUT_SyntheticFuels!F$4:F$1000)</f>
        <v>0</v>
      </c>
      <c r="H665" s="1" cm="1">
        <f t="array" ref="H665">SUMPRODUCT(("SUP_ELCH2_D"=[1]OUT_SyntheticFuels!$C$4:$C$1000)*1,ISNUMBER(SEARCH("h2",[1]OUT_SyntheticFuels!$A$4:$A$1000))*1,("Var_Fout"=[1]OUT_SyntheticFuels!$B$4:$B$1000)*1,[1]OUT_SyntheticFuels!G$4:G$1000)</f>
        <v>0</v>
      </c>
      <c r="I665" s="1" cm="1">
        <f t="array" ref="I665">SUMPRODUCT(("SUP_ELCH2_D"=[1]OUT_SyntheticFuels!$C$4:$C$1000)*1,ISNUMBER(SEARCH("h2",[1]OUT_SyntheticFuels!$A$4:$A$1000))*1,("Var_Fout"=[1]OUT_SyntheticFuels!$B$4:$B$1000)*1,[1]OUT_SyntheticFuels!H$4:H$1000)</f>
        <v>6.2081480995084095E-6</v>
      </c>
      <c r="J665" s="1" cm="1">
        <f t="array" ref="J665">SUMPRODUCT(("SUP_ELCH2_D"=[2]OUT_SyntheticFuels!$C$4:$C$1000)*1,ISNUMBER(SEARCH("h2",[2]OUT_SyntheticFuels!$A$4:$A$1000))*1,("Var_Fout"=[2]OUT_SyntheticFuels!$B$4:$B$1000)*1,[2]OUT_SyntheticFuels!I$4:I$1000)</f>
        <v>2.6496918812351871E-5</v>
      </c>
      <c r="K665" s="1" cm="1">
        <f t="array" ref="K665">SUMPRODUCT(("SUP_ELCH2_D"=[2]OUT_SyntheticFuels!$C$4:$C$1000)*1,ISNUMBER(SEARCH("h2",[2]OUT_SyntheticFuels!$A$4:$A$1000))*1,("Var_Fout"=[2]OUT_SyntheticFuels!$B$4:$B$1000)*1,[2]OUT_SyntheticFuels!J$4:J$1000)</f>
        <v>8.1635543349492079E-4</v>
      </c>
      <c r="L665" s="1" cm="1">
        <f t="array" ref="L665">SUMPRODUCT(("SUP_ELCH2_D"=[2]OUT_SyntheticFuels!$C$4:$C$1000)*1,ISNUMBER(SEARCH("h2",[2]OUT_SyntheticFuels!$A$4:$A$1000))*1,("Var_Fout"=[2]OUT_SyntheticFuels!$B$4:$B$1000)*1,[2]OUT_SyntheticFuels!K$4:K$1000)</f>
        <v>8.6586597718233771E-4</v>
      </c>
      <c r="N665" s="1"/>
    </row>
    <row r="666" spans="2:14" x14ac:dyDescent="0.35">
      <c r="B666" t="str">
        <f>B664</f>
        <v>SPS1</v>
      </c>
      <c r="C666" t="str">
        <f>C664</f>
        <v>CH</v>
      </c>
      <c r="D666" t="s">
        <v>391</v>
      </c>
      <c r="E666" s="5" t="s">
        <v>8</v>
      </c>
      <c r="F666" s="1" cm="1">
        <f t="array" ref="F666">SUMPRODUCT(("SUP_ELCH2_SOEC"=[1]OUT_SyntheticFuels!$C$4:$C$1000)*1,ISNUMBER(SEARCH("H2",[1]OUT_SyntheticFuels!$A$4:$A$1000))*1,("Var_Fout"=[1]OUT_SyntheticFuels!$B$4:$B$1000)*1,[1]OUT_SyntheticFuels!E$4:E$1000)</f>
        <v>0</v>
      </c>
      <c r="G666" s="1" cm="1">
        <f t="array" ref="G666">SUMPRODUCT(("SUP_ELCH2_SOEC"=[1]OUT_SyntheticFuels!$C$4:$C$1000)*1,ISNUMBER(SEARCH("H2",[1]OUT_SyntheticFuels!$A$4:$A$1000))*1,("Var_Fout"=[1]OUT_SyntheticFuels!$B$4:$B$1000)*1,[1]OUT_SyntheticFuels!F$4:F$1000)</f>
        <v>0</v>
      </c>
      <c r="H666" s="1" cm="1">
        <f t="array" ref="H666">SUMPRODUCT(("SUP_ELCH2_SOEC"=[1]OUT_SyntheticFuels!$C$4:$C$1000)*1,ISNUMBER(SEARCH("H2",[1]OUT_SyntheticFuels!$A$4:$A$1000))*1,("Var_Fout"=[1]OUT_SyntheticFuels!$B$4:$B$1000)*1,[1]OUT_SyntheticFuels!G$4:G$1000)</f>
        <v>0</v>
      </c>
      <c r="I666" s="1" cm="1">
        <f t="array" ref="I666">SUMPRODUCT(("SUP_ELCH2_SOEC"=[1]OUT_SyntheticFuels!$C$4:$C$1000)*1,ISNUMBER(SEARCH("H2",[1]OUT_SyntheticFuels!$A$4:$A$1000))*1,("Var_Fout"=[1]OUT_SyntheticFuels!$B$4:$B$1000)*1,[1]OUT_SyntheticFuels!H$4:H$1000)</f>
        <v>0</v>
      </c>
      <c r="J666" s="1" cm="1">
        <f t="array" ref="J666">SUMPRODUCT(("SUP_ELCH2_SOEC"=[2]OUT_SyntheticFuels!$C$4:$C$1000)*1,ISNUMBER(SEARCH("H2",[2]OUT_SyntheticFuels!$A$4:$A$1000))*1,("Var_Fout"=[2]OUT_SyntheticFuels!$B$4:$B$1000)*1,[2]OUT_SyntheticFuels!I$4:I$1000)</f>
        <v>0</v>
      </c>
      <c r="K666" s="1" cm="1">
        <f t="array" ref="K666">SUMPRODUCT(("SUP_ELCH2_SOEC"=[2]OUT_SyntheticFuels!$C$4:$C$1000)*1,ISNUMBER(SEARCH("H2",[2]OUT_SyntheticFuels!$A$4:$A$1000))*1,("Var_Fout"=[2]OUT_SyntheticFuels!$B$4:$B$1000)*1,[2]OUT_SyntheticFuels!J$4:J$1000)</f>
        <v>2.166965929950923E-3</v>
      </c>
      <c r="L666" s="1" cm="1">
        <f t="array" ref="L666">SUMPRODUCT(("SUP_ELCH2_SOEC"=[2]OUT_SyntheticFuels!$C$4:$C$1000)*1,ISNUMBER(SEARCH("H2",[2]OUT_SyntheticFuels!$A$4:$A$1000))*1,("Var_Fout"=[2]OUT_SyntheticFuels!$B$4:$B$1000)*1,[2]OUT_SyntheticFuels!K$4:K$1000)</f>
        <v>1.7845624401252149E-3</v>
      </c>
      <c r="N666" s="1"/>
    </row>
    <row r="667" spans="2:14" x14ac:dyDescent="0.35">
      <c r="B667" t="str">
        <f t="shared" si="718"/>
        <v>SPS1</v>
      </c>
      <c r="C667" t="str">
        <f t="shared" si="719"/>
        <v>CH</v>
      </c>
      <c r="D667" t="s">
        <v>916</v>
      </c>
      <c r="E667" s="5" t="s">
        <v>8</v>
      </c>
      <c r="F667" s="1">
        <f>SUM([1]Other_transformation!B$29:B$30)</f>
        <v>0</v>
      </c>
      <c r="G667" s="1">
        <f>SUM([1]Other_transformation!C$29:C$30)</f>
        <v>0</v>
      </c>
      <c r="H667" s="1">
        <f>SUM([1]Other_transformation!D$29:D$30)</f>
        <v>0</v>
      </c>
      <c r="I667" s="1">
        <f>SUM([1]Other_transformation!E$29:E$30)</f>
        <v>0</v>
      </c>
      <c r="J667" s="1">
        <f>SUM([2]Other_transformation!F$29:F$30)</f>
        <v>0</v>
      </c>
      <c r="K667" s="1">
        <f>SUM([2]Other_transformation!G$29:G$30)</f>
        <v>0</v>
      </c>
      <c r="L667" s="1">
        <f>SUM([2]Other_transformation!H$29:H$30)</f>
        <v>9.8403396989546151E-4</v>
      </c>
      <c r="N667" s="1"/>
    </row>
    <row r="668" spans="2:14" x14ac:dyDescent="0.35">
      <c r="B668" t="str">
        <f t="shared" si="718"/>
        <v>SPS1</v>
      </c>
      <c r="C668" t="str">
        <f t="shared" si="719"/>
        <v>CH</v>
      </c>
      <c r="D668" t="s">
        <v>392</v>
      </c>
      <c r="E668" s="5" t="s">
        <v>8</v>
      </c>
      <c r="F668" s="1">
        <f>[1]Other_transformation!B$29</f>
        <v>0</v>
      </c>
      <c r="G668" s="1">
        <f>[1]Other_transformation!C$29</f>
        <v>0</v>
      </c>
      <c r="H668" s="1">
        <f>[1]Other_transformation!D$29</f>
        <v>0</v>
      </c>
      <c r="I668" s="1">
        <f>[1]Other_transformation!E$29</f>
        <v>0</v>
      </c>
      <c r="J668" s="1">
        <f>[2]Other_transformation!F$29</f>
        <v>0</v>
      </c>
      <c r="K668" s="1">
        <f>[2]Other_transformation!G$29</f>
        <v>0</v>
      </c>
      <c r="L668" s="1">
        <f>[2]Other_transformation!H$29</f>
        <v>9.8403396989546151E-4</v>
      </c>
      <c r="N668" s="1"/>
    </row>
    <row r="669" spans="2:14" x14ac:dyDescent="0.35">
      <c r="B669" t="str">
        <f t="shared" si="718"/>
        <v>SPS1</v>
      </c>
      <c r="C669" t="str">
        <f t="shared" si="719"/>
        <v>CH</v>
      </c>
      <c r="D669" t="s">
        <v>393</v>
      </c>
      <c r="E669" s="5" t="s">
        <v>8</v>
      </c>
      <c r="F669" s="1">
        <f>[1]Other_transformation!B$30</f>
        <v>0</v>
      </c>
      <c r="G669" s="1">
        <f>[1]Other_transformation!C$30</f>
        <v>0</v>
      </c>
      <c r="H669" s="1">
        <f>[1]Other_transformation!D$30</f>
        <v>0</v>
      </c>
      <c r="I669" s="1">
        <f>[1]Other_transformation!E$30</f>
        <v>0</v>
      </c>
      <c r="J669" s="1">
        <f>[2]Other_transformation!F$30</f>
        <v>0</v>
      </c>
      <c r="K669" s="1">
        <f>[2]Other_transformation!G$30</f>
        <v>0</v>
      </c>
      <c r="L669" s="1">
        <f>[2]Other_transformation!H$30</f>
        <v>0</v>
      </c>
      <c r="N669" s="1"/>
    </row>
    <row r="670" spans="2:14" x14ac:dyDescent="0.35">
      <c r="B670" t="str">
        <f t="shared" si="718"/>
        <v>SPS1</v>
      </c>
      <c r="C670" t="str">
        <f t="shared" si="719"/>
        <v>CH</v>
      </c>
      <c r="D670" t="s">
        <v>917</v>
      </c>
      <c r="E670" s="5" t="s">
        <v>8</v>
      </c>
      <c r="F670" s="1">
        <f>F667-F673</f>
        <v>0</v>
      </c>
      <c r="G670" s="1">
        <f t="shared" ref="G670:K670" si="722">G667-G673</f>
        <v>0</v>
      </c>
      <c r="H670" s="1">
        <f t="shared" si="722"/>
        <v>0</v>
      </c>
      <c r="I670" s="1">
        <f t="shared" si="722"/>
        <v>0</v>
      </c>
      <c r="J670" s="1">
        <f t="shared" si="722"/>
        <v>0</v>
      </c>
      <c r="K670" s="1">
        <f t="shared" si="722"/>
        <v>0</v>
      </c>
      <c r="L670" s="1">
        <f t="shared" ref="L670" si="723">L667-L673</f>
        <v>0</v>
      </c>
      <c r="N670" s="1"/>
    </row>
    <row r="671" spans="2:14" x14ac:dyDescent="0.35">
      <c r="B671" t="str">
        <f t="shared" si="718"/>
        <v>SPS1</v>
      </c>
      <c r="C671" t="str">
        <f t="shared" si="719"/>
        <v>CH</v>
      </c>
      <c r="D671" t="s">
        <v>607</v>
      </c>
      <c r="E671" s="5" t="s">
        <v>8</v>
      </c>
      <c r="F671" s="1">
        <f t="shared" ref="F671:K671" si="724">F668-F674</f>
        <v>0</v>
      </c>
      <c r="G671" s="1">
        <f t="shared" si="724"/>
        <v>0</v>
      </c>
      <c r="H671" s="1">
        <f t="shared" si="724"/>
        <v>0</v>
      </c>
      <c r="I671" s="1">
        <f t="shared" si="724"/>
        <v>0</v>
      </c>
      <c r="J671" s="1">
        <f t="shared" si="724"/>
        <v>0</v>
      </c>
      <c r="K671" s="1">
        <f t="shared" si="724"/>
        <v>0</v>
      </c>
      <c r="L671" s="1">
        <f t="shared" ref="L671" si="725">L668-L674</f>
        <v>0</v>
      </c>
      <c r="N671" s="1"/>
    </row>
    <row r="672" spans="2:14" x14ac:dyDescent="0.35">
      <c r="B672" t="str">
        <f t="shared" si="718"/>
        <v>SPS1</v>
      </c>
      <c r="C672" t="str">
        <f t="shared" si="719"/>
        <v>CH</v>
      </c>
      <c r="D672" t="s">
        <v>608</v>
      </c>
      <c r="E672" s="5" t="s">
        <v>8</v>
      </c>
      <c r="F672" s="1">
        <f t="shared" ref="F672:K672" si="726">F669-F675</f>
        <v>0</v>
      </c>
      <c r="G672" s="1">
        <f t="shared" si="726"/>
        <v>0</v>
      </c>
      <c r="H672" s="1">
        <f t="shared" si="726"/>
        <v>0</v>
      </c>
      <c r="I672" s="1">
        <f t="shared" si="726"/>
        <v>0</v>
      </c>
      <c r="J672" s="1">
        <f t="shared" si="726"/>
        <v>0</v>
      </c>
      <c r="K672" s="1">
        <f t="shared" si="726"/>
        <v>0</v>
      </c>
      <c r="L672" s="1">
        <f t="shared" ref="L672" si="727">L669-L675</f>
        <v>0</v>
      </c>
      <c r="N672" s="1"/>
    </row>
    <row r="673" spans="2:14" x14ac:dyDescent="0.35">
      <c r="B673" t="str">
        <f t="shared" si="718"/>
        <v>SPS1</v>
      </c>
      <c r="C673" t="str">
        <f t="shared" si="719"/>
        <v>CH</v>
      </c>
      <c r="D673" t="s">
        <v>918</v>
      </c>
      <c r="E673" s="5" t="s">
        <v>8</v>
      </c>
      <c r="F673" s="1">
        <f>SUM(F674:F675)</f>
        <v>0</v>
      </c>
      <c r="G673" s="1">
        <f t="shared" ref="G673:K673" si="728">SUM(G674:G675)</f>
        <v>0</v>
      </c>
      <c r="H673" s="1">
        <f t="shared" si="728"/>
        <v>0</v>
      </c>
      <c r="I673" s="1">
        <f t="shared" si="728"/>
        <v>0</v>
      </c>
      <c r="J673" s="1">
        <f t="shared" si="728"/>
        <v>0</v>
      </c>
      <c r="K673" s="1">
        <f t="shared" si="728"/>
        <v>0</v>
      </c>
      <c r="L673" s="1">
        <f t="shared" ref="L673" si="729">SUM(L674:L675)</f>
        <v>9.8403396989546151E-4</v>
      </c>
      <c r="N673" s="1"/>
    </row>
    <row r="674" spans="2:14" x14ac:dyDescent="0.35">
      <c r="B674" t="str">
        <f t="shared" si="718"/>
        <v>SPS1</v>
      </c>
      <c r="C674" t="str">
        <f t="shared" si="719"/>
        <v>CH</v>
      </c>
      <c r="D674" t="s">
        <v>668</v>
      </c>
      <c r="E674" s="5" t="s">
        <v>8</v>
      </c>
      <c r="F674" s="1">
        <f>IFERROR([1]Energy_Balances!B$157/([1]Energy_Balances!B$157+[1]Energy_Balances!B$72),0)*F668</f>
        <v>0</v>
      </c>
      <c r="G674" s="1">
        <f>IFERROR([1]Energy_Balances!C$157/([1]Energy_Balances!C$157+[1]Energy_Balances!C$72),0)*G668</f>
        <v>0</v>
      </c>
      <c r="H674" s="1">
        <f>IFERROR([1]Energy_Balances!D$157/([1]Energy_Balances!D$157+[1]Energy_Balances!D$72),0)*H668</f>
        <v>0</v>
      </c>
      <c r="I674" s="1">
        <f>IFERROR([1]Energy_Balances!E$157/([1]Energy_Balances!E$157+[1]Energy_Balances!E$72),0)*I668</f>
        <v>0</v>
      </c>
      <c r="J674" s="1">
        <f>IFERROR([2]Energy_Balances!F$157/([2]Energy_Balances!F$157+[2]Energy_Balances!F$72),0)*J668</f>
        <v>0</v>
      </c>
      <c r="K674" s="1">
        <f>IFERROR([2]Energy_Balances!G$157/([2]Energy_Balances!G$157+[2]Energy_Balances!G$72),0)*K668</f>
        <v>0</v>
      </c>
      <c r="L674" s="1">
        <f>IFERROR([2]Energy_Balances!H$157/([2]Energy_Balances!H$157+[2]Energy_Balances!H$72),0)*L668</f>
        <v>9.8403396989546151E-4</v>
      </c>
      <c r="N674" s="1"/>
    </row>
    <row r="675" spans="2:14" x14ac:dyDescent="0.35">
      <c r="B675" t="str">
        <f t="shared" si="718"/>
        <v>SPS1</v>
      </c>
      <c r="C675" t="str">
        <f t="shared" si="719"/>
        <v>CH</v>
      </c>
      <c r="D675" t="s">
        <v>669</v>
      </c>
      <c r="E675" s="5" t="s">
        <v>8</v>
      </c>
      <c r="F675" s="1">
        <f>IFERROR([1]Energy_Balances!B$157/([1]Energy_Balances!B$157+[1]Energy_Balances!B$72),0)*F669</f>
        <v>0</v>
      </c>
      <c r="G675" s="1">
        <f>IFERROR([1]Energy_Balances!C$157/([1]Energy_Balances!C$157+[1]Energy_Balances!C$72),0)*G669</f>
        <v>0</v>
      </c>
      <c r="H675" s="1">
        <f>IFERROR([1]Energy_Balances!D$157/([1]Energy_Balances!D$157+[1]Energy_Balances!D$72),0)*H669</f>
        <v>0</v>
      </c>
      <c r="I675" s="1">
        <f>IFERROR([1]Energy_Balances!E$157/([1]Energy_Balances!E$157+[1]Energy_Balances!E$72),0)*I669</f>
        <v>0</v>
      </c>
      <c r="J675" s="1">
        <f>IFERROR([2]Energy_Balances!F$157/([2]Energy_Balances!F$157+[2]Energy_Balances!F$72),0)*J669</f>
        <v>0</v>
      </c>
      <c r="K675" s="1">
        <f>IFERROR([2]Energy_Balances!G$157/([2]Energy_Balances!G$157+[2]Energy_Balances!G$72),0)*K669</f>
        <v>0</v>
      </c>
      <c r="L675" s="1">
        <f>IFERROR([2]Energy_Balances!H$157/([2]Energy_Balances!H$157+[2]Energy_Balances!H$72),0)*L669</f>
        <v>0</v>
      </c>
      <c r="N675" s="1"/>
    </row>
    <row r="676" spans="2:14" x14ac:dyDescent="0.35">
      <c r="B676" t="str">
        <f t="shared" ref="B676:B678" si="730">B675</f>
        <v>SPS1</v>
      </c>
      <c r="C676" t="str">
        <f t="shared" ref="C676:C678" si="731">C675</f>
        <v>CH</v>
      </c>
      <c r="D676" t="s">
        <v>919</v>
      </c>
      <c r="E676" s="5" t="s">
        <v>8</v>
      </c>
      <c r="F676" s="1">
        <f>SUM(F677:F678)</f>
        <v>0</v>
      </c>
      <c r="G676" s="1">
        <f t="shared" ref="G676:K676" si="732">SUM(G677:G678)</f>
        <v>0</v>
      </c>
      <c r="H676" s="1">
        <f t="shared" si="732"/>
        <v>0</v>
      </c>
      <c r="I676" s="1">
        <f t="shared" si="732"/>
        <v>0</v>
      </c>
      <c r="J676" s="1">
        <f t="shared" si="732"/>
        <v>0</v>
      </c>
      <c r="K676" s="1">
        <f t="shared" si="732"/>
        <v>0</v>
      </c>
      <c r="L676" s="1">
        <f t="shared" ref="L676" si="733">SUM(L677:L678)</f>
        <v>0</v>
      </c>
      <c r="N676" s="1"/>
    </row>
    <row r="677" spans="2:14" x14ac:dyDescent="0.35">
      <c r="B677" t="str">
        <f t="shared" si="730"/>
        <v>SPS1</v>
      </c>
      <c r="C677" t="str">
        <f t="shared" si="731"/>
        <v>CH</v>
      </c>
      <c r="D677" t="s">
        <v>394</v>
      </c>
      <c r="E677" s="5" t="s">
        <v>8</v>
      </c>
      <c r="F677" s="1">
        <f>[1]Other_transformation!B31</f>
        <v>0</v>
      </c>
      <c r="G677" s="1">
        <f>[1]Other_transformation!C31</f>
        <v>0</v>
      </c>
      <c r="H677" s="1">
        <f>[1]Other_transformation!D31</f>
        <v>0</v>
      </c>
      <c r="I677" s="1">
        <f>[1]Other_transformation!E31</f>
        <v>0</v>
      </c>
      <c r="J677" s="1">
        <f>[2]Other_transformation!F31</f>
        <v>0</v>
      </c>
      <c r="K677" s="1">
        <f>[2]Other_transformation!G31</f>
        <v>0</v>
      </c>
      <c r="L677" s="1">
        <f>[2]Other_transformation!H31</f>
        <v>0</v>
      </c>
      <c r="N677" s="1"/>
    </row>
    <row r="678" spans="2:14" x14ac:dyDescent="0.35">
      <c r="B678" t="str">
        <f t="shared" si="730"/>
        <v>SPS1</v>
      </c>
      <c r="C678" t="str">
        <f t="shared" si="731"/>
        <v>CH</v>
      </c>
      <c r="D678" t="s">
        <v>395</v>
      </c>
      <c r="E678" s="5" t="s">
        <v>8</v>
      </c>
      <c r="F678" s="1">
        <f>[1]Other_transformation!B32</f>
        <v>0</v>
      </c>
      <c r="G678" s="1">
        <f>[1]Other_transformation!C32</f>
        <v>0</v>
      </c>
      <c r="H678" s="1">
        <f>[1]Other_transformation!D32</f>
        <v>0</v>
      </c>
      <c r="I678" s="1">
        <f>[1]Other_transformation!E32</f>
        <v>0</v>
      </c>
      <c r="J678" s="1">
        <f>[2]Other_transformation!F32</f>
        <v>0</v>
      </c>
      <c r="K678" s="1">
        <f>[2]Other_transformation!G32</f>
        <v>0</v>
      </c>
      <c r="L678" s="1">
        <f>[2]Other_transformation!H32</f>
        <v>0</v>
      </c>
      <c r="N678" s="1"/>
    </row>
    <row r="679" spans="2:14" x14ac:dyDescent="0.35">
      <c r="B679" s="9" t="s">
        <v>6</v>
      </c>
      <c r="C679" s="9" t="s">
        <v>7</v>
      </c>
      <c r="D679" s="2" t="s">
        <v>406</v>
      </c>
      <c r="E679" s="9" t="s">
        <v>8</v>
      </c>
      <c r="F679" s="3">
        <f>SUM(F680,F684,F686,F695)</f>
        <v>3.7283020889651475E-3</v>
      </c>
      <c r="G679" s="3">
        <f t="shared" ref="G679:K679" si="734">SUM(G680,G684,G686,G695)</f>
        <v>3.7478591047755958E-3</v>
      </c>
      <c r="H679" s="3">
        <f t="shared" si="734"/>
        <v>3.6757241178569161E-3</v>
      </c>
      <c r="I679" s="3">
        <f t="shared" si="734"/>
        <v>3.5620016459280658E-3</v>
      </c>
      <c r="J679" s="3">
        <f t="shared" si="734"/>
        <v>1.4910032832003248E-2</v>
      </c>
      <c r="K679" s="3">
        <f t="shared" si="734"/>
        <v>1.5237458786239128E-2</v>
      </c>
      <c r="L679" s="3">
        <f t="shared" ref="L679" si="735">SUM(L680,L684,L686,L695)</f>
        <v>0.13821303672946642</v>
      </c>
      <c r="N679" s="1"/>
    </row>
    <row r="680" spans="2:14" x14ac:dyDescent="0.35">
      <c r="B680" t="str">
        <f>B679</f>
        <v>SPS1</v>
      </c>
      <c r="C680" t="str">
        <f>C679</f>
        <v>CH</v>
      </c>
      <c r="D680" t="s">
        <v>920</v>
      </c>
      <c r="E680" s="5" t="s">
        <v>8</v>
      </c>
      <c r="F680" s="1">
        <f>SUM(F681:F683)</f>
        <v>3.7283020889651475E-3</v>
      </c>
      <c r="G680" s="1">
        <f t="shared" ref="G680:K680" si="736">SUM(G681:G683)</f>
        <v>3.7478591047755958E-3</v>
      </c>
      <c r="H680" s="1">
        <f t="shared" si="736"/>
        <v>3.6757241178569161E-3</v>
      </c>
      <c r="I680" s="1">
        <f t="shared" si="736"/>
        <v>3.5620016459280658E-3</v>
      </c>
      <c r="J680" s="1">
        <f t="shared" si="736"/>
        <v>1.4910032832003248E-2</v>
      </c>
      <c r="K680" s="1">
        <f t="shared" si="736"/>
        <v>1.4913659279464852E-2</v>
      </c>
      <c r="L680" s="1">
        <f t="shared" ref="L680" si="737">SUM(L681:L683)</f>
        <v>0.13671997047456083</v>
      </c>
      <c r="N680" s="1"/>
    </row>
    <row r="681" spans="2:14" x14ac:dyDescent="0.35">
      <c r="B681" t="str">
        <f t="shared" ref="B681:B697" si="738">B680</f>
        <v>SPS1</v>
      </c>
      <c r="C681" t="str">
        <f t="shared" ref="C681:C697" si="739">C680</f>
        <v>CH</v>
      </c>
      <c r="D681" t="s">
        <v>404</v>
      </c>
      <c r="E681" s="5" t="s">
        <v>8</v>
      </c>
      <c r="F681" s="1" cm="1">
        <f t="array" ref="F681">SUMPRODUCT(("SUP_ELCH2"=[1]OUT_SyntheticFuels!$C$4:$C$1000)*1,ISNUMBER(SEARCH("ELC",[1]OUT_SyntheticFuels!$A$4:$A$1000))*1,("Var_Fin"=[1]OUT_SyntheticFuels!$B$4:$B$1000)*1,[1]OUT_SyntheticFuels!E$4:E$1000)</f>
        <v>3.7283020889651475E-3</v>
      </c>
      <c r="G681" s="1" cm="1">
        <f t="array" ref="G681">SUMPRODUCT(("SUP_ELCH2"=[1]OUT_SyntheticFuels!$C$4:$C$1000)*1,ISNUMBER(SEARCH("ELC",[1]OUT_SyntheticFuels!$A$4:$A$1000))*1,("Var_Fin"=[1]OUT_SyntheticFuels!$B$4:$B$1000)*1,[1]OUT_SyntheticFuels!F$4:F$1000)</f>
        <v>3.7478591047755958E-3</v>
      </c>
      <c r="H681" s="1" cm="1">
        <f t="array" ref="H681">SUMPRODUCT(("SUP_ELCH2"=[1]OUT_SyntheticFuels!$C$4:$C$1000)*1,ISNUMBER(SEARCH("ELC",[1]OUT_SyntheticFuels!$A$4:$A$1000))*1,("Var_Fin"=[1]OUT_SyntheticFuels!$B$4:$B$1000)*1,[1]OUT_SyntheticFuels!G$4:G$1000)</f>
        <v>3.6757241178569161E-3</v>
      </c>
      <c r="I681" s="1" cm="1">
        <f t="array" ref="I681">SUMPRODUCT(("SUP_ELCH2"=[1]OUT_SyntheticFuels!$C$4:$C$1000)*1,ISNUMBER(SEARCH("ELC",[1]OUT_SyntheticFuels!$A$4:$A$1000))*1,("Var_Fin"=[1]OUT_SyntheticFuels!$B$4:$B$1000)*1,[1]OUT_SyntheticFuels!H$4:H$1000)</f>
        <v>3.5534973334629856E-3</v>
      </c>
      <c r="J681" s="1" cm="1">
        <f t="array" ref="J681">SUMPRODUCT(("SUP_ELCH2"=[2]OUT_SyntheticFuels!$C$4:$C$1000)*1,ISNUMBER(SEARCH("ELC",[2]OUT_SyntheticFuels!$A$4:$A$1000))*1,("Var_Fin"=[2]OUT_SyntheticFuels!$B$4:$B$1000)*1,[2]OUT_SyntheticFuels!I$4:I$1000)</f>
        <v>1.487482097976092E-2</v>
      </c>
      <c r="K681" s="1" cm="1">
        <f t="array" ref="K681">SUMPRODUCT(("SUP_ELCH2"=[2]OUT_SyntheticFuels!$C$4:$C$1000)*1,ISNUMBER(SEARCH("ELC",[2]OUT_SyntheticFuels!$A$4:$A$1000))*1,("Var_Fin"=[2]OUT_SyntheticFuels!$B$4:$B$1000)*1,[2]OUT_SyntheticFuels!J$4:J$1000)</f>
        <v>1.1693331499843064E-2</v>
      </c>
      <c r="L681" s="1" cm="1">
        <f t="array" ref="L681">SUMPRODUCT(("SUP_ELCH2"=[2]OUT_SyntheticFuels!$C$4:$C$1000)*1,ISNUMBER(SEARCH("ELC",[2]OUT_SyntheticFuels!$A$4:$A$1000))*1,("Var_Fin"=[2]OUT_SyntheticFuels!$B$4:$B$1000)*1,[2]OUT_SyntheticFuels!K$4:K$1000)</f>
        <v>0.13387947391592059</v>
      </c>
      <c r="N681" s="1"/>
    </row>
    <row r="682" spans="2:14" x14ac:dyDescent="0.35">
      <c r="B682" t="str">
        <f t="shared" ref="B682" si="740">B681</f>
        <v>SPS1</v>
      </c>
      <c r="C682" t="str">
        <f t="shared" ref="C682" si="741">C681</f>
        <v>CH</v>
      </c>
      <c r="D682" t="s">
        <v>405</v>
      </c>
      <c r="E682" s="5" t="s">
        <v>8</v>
      </c>
      <c r="F682" s="1" cm="1">
        <f t="array" ref="F682">SUMPRODUCT(("SUP_ELCH2_D"=[1]OUT_SyntheticFuels!$C$4:$C$1000)*1,ISNUMBER(SEARCH("ELC",[1]OUT_SyntheticFuels!$A$4:$A$1000))*1,("Var_Fin"=[1]OUT_SyntheticFuels!$B$4:$B$1000)*1,[1]OUT_SyntheticFuels!E$4:E$1000)</f>
        <v>0</v>
      </c>
      <c r="G682" s="1" cm="1">
        <f t="array" ref="G682">SUMPRODUCT(("SUP_ELCH2_D"=[1]OUT_SyntheticFuels!$C$4:$C$1000)*1,ISNUMBER(SEARCH("ELC",[1]OUT_SyntheticFuels!$A$4:$A$1000))*1,("Var_Fin"=[1]OUT_SyntheticFuels!$B$4:$B$1000)*1,[1]OUT_SyntheticFuels!F$4:F$1000)</f>
        <v>0</v>
      </c>
      <c r="H682" s="1" cm="1">
        <f t="array" ref="H682">SUMPRODUCT(("SUP_ELCH2_D"=[1]OUT_SyntheticFuels!$C$4:$C$1000)*1,ISNUMBER(SEARCH("ELC",[1]OUT_SyntheticFuels!$A$4:$A$1000))*1,("Var_Fin"=[1]OUT_SyntheticFuels!$B$4:$B$1000)*1,[1]OUT_SyntheticFuels!G$4:G$1000)</f>
        <v>0</v>
      </c>
      <c r="I682" s="1" cm="1">
        <f t="array" ref="I682">SUMPRODUCT(("SUP_ELCH2_D"=[1]OUT_SyntheticFuels!$C$4:$C$1000)*1,ISNUMBER(SEARCH("ELC",[1]OUT_SyntheticFuels!$A$4:$A$1000))*1,("Var_Fin"=[1]OUT_SyntheticFuels!$B$4:$B$1000)*1,[1]OUT_SyntheticFuels!H$4:H$1000)</f>
        <v>8.5043124650800131E-6</v>
      </c>
      <c r="J682" s="1" cm="1">
        <f t="array" ref="J682">SUMPRODUCT(("SUP_ELCH2_D"=[2]OUT_SyntheticFuels!$C$4:$C$1000)*1,ISNUMBER(SEARCH("ELC",[2]OUT_SyntheticFuels!$A$4:$A$1000))*1,("Var_Fin"=[2]OUT_SyntheticFuels!$B$4:$B$1000)*1,[2]OUT_SyntheticFuels!I$4:I$1000)</f>
        <v>3.5211852242328052E-5</v>
      </c>
      <c r="K682" s="1" cm="1">
        <f t="array" ref="K682">SUMPRODUCT(("SUP_ELCH2_D"=[2]OUT_SyntheticFuels!$C$4:$C$1000)*1,ISNUMBER(SEARCH("ELC",[2]OUT_SyntheticFuels!$A$4:$A$1000))*1,("Var_Fin"=[2]OUT_SyntheticFuels!$B$4:$B$1000)*1,[2]OUT_SyntheticFuels!J$4:J$1000)</f>
        <v>1.0533618496708645E-3</v>
      </c>
      <c r="L682" s="1" cm="1">
        <f t="array" ref="L682">SUMPRODUCT(("SUP_ELCH2_D"=[2]OUT_SyntheticFuels!$C$4:$C$1000)*1,ISNUMBER(SEARCH("ELC",[2]OUT_SyntheticFuels!$A$4:$A$1000))*1,("Var_Fin"=[2]OUT_SyntheticFuels!$B$4:$B$1000)*1,[2]OUT_SyntheticFuels!K$4:K$1000)</f>
        <v>1.055934118515046E-3</v>
      </c>
      <c r="N682" s="1"/>
    </row>
    <row r="683" spans="2:14" x14ac:dyDescent="0.35">
      <c r="B683" t="str">
        <f>B681</f>
        <v>SPS1</v>
      </c>
      <c r="C683" t="str">
        <f>C681</f>
        <v>CH</v>
      </c>
      <c r="D683" t="s">
        <v>396</v>
      </c>
      <c r="E683" s="5" t="s">
        <v>8</v>
      </c>
      <c r="F683" s="1" cm="1">
        <f t="array" ref="F683">SUMPRODUCT(("SUP_ELCH2_SOEC"=[1]OUT_SyntheticFuels!$C$4:$C$1000)*1,ISNUMBER(SEARCH("ELC",[1]OUT_SyntheticFuels!$A$4:$A$1000))*1,("Var_Fin"=[1]OUT_SyntheticFuels!$B$4:$B$1000)*1,[1]OUT_SyntheticFuels!E$4:E$1000)</f>
        <v>0</v>
      </c>
      <c r="G683" s="1" cm="1">
        <f t="array" ref="G683">SUMPRODUCT(("SUP_ELCH2_SOEC"=[1]OUT_SyntheticFuels!$C$4:$C$1000)*1,ISNUMBER(SEARCH("ELC",[1]OUT_SyntheticFuels!$A$4:$A$1000))*1,("Var_Fin"=[1]OUT_SyntheticFuels!$B$4:$B$1000)*1,[1]OUT_SyntheticFuels!F$4:F$1000)</f>
        <v>0</v>
      </c>
      <c r="H683" s="1" cm="1">
        <f t="array" ref="H683">SUMPRODUCT(("SUP_ELCH2_SOEC"=[1]OUT_SyntheticFuels!$C$4:$C$1000)*1,ISNUMBER(SEARCH("ELC",[1]OUT_SyntheticFuels!$A$4:$A$1000))*1,("Var_Fin"=[1]OUT_SyntheticFuels!$B$4:$B$1000)*1,[1]OUT_SyntheticFuels!G$4:G$1000)</f>
        <v>0</v>
      </c>
      <c r="I683" s="1" cm="1">
        <f t="array" ref="I683">SUMPRODUCT(("SUP_ELCH2_SOEC"=[1]OUT_SyntheticFuels!$C$4:$C$1000)*1,ISNUMBER(SEARCH("ELC",[1]OUT_SyntheticFuels!$A$4:$A$1000))*1,("Var_Fin"=[1]OUT_SyntheticFuels!$B$4:$B$1000)*1,[1]OUT_SyntheticFuels!H$4:H$1000)</f>
        <v>0</v>
      </c>
      <c r="J683" s="1" cm="1">
        <f t="array" ref="J683">SUMPRODUCT(("SUP_ELCH2_SOEC"=[2]OUT_SyntheticFuels!$C$4:$C$1000)*1,ISNUMBER(SEARCH("ELC",[2]OUT_SyntheticFuels!$A$4:$A$1000))*1,("Var_Fin"=[2]OUT_SyntheticFuels!$B$4:$B$1000)*1,[2]OUT_SyntheticFuels!I$4:I$1000)</f>
        <v>0</v>
      </c>
      <c r="K683" s="1" cm="1">
        <f t="array" ref="K683">SUMPRODUCT(("SUP_ELCH2_SOEC"=[2]OUT_SyntheticFuels!$C$4:$C$1000)*1,ISNUMBER(SEARCH("ELC",[2]OUT_SyntheticFuels!$A$4:$A$1000))*1,("Var_Fin"=[2]OUT_SyntheticFuels!$B$4:$B$1000)*1,[2]OUT_SyntheticFuels!J$4:J$1000)</f>
        <v>2.166965929950923E-3</v>
      </c>
      <c r="L683" s="1" cm="1">
        <f t="array" ref="L683">SUMPRODUCT(("SUP_ELCH2_SOEC"=[2]OUT_SyntheticFuels!$C$4:$C$1000)*1,ISNUMBER(SEARCH("ELC",[2]OUT_SyntheticFuels!$A$4:$A$1000))*1,("Var_Fin"=[2]OUT_SyntheticFuels!$B$4:$B$1000)*1,[2]OUT_SyntheticFuels!K$4:K$1000)</f>
        <v>1.7845624401252149E-3</v>
      </c>
      <c r="N683" s="1"/>
    </row>
    <row r="684" spans="2:14" x14ac:dyDescent="0.35">
      <c r="B684" t="str">
        <f t="shared" ref="B684:B685" si="742">B683</f>
        <v>SPS1</v>
      </c>
      <c r="C684" t="str">
        <f t="shared" ref="C684:C685" si="743">C683</f>
        <v>CH</v>
      </c>
      <c r="D684" t="s">
        <v>921</v>
      </c>
      <c r="E684" s="5" t="s">
        <v>8</v>
      </c>
      <c r="F684" s="1">
        <f>F685</f>
        <v>0</v>
      </c>
      <c r="G684" s="1">
        <f t="shared" ref="G684:L684" si="744">G685</f>
        <v>0</v>
      </c>
      <c r="H684" s="1">
        <f t="shared" si="744"/>
        <v>0</v>
      </c>
      <c r="I684" s="1">
        <f t="shared" si="744"/>
        <v>0</v>
      </c>
      <c r="J684" s="1">
        <f t="shared" si="744"/>
        <v>0</v>
      </c>
      <c r="K684" s="1">
        <f t="shared" si="744"/>
        <v>3.2379950677427656E-4</v>
      </c>
      <c r="L684" s="1">
        <f t="shared" si="744"/>
        <v>1.9828471556946809E-4</v>
      </c>
      <c r="N684" s="1"/>
    </row>
    <row r="685" spans="2:14" x14ac:dyDescent="0.35">
      <c r="B685" t="str">
        <f t="shared" si="742"/>
        <v>SPS1</v>
      </c>
      <c r="C685" t="str">
        <f t="shared" si="743"/>
        <v>CH</v>
      </c>
      <c r="D685" t="s">
        <v>401</v>
      </c>
      <c r="E685" s="5" t="s">
        <v>8</v>
      </c>
      <c r="F685" s="1" cm="1">
        <f t="array" ref="F685">SUMPRODUCT(("SUP_ELCH2_SOEC"=[1]OUT_SyntheticFuels!$C$4:$C$1000)*1,ISNUMBER(SEARCH("CHEAT",[1]OUT_SyntheticFuels!$A$4:$A$1000))*1,("Var_Fin"=[1]OUT_SyntheticFuels!$B$4:$B$1000)*1,[1]OUT_SyntheticFuels!E$4:E$1000)</f>
        <v>0</v>
      </c>
      <c r="G685" s="1" cm="1">
        <f t="array" ref="G685">SUMPRODUCT(("SUP_ELCH2_SOEC"=[1]OUT_SyntheticFuels!$C$4:$C$1000)*1,ISNUMBER(SEARCH("CHEAT",[1]OUT_SyntheticFuels!$A$4:$A$1000))*1,("Var_Fin"=[1]OUT_SyntheticFuels!$B$4:$B$1000)*1,[1]OUT_SyntheticFuels!F$4:F$1000)</f>
        <v>0</v>
      </c>
      <c r="H685" s="1" cm="1">
        <f t="array" ref="H685">SUMPRODUCT(("SUP_ELCH2_SOEC"=[1]OUT_SyntheticFuels!$C$4:$C$1000)*1,ISNUMBER(SEARCH("CHEAT",[1]OUT_SyntheticFuels!$A$4:$A$1000))*1,("Var_Fin"=[1]OUT_SyntheticFuels!$B$4:$B$1000)*1,[1]OUT_SyntheticFuels!G$4:G$1000)</f>
        <v>0</v>
      </c>
      <c r="I685" s="1" cm="1">
        <f t="array" ref="I685">SUMPRODUCT(("SUP_ELCH2_SOEC"=[1]OUT_SyntheticFuels!$C$4:$C$1000)*1,ISNUMBER(SEARCH("CHEAT",[1]OUT_SyntheticFuels!$A$4:$A$1000))*1,("Var_Fin"=[1]OUT_SyntheticFuels!$B$4:$B$1000)*1,[1]OUT_SyntheticFuels!H$4:H$1000)</f>
        <v>0</v>
      </c>
      <c r="J685" s="1" cm="1">
        <f t="array" ref="J685">SUMPRODUCT(("SUP_ELCH2_SOEC"=[2]OUT_SyntheticFuels!$C$4:$C$1000)*1,ISNUMBER(SEARCH("CHEAT",[2]OUT_SyntheticFuels!$A$4:$A$1000))*1,("Var_Fin"=[2]OUT_SyntheticFuels!$B$4:$B$1000)*1,[2]OUT_SyntheticFuels!I$4:I$1000)</f>
        <v>0</v>
      </c>
      <c r="K685" s="1" cm="1">
        <f t="array" ref="K685">SUMPRODUCT(("SUP_ELCH2_SOEC"=[2]OUT_SyntheticFuels!$C$4:$C$1000)*1,ISNUMBER(SEARCH("CHEAT",[2]OUT_SyntheticFuels!$A$4:$A$1000))*1,("Var_Fin"=[2]OUT_SyntheticFuels!$B$4:$B$1000)*1,[2]OUT_SyntheticFuels!J$4:J$1000)</f>
        <v>3.2379950677427656E-4</v>
      </c>
      <c r="L685" s="1" cm="1">
        <f t="array" ref="L685">SUMPRODUCT(("SUP_ELCH2_SOEC"=[2]OUT_SyntheticFuels!$C$4:$C$1000)*1,ISNUMBER(SEARCH("CHEAT",[2]OUT_SyntheticFuels!$A$4:$A$1000))*1,("Var_Fin"=[2]OUT_SyntheticFuels!$B$4:$B$1000)*1,[2]OUT_SyntheticFuels!K$4:K$1000)</f>
        <v>1.9828471556946809E-4</v>
      </c>
      <c r="N685" s="1"/>
    </row>
    <row r="686" spans="2:14" x14ac:dyDescent="0.35">
      <c r="B686" t="str">
        <f>B683</f>
        <v>SPS1</v>
      </c>
      <c r="C686" t="str">
        <f>C683</f>
        <v>CH</v>
      </c>
      <c r="D686" t="s">
        <v>922</v>
      </c>
      <c r="E686" s="5" t="s">
        <v>8</v>
      </c>
      <c r="F686" s="1">
        <f>SUM(F687:F688)</f>
        <v>0</v>
      </c>
      <c r="G686" s="1">
        <f t="shared" ref="G686:K686" si="745">SUM(G687:G688)</f>
        <v>0</v>
      </c>
      <c r="H686" s="1">
        <f t="shared" si="745"/>
        <v>0</v>
      </c>
      <c r="I686" s="1">
        <f t="shared" si="745"/>
        <v>0</v>
      </c>
      <c r="J686" s="1">
        <f t="shared" si="745"/>
        <v>0</v>
      </c>
      <c r="K686" s="1">
        <f t="shared" si="745"/>
        <v>0</v>
      </c>
      <c r="L686" s="1">
        <f t="shared" ref="L686" si="746">SUM(L687:L688)</f>
        <v>1.2947815393361359E-3</v>
      </c>
      <c r="N686" s="1"/>
    </row>
    <row r="687" spans="2:14" x14ac:dyDescent="0.35">
      <c r="B687" t="str">
        <f t="shared" si="738"/>
        <v>SPS1</v>
      </c>
      <c r="C687" t="str">
        <f t="shared" si="739"/>
        <v>CH</v>
      </c>
      <c r="D687" t="s">
        <v>397</v>
      </c>
      <c r="E687" s="5" t="s">
        <v>8</v>
      </c>
      <c r="F687" s="1" cm="1">
        <f t="array" ref="F687">SUMPRODUCT(("SUP_ngaH2"=[1]OUT_SyntheticFuels!$C$4:$C$1000)*1,ISNUMBER(SEARCH("nga",[1]OUT_SyntheticFuels!$A$4:$A$1000))*1,("Var_Fin"=[1]OUT_SyntheticFuels!$B$4:$B$1000)*1,[1]OUT_SyntheticFuels!E$4:E$1000)</f>
        <v>0</v>
      </c>
      <c r="G687" s="1" cm="1">
        <f t="array" ref="G687">SUMPRODUCT(("SUP_ngaH2"=[1]OUT_SyntheticFuels!$C$4:$C$1000)*1,ISNUMBER(SEARCH("nga",[1]OUT_SyntheticFuels!$A$4:$A$1000))*1,("Var_Fin"=[1]OUT_SyntheticFuels!$B$4:$B$1000)*1,[1]OUT_SyntheticFuels!F$4:F$1000)</f>
        <v>0</v>
      </c>
      <c r="H687" s="1" cm="1">
        <f t="array" ref="H687">SUMPRODUCT(("SUP_ngaH2"=[1]OUT_SyntheticFuels!$C$4:$C$1000)*1,ISNUMBER(SEARCH("nga",[1]OUT_SyntheticFuels!$A$4:$A$1000))*1,("Var_Fin"=[1]OUT_SyntheticFuels!$B$4:$B$1000)*1,[1]OUT_SyntheticFuels!G$4:G$1000)</f>
        <v>0</v>
      </c>
      <c r="I687" s="1" cm="1">
        <f t="array" ref="I687">SUMPRODUCT(("SUP_ngaH2"=[1]OUT_SyntheticFuels!$C$4:$C$1000)*1,ISNUMBER(SEARCH("nga",[1]OUT_SyntheticFuels!$A$4:$A$1000))*1,("Var_Fin"=[1]OUT_SyntheticFuels!$B$4:$B$1000)*1,[1]OUT_SyntheticFuels!H$4:H$1000)</f>
        <v>0</v>
      </c>
      <c r="J687" s="1" cm="1">
        <f t="array" ref="J687">SUMPRODUCT(("SUP_ngaH2"=[2]OUT_SyntheticFuels!$C$4:$C$1000)*1,ISNUMBER(SEARCH("nga",[2]OUT_SyntheticFuels!$A$4:$A$1000))*1,("Var_Fin"=[2]OUT_SyntheticFuels!$B$4:$B$1000)*1,[2]OUT_SyntheticFuels!I$4:I$1000)</f>
        <v>0</v>
      </c>
      <c r="K687" s="1" cm="1">
        <f t="array" ref="K687">SUMPRODUCT(("SUP_ngaH2"=[2]OUT_SyntheticFuels!$C$4:$C$1000)*1,ISNUMBER(SEARCH("nga",[2]OUT_SyntheticFuels!$A$4:$A$1000))*1,("Var_Fin"=[2]OUT_SyntheticFuels!$B$4:$B$1000)*1,[2]OUT_SyntheticFuels!J$4:J$1000)</f>
        <v>0</v>
      </c>
      <c r="L687" s="1" cm="1">
        <f t="array" ref="L687">SUMPRODUCT(("SUP_ngaH2"=[2]OUT_SyntheticFuels!$C$4:$C$1000)*1,ISNUMBER(SEARCH("nga",[2]OUT_SyntheticFuels!$A$4:$A$1000))*1,("Var_Fin"=[2]OUT_SyntheticFuels!$B$4:$B$1000)*1,[2]OUT_SyntheticFuels!K$4:K$1000)</f>
        <v>1.2947815393361359E-3</v>
      </c>
      <c r="N687" s="1"/>
    </row>
    <row r="688" spans="2:14" x14ac:dyDescent="0.35">
      <c r="B688" t="str">
        <f t="shared" si="738"/>
        <v>SPS1</v>
      </c>
      <c r="C688" t="str">
        <f t="shared" si="739"/>
        <v>CH</v>
      </c>
      <c r="D688" t="s">
        <v>398</v>
      </c>
      <c r="E688" s="5" t="s">
        <v>8</v>
      </c>
      <c r="F688" s="1" cm="1">
        <f t="array" ref="F688">SUMPRODUCT(("SUP_ngaH2ccs"=[1]OUT_SyntheticFuels!$C$4:$C$1000)*1,ISNUMBER(SEARCH("nga",[1]OUT_SyntheticFuels!$A$4:$A$1000))*1,("Var_Fin"=[1]OUT_SyntheticFuels!$B$4:$B$1000)*1,[1]OUT_SyntheticFuels!E$4:E$1000)</f>
        <v>0</v>
      </c>
      <c r="G688" s="1" cm="1">
        <f t="array" ref="G688">SUMPRODUCT(("SUP_ngaH2ccs"=[1]OUT_SyntheticFuels!$C$4:$C$1000)*1,ISNUMBER(SEARCH("nga",[1]OUT_SyntheticFuels!$A$4:$A$1000))*1,("Var_Fin"=[1]OUT_SyntheticFuels!$B$4:$B$1000)*1,[1]OUT_SyntheticFuels!F$4:F$1000)</f>
        <v>0</v>
      </c>
      <c r="H688" s="1" cm="1">
        <f t="array" ref="H688">SUMPRODUCT(("SUP_ngaH2ccs"=[1]OUT_SyntheticFuels!$C$4:$C$1000)*1,ISNUMBER(SEARCH("nga",[1]OUT_SyntheticFuels!$A$4:$A$1000))*1,("Var_Fin"=[1]OUT_SyntheticFuels!$B$4:$B$1000)*1,[1]OUT_SyntheticFuels!G$4:G$1000)</f>
        <v>0</v>
      </c>
      <c r="I688" s="1" cm="1">
        <f t="array" ref="I688">SUMPRODUCT(("SUP_ngaH2ccs"=[1]OUT_SyntheticFuels!$C$4:$C$1000)*1,ISNUMBER(SEARCH("nga",[1]OUT_SyntheticFuels!$A$4:$A$1000))*1,("Var_Fin"=[1]OUT_SyntheticFuels!$B$4:$B$1000)*1,[1]OUT_SyntheticFuels!H$4:H$1000)</f>
        <v>0</v>
      </c>
      <c r="J688" s="1" cm="1">
        <f t="array" ref="J688">SUMPRODUCT(("SUP_ngaH2ccs"=[2]OUT_SyntheticFuels!$C$4:$C$1000)*1,ISNUMBER(SEARCH("nga",[2]OUT_SyntheticFuels!$A$4:$A$1000))*1,("Var_Fin"=[2]OUT_SyntheticFuels!$B$4:$B$1000)*1,[2]OUT_SyntheticFuels!I$4:I$1000)</f>
        <v>0</v>
      </c>
      <c r="K688" s="1" cm="1">
        <f t="array" ref="K688">SUMPRODUCT(("SUP_ngaH2ccs"=[2]OUT_SyntheticFuels!$C$4:$C$1000)*1,ISNUMBER(SEARCH("nga",[2]OUT_SyntheticFuels!$A$4:$A$1000))*1,("Var_Fin"=[2]OUT_SyntheticFuels!$B$4:$B$1000)*1,[2]OUT_SyntheticFuels!J$4:J$1000)</f>
        <v>0</v>
      </c>
      <c r="L688" s="1" cm="1">
        <f t="array" ref="L688">SUMPRODUCT(("SUP_ngaH2ccs"=[2]OUT_SyntheticFuels!$C$4:$C$1000)*1,ISNUMBER(SEARCH("nga",[2]OUT_SyntheticFuels!$A$4:$A$1000))*1,("Var_Fin"=[2]OUT_SyntheticFuels!$B$4:$B$1000)*1,[2]OUT_SyntheticFuels!K$4:K$1000)</f>
        <v>0</v>
      </c>
      <c r="N688" s="1"/>
    </row>
    <row r="689" spans="2:14" x14ac:dyDescent="0.35">
      <c r="B689" t="str">
        <f t="shared" si="738"/>
        <v>SPS1</v>
      </c>
      <c r="C689" t="str">
        <f t="shared" si="739"/>
        <v>CH</v>
      </c>
      <c r="D689" t="s">
        <v>923</v>
      </c>
      <c r="E689" s="5" t="s">
        <v>8</v>
      </c>
      <c r="F689" s="1">
        <f>F686-F692</f>
        <v>0</v>
      </c>
      <c r="G689" s="1">
        <f t="shared" ref="G689:K689" si="747">G686-G692</f>
        <v>0</v>
      </c>
      <c r="H689" s="1">
        <f t="shared" si="747"/>
        <v>0</v>
      </c>
      <c r="I689" s="1">
        <f t="shared" si="747"/>
        <v>0</v>
      </c>
      <c r="J689" s="1">
        <f t="shared" si="747"/>
        <v>0</v>
      </c>
      <c r="K689" s="1">
        <f t="shared" si="747"/>
        <v>0</v>
      </c>
      <c r="L689" s="1">
        <f t="shared" ref="L689" si="748">L686-L692</f>
        <v>0</v>
      </c>
      <c r="N689" s="1"/>
    </row>
    <row r="690" spans="2:14" x14ac:dyDescent="0.35">
      <c r="B690" t="str">
        <f t="shared" si="738"/>
        <v>SPS1</v>
      </c>
      <c r="C690" t="str">
        <f t="shared" si="739"/>
        <v>CH</v>
      </c>
      <c r="D690" t="s">
        <v>609</v>
      </c>
      <c r="E690" s="5" t="s">
        <v>8</v>
      </c>
      <c r="F690" s="1">
        <f t="shared" ref="F690:K690" si="749">F687-F693</f>
        <v>0</v>
      </c>
      <c r="G690" s="1">
        <f t="shared" si="749"/>
        <v>0</v>
      </c>
      <c r="H690" s="1">
        <f t="shared" si="749"/>
        <v>0</v>
      </c>
      <c r="I690" s="1">
        <f t="shared" si="749"/>
        <v>0</v>
      </c>
      <c r="J690" s="1">
        <f t="shared" si="749"/>
        <v>0</v>
      </c>
      <c r="K690" s="1">
        <f t="shared" si="749"/>
        <v>0</v>
      </c>
      <c r="L690" s="1">
        <f t="shared" ref="L690" si="750">L687-L693</f>
        <v>0</v>
      </c>
      <c r="N690" s="1"/>
    </row>
    <row r="691" spans="2:14" x14ac:dyDescent="0.35">
      <c r="B691" t="str">
        <f t="shared" si="738"/>
        <v>SPS1</v>
      </c>
      <c r="C691" t="str">
        <f t="shared" si="739"/>
        <v>CH</v>
      </c>
      <c r="D691" t="s">
        <v>610</v>
      </c>
      <c r="E691" s="5" t="s">
        <v>8</v>
      </c>
      <c r="F691" s="1">
        <f t="shared" ref="F691:K691" si="751">F688-F694</f>
        <v>0</v>
      </c>
      <c r="G691" s="1">
        <f t="shared" si="751"/>
        <v>0</v>
      </c>
      <c r="H691" s="1">
        <f t="shared" si="751"/>
        <v>0</v>
      </c>
      <c r="I691" s="1">
        <f t="shared" si="751"/>
        <v>0</v>
      </c>
      <c r="J691" s="1">
        <f t="shared" si="751"/>
        <v>0</v>
      </c>
      <c r="K691" s="1">
        <f t="shared" si="751"/>
        <v>0</v>
      </c>
      <c r="L691" s="1">
        <f t="shared" ref="L691" si="752">L688-L694</f>
        <v>0</v>
      </c>
      <c r="N691" s="1"/>
    </row>
    <row r="692" spans="2:14" x14ac:dyDescent="0.35">
      <c r="B692" t="str">
        <f t="shared" si="738"/>
        <v>SPS1</v>
      </c>
      <c r="C692" t="str">
        <f t="shared" si="739"/>
        <v>CH</v>
      </c>
      <c r="D692" t="s">
        <v>924</v>
      </c>
      <c r="E692" s="5" t="s">
        <v>8</v>
      </c>
      <c r="F692" s="1">
        <f>SUM(F693:F694)</f>
        <v>0</v>
      </c>
      <c r="G692" s="1">
        <f t="shared" ref="G692:K692" si="753">SUM(G693:G694)</f>
        <v>0</v>
      </c>
      <c r="H692" s="1">
        <f t="shared" si="753"/>
        <v>0</v>
      </c>
      <c r="I692" s="1">
        <f t="shared" si="753"/>
        <v>0</v>
      </c>
      <c r="J692" s="1">
        <f t="shared" si="753"/>
        <v>0</v>
      </c>
      <c r="K692" s="1">
        <f t="shared" si="753"/>
        <v>0</v>
      </c>
      <c r="L692" s="1">
        <f t="shared" ref="L692" si="754">SUM(L693:L694)</f>
        <v>1.2947815393361359E-3</v>
      </c>
      <c r="N692" s="1"/>
    </row>
    <row r="693" spans="2:14" x14ac:dyDescent="0.35">
      <c r="B693" t="str">
        <f t="shared" si="738"/>
        <v>SPS1</v>
      </c>
      <c r="C693" t="str">
        <f t="shared" si="739"/>
        <v>CH</v>
      </c>
      <c r="D693" t="s">
        <v>670</v>
      </c>
      <c r="E693" s="5" t="s">
        <v>8</v>
      </c>
      <c r="F693" s="1">
        <f>IFERROR(F674/F668,0)*F687</f>
        <v>0</v>
      </c>
      <c r="G693" s="1">
        <f t="shared" ref="G693:K694" si="755">IFERROR(G674/G668,0)*G687</f>
        <v>0</v>
      </c>
      <c r="H693" s="1">
        <f t="shared" si="755"/>
        <v>0</v>
      </c>
      <c r="I693" s="1">
        <f t="shared" si="755"/>
        <v>0</v>
      </c>
      <c r="J693" s="1">
        <f t="shared" si="755"/>
        <v>0</v>
      </c>
      <c r="K693" s="1">
        <f t="shared" si="755"/>
        <v>0</v>
      </c>
      <c r="L693" s="1">
        <f t="shared" ref="L693" si="756">IFERROR(L674/L668,0)*L687</f>
        <v>1.2947815393361359E-3</v>
      </c>
      <c r="N693" s="1"/>
    </row>
    <row r="694" spans="2:14" x14ac:dyDescent="0.35">
      <c r="B694" t="str">
        <f t="shared" si="738"/>
        <v>SPS1</v>
      </c>
      <c r="C694" t="str">
        <f t="shared" si="739"/>
        <v>CH</v>
      </c>
      <c r="D694" t="s">
        <v>671</v>
      </c>
      <c r="E694" s="5" t="s">
        <v>8</v>
      </c>
      <c r="F694" s="1">
        <f>IFERROR(F675/F669,0)*F688</f>
        <v>0</v>
      </c>
      <c r="G694" s="1">
        <f t="shared" si="755"/>
        <v>0</v>
      </c>
      <c r="H694" s="1">
        <f t="shared" si="755"/>
        <v>0</v>
      </c>
      <c r="I694" s="1">
        <f t="shared" si="755"/>
        <v>0</v>
      </c>
      <c r="J694" s="1">
        <f t="shared" si="755"/>
        <v>0</v>
      </c>
      <c r="K694" s="1">
        <f t="shared" si="755"/>
        <v>0</v>
      </c>
      <c r="L694" s="1">
        <f t="shared" ref="L694" si="757">IFERROR(L675/L669,0)*L688</f>
        <v>0</v>
      </c>
      <c r="N694" s="1"/>
    </row>
    <row r="695" spans="2:14" x14ac:dyDescent="0.35">
      <c r="B695" t="str">
        <f t="shared" si="738"/>
        <v>SPS1</v>
      </c>
      <c r="C695" t="str">
        <f t="shared" si="739"/>
        <v>CH</v>
      </c>
      <c r="D695" t="s">
        <v>925</v>
      </c>
      <c r="E695" s="5" t="s">
        <v>8</v>
      </c>
      <c r="F695" s="1">
        <f>SUM(F696:F697)</f>
        <v>0</v>
      </c>
      <c r="G695" s="1">
        <f t="shared" ref="G695:K695" si="758">SUM(G696:G697)</f>
        <v>0</v>
      </c>
      <c r="H695" s="1">
        <f t="shared" si="758"/>
        <v>0</v>
      </c>
      <c r="I695" s="1">
        <f t="shared" si="758"/>
        <v>0</v>
      </c>
      <c r="J695" s="1">
        <f t="shared" si="758"/>
        <v>0</v>
      </c>
      <c r="K695" s="1">
        <f t="shared" si="758"/>
        <v>0</v>
      </c>
      <c r="L695" s="1">
        <f t="shared" ref="L695" si="759">SUM(L696:L697)</f>
        <v>0</v>
      </c>
      <c r="N695" s="1"/>
    </row>
    <row r="696" spans="2:14" x14ac:dyDescent="0.35">
      <c r="B696" t="str">
        <f t="shared" si="738"/>
        <v>SPS1</v>
      </c>
      <c r="C696" t="str">
        <f t="shared" si="739"/>
        <v>CH</v>
      </c>
      <c r="D696" t="s">
        <v>399</v>
      </c>
      <c r="E696" s="5" t="s">
        <v>8</v>
      </c>
      <c r="F696" s="1" cm="1">
        <f t="array" ref="F696">SUMPRODUCT(("SUP_wodH2"=[1]OUT_SyntheticFuels!$C$4:$C$1000)*1,ISNUMBER(SEARCH("wod",[1]OUT_SyntheticFuels!$A$4:$A$1000))*1,("Var_Fin"=[1]OUT_SyntheticFuels!$B$4:$B$1000)*1,[1]OUT_SyntheticFuels!E$4:E$1000)</f>
        <v>0</v>
      </c>
      <c r="G696" s="1" cm="1">
        <f t="array" ref="G696">SUMPRODUCT(("SUP_wodH2"=[1]OUT_SyntheticFuels!$C$4:$C$1000)*1,ISNUMBER(SEARCH("wod",[1]OUT_SyntheticFuels!$A$4:$A$1000))*1,("Var_Fin"=[1]OUT_SyntheticFuels!$B$4:$B$1000)*1,[1]OUT_SyntheticFuels!F$4:F$1000)</f>
        <v>0</v>
      </c>
      <c r="H696" s="1" cm="1">
        <f t="array" ref="H696">SUMPRODUCT(("SUP_wodH2"=[1]OUT_SyntheticFuels!$C$4:$C$1000)*1,ISNUMBER(SEARCH("wod",[1]OUT_SyntheticFuels!$A$4:$A$1000))*1,("Var_Fin"=[1]OUT_SyntheticFuels!$B$4:$B$1000)*1,[1]OUT_SyntheticFuels!G$4:G$1000)</f>
        <v>0</v>
      </c>
      <c r="I696" s="1" cm="1">
        <f t="array" ref="I696">SUMPRODUCT(("SUP_wodH2"=[1]OUT_SyntheticFuels!$C$4:$C$1000)*1,ISNUMBER(SEARCH("wod",[1]OUT_SyntheticFuels!$A$4:$A$1000))*1,("Var_Fin"=[1]OUT_SyntheticFuels!$B$4:$B$1000)*1,[1]OUT_SyntheticFuels!H$4:H$1000)</f>
        <v>0</v>
      </c>
      <c r="J696" s="1" cm="1">
        <f t="array" ref="J696">SUMPRODUCT(("SUP_wodH2"=[2]OUT_SyntheticFuels!$C$4:$C$1000)*1,ISNUMBER(SEARCH("wod",[2]OUT_SyntheticFuels!$A$4:$A$1000))*1,("Var_Fin"=[2]OUT_SyntheticFuels!$B$4:$B$1000)*1,[2]OUT_SyntheticFuels!I$4:I$1000)</f>
        <v>0</v>
      </c>
      <c r="K696" s="1" cm="1">
        <f t="array" ref="K696">SUMPRODUCT(("SUP_wodH2"=[2]OUT_SyntheticFuels!$C$4:$C$1000)*1,ISNUMBER(SEARCH("wod",[2]OUT_SyntheticFuels!$A$4:$A$1000))*1,("Var_Fin"=[2]OUT_SyntheticFuels!$B$4:$B$1000)*1,[2]OUT_SyntheticFuels!J$4:J$1000)</f>
        <v>0</v>
      </c>
      <c r="L696" s="1" cm="1">
        <f t="array" ref="L696">SUMPRODUCT(("SUP_wodH2"=[2]OUT_SyntheticFuels!$C$4:$C$1000)*1,ISNUMBER(SEARCH("wod",[2]OUT_SyntheticFuels!$A$4:$A$1000))*1,("Var_Fin"=[2]OUT_SyntheticFuels!$B$4:$B$1000)*1,[2]OUT_SyntheticFuels!K$4:K$1000)</f>
        <v>0</v>
      </c>
      <c r="N696" s="1"/>
    </row>
    <row r="697" spans="2:14" x14ac:dyDescent="0.35">
      <c r="B697" t="str">
        <f t="shared" si="738"/>
        <v>SPS1</v>
      </c>
      <c r="C697" t="str">
        <f t="shared" si="739"/>
        <v>CH</v>
      </c>
      <c r="D697" t="s">
        <v>400</v>
      </c>
      <c r="E697" s="5" t="s">
        <v>8</v>
      </c>
      <c r="F697" s="1" cm="1">
        <f t="array" ref="F697">SUMPRODUCT(("SUP_wodH2ccs"=[1]OUT_SyntheticFuels!$C$4:$C$1000)*1,ISNUMBER(SEARCH("wod",[1]OUT_SyntheticFuels!$A$4:$A$1000))*1,("Var_Fin"=[1]OUT_SyntheticFuels!$B$4:$B$1000)*1,[1]OUT_SyntheticFuels!E$4:E$1000)</f>
        <v>0</v>
      </c>
      <c r="G697" s="1" cm="1">
        <f t="array" ref="G697">SUMPRODUCT(("SUP_wodH2ccs"=[1]OUT_SyntheticFuels!$C$4:$C$1000)*1,ISNUMBER(SEARCH("wod",[1]OUT_SyntheticFuels!$A$4:$A$1000))*1,("Var_Fin"=[1]OUT_SyntheticFuels!$B$4:$B$1000)*1,[1]OUT_SyntheticFuels!F$4:F$1000)</f>
        <v>0</v>
      </c>
      <c r="H697" s="1" cm="1">
        <f t="array" ref="H697">SUMPRODUCT(("SUP_wodH2ccs"=[1]OUT_SyntheticFuels!$C$4:$C$1000)*1,ISNUMBER(SEARCH("wod",[1]OUT_SyntheticFuels!$A$4:$A$1000))*1,("Var_Fin"=[1]OUT_SyntheticFuels!$B$4:$B$1000)*1,[1]OUT_SyntheticFuels!G$4:G$1000)</f>
        <v>0</v>
      </c>
      <c r="I697" s="1" cm="1">
        <f t="array" ref="I697">SUMPRODUCT(("SUP_wodH2ccs"=[1]OUT_SyntheticFuels!$C$4:$C$1000)*1,ISNUMBER(SEARCH("wod",[1]OUT_SyntheticFuels!$A$4:$A$1000))*1,("Var_Fin"=[1]OUT_SyntheticFuels!$B$4:$B$1000)*1,[1]OUT_SyntheticFuels!H$4:H$1000)</f>
        <v>0</v>
      </c>
      <c r="J697" s="1" cm="1">
        <f t="array" ref="J697">SUMPRODUCT(("SUP_wodH2ccs"=[2]OUT_SyntheticFuels!$C$4:$C$1000)*1,ISNUMBER(SEARCH("wod",[2]OUT_SyntheticFuels!$A$4:$A$1000))*1,("Var_Fin"=[2]OUT_SyntheticFuels!$B$4:$B$1000)*1,[2]OUT_SyntheticFuels!I$4:I$1000)</f>
        <v>0</v>
      </c>
      <c r="K697" s="1" cm="1">
        <f t="array" ref="K697">SUMPRODUCT(("SUP_wodH2ccs"=[2]OUT_SyntheticFuels!$C$4:$C$1000)*1,ISNUMBER(SEARCH("wod",[2]OUT_SyntheticFuels!$A$4:$A$1000))*1,("Var_Fin"=[2]OUT_SyntheticFuels!$B$4:$B$1000)*1,[2]OUT_SyntheticFuels!J$4:J$1000)</f>
        <v>0</v>
      </c>
      <c r="L697" s="1" cm="1">
        <f t="array" ref="L697">SUMPRODUCT(("SUP_wodH2ccs"=[2]OUT_SyntheticFuels!$C$4:$C$1000)*1,ISNUMBER(SEARCH("wod",[2]OUT_SyntheticFuels!$A$4:$A$1000))*1,("Var_Fin"=[2]OUT_SyntheticFuels!$B$4:$B$1000)*1,[2]OUT_SyntheticFuels!K$4:K$1000)</f>
        <v>0</v>
      </c>
      <c r="N697" s="1"/>
    </row>
    <row r="698" spans="2:14" x14ac:dyDescent="0.35">
      <c r="B698" s="9" t="s">
        <v>6</v>
      </c>
      <c r="C698" s="9" t="s">
        <v>7</v>
      </c>
      <c r="D698" s="2" t="s">
        <v>408</v>
      </c>
      <c r="E698" s="9" t="s">
        <v>240</v>
      </c>
      <c r="F698" s="4" t="s">
        <v>292</v>
      </c>
      <c r="G698" s="4" t="s">
        <v>292</v>
      </c>
      <c r="H698" s="4" t="s">
        <v>292</v>
      </c>
      <c r="I698" s="4" t="s">
        <v>292</v>
      </c>
      <c r="J698" s="4" t="s">
        <v>292</v>
      </c>
      <c r="K698" s="4" t="s">
        <v>292</v>
      </c>
      <c r="L698" s="4" t="s">
        <v>292</v>
      </c>
      <c r="N698" s="1"/>
    </row>
    <row r="699" spans="2:14" x14ac:dyDescent="0.35">
      <c r="B699" t="str">
        <f>B698</f>
        <v>SPS1</v>
      </c>
      <c r="C699" t="str">
        <f t="shared" ref="C699:C705" si="760">C698</f>
        <v>CH</v>
      </c>
      <c r="D699" t="s">
        <v>409</v>
      </c>
      <c r="E699" s="5" t="s">
        <v>240</v>
      </c>
      <c r="F699" s="4">
        <f>IFERROR(F664/F681,"-")</f>
        <v>0.68500000000000016</v>
      </c>
      <c r="G699" s="4">
        <f t="shared" ref="G699:K699" si="761">IFERROR(G664/G681,"-")</f>
        <v>0.69399999999999984</v>
      </c>
      <c r="H699" s="4">
        <f t="shared" si="761"/>
        <v>0.70750000000000035</v>
      </c>
      <c r="I699" s="4">
        <f t="shared" si="761"/>
        <v>0.72999999999999965</v>
      </c>
      <c r="J699" s="4">
        <f t="shared" si="761"/>
        <v>0.75249999999999972</v>
      </c>
      <c r="K699" s="4">
        <f t="shared" si="761"/>
        <v>0.77500000000000024</v>
      </c>
      <c r="L699" s="4">
        <f t="shared" ref="L699" si="762">IFERROR(L664/L681,"-")</f>
        <v>0.81999999999999962</v>
      </c>
      <c r="N699" s="1"/>
    </row>
    <row r="700" spans="2:14" x14ac:dyDescent="0.35">
      <c r="B700" t="str">
        <f t="shared" ref="B700:B705" si="763">B699</f>
        <v>SPS1</v>
      </c>
      <c r="C700" t="str">
        <f t="shared" si="760"/>
        <v>CH</v>
      </c>
      <c r="D700" t="s">
        <v>410</v>
      </c>
      <c r="E700" s="5" t="s">
        <v>240</v>
      </c>
      <c r="F700" s="4" t="str">
        <f>IFERROR(F665/F682,"-")</f>
        <v>-</v>
      </c>
      <c r="G700" s="4" t="str">
        <f t="shared" ref="G700:K700" si="764">IFERROR(G665/G682,"-")</f>
        <v>-</v>
      </c>
      <c r="H700" s="4" t="str">
        <f t="shared" si="764"/>
        <v>-</v>
      </c>
      <c r="I700" s="4">
        <f t="shared" si="764"/>
        <v>0.73</v>
      </c>
      <c r="J700" s="4">
        <f t="shared" si="764"/>
        <v>0.75250000000000028</v>
      </c>
      <c r="K700" s="4">
        <f t="shared" si="764"/>
        <v>0.77500000000000069</v>
      </c>
      <c r="L700" s="4">
        <f t="shared" ref="L700" si="765">IFERROR(L665/L682,"-")</f>
        <v>0.82</v>
      </c>
      <c r="N700" s="1"/>
    </row>
    <row r="701" spans="2:14" x14ac:dyDescent="0.35">
      <c r="B701" t="str">
        <f t="shared" si="763"/>
        <v>SPS1</v>
      </c>
      <c r="C701" t="str">
        <f t="shared" si="760"/>
        <v>CH</v>
      </c>
      <c r="D701" t="s">
        <v>411</v>
      </c>
      <c r="E701" s="5" t="s">
        <v>240</v>
      </c>
      <c r="F701" s="4" t="str">
        <f>IFERROR(F666/SUM(F683,F685),"-")</f>
        <v>-</v>
      </c>
      <c r="G701" s="4" t="str">
        <f t="shared" ref="G701:K701" si="766">IFERROR(G666/SUM(G683,G685),"-")</f>
        <v>-</v>
      </c>
      <c r="H701" s="4" t="str">
        <f t="shared" si="766"/>
        <v>-</v>
      </c>
      <c r="I701" s="4" t="str">
        <f t="shared" si="766"/>
        <v>-</v>
      </c>
      <c r="J701" s="4" t="str">
        <f t="shared" si="766"/>
        <v>-</v>
      </c>
      <c r="K701" s="4">
        <f t="shared" si="766"/>
        <v>0.86999999999999966</v>
      </c>
      <c r="L701" s="4">
        <f t="shared" ref="L701" si="767">IFERROR(L666/SUM(L683,L685),"-")</f>
        <v>0.9</v>
      </c>
      <c r="N701" s="1"/>
    </row>
    <row r="702" spans="2:14" x14ac:dyDescent="0.35">
      <c r="B702" t="str">
        <f t="shared" si="763"/>
        <v>SPS1</v>
      </c>
      <c r="C702" t="str">
        <f t="shared" si="760"/>
        <v>CH</v>
      </c>
      <c r="D702" t="s">
        <v>412</v>
      </c>
      <c r="E702" s="5" t="s">
        <v>240</v>
      </c>
      <c r="F702" s="4" t="str">
        <f>IFERROR(F668/F687,"-")</f>
        <v>-</v>
      </c>
      <c r="G702" s="4" t="str">
        <f t="shared" ref="G702:K703" si="768">IFERROR(G668/G687,"-")</f>
        <v>-</v>
      </c>
      <c r="H702" s="4" t="str">
        <f t="shared" si="768"/>
        <v>-</v>
      </c>
      <c r="I702" s="4" t="str">
        <f t="shared" si="768"/>
        <v>-</v>
      </c>
      <c r="J702" s="4" t="str">
        <f t="shared" si="768"/>
        <v>-</v>
      </c>
      <c r="K702" s="4" t="str">
        <f t="shared" si="768"/>
        <v>-</v>
      </c>
      <c r="L702" s="4">
        <f t="shared" ref="L702" si="769">IFERROR(L668/L687,"-")</f>
        <v>0.75999999999999857</v>
      </c>
      <c r="N702" s="1"/>
    </row>
    <row r="703" spans="2:14" x14ac:dyDescent="0.35">
      <c r="B703" t="str">
        <f t="shared" si="763"/>
        <v>SPS1</v>
      </c>
      <c r="C703" t="str">
        <f t="shared" si="760"/>
        <v>CH</v>
      </c>
      <c r="D703" t="s">
        <v>413</v>
      </c>
      <c r="E703" s="5" t="s">
        <v>240</v>
      </c>
      <c r="F703" s="4" t="str">
        <f>IFERROR(F669/F688,"-")</f>
        <v>-</v>
      </c>
      <c r="G703" s="4" t="str">
        <f t="shared" si="768"/>
        <v>-</v>
      </c>
      <c r="H703" s="4" t="str">
        <f t="shared" si="768"/>
        <v>-</v>
      </c>
      <c r="I703" s="4" t="str">
        <f t="shared" si="768"/>
        <v>-</v>
      </c>
      <c r="J703" s="4" t="str">
        <f t="shared" si="768"/>
        <v>-</v>
      </c>
      <c r="K703" s="4" t="str">
        <f t="shared" si="768"/>
        <v>-</v>
      </c>
      <c r="L703" s="4" t="str">
        <f t="shared" ref="L703" si="770">IFERROR(L669/L688,"-")</f>
        <v>-</v>
      </c>
      <c r="N703" s="1"/>
    </row>
    <row r="704" spans="2:14" x14ac:dyDescent="0.35">
      <c r="B704" t="str">
        <f>B703</f>
        <v>SPS1</v>
      </c>
      <c r="C704" t="str">
        <f>C703</f>
        <v>CH</v>
      </c>
      <c r="D704" t="s">
        <v>414</v>
      </c>
      <c r="E704" s="5" t="s">
        <v>240</v>
      </c>
      <c r="F704" s="4" t="str">
        <f>IFERROR(F677/F696,"-")</f>
        <v>-</v>
      </c>
      <c r="G704" s="4" t="str">
        <f t="shared" ref="G704:K705" si="771">IFERROR(G677/G696,"-")</f>
        <v>-</v>
      </c>
      <c r="H704" s="4" t="str">
        <f t="shared" si="771"/>
        <v>-</v>
      </c>
      <c r="I704" s="4" t="str">
        <f t="shared" si="771"/>
        <v>-</v>
      </c>
      <c r="J704" s="4" t="str">
        <f t="shared" si="771"/>
        <v>-</v>
      </c>
      <c r="K704" s="4" t="str">
        <f t="shared" si="771"/>
        <v>-</v>
      </c>
      <c r="L704" s="4" t="str">
        <f t="shared" ref="L704" si="772">IFERROR(L677/L696,"-")</f>
        <v>-</v>
      </c>
      <c r="N704" s="1"/>
    </row>
    <row r="705" spans="2:14" x14ac:dyDescent="0.35">
      <c r="B705" t="str">
        <f t="shared" si="763"/>
        <v>SPS1</v>
      </c>
      <c r="C705" t="str">
        <f t="shared" si="760"/>
        <v>CH</v>
      </c>
      <c r="D705" t="s">
        <v>415</v>
      </c>
      <c r="E705" s="5" t="s">
        <v>240</v>
      </c>
      <c r="F705" s="4" t="str">
        <f>IFERROR(F678/F697,"-")</f>
        <v>-</v>
      </c>
      <c r="G705" s="4" t="str">
        <f t="shared" si="771"/>
        <v>-</v>
      </c>
      <c r="H705" s="4" t="str">
        <f t="shared" si="771"/>
        <v>-</v>
      </c>
      <c r="I705" s="4" t="str">
        <f t="shared" si="771"/>
        <v>-</v>
      </c>
      <c r="J705" s="4" t="str">
        <f t="shared" si="771"/>
        <v>-</v>
      </c>
      <c r="K705" s="4" t="str">
        <f t="shared" si="771"/>
        <v>-</v>
      </c>
      <c r="L705" s="4" t="str">
        <f t="shared" ref="L705" si="773">IFERROR(L678/L697,"-")</f>
        <v>-</v>
      </c>
      <c r="N705" s="1"/>
    </row>
    <row r="706" spans="2:14" x14ac:dyDescent="0.35">
      <c r="B706" s="9" t="s">
        <v>6</v>
      </c>
      <c r="C706" s="9" t="s">
        <v>7</v>
      </c>
      <c r="D706" s="2" t="s">
        <v>424</v>
      </c>
      <c r="E706" s="9" t="s">
        <v>8</v>
      </c>
      <c r="F706" s="1">
        <f>[1]Other_transformation!B$39</f>
        <v>1.1764723346029966</v>
      </c>
      <c r="G706" s="1">
        <f>[1]Other_transformation!C$39</f>
        <v>4.2636163528457924</v>
      </c>
      <c r="H706" s="1">
        <f>[1]Other_transformation!D$39</f>
        <v>4.1150915266737194</v>
      </c>
      <c r="I706" s="1">
        <f>[1]Other_transformation!E$39</f>
        <v>4.11505686983645</v>
      </c>
      <c r="J706" s="1">
        <f>[2]Other_transformation!F$39</f>
        <v>3.2086591139646741</v>
      </c>
      <c r="K706" s="1">
        <f>[2]Other_transformation!G$39</f>
        <v>3.1730469221523037</v>
      </c>
      <c r="L706" s="1">
        <f>[2]Other_transformation!H$39</f>
        <v>3.17424882122666</v>
      </c>
      <c r="N706" s="1"/>
    </row>
    <row r="707" spans="2:14" x14ac:dyDescent="0.35">
      <c r="B707" s="9" t="s">
        <v>6</v>
      </c>
      <c r="C707" s="9" t="s">
        <v>7</v>
      </c>
      <c r="D707" s="2" t="s">
        <v>425</v>
      </c>
      <c r="E707" s="9" t="s">
        <v>8</v>
      </c>
      <c r="F707" s="1">
        <f>[1]Other_transformation!B$38</f>
        <v>1.2890720728256426</v>
      </c>
      <c r="G707" s="1">
        <f>[1]Other_transformation!C$38</f>
        <v>4.6716855195331997</v>
      </c>
      <c r="H707" s="1">
        <f>[1]Other_transformation!D$38</f>
        <v>4.5089454363978714</v>
      </c>
      <c r="I707" s="1">
        <f>[1]Other_transformation!E$38</f>
        <v>4.5089074625673478</v>
      </c>
      <c r="J707" s="1">
        <f>[2]Other_transformation!F$38</f>
        <v>3.5157587079385992</v>
      </c>
      <c r="K707" s="1">
        <f>[2]Other_transformation!G$38</f>
        <v>3.4767380862314776</v>
      </c>
      <c r="L707" s="1">
        <f>[2]Other_transformation!H$38</f>
        <v>3.4780550186280514</v>
      </c>
      <c r="N707" s="1"/>
    </row>
    <row r="708" spans="2:14" x14ac:dyDescent="0.35">
      <c r="B708" s="9" t="s">
        <v>6</v>
      </c>
      <c r="C708" s="9" t="s">
        <v>7</v>
      </c>
      <c r="D708" s="2" t="s">
        <v>426</v>
      </c>
      <c r="E708" s="9" t="s">
        <v>8</v>
      </c>
      <c r="F708" s="14">
        <f t="shared" ref="F708:K708" si="774">F706/F707</f>
        <v>0.91265054871925999</v>
      </c>
      <c r="G708" s="14">
        <f t="shared" si="774"/>
        <v>0.91265054871925921</v>
      </c>
      <c r="H708" s="14">
        <f t="shared" si="774"/>
        <v>0.91265054871925977</v>
      </c>
      <c r="I708" s="14">
        <f t="shared" si="774"/>
        <v>0.91265054871925866</v>
      </c>
      <c r="J708" s="14">
        <f t="shared" si="774"/>
        <v>0.91265054871925855</v>
      </c>
      <c r="K708" s="14">
        <f t="shared" si="774"/>
        <v>0.91265054871925877</v>
      </c>
      <c r="L708" s="14">
        <f t="shared" ref="L708" si="775">L706/L707</f>
        <v>0.91265054871925788</v>
      </c>
      <c r="N708" s="1"/>
    </row>
    <row r="709" spans="2:14" x14ac:dyDescent="0.35">
      <c r="B709" s="9" t="s">
        <v>6</v>
      </c>
      <c r="C709" s="9" t="s">
        <v>6</v>
      </c>
      <c r="D709" s="2" t="s">
        <v>474</v>
      </c>
      <c r="E709" s="9" t="s">
        <v>8</v>
      </c>
      <c r="F709" s="17" cm="1">
        <f t="array" ref="F709">SUMPRODUCT(("CT_CWODPLT"=[1]OUT_SyntheticFuels!$C$4:$C$1000)*1,("Var_Fout"=[1]OUT_SyntheticFuels!$B$4:$B$1000)*1,[1]OUT_SyntheticFuels!E$4:E$1000)</f>
        <v>5.9796379797159913</v>
      </c>
      <c r="G709" s="17" cm="1">
        <f t="array" ref="G709">SUMPRODUCT(("CT_CWODPLT"=[1]OUT_SyntheticFuels!$C$4:$C$1000)*1,("Var_Fout"=[1]OUT_SyntheticFuels!$B$4:$B$1000)*1,[1]OUT_SyntheticFuels!F$4:F$1000)</f>
        <v>6.9696530325077957</v>
      </c>
      <c r="H709" s="17" cm="1">
        <f t="array" ref="H709">SUMPRODUCT(("CT_CWODPLT"=[1]OUT_SyntheticFuels!$C$4:$C$1000)*1,("Var_Fout"=[1]OUT_SyntheticFuels!$B$4:$B$1000)*1,[1]OUT_SyntheticFuels!G$4:G$1000)</f>
        <v>2.0141212989807236</v>
      </c>
      <c r="I709" s="17" cm="1">
        <f t="array" ref="I709">SUMPRODUCT(("CT_CWODPLT"=[1]OUT_SyntheticFuels!$C$4:$C$1000)*1,("Var_Fout"=[1]OUT_SyntheticFuels!$B$4:$B$1000)*1,[1]OUT_SyntheticFuels!H$4:H$1000)</f>
        <v>2.8190967932234341</v>
      </c>
      <c r="J709" s="17" cm="1">
        <f t="array" ref="J709">SUMPRODUCT(("CT_CWODPLT"=[2]OUT_SyntheticFuels!$C$4:$C$1000)*1,("Var_Fout"=[2]OUT_SyntheticFuels!$B$4:$B$1000)*1,[2]OUT_SyntheticFuels!I$4:I$1000)</f>
        <v>3.5146190719563051</v>
      </c>
      <c r="K709" s="17" cm="1">
        <f t="array" ref="K709">SUMPRODUCT(("CT_CWODPLT"=[2]OUT_SyntheticFuels!$C$4:$C$1000)*1,("Var_Fout"=[2]OUT_SyntheticFuels!$B$4:$B$1000)*1,[2]OUT_SyntheticFuels!J$4:J$1000)</f>
        <v>3.8983493447285316</v>
      </c>
      <c r="L709" s="17" cm="1">
        <f t="array" ref="L709">SUMPRODUCT(("CT_CWODPLT"=[2]OUT_SyntheticFuels!$C$4:$C$1000)*1,("Var_Fout"=[2]OUT_SyntheticFuels!$B$4:$B$1000)*1,[2]OUT_SyntheticFuels!K$4:K$1000)</f>
        <v>4.6940452760456379</v>
      </c>
      <c r="N709" s="1"/>
    </row>
    <row r="710" spans="2:14" x14ac:dyDescent="0.35">
      <c r="B710" s="5" t="str">
        <f>B709</f>
        <v>SPS1</v>
      </c>
      <c r="C710" s="5" t="str">
        <f>C709</f>
        <v>SPS1</v>
      </c>
      <c r="D710" t="s">
        <v>491</v>
      </c>
      <c r="E710" s="5" t="s">
        <v>8</v>
      </c>
      <c r="F710" s="18">
        <f>F709</f>
        <v>5.9796379797159913</v>
      </c>
      <c r="G710" s="18">
        <f t="shared" ref="G710:K710" si="776">G709</f>
        <v>6.9696530325077957</v>
      </c>
      <c r="H710" s="18">
        <f t="shared" si="776"/>
        <v>2.0141212989807236</v>
      </c>
      <c r="I710" s="18">
        <f t="shared" si="776"/>
        <v>2.8190967932234341</v>
      </c>
      <c r="J710" s="18">
        <f t="shared" si="776"/>
        <v>3.5146190719563051</v>
      </c>
      <c r="K710" s="18">
        <f t="shared" si="776"/>
        <v>3.8983493447285316</v>
      </c>
      <c r="L710" s="18">
        <f t="shared" ref="L710" si="777">L709</f>
        <v>4.6940452760456379</v>
      </c>
      <c r="N710" s="1"/>
    </row>
    <row r="711" spans="2:14" x14ac:dyDescent="0.35">
      <c r="B711" s="9" t="s">
        <v>6</v>
      </c>
      <c r="C711" s="9" t="s">
        <v>6</v>
      </c>
      <c r="D711" s="2" t="s">
        <v>475</v>
      </c>
      <c r="E711" s="9" t="s">
        <v>8</v>
      </c>
      <c r="F711" s="17" cm="1">
        <f t="array" ref="F711">SUMPRODUCT(("CT_CWODPLT"=[1]OUT_SyntheticFuels!$C$4:$C$1000)*1,("Var_Fin"=[1]OUT_SyntheticFuels!$B$4:$B$1000)*1,[1]OUT_SyntheticFuels!E$4:E$1000)</f>
        <v>7.1186166425190383</v>
      </c>
      <c r="G711" s="17" cm="1">
        <f t="array" ref="G711">SUMPRODUCT(("CT_CWODPLT"=[1]OUT_SyntheticFuels!$C$4:$C$1000)*1,("Var_Fin"=[1]OUT_SyntheticFuels!$B$4:$B$1000)*1,[1]OUT_SyntheticFuels!F$4:F$1000)</f>
        <v>8.2972059910807179</v>
      </c>
      <c r="H711" s="17" cm="1">
        <f t="array" ref="H711">SUMPRODUCT(("CT_CWODPLT"=[1]OUT_SyntheticFuels!$C$4:$C$1000)*1,("Var_Fin"=[1]OUT_SyntheticFuels!$B$4:$B$1000)*1,[1]OUT_SyntheticFuels!G$4:G$1000)</f>
        <v>2.3977634511675285</v>
      </c>
      <c r="I711" s="17" cm="1">
        <f t="array" ref="I711">SUMPRODUCT(("CT_CWODPLT"=[1]OUT_SyntheticFuels!$C$4:$C$1000)*1,("Var_Fin"=[1]OUT_SyntheticFuels!$B$4:$B$1000)*1,[1]OUT_SyntheticFuels!H$4:H$1000)</f>
        <v>3.3560676109802796</v>
      </c>
      <c r="J711" s="17" cm="1">
        <f t="array" ref="J711">SUMPRODUCT(("CT_CWODPLT"=[2]OUT_SyntheticFuels!$C$4:$C$1000)*1,("Var_Fin"=[2]OUT_SyntheticFuels!$B$4:$B$1000)*1,[2]OUT_SyntheticFuels!I$4:I$1000)</f>
        <v>4.1840703237575037</v>
      </c>
      <c r="K711" s="17" cm="1">
        <f t="array" ref="K711">SUMPRODUCT(("CT_CWODPLT"=[2]OUT_SyntheticFuels!$C$4:$C$1000)*1,("Var_Fin"=[2]OUT_SyntheticFuels!$B$4:$B$1000)*1,[2]OUT_SyntheticFuels!J$4:J$1000)</f>
        <v>4.6408920770577744</v>
      </c>
      <c r="L711" s="17" cm="1">
        <f t="array" ref="L711">SUMPRODUCT(("CT_CWODPLT"=[2]OUT_SyntheticFuels!$C$4:$C$1000)*1,("Var_Fin"=[2]OUT_SyntheticFuels!$B$4:$B$1000)*1,[2]OUT_SyntheticFuels!K$4:K$1000)</f>
        <v>5.5881491381495678</v>
      </c>
      <c r="N711" s="1"/>
    </row>
    <row r="712" spans="2:14" x14ac:dyDescent="0.35">
      <c r="B712" s="5" t="str">
        <f>B711</f>
        <v>SPS1</v>
      </c>
      <c r="C712" s="5" t="str">
        <f>C711</f>
        <v>SPS1</v>
      </c>
      <c r="D712" s="5" t="s">
        <v>490</v>
      </c>
      <c r="E712" s="5" t="str">
        <f>E711</f>
        <v>PJ/yr.</v>
      </c>
      <c r="F712" s="18">
        <f t="shared" ref="F712:K712" si="778">F711</f>
        <v>7.1186166425190383</v>
      </c>
      <c r="G712" s="18">
        <f t="shared" si="778"/>
        <v>8.2972059910807179</v>
      </c>
      <c r="H712" s="18">
        <f t="shared" si="778"/>
        <v>2.3977634511675285</v>
      </c>
      <c r="I712" s="18">
        <f t="shared" si="778"/>
        <v>3.3560676109802796</v>
      </c>
      <c r="J712" s="18">
        <f t="shared" si="778"/>
        <v>4.1840703237575037</v>
      </c>
      <c r="K712" s="18">
        <f t="shared" si="778"/>
        <v>4.6408920770577744</v>
      </c>
      <c r="L712" s="18">
        <f t="shared" ref="L712" si="779">L711</f>
        <v>5.5881491381495678</v>
      </c>
      <c r="N712" s="1"/>
    </row>
    <row r="713" spans="2:14" x14ac:dyDescent="0.35">
      <c r="B713" s="9" t="s">
        <v>6</v>
      </c>
      <c r="C713" s="9" t="s">
        <v>6</v>
      </c>
      <c r="D713" s="2" t="s">
        <v>476</v>
      </c>
      <c r="E713" s="9" t="s">
        <v>240</v>
      </c>
      <c r="F713" s="14">
        <f t="shared" ref="F713:K713" si="780">IFERROR(F709/F711,"-")</f>
        <v>0.83999999999999986</v>
      </c>
      <c r="G713" s="14">
        <f t="shared" si="780"/>
        <v>0.83999999999999908</v>
      </c>
      <c r="H713" s="14">
        <f t="shared" si="780"/>
        <v>0.83999999999999986</v>
      </c>
      <c r="I713" s="14">
        <f t="shared" si="780"/>
        <v>0.83999999999999975</v>
      </c>
      <c r="J713" s="14">
        <f t="shared" si="780"/>
        <v>0.84000000000000052</v>
      </c>
      <c r="K713" s="14">
        <f t="shared" si="780"/>
        <v>0.84000000000000019</v>
      </c>
      <c r="L713" s="14">
        <f t="shared" ref="L713" si="781">IFERROR(L709/L711,"-")</f>
        <v>0.84000000000000019</v>
      </c>
      <c r="N713" s="1"/>
    </row>
    <row r="714" spans="2:14" x14ac:dyDescent="0.35">
      <c r="B714" s="9" t="str">
        <f>B708</f>
        <v>SPS1</v>
      </c>
      <c r="C714" s="9" t="str">
        <f>C708</f>
        <v>CH</v>
      </c>
      <c r="D714" s="2" t="s">
        <v>431</v>
      </c>
      <c r="E714" s="9" t="s">
        <v>8</v>
      </c>
      <c r="F714" s="17">
        <f>F715+F717</f>
        <v>0</v>
      </c>
      <c r="G714" s="17">
        <f t="shared" ref="G714:K714" si="782">G715+G717</f>
        <v>0</v>
      </c>
      <c r="H714" s="17">
        <f t="shared" si="782"/>
        <v>0</v>
      </c>
      <c r="I714" s="17">
        <f t="shared" si="782"/>
        <v>0</v>
      </c>
      <c r="J714" s="17">
        <f t="shared" si="782"/>
        <v>0</v>
      </c>
      <c r="K714" s="17">
        <f t="shared" si="782"/>
        <v>0</v>
      </c>
      <c r="L714" s="17">
        <f t="shared" ref="L714" si="783">L715+L717</f>
        <v>0</v>
      </c>
      <c r="N714" s="1"/>
    </row>
    <row r="715" spans="2:14" x14ac:dyDescent="0.35">
      <c r="B715" s="5" t="str">
        <f>B708</f>
        <v>SPS1</v>
      </c>
      <c r="C715" s="5" t="str">
        <f>C708</f>
        <v>CH</v>
      </c>
      <c r="D715" t="s">
        <v>926</v>
      </c>
      <c r="E715" s="5" t="s">
        <v>8</v>
      </c>
      <c r="F715" s="18">
        <f>F716</f>
        <v>0</v>
      </c>
      <c r="G715" s="18">
        <f t="shared" ref="G715:L715" si="784">G716</f>
        <v>0</v>
      </c>
      <c r="H715" s="18">
        <f t="shared" si="784"/>
        <v>0</v>
      </c>
      <c r="I715" s="18">
        <f t="shared" si="784"/>
        <v>0</v>
      </c>
      <c r="J715" s="18">
        <f t="shared" si="784"/>
        <v>0</v>
      </c>
      <c r="K715" s="18">
        <f t="shared" si="784"/>
        <v>0</v>
      </c>
      <c r="L715" s="18">
        <f t="shared" si="784"/>
        <v>0</v>
      </c>
      <c r="N715" s="1"/>
    </row>
    <row r="716" spans="2:14" x14ac:dyDescent="0.35">
      <c r="B716" s="5" t="str">
        <f t="shared" ref="B716:C718" si="785">B714</f>
        <v>SPS1</v>
      </c>
      <c r="C716" s="5" t="str">
        <f t="shared" si="785"/>
        <v>CH</v>
      </c>
      <c r="D716" t="s">
        <v>427</v>
      </c>
      <c r="E716" s="5" t="s">
        <v>8</v>
      </c>
      <c r="F716" s="18" cm="1">
        <f t="array" ref="F716">SUMPRODUCT(("SUP_H2NGA"=[1]OUT_SyntheticFuels!$C$4:$C$1000)*1,("NGA"=[1]OUT_SyntheticFuels!$A$4:$A$1000)*1,("Var_Fout"=[1]OUT_SyntheticFuels!$B$4:$B$1000)*1,[1]OUT_SyntheticFuels!E$4:E$1000)</f>
        <v>0</v>
      </c>
      <c r="G716" s="18" cm="1">
        <f t="array" ref="G716">SUMPRODUCT(("SUP_H2NGA"=[1]OUT_SyntheticFuels!$C$4:$C$1000)*1,("NGA"=[1]OUT_SyntheticFuels!$A$4:$A$1000)*1,("Var_Fout"=[1]OUT_SyntheticFuels!$B$4:$B$1000)*1,[1]OUT_SyntheticFuels!F$4:F$1000)</f>
        <v>0</v>
      </c>
      <c r="H716" s="18" cm="1">
        <f t="array" ref="H716">SUMPRODUCT(("SUP_H2NGA"=[1]OUT_SyntheticFuels!$C$4:$C$1000)*1,("NGA"=[1]OUT_SyntheticFuels!$A$4:$A$1000)*1,("Var_Fout"=[1]OUT_SyntheticFuels!$B$4:$B$1000)*1,[1]OUT_SyntheticFuels!G$4:G$1000)</f>
        <v>0</v>
      </c>
      <c r="I716" s="18" cm="1">
        <f t="array" ref="I716">SUMPRODUCT(("SUP_H2NGA"=[1]OUT_SyntheticFuels!$C$4:$C$1000)*1,("NGA"=[1]OUT_SyntheticFuels!$A$4:$A$1000)*1,("Var_Fout"=[1]OUT_SyntheticFuels!$B$4:$B$1000)*1,[1]OUT_SyntheticFuels!H$4:H$1000)</f>
        <v>0</v>
      </c>
      <c r="J716" s="18" cm="1">
        <f t="array" ref="J716">SUMPRODUCT(("SUP_H2NGA"=[2]OUT_SyntheticFuels!$C$4:$C$1000)*1,("NGA"=[2]OUT_SyntheticFuels!$A$4:$A$1000)*1,("Var_Fout"=[2]OUT_SyntheticFuels!$B$4:$B$1000)*1,[2]OUT_SyntheticFuels!I$4:I$1000)</f>
        <v>0</v>
      </c>
      <c r="K716" s="18" cm="1">
        <f t="array" ref="K716">SUMPRODUCT(("SUP_H2NGA"=[2]OUT_SyntheticFuels!$C$4:$C$1000)*1,("NGA"=[2]OUT_SyntheticFuels!$A$4:$A$1000)*1,("Var_Fout"=[2]OUT_SyntheticFuels!$B$4:$B$1000)*1,[2]OUT_SyntheticFuels!J$4:J$1000)</f>
        <v>0</v>
      </c>
      <c r="L716" s="18" cm="1">
        <f t="array" ref="L716">SUMPRODUCT(("SUP_H2NGA"=[2]OUT_SyntheticFuels!$C$4:$C$1000)*1,("NGA"=[2]OUT_SyntheticFuels!$A$4:$A$1000)*1,("Var_Fout"=[2]OUT_SyntheticFuels!$B$4:$B$1000)*1,[2]OUT_SyntheticFuels!K$4:K$1000)</f>
        <v>0</v>
      </c>
      <c r="N716" s="1"/>
    </row>
    <row r="717" spans="2:14" x14ac:dyDescent="0.35">
      <c r="B717" s="5" t="str">
        <f t="shared" si="785"/>
        <v>SPS1</v>
      </c>
      <c r="C717" s="5" t="str">
        <f t="shared" si="785"/>
        <v>CH</v>
      </c>
      <c r="D717" t="s">
        <v>927</v>
      </c>
      <c r="E717" s="5" t="s">
        <v>8</v>
      </c>
      <c r="F717" s="18">
        <f>SUM(F718:F720)</f>
        <v>0</v>
      </c>
      <c r="G717" s="18">
        <f t="shared" ref="G717:K717" si="786">SUM(G718:G720)</f>
        <v>0</v>
      </c>
      <c r="H717" s="18">
        <f t="shared" si="786"/>
        <v>0</v>
      </c>
      <c r="I717" s="18">
        <f t="shared" si="786"/>
        <v>0</v>
      </c>
      <c r="J717" s="18">
        <f t="shared" si="786"/>
        <v>0</v>
      </c>
      <c r="K717" s="18">
        <f t="shared" si="786"/>
        <v>0</v>
      </c>
      <c r="L717" s="18">
        <f t="shared" ref="L717" si="787">SUM(L718:L720)</f>
        <v>0</v>
      </c>
      <c r="N717" s="1"/>
    </row>
    <row r="718" spans="2:14" x14ac:dyDescent="0.35">
      <c r="B718" s="5" t="str">
        <f t="shared" si="785"/>
        <v>SPS1</v>
      </c>
      <c r="C718" s="5" t="str">
        <f t="shared" si="785"/>
        <v>CH</v>
      </c>
      <c r="D718" t="s">
        <v>428</v>
      </c>
      <c r="E718" s="5" t="s">
        <v>8</v>
      </c>
      <c r="F718" s="18" cm="1">
        <f t="array" ref="F718">SUMPRODUCT(("SUP_H2DSL"=[1]OUT_SyntheticFuels!$C$4:$C$1000)*1,("DSL"=[1]OUT_SyntheticFuels!$A$4:$A$1000)*1,("Var_Fout"=[1]OUT_SyntheticFuels!$B$4:$B$1000)*1,[1]OUT_SyntheticFuels!E$4:E$1000)</f>
        <v>0</v>
      </c>
      <c r="G718" s="18" cm="1">
        <f t="array" ref="G718">SUMPRODUCT(("SUP_H2DSL"=[1]OUT_SyntheticFuels!$C$4:$C$1000)*1,("DSL"=[1]OUT_SyntheticFuels!$A$4:$A$1000)*1,("Var_Fout"=[1]OUT_SyntheticFuels!$B$4:$B$1000)*1,[1]OUT_SyntheticFuels!F$4:F$1000)</f>
        <v>0</v>
      </c>
      <c r="H718" s="18" cm="1">
        <f t="array" ref="H718">SUMPRODUCT(("SUP_H2DSL"=[1]OUT_SyntheticFuels!$C$4:$C$1000)*1,("DSL"=[1]OUT_SyntheticFuels!$A$4:$A$1000)*1,("Var_Fout"=[1]OUT_SyntheticFuels!$B$4:$B$1000)*1,[1]OUT_SyntheticFuels!G$4:G$1000)</f>
        <v>0</v>
      </c>
      <c r="I718" s="18" cm="1">
        <f t="array" ref="I718">SUMPRODUCT(("SUP_H2DSL"=[1]OUT_SyntheticFuels!$C$4:$C$1000)*1,("DSL"=[1]OUT_SyntheticFuels!$A$4:$A$1000)*1,("Var_Fout"=[1]OUT_SyntheticFuels!$B$4:$B$1000)*1,[1]OUT_SyntheticFuels!H$4:H$1000)</f>
        <v>0</v>
      </c>
      <c r="J718" s="18" cm="1">
        <f t="array" ref="J718">SUMPRODUCT(("SUP_H2DSL"=[2]OUT_SyntheticFuels!$C$4:$C$1000)*1,("DSL"=[2]OUT_SyntheticFuels!$A$4:$A$1000)*1,("Var_Fout"=[2]OUT_SyntheticFuels!$B$4:$B$1000)*1,[2]OUT_SyntheticFuels!I$4:I$1000)</f>
        <v>0</v>
      </c>
      <c r="K718" s="18" cm="1">
        <f t="array" ref="K718">SUMPRODUCT(("SUP_H2DSL"=[2]OUT_SyntheticFuels!$C$4:$C$1000)*1,("DSL"=[2]OUT_SyntheticFuels!$A$4:$A$1000)*1,("Var_Fout"=[2]OUT_SyntheticFuels!$B$4:$B$1000)*1,[2]OUT_SyntheticFuels!J$4:J$1000)</f>
        <v>0</v>
      </c>
      <c r="L718" s="18" cm="1">
        <f t="array" ref="L718">SUMPRODUCT(("SUP_H2DSL"=[2]OUT_SyntheticFuels!$C$4:$C$1000)*1,("DSL"=[2]OUT_SyntheticFuels!$A$4:$A$1000)*1,("Var_Fout"=[2]OUT_SyntheticFuels!$B$4:$B$1000)*1,[2]OUT_SyntheticFuels!K$4:K$1000)</f>
        <v>0</v>
      </c>
      <c r="N718" s="1"/>
    </row>
    <row r="719" spans="2:14" x14ac:dyDescent="0.35">
      <c r="B719" s="5" t="str">
        <f t="shared" ref="B719:C721" si="788">B718</f>
        <v>SPS1</v>
      </c>
      <c r="C719" s="5" t="str">
        <f t="shared" si="788"/>
        <v>CH</v>
      </c>
      <c r="D719" t="s">
        <v>429</v>
      </c>
      <c r="E719" s="5" t="s">
        <v>8</v>
      </c>
      <c r="F719" s="18" cm="1">
        <f t="array" ref="F719">SUMPRODUCT(("SUP_H2gsl"=[1]OUT_SyntheticFuels!$C$4:$C$1000)*1,("gsl"=[1]OUT_SyntheticFuels!$A$4:$A$1000)*1,("Var_Fout"=[1]OUT_SyntheticFuels!$B$4:$B$1000)*1,[1]OUT_SyntheticFuels!E$4:E$1000)</f>
        <v>0</v>
      </c>
      <c r="G719" s="18" cm="1">
        <f t="array" ref="G719">SUMPRODUCT(("SUP_H2gsl"=[1]OUT_SyntheticFuels!$C$4:$C$1000)*1,("gsl"=[1]OUT_SyntheticFuels!$A$4:$A$1000)*1,("Var_Fout"=[1]OUT_SyntheticFuels!$B$4:$B$1000)*1,[1]OUT_SyntheticFuels!F$4:F$1000)</f>
        <v>0</v>
      </c>
      <c r="H719" s="18" cm="1">
        <f t="array" ref="H719">SUMPRODUCT(("SUP_H2gsl"=[1]OUT_SyntheticFuels!$C$4:$C$1000)*1,("gsl"=[1]OUT_SyntheticFuels!$A$4:$A$1000)*1,("Var_Fout"=[1]OUT_SyntheticFuels!$B$4:$B$1000)*1,[1]OUT_SyntheticFuels!G$4:G$1000)</f>
        <v>0</v>
      </c>
      <c r="I719" s="18" cm="1">
        <f t="array" ref="I719">SUMPRODUCT(("SUP_H2gsl"=[1]OUT_SyntheticFuels!$C$4:$C$1000)*1,("gsl"=[1]OUT_SyntheticFuels!$A$4:$A$1000)*1,("Var_Fout"=[1]OUT_SyntheticFuels!$B$4:$B$1000)*1,[1]OUT_SyntheticFuels!H$4:H$1000)</f>
        <v>0</v>
      </c>
      <c r="J719" s="18" cm="1">
        <f t="array" ref="J719">SUMPRODUCT(("SUP_H2gsl"=[2]OUT_SyntheticFuels!$C$4:$C$1000)*1,("gsl"=[2]OUT_SyntheticFuels!$A$4:$A$1000)*1,("Var_Fout"=[2]OUT_SyntheticFuels!$B$4:$B$1000)*1,[2]OUT_SyntheticFuels!I$4:I$1000)</f>
        <v>0</v>
      </c>
      <c r="K719" s="18" cm="1">
        <f t="array" ref="K719">SUMPRODUCT(("SUP_H2gsl"=[2]OUT_SyntheticFuels!$C$4:$C$1000)*1,("gsl"=[2]OUT_SyntheticFuels!$A$4:$A$1000)*1,("Var_Fout"=[2]OUT_SyntheticFuels!$B$4:$B$1000)*1,[2]OUT_SyntheticFuels!J$4:J$1000)</f>
        <v>0</v>
      </c>
      <c r="L719" s="18" cm="1">
        <f t="array" ref="L719">SUMPRODUCT(("SUP_H2gsl"=[2]OUT_SyntheticFuels!$C$4:$C$1000)*1,("gsl"=[2]OUT_SyntheticFuels!$A$4:$A$1000)*1,("Var_Fout"=[2]OUT_SyntheticFuels!$B$4:$B$1000)*1,[2]OUT_SyntheticFuels!K$4:K$1000)</f>
        <v>0</v>
      </c>
      <c r="N719" s="1"/>
    </row>
    <row r="720" spans="2:14" x14ac:dyDescent="0.35">
      <c r="B720" s="5" t="str">
        <f t="shared" si="788"/>
        <v>SPS1</v>
      </c>
      <c r="C720" s="5" t="str">
        <f t="shared" si="788"/>
        <v>CH</v>
      </c>
      <c r="D720" t="s">
        <v>430</v>
      </c>
      <c r="E720" s="5" t="s">
        <v>8</v>
      </c>
      <c r="F720" s="18" cm="1">
        <f t="array" ref="F720">SUMPRODUCT(("SUP_H2DSL"=[1]OUT_SyntheticFuels!$C$4:$C$1000)*1,("KER"=[1]OUT_SyntheticFuels!$A$4:$A$1000)*1,("Var_Fout"=[1]OUT_SyntheticFuels!$B$4:$B$1000)*1,[1]OUT_SyntheticFuels!E$4:E$1000)</f>
        <v>0</v>
      </c>
      <c r="G720" s="18" cm="1">
        <f t="array" ref="G720">SUMPRODUCT(("SUP_H2DSL"=[1]OUT_SyntheticFuels!$C$4:$C$1000)*1,("KER"=[1]OUT_SyntheticFuels!$A$4:$A$1000)*1,("Var_Fout"=[1]OUT_SyntheticFuels!$B$4:$B$1000)*1,[1]OUT_SyntheticFuels!F$4:F$1000)</f>
        <v>0</v>
      </c>
      <c r="H720" s="18" cm="1">
        <f t="array" ref="H720">SUMPRODUCT(("SUP_H2DSL"=[1]OUT_SyntheticFuels!$C$4:$C$1000)*1,("KER"=[1]OUT_SyntheticFuels!$A$4:$A$1000)*1,("Var_Fout"=[1]OUT_SyntheticFuels!$B$4:$B$1000)*1,[1]OUT_SyntheticFuels!G$4:G$1000)</f>
        <v>0</v>
      </c>
      <c r="I720" s="18" cm="1">
        <f t="array" ref="I720">SUMPRODUCT(("SUP_H2DSL"=[1]OUT_SyntheticFuels!$C$4:$C$1000)*1,("KER"=[1]OUT_SyntheticFuels!$A$4:$A$1000)*1,("Var_Fout"=[1]OUT_SyntheticFuels!$B$4:$B$1000)*1,[1]OUT_SyntheticFuels!H$4:H$1000)</f>
        <v>0</v>
      </c>
      <c r="J720" s="18" cm="1">
        <f t="array" ref="J720">SUMPRODUCT(("SUP_H2DSL"=[2]OUT_SyntheticFuels!$C$4:$C$1000)*1,("KER"=[2]OUT_SyntheticFuels!$A$4:$A$1000)*1,("Var_Fout"=[2]OUT_SyntheticFuels!$B$4:$B$1000)*1,[2]OUT_SyntheticFuels!I$4:I$1000)</f>
        <v>0</v>
      </c>
      <c r="K720" s="18" cm="1">
        <f t="array" ref="K720">SUMPRODUCT(("SUP_H2DSL"=[2]OUT_SyntheticFuels!$C$4:$C$1000)*1,("KER"=[2]OUT_SyntheticFuels!$A$4:$A$1000)*1,("Var_Fout"=[2]OUT_SyntheticFuels!$B$4:$B$1000)*1,[2]OUT_SyntheticFuels!J$4:J$1000)</f>
        <v>0</v>
      </c>
      <c r="L720" s="18" cm="1">
        <f t="array" ref="L720">SUMPRODUCT(("SUP_H2DSL"=[2]OUT_SyntheticFuels!$C$4:$C$1000)*1,("KER"=[2]OUT_SyntheticFuels!$A$4:$A$1000)*1,("Var_Fout"=[2]OUT_SyntheticFuels!$B$4:$B$1000)*1,[2]OUT_SyntheticFuels!K$4:K$1000)</f>
        <v>0</v>
      </c>
      <c r="N720" s="1"/>
    </row>
    <row r="721" spans="2:14" x14ac:dyDescent="0.35">
      <c r="B721" s="9" t="str">
        <f t="shared" si="788"/>
        <v>SPS1</v>
      </c>
      <c r="C721" s="9" t="str">
        <f t="shared" si="788"/>
        <v>CH</v>
      </c>
      <c r="D721" s="2" t="s">
        <v>434</v>
      </c>
      <c r="E721" s="9" t="s">
        <v>8</v>
      </c>
      <c r="F721" s="17">
        <f>F722</f>
        <v>0</v>
      </c>
      <c r="G721" s="17">
        <f t="shared" ref="G721:L721" si="789">G722</f>
        <v>0</v>
      </c>
      <c r="H721" s="17">
        <f t="shared" si="789"/>
        <v>0</v>
      </c>
      <c r="I721" s="17">
        <f t="shared" si="789"/>
        <v>0</v>
      </c>
      <c r="J721" s="17">
        <f t="shared" si="789"/>
        <v>0</v>
      </c>
      <c r="K721" s="17">
        <f t="shared" si="789"/>
        <v>0</v>
      </c>
      <c r="L721" s="17">
        <f t="shared" si="789"/>
        <v>0</v>
      </c>
      <c r="N721" s="1"/>
    </row>
    <row r="722" spans="2:14" x14ac:dyDescent="0.35">
      <c r="B722" s="5" t="str">
        <f>B721</f>
        <v>SPS1</v>
      </c>
      <c r="C722" s="5" t="str">
        <f t="shared" ref="C722:C728" si="790">C721</f>
        <v>CH</v>
      </c>
      <c r="D722" t="s">
        <v>928</v>
      </c>
      <c r="E722" s="5" t="s">
        <v>8</v>
      </c>
      <c r="F722" s="18">
        <f>SUM(F723,F725)</f>
        <v>0</v>
      </c>
      <c r="G722" s="18">
        <f t="shared" ref="G722:K722" si="791">SUM(G723,G725)</f>
        <v>0</v>
      </c>
      <c r="H722" s="18">
        <f t="shared" si="791"/>
        <v>0</v>
      </c>
      <c r="I722" s="18">
        <f t="shared" si="791"/>
        <v>0</v>
      </c>
      <c r="J722" s="18">
        <f t="shared" si="791"/>
        <v>0</v>
      </c>
      <c r="K722" s="18">
        <f t="shared" si="791"/>
        <v>0</v>
      </c>
      <c r="L722" s="18">
        <f t="shared" ref="L722" si="792">SUM(L723,L725)</f>
        <v>0</v>
      </c>
      <c r="N722" s="1"/>
    </row>
    <row r="723" spans="2:14" x14ac:dyDescent="0.35">
      <c r="B723" s="5" t="str">
        <f t="shared" ref="B723:B728" si="793">B722</f>
        <v>SPS1</v>
      </c>
      <c r="C723" s="5" t="str">
        <f t="shared" si="790"/>
        <v>CH</v>
      </c>
      <c r="D723" t="s">
        <v>929</v>
      </c>
      <c r="E723" s="5" t="s">
        <v>8</v>
      </c>
      <c r="F723" s="18">
        <f>F724</f>
        <v>0</v>
      </c>
      <c r="G723" s="18">
        <f t="shared" ref="G723:L723" si="794">G724</f>
        <v>0</v>
      </c>
      <c r="H723" s="18">
        <f t="shared" si="794"/>
        <v>0</v>
      </c>
      <c r="I723" s="18">
        <f t="shared" si="794"/>
        <v>0</v>
      </c>
      <c r="J723" s="18">
        <f t="shared" si="794"/>
        <v>0</v>
      </c>
      <c r="K723" s="18">
        <f t="shared" si="794"/>
        <v>0</v>
      </c>
      <c r="L723" s="18">
        <f t="shared" si="794"/>
        <v>0</v>
      </c>
      <c r="N723" s="1"/>
    </row>
    <row r="724" spans="2:14" x14ac:dyDescent="0.35">
      <c r="B724" s="5" t="str">
        <f t="shared" si="793"/>
        <v>SPS1</v>
      </c>
      <c r="C724" s="5" t="str">
        <f t="shared" si="790"/>
        <v>CH</v>
      </c>
      <c r="D724" t="s">
        <v>433</v>
      </c>
      <c r="E724" s="5" t="s">
        <v>8</v>
      </c>
      <c r="F724" s="10" cm="1">
        <f t="array" ref="F724">SUMPRODUCT(("SUP_H2NGA"=[1]OUT_SyntheticFuels!$C$4:$C$1000)*1,("H2"=[1]OUT_SyntheticFuels!$A$4:$A$1000)*1,("Var_Fin"=[1]OUT_SyntheticFuels!$B$4:$B$1000)*1,[1]OUT_SyntheticFuels!E$4:E$1000)</f>
        <v>0</v>
      </c>
      <c r="G724" s="10" cm="1">
        <f t="array" ref="G724">SUMPRODUCT(("SUP_H2NGA"=[1]OUT_SyntheticFuels!$C$4:$C$1000)*1,("H2"=[1]OUT_SyntheticFuels!$A$4:$A$1000)*1,("Var_Fin"=[1]OUT_SyntheticFuels!$B$4:$B$1000)*1,[1]OUT_SyntheticFuels!F$4:F$1000)</f>
        <v>0</v>
      </c>
      <c r="H724" s="10" cm="1">
        <f t="array" ref="H724">SUMPRODUCT(("SUP_H2NGA"=[1]OUT_SyntheticFuels!$C$4:$C$1000)*1,("H2"=[1]OUT_SyntheticFuels!$A$4:$A$1000)*1,("Var_Fin"=[1]OUT_SyntheticFuels!$B$4:$B$1000)*1,[1]OUT_SyntheticFuels!G$4:G$1000)</f>
        <v>0</v>
      </c>
      <c r="I724" s="10" cm="1">
        <f t="array" ref="I724">SUMPRODUCT(("SUP_H2NGA"=[1]OUT_SyntheticFuels!$C$4:$C$1000)*1,("H2"=[1]OUT_SyntheticFuels!$A$4:$A$1000)*1,("Var_Fin"=[1]OUT_SyntheticFuels!$B$4:$B$1000)*1,[1]OUT_SyntheticFuels!H$4:H$1000)</f>
        <v>0</v>
      </c>
      <c r="J724" s="10" cm="1">
        <f t="array" ref="J724">SUMPRODUCT(("SUP_H2NGA"=[2]OUT_SyntheticFuels!$C$4:$C$1000)*1,("H2"=[2]OUT_SyntheticFuels!$A$4:$A$1000)*1,("Var_Fin"=[2]OUT_SyntheticFuels!$B$4:$B$1000)*1,[2]OUT_SyntheticFuels!I$4:I$1000)</f>
        <v>0</v>
      </c>
      <c r="K724" s="10" cm="1">
        <f t="array" ref="K724">SUMPRODUCT(("SUP_H2NGA"=[2]OUT_SyntheticFuels!$C$4:$C$1000)*1,("H2"=[2]OUT_SyntheticFuels!$A$4:$A$1000)*1,("Var_Fin"=[2]OUT_SyntheticFuels!$B$4:$B$1000)*1,[2]OUT_SyntheticFuels!J$4:J$1000)</f>
        <v>0</v>
      </c>
      <c r="L724" s="10" cm="1">
        <f t="array" ref="L724">SUMPRODUCT(("SUP_H2NGA"=[2]OUT_SyntheticFuels!$C$4:$C$1000)*1,("H2"=[2]OUT_SyntheticFuels!$A$4:$A$1000)*1,("Var_Fin"=[2]OUT_SyntheticFuels!$B$4:$B$1000)*1,[2]OUT_SyntheticFuels!K$4:K$1000)</f>
        <v>0</v>
      </c>
      <c r="N724" s="1"/>
    </row>
    <row r="725" spans="2:14" x14ac:dyDescent="0.35">
      <c r="B725" s="5" t="str">
        <f t="shared" si="793"/>
        <v>SPS1</v>
      </c>
      <c r="C725" s="5" t="str">
        <f t="shared" si="790"/>
        <v>CH</v>
      </c>
      <c r="D725" t="s">
        <v>930</v>
      </c>
      <c r="E725" s="5" t="s">
        <v>8</v>
      </c>
      <c r="F725" s="18">
        <f>SUM(F726:F728)</f>
        <v>0</v>
      </c>
      <c r="G725" s="18">
        <f t="shared" ref="G725:K725" si="795">SUM(G726:G728)</f>
        <v>0</v>
      </c>
      <c r="H725" s="18">
        <f t="shared" si="795"/>
        <v>0</v>
      </c>
      <c r="I725" s="18">
        <f t="shared" si="795"/>
        <v>0</v>
      </c>
      <c r="J725" s="18">
        <f t="shared" si="795"/>
        <v>0</v>
      </c>
      <c r="K725" s="18">
        <f t="shared" si="795"/>
        <v>0</v>
      </c>
      <c r="L725" s="18">
        <f t="shared" ref="L725" si="796">SUM(L726:L728)</f>
        <v>0</v>
      </c>
      <c r="N725" s="1"/>
    </row>
    <row r="726" spans="2:14" x14ac:dyDescent="0.35">
      <c r="B726" s="5" t="str">
        <f t="shared" si="793"/>
        <v>SPS1</v>
      </c>
      <c r="C726" s="5" t="str">
        <f t="shared" si="790"/>
        <v>CH</v>
      </c>
      <c r="D726" t="s">
        <v>448</v>
      </c>
      <c r="E726" s="5" t="s">
        <v>8</v>
      </c>
      <c r="F726" s="10" cm="1">
        <f t="array" ref="F726">SUMPRODUCT(("SUP_H2DSL"=[1]OUT_SyntheticFuels!$C$4:$C$1000)*1,("H2"=[1]OUT_SyntheticFuels!$A$4:$A$1000)*1,("Var_Fin"=[1]OUT_SyntheticFuels!$B$4:$B$1000)*1,[1]OUT_SyntheticFuels!E$4:E$1000)*IFERROR(F718/SUM(F718,F720),0)</f>
        <v>0</v>
      </c>
      <c r="G726" s="10" cm="1">
        <f t="array" ref="G726">SUMPRODUCT(("SUP_H2DSL"=[1]OUT_SyntheticFuels!$C$4:$C$1000)*1,("H2"=[1]OUT_SyntheticFuels!$A$4:$A$1000)*1,("Var_Fin"=[1]OUT_SyntheticFuels!$B$4:$B$1000)*1,[1]OUT_SyntheticFuels!F$4:F$1000)*IFERROR(G718/SUM(G718,G720),0)</f>
        <v>0</v>
      </c>
      <c r="H726" s="10" cm="1">
        <f t="array" ref="H726">SUMPRODUCT(("SUP_H2DSL"=[1]OUT_SyntheticFuels!$C$4:$C$1000)*1,("H2"=[1]OUT_SyntheticFuels!$A$4:$A$1000)*1,("Var_Fin"=[1]OUT_SyntheticFuels!$B$4:$B$1000)*1,[1]OUT_SyntheticFuels!G$4:G$1000)*IFERROR(H718/SUM(H718,H720),0)</f>
        <v>0</v>
      </c>
      <c r="I726" s="10" cm="1">
        <f t="array" ref="I726">SUMPRODUCT(("SUP_H2DSL"=[1]OUT_SyntheticFuels!$C$4:$C$1000)*1,("H2"=[1]OUT_SyntheticFuels!$A$4:$A$1000)*1,("Var_Fin"=[1]OUT_SyntheticFuels!$B$4:$B$1000)*1,[1]OUT_SyntheticFuels!H$4:H$1000)*IFERROR(I718/SUM(I718,I720),0)</f>
        <v>0</v>
      </c>
      <c r="J726" s="10" cm="1">
        <f t="array" ref="J726">SUMPRODUCT(("SUP_H2DSL"=[2]OUT_SyntheticFuels!$C$4:$C$1000)*1,("H2"=[2]OUT_SyntheticFuels!$A$4:$A$1000)*1,("Var_Fin"=[2]OUT_SyntheticFuels!$B$4:$B$1000)*1,[2]OUT_SyntheticFuels!I$4:I$1000)*IFERROR(J718/SUM(J718,J720),0)</f>
        <v>0</v>
      </c>
      <c r="K726" s="10" cm="1">
        <f t="array" ref="K726">SUMPRODUCT(("SUP_H2DSL"=[2]OUT_SyntheticFuels!$C$4:$C$1000)*1,("H2"=[2]OUT_SyntheticFuels!$A$4:$A$1000)*1,("Var_Fin"=[2]OUT_SyntheticFuels!$B$4:$B$1000)*1,[2]OUT_SyntheticFuels!J$4:J$1000)*IFERROR(K718/SUM(K718,K720),0)</f>
        <v>0</v>
      </c>
      <c r="L726" s="10" cm="1">
        <f t="array" ref="L726">SUMPRODUCT(("SUP_H2DSL"=[2]OUT_SyntheticFuels!$C$4:$C$1000)*1,("H2"=[2]OUT_SyntheticFuels!$A$4:$A$1000)*1,("Var_Fin"=[2]OUT_SyntheticFuels!$B$4:$B$1000)*1,[2]OUT_SyntheticFuels!K$4:K$1000)*IFERROR(L718/SUM(L718,L720),0)</f>
        <v>0</v>
      </c>
      <c r="N726" s="1"/>
    </row>
    <row r="727" spans="2:14" x14ac:dyDescent="0.35">
      <c r="B727" s="5" t="str">
        <f t="shared" si="793"/>
        <v>SPS1</v>
      </c>
      <c r="C727" s="5" t="str">
        <f t="shared" si="790"/>
        <v>CH</v>
      </c>
      <c r="D727" t="s">
        <v>449</v>
      </c>
      <c r="E727" s="5" t="s">
        <v>8</v>
      </c>
      <c r="F727" s="10" cm="1">
        <f t="array" ref="F727">SUMPRODUCT(("SUP_H2GSL"=[1]OUT_SyntheticFuels!$C$4:$C$1000)*1,("H2"=[1]OUT_SyntheticFuels!$A$4:$A$1000)*1,("Var_Fin"=[1]OUT_SyntheticFuels!$B$4:$B$1000)*1,[1]OUT_SyntheticFuels!E$4:E$1000)</f>
        <v>0</v>
      </c>
      <c r="G727" s="10" cm="1">
        <f t="array" ref="G727">SUMPRODUCT(("SUP_H2GSL"=[1]OUT_SyntheticFuels!$C$4:$C$1000)*1,("H2"=[1]OUT_SyntheticFuels!$A$4:$A$1000)*1,("Var_Fin"=[1]OUT_SyntheticFuels!$B$4:$B$1000)*1,[1]OUT_SyntheticFuels!F$4:F$1000)</f>
        <v>0</v>
      </c>
      <c r="H727" s="10" cm="1">
        <f t="array" ref="H727">SUMPRODUCT(("SUP_H2GSL"=[1]OUT_SyntheticFuels!$C$4:$C$1000)*1,("H2"=[1]OUT_SyntheticFuels!$A$4:$A$1000)*1,("Var_Fin"=[1]OUT_SyntheticFuels!$B$4:$B$1000)*1,[1]OUT_SyntheticFuels!G$4:G$1000)</f>
        <v>0</v>
      </c>
      <c r="I727" s="10" cm="1">
        <f t="array" ref="I727">SUMPRODUCT(("SUP_H2GSL"=[1]OUT_SyntheticFuels!$C$4:$C$1000)*1,("H2"=[1]OUT_SyntheticFuels!$A$4:$A$1000)*1,("Var_Fin"=[1]OUT_SyntheticFuels!$B$4:$B$1000)*1,[1]OUT_SyntheticFuels!H$4:H$1000)</f>
        <v>0</v>
      </c>
      <c r="J727" s="10" cm="1">
        <f t="array" ref="J727">SUMPRODUCT(("SUP_H2GSL"=[2]OUT_SyntheticFuels!$C$4:$C$1000)*1,("H2"=[2]OUT_SyntheticFuels!$A$4:$A$1000)*1,("Var_Fin"=[2]OUT_SyntheticFuels!$B$4:$B$1000)*1,[2]OUT_SyntheticFuels!I$4:I$1000)</f>
        <v>0</v>
      </c>
      <c r="K727" s="10" cm="1">
        <f t="array" ref="K727">SUMPRODUCT(("SUP_H2GSL"=[2]OUT_SyntheticFuels!$C$4:$C$1000)*1,("H2"=[2]OUT_SyntheticFuels!$A$4:$A$1000)*1,("Var_Fin"=[2]OUT_SyntheticFuels!$B$4:$B$1000)*1,[2]OUT_SyntheticFuels!J$4:J$1000)</f>
        <v>0</v>
      </c>
      <c r="L727" s="10" cm="1">
        <f t="array" ref="L727">SUMPRODUCT(("SUP_H2GSL"=[2]OUT_SyntheticFuels!$C$4:$C$1000)*1,("H2"=[2]OUT_SyntheticFuels!$A$4:$A$1000)*1,("Var_Fin"=[2]OUT_SyntheticFuels!$B$4:$B$1000)*1,[2]OUT_SyntheticFuels!K$4:K$1000)</f>
        <v>0</v>
      </c>
      <c r="N727" s="1"/>
    </row>
    <row r="728" spans="2:14" x14ac:dyDescent="0.35">
      <c r="B728" s="5" t="str">
        <f t="shared" si="793"/>
        <v>SPS1</v>
      </c>
      <c r="C728" s="5" t="str">
        <f t="shared" si="790"/>
        <v>CH</v>
      </c>
      <c r="D728" t="s">
        <v>450</v>
      </c>
      <c r="E728" s="5" t="s">
        <v>8</v>
      </c>
      <c r="F728" s="10" cm="1">
        <f t="array" ref="F728">SUMPRODUCT(("SUP_H2DSL"=[1]OUT_SyntheticFuels!$C$4:$C$1000)*1,("H2"=[1]OUT_SyntheticFuels!$A$4:$A$1000)*1,("Var_Fin"=[1]OUT_SyntheticFuels!$B$4:$B$1000)*1,[1]OUT_SyntheticFuels!E$4:E$1000)-F726</f>
        <v>0</v>
      </c>
      <c r="G728" s="10" cm="1">
        <f t="array" ref="G728">SUMPRODUCT(("SUP_H2DSL"=[1]OUT_SyntheticFuels!$C$4:$C$1000)*1,("H2"=[1]OUT_SyntheticFuels!$A$4:$A$1000)*1,("Var_Fin"=[1]OUT_SyntheticFuels!$B$4:$B$1000)*1,[1]OUT_SyntheticFuels!F$4:F$1000)-G726</f>
        <v>0</v>
      </c>
      <c r="H728" s="10" cm="1">
        <f t="array" ref="H728">SUMPRODUCT(("SUP_H2DSL"=[1]OUT_SyntheticFuels!$C$4:$C$1000)*1,("H2"=[1]OUT_SyntheticFuels!$A$4:$A$1000)*1,("Var_Fin"=[1]OUT_SyntheticFuels!$B$4:$B$1000)*1,[1]OUT_SyntheticFuels!G$4:G$1000)-H726</f>
        <v>0</v>
      </c>
      <c r="I728" s="10" cm="1">
        <f t="array" ref="I728">SUMPRODUCT(("SUP_H2DSL"=[1]OUT_SyntheticFuels!$C$4:$C$1000)*1,("H2"=[1]OUT_SyntheticFuels!$A$4:$A$1000)*1,("Var_Fin"=[1]OUT_SyntheticFuels!$B$4:$B$1000)*1,[1]OUT_SyntheticFuels!H$4:H$1000)-I726</f>
        <v>0</v>
      </c>
      <c r="J728" s="10" cm="1">
        <f t="array" ref="J728">SUMPRODUCT(("SUP_H2DSL"=[2]OUT_SyntheticFuels!$C$4:$C$1000)*1,("H2"=[2]OUT_SyntheticFuels!$A$4:$A$1000)*1,("Var_Fin"=[2]OUT_SyntheticFuels!$B$4:$B$1000)*1,[2]OUT_SyntheticFuels!I$4:I$1000)-J726</f>
        <v>0</v>
      </c>
      <c r="K728" s="10" cm="1">
        <f t="array" ref="K728">SUMPRODUCT(("SUP_H2DSL"=[2]OUT_SyntheticFuels!$C$4:$C$1000)*1,("H2"=[2]OUT_SyntheticFuels!$A$4:$A$1000)*1,("Var_Fin"=[2]OUT_SyntheticFuels!$B$4:$B$1000)*1,[2]OUT_SyntheticFuels!J$4:J$1000)-K726</f>
        <v>0</v>
      </c>
      <c r="L728" s="10" cm="1">
        <f t="array" ref="L728">SUMPRODUCT(("SUP_H2DSL"=[2]OUT_SyntheticFuels!$C$4:$C$1000)*1,("H2"=[2]OUT_SyntheticFuels!$A$4:$A$1000)*1,("Var_Fin"=[2]OUT_SyntheticFuels!$B$4:$B$1000)*1,[2]OUT_SyntheticFuels!K$4:K$1000)-L726</f>
        <v>0</v>
      </c>
      <c r="N728" s="1"/>
    </row>
    <row r="729" spans="2:14" x14ac:dyDescent="0.35">
      <c r="B729" s="9" t="str">
        <f>B728</f>
        <v>SPS1</v>
      </c>
      <c r="C729" s="9" t="str">
        <f>C728</f>
        <v>CH</v>
      </c>
      <c r="D729" s="2" t="s">
        <v>440</v>
      </c>
      <c r="E729" s="9" t="s">
        <v>240</v>
      </c>
      <c r="F729" s="14" t="s">
        <v>292</v>
      </c>
      <c r="G729" s="14" t="s">
        <v>292</v>
      </c>
      <c r="H729" s="14" t="s">
        <v>292</v>
      </c>
      <c r="I729" s="14" t="s">
        <v>292</v>
      </c>
      <c r="J729" s="14" t="s">
        <v>292</v>
      </c>
      <c r="K729" s="14" t="s">
        <v>292</v>
      </c>
      <c r="L729" s="14" t="s">
        <v>292</v>
      </c>
      <c r="N729" s="1"/>
    </row>
    <row r="730" spans="2:14" x14ac:dyDescent="0.35">
      <c r="B730" s="5" t="str">
        <f>B729</f>
        <v>SPS1</v>
      </c>
      <c r="C730" s="5" t="str">
        <f t="shared" ref="C730:C735" si="797">C729</f>
        <v>CH</v>
      </c>
      <c r="D730" t="s">
        <v>436</v>
      </c>
      <c r="E730" s="5" t="s">
        <v>240</v>
      </c>
      <c r="F730" s="14" t="str">
        <f>IFERROR(F716/F724,"-")</f>
        <v>-</v>
      </c>
      <c r="G730" s="14" t="str">
        <f t="shared" ref="G730:K730" si="798">IFERROR(G716/G724,"-")</f>
        <v>-</v>
      </c>
      <c r="H730" s="14" t="str">
        <f t="shared" si="798"/>
        <v>-</v>
      </c>
      <c r="I730" s="14" t="str">
        <f t="shared" si="798"/>
        <v>-</v>
      </c>
      <c r="J730" s="14" t="str">
        <f t="shared" si="798"/>
        <v>-</v>
      </c>
      <c r="K730" s="14" t="str">
        <f t="shared" si="798"/>
        <v>-</v>
      </c>
      <c r="L730" s="14" t="str">
        <f t="shared" ref="L730" si="799">IFERROR(L716/L724,"-")</f>
        <v>-</v>
      </c>
      <c r="N730" s="1"/>
    </row>
    <row r="731" spans="2:14" x14ac:dyDescent="0.35">
      <c r="B731" s="5" t="str">
        <f t="shared" ref="B731:B735" si="800">B730</f>
        <v>SPS1</v>
      </c>
      <c r="C731" s="5" t="str">
        <f t="shared" si="797"/>
        <v>CH</v>
      </c>
      <c r="D731" t="s">
        <v>437</v>
      </c>
      <c r="E731" s="5" t="s">
        <v>240</v>
      </c>
      <c r="F731" s="16" t="str">
        <f>IFERROR(F718/F726,"-")</f>
        <v>-</v>
      </c>
      <c r="G731" s="16" t="str">
        <f t="shared" ref="G731:K731" si="801">IFERROR(G718/G726,"-")</f>
        <v>-</v>
      </c>
      <c r="H731" s="16" t="str">
        <f t="shared" si="801"/>
        <v>-</v>
      </c>
      <c r="I731" s="16" t="str">
        <f t="shared" si="801"/>
        <v>-</v>
      </c>
      <c r="J731" s="16" t="str">
        <f t="shared" si="801"/>
        <v>-</v>
      </c>
      <c r="K731" s="16" t="str">
        <f t="shared" si="801"/>
        <v>-</v>
      </c>
      <c r="L731" s="16" t="str">
        <f t="shared" ref="L731" si="802">IFERROR(L718/L726,"-")</f>
        <v>-</v>
      </c>
      <c r="M731" s="9"/>
      <c r="N731" s="1"/>
    </row>
    <row r="732" spans="2:14" x14ac:dyDescent="0.35">
      <c r="B732" s="5" t="str">
        <f t="shared" si="800"/>
        <v>SPS1</v>
      </c>
      <c r="C732" s="5" t="str">
        <f t="shared" si="797"/>
        <v>CH</v>
      </c>
      <c r="D732" t="s">
        <v>438</v>
      </c>
      <c r="E732" s="5" t="s">
        <v>240</v>
      </c>
      <c r="F732" s="16" t="str">
        <f>IFERROR(F719/F727,"-")</f>
        <v>-</v>
      </c>
      <c r="G732" s="16" t="str">
        <f t="shared" ref="G732:K732" si="803">IFERROR(G719/G727,"-")</f>
        <v>-</v>
      </c>
      <c r="H732" s="16" t="str">
        <f t="shared" si="803"/>
        <v>-</v>
      </c>
      <c r="I732" s="16" t="str">
        <f t="shared" si="803"/>
        <v>-</v>
      </c>
      <c r="J732" s="16" t="str">
        <f t="shared" si="803"/>
        <v>-</v>
      </c>
      <c r="K732" s="16" t="str">
        <f t="shared" si="803"/>
        <v>-</v>
      </c>
      <c r="L732" s="16" t="str">
        <f t="shared" ref="L732" si="804">IFERROR(L719/L727,"-")</f>
        <v>-</v>
      </c>
      <c r="M732" s="9"/>
      <c r="N732" s="1"/>
    </row>
    <row r="733" spans="2:14" x14ac:dyDescent="0.35">
      <c r="B733" s="5" t="str">
        <f t="shared" si="800"/>
        <v>SPS1</v>
      </c>
      <c r="C733" s="5" t="str">
        <f t="shared" si="797"/>
        <v>CH</v>
      </c>
      <c r="D733" t="s">
        <v>439</v>
      </c>
      <c r="E733" s="5" t="s">
        <v>240</v>
      </c>
      <c r="F733" s="16" t="str">
        <f>IFERROR(F720/F728,"-")</f>
        <v>-</v>
      </c>
      <c r="G733" s="16" t="str">
        <f t="shared" ref="G733:K733" si="805">IFERROR(G720/G728,"-")</f>
        <v>-</v>
      </c>
      <c r="H733" s="16" t="str">
        <f t="shared" si="805"/>
        <v>-</v>
      </c>
      <c r="I733" s="16" t="str">
        <f t="shared" si="805"/>
        <v>-</v>
      </c>
      <c r="J733" s="16" t="str">
        <f t="shared" si="805"/>
        <v>-</v>
      </c>
      <c r="K733" s="16" t="str">
        <f t="shared" si="805"/>
        <v>-</v>
      </c>
      <c r="L733" s="16" t="str">
        <f t="shared" ref="L733" si="806">IFERROR(L720/L728,"-")</f>
        <v>-</v>
      </c>
      <c r="M733" s="9"/>
      <c r="N733" s="1"/>
    </row>
    <row r="734" spans="2:14" x14ac:dyDescent="0.35">
      <c r="B734" s="5" t="str">
        <f t="shared" si="800"/>
        <v>SPS1</v>
      </c>
      <c r="C734" s="5" t="str">
        <f t="shared" si="797"/>
        <v>CH</v>
      </c>
      <c r="D734" s="2" t="s">
        <v>444</v>
      </c>
      <c r="E734" s="9" t="s">
        <v>442</v>
      </c>
      <c r="F734" s="17">
        <f>F735</f>
        <v>0</v>
      </c>
      <c r="G734" s="17">
        <f t="shared" ref="G734" si="807">G735</f>
        <v>0</v>
      </c>
      <c r="H734" s="17">
        <f t="shared" ref="H734" si="808">H735</f>
        <v>0</v>
      </c>
      <c r="I734" s="17">
        <f t="shared" ref="I734" si="809">I735</f>
        <v>0</v>
      </c>
      <c r="J734" s="17">
        <f t="shared" ref="J734" si="810">J735</f>
        <v>0</v>
      </c>
      <c r="K734" s="17">
        <f t="shared" ref="K734:L734" si="811">K735</f>
        <v>0</v>
      </c>
      <c r="L734" s="17">
        <f t="shared" si="811"/>
        <v>0</v>
      </c>
      <c r="M734" s="9"/>
      <c r="N734" s="1"/>
    </row>
    <row r="735" spans="2:14" x14ac:dyDescent="0.35">
      <c r="B735" s="5" t="str">
        <f t="shared" si="800"/>
        <v>SPS1</v>
      </c>
      <c r="C735" s="5" t="str">
        <f t="shared" si="797"/>
        <v>CH</v>
      </c>
      <c r="D735" t="s">
        <v>443</v>
      </c>
      <c r="E735" s="5" t="s">
        <v>442</v>
      </c>
      <c r="F735" s="18">
        <f>SUM(F739,F741)</f>
        <v>0</v>
      </c>
      <c r="G735" s="18">
        <f t="shared" ref="G735" si="812">SUM(G739,G741)</f>
        <v>0</v>
      </c>
      <c r="H735" s="18">
        <f t="shared" ref="H735" si="813">SUM(H739,H741)</f>
        <v>0</v>
      </c>
      <c r="I735" s="18">
        <f t="shared" ref="I735" si="814">SUM(I739,I741)</f>
        <v>0</v>
      </c>
      <c r="J735" s="18">
        <f t="shared" ref="J735" si="815">SUM(J739,J741)</f>
        <v>0</v>
      </c>
      <c r="K735" s="18">
        <f t="shared" ref="K735:L735" si="816">SUM(K739,K741)</f>
        <v>0</v>
      </c>
      <c r="L735" s="18">
        <f t="shared" si="816"/>
        <v>0</v>
      </c>
      <c r="M735" s="9"/>
      <c r="N735" s="1"/>
    </row>
    <row r="736" spans="2:14" x14ac:dyDescent="0.35">
      <c r="B736" s="5" t="str">
        <f t="shared" ref="B736:C738" si="817">B735</f>
        <v>SPS1</v>
      </c>
      <c r="C736" s="5" t="str">
        <f t="shared" si="817"/>
        <v>CH</v>
      </c>
      <c r="D736" t="s">
        <v>445</v>
      </c>
      <c r="E736" s="5" t="s">
        <v>442</v>
      </c>
      <c r="F736" s="18">
        <v>0</v>
      </c>
      <c r="G736" s="18">
        <v>0</v>
      </c>
      <c r="H736" s="18">
        <v>0</v>
      </c>
      <c r="I736" s="18">
        <v>0</v>
      </c>
      <c r="J736" s="18">
        <f>IFERROR(SUMPRODUCT(("CHPWSTCCS"=[2]OUT_CO2util!$C$3:$C$1000)*1+("EWOD-CCS"=[2]OUT_CO2util!$C$3:$C$1000)*1+("SUP_WODH2CCS"=[2]OUT_CO2util!$C$3:$C$1000)*1+("EWSTINCCS"=[2]OUT_CO2util!$C$3:$C$1000)*1,("Var_fout"=[2]OUT_CO2util!$B$3:$B$1000)*1,("CO2_O"=[2]OUT_CO2util!$A$3:$A$1000)*1,[2]OUT_CO2util!D$3:D$1000)/SUMPRODUCT(("Var_fout"=[2]OUT_CO2util!$B$3:$B$1000)*1,("CO2_O"=[2]OUT_CO2util!$A$3:$A$1000)*1,[2]OUT_CO2util!D$3:D$1000)*J735,0)</f>
        <v>0</v>
      </c>
      <c r="K736" s="18">
        <f>IFERROR(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E$3:E$1000)/SUMPRODUCT(("Var_fout"=[2]OUT_CO2util!$B$3:$B$1000)*1,("CO2_O"=[2]OUT_CO2util!$A$3:$A$1000)*1,[2]OUT_CO2util!E$3:E$1000)*K735,0)</f>
        <v>0</v>
      </c>
      <c r="L736" s="18">
        <f>IFERROR(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M736" s="9"/>
      <c r="N736" s="1"/>
    </row>
    <row r="737" spans="2:14" x14ac:dyDescent="0.35">
      <c r="B737" s="5" t="str">
        <f t="shared" si="817"/>
        <v>SPS1</v>
      </c>
      <c r="C737" s="5" t="str">
        <f t="shared" si="817"/>
        <v>CH</v>
      </c>
      <c r="D737" t="s">
        <v>446</v>
      </c>
      <c r="E737" s="5" t="s">
        <v>442</v>
      </c>
      <c r="F737" s="18">
        <v>0</v>
      </c>
      <c r="G737" s="18">
        <v>0</v>
      </c>
      <c r="H737" s="18">
        <v>0</v>
      </c>
      <c r="I737" s="18">
        <v>0</v>
      </c>
      <c r="J737" s="18">
        <f>IFERROR(J735-J736-J738,0)</f>
        <v>0</v>
      </c>
      <c r="K737" s="18">
        <f>IFERROR(K735-K736-K738,0)</f>
        <v>0</v>
      </c>
      <c r="L737" s="18">
        <f>IFERROR(L735-L736-L738,0)</f>
        <v>0</v>
      </c>
      <c r="M737" s="9"/>
      <c r="N737" s="1"/>
    </row>
    <row r="738" spans="2:14" x14ac:dyDescent="0.35">
      <c r="B738" s="5" t="str">
        <f t="shared" si="817"/>
        <v>SPS1</v>
      </c>
      <c r="C738" s="5" t="str">
        <f t="shared" si="817"/>
        <v>CH</v>
      </c>
      <c r="D738" t="s">
        <v>455</v>
      </c>
      <c r="E738" s="5" t="s">
        <v>442</v>
      </c>
      <c r="F738" s="18">
        <v>0</v>
      </c>
      <c r="G738" s="18">
        <v>0</v>
      </c>
      <c r="H738" s="18">
        <v>0</v>
      </c>
      <c r="I738" s="18">
        <v>0</v>
      </c>
      <c r="J738" s="18">
        <f>IFERROR(SUMPRODUCT(("SUP_DAC"=[2]OUT_CO2util!$C$3:$C$1000)*1,("Var_fout"=[2]OUT_CO2util!$B$3:$B$1000)*1,("CO2_O"=[2]OUT_CO2util!$A$3:$A$1000)*1,[2]OUT_CO2util!D$3:D$1000)/SUMPRODUCT(("Var_fout"=[2]OUT_CO2util!$B$3:$B$1000)*1,("CO2_O"=[2]OUT_CO2util!$A$3:$A$1000)*1,[2]OUT_CO2util!D$3:D$1000)*J735,0)</f>
        <v>0</v>
      </c>
      <c r="K738" s="18">
        <f>IFERROR(SUMPRODUCT(("SUP_DAC"=[2]OUT_CO2util!$C$3:$C$1000)*1,("Var_fout"=[2]OUT_CO2util!$B$3:$B$1000)*1,("CO2_O"=[2]OUT_CO2util!$A$3:$A$1000)*1,[2]OUT_CO2util!E$3:E$1000)/SUMPRODUCT(("Var_fout"=[2]OUT_CO2util!$B$3:$B$1000)*1,("CO2_O"=[2]OUT_CO2util!$A$3:$A$1000)*1,[2]OUT_CO2util!E$3:E$1000)*K735,0)</f>
        <v>0</v>
      </c>
      <c r="L738" s="18">
        <f>IFERROR(SUMPRODUCT(("SUP_DAC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N738" s="1"/>
    </row>
    <row r="739" spans="2:14" x14ac:dyDescent="0.35">
      <c r="B739" s="5" t="str">
        <f>B735</f>
        <v>SPS1</v>
      </c>
      <c r="C739" s="5" t="str">
        <f>C735</f>
        <v>CH</v>
      </c>
      <c r="D739" t="s">
        <v>931</v>
      </c>
      <c r="E739" s="5" t="s">
        <v>442</v>
      </c>
      <c r="F739" s="18">
        <f>F740</f>
        <v>0</v>
      </c>
      <c r="G739" s="18">
        <f t="shared" ref="G739" si="818">G740</f>
        <v>0</v>
      </c>
      <c r="H739" s="18">
        <f t="shared" ref="H739" si="819">H740</f>
        <v>0</v>
      </c>
      <c r="I739" s="18">
        <f t="shared" ref="I739" si="820">I740</f>
        <v>0</v>
      </c>
      <c r="J739" s="18">
        <f t="shared" ref="J739" si="821">J740</f>
        <v>0</v>
      </c>
      <c r="K739" s="18">
        <f t="shared" ref="K739:L739" si="822">K740</f>
        <v>0</v>
      </c>
      <c r="L739" s="18">
        <f t="shared" si="822"/>
        <v>0</v>
      </c>
      <c r="N739" s="1"/>
    </row>
    <row r="740" spans="2:14" x14ac:dyDescent="0.35">
      <c r="B740" s="5" t="str">
        <f>B739</f>
        <v>SPS1</v>
      </c>
      <c r="C740" s="5" t="str">
        <f>C739</f>
        <v>CH</v>
      </c>
      <c r="D740" t="s">
        <v>451</v>
      </c>
      <c r="E740" s="5" t="s">
        <v>442</v>
      </c>
      <c r="F740" s="10" cm="1">
        <f t="array" ref="F740">SUMPRODUCT(("SUP_H2NGA"=[1]OUT_SyntheticFuels!$C$4:$C$1000)*1,("CO2_M"=[1]OUT_SyntheticFuels!$A$4:$A$1000)*1,("Var_Fin"=[1]OUT_SyntheticFuels!$B$4:$B$1000)*1,[1]OUT_SyntheticFuels!E$4:E$1000)/1000</f>
        <v>0</v>
      </c>
      <c r="G740" s="10" cm="1">
        <f t="array" ref="G740">SUMPRODUCT(("SUP_H2NGA"=[1]OUT_SyntheticFuels!$C$4:$C$1000)*1,("CO2_M"=[1]OUT_SyntheticFuels!$A$4:$A$1000)*1,("Var_Fin"=[1]OUT_SyntheticFuels!$B$4:$B$1000)*1,[1]OUT_SyntheticFuels!F$4:F$1000)/1000</f>
        <v>0</v>
      </c>
      <c r="H740" s="10" cm="1">
        <f t="array" ref="H740">SUMPRODUCT(("SUP_H2NGA"=[1]OUT_SyntheticFuels!$C$4:$C$1000)*1,("CO2_M"=[1]OUT_SyntheticFuels!$A$4:$A$1000)*1,("Var_Fin"=[1]OUT_SyntheticFuels!$B$4:$B$1000)*1,[1]OUT_SyntheticFuels!G$4:G$1000)/1000</f>
        <v>0</v>
      </c>
      <c r="I740" s="10" cm="1">
        <f t="array" ref="I740">SUMPRODUCT(("SUP_H2NGA"=[1]OUT_SyntheticFuels!$C$4:$C$1000)*1,("CO2_M"=[1]OUT_SyntheticFuels!$A$4:$A$1000)*1,("Var_Fin"=[1]OUT_SyntheticFuels!$B$4:$B$1000)*1,[1]OUT_SyntheticFuels!H$4:H$1000)/1000</f>
        <v>0</v>
      </c>
      <c r="J740" s="10" cm="1">
        <f t="array" ref="J740">SUMPRODUCT(("SUP_H2NGA"=[2]OUT_SyntheticFuels!$C$4:$C$1000)*1,("CO2_M"=[2]OUT_SyntheticFuels!$A$4:$A$1000)*1,("Var_Fin"=[2]OUT_SyntheticFuels!$B$4:$B$1000)*1,[2]OUT_SyntheticFuels!I$4:I$1000)/1000</f>
        <v>0</v>
      </c>
      <c r="K740" s="10" cm="1">
        <f t="array" ref="K740">SUMPRODUCT(("SUP_H2NGA"=[2]OUT_SyntheticFuels!$C$4:$C$1000)*1,("CO2_M"=[2]OUT_SyntheticFuels!$A$4:$A$1000)*1,("Var_Fin"=[2]OUT_SyntheticFuels!$B$4:$B$1000)*1,[2]OUT_SyntheticFuels!J$4:J$1000)/1000</f>
        <v>0</v>
      </c>
      <c r="L740" s="10" cm="1">
        <f t="array" ref="L740">SUMPRODUCT(("SUP_H2NGA"=[2]OUT_SyntheticFuels!$C$4:$C$1000)*1,("CO2_M"=[2]OUT_SyntheticFuels!$A$4:$A$1000)*1,("Var_Fin"=[2]OUT_SyntheticFuels!$B$4:$B$1000)*1,[2]OUT_SyntheticFuels!K$4:K$1000)/1000</f>
        <v>0</v>
      </c>
      <c r="N740" s="1"/>
    </row>
    <row r="741" spans="2:14" x14ac:dyDescent="0.35">
      <c r="B741" s="5" t="str">
        <f t="shared" ref="B741:B744" si="823">B740</f>
        <v>SPS1</v>
      </c>
      <c r="C741" s="5" t="str">
        <f t="shared" ref="C741:C744" si="824">C740</f>
        <v>CH</v>
      </c>
      <c r="D741" t="s">
        <v>932</v>
      </c>
      <c r="E741" s="5" t="s">
        <v>442</v>
      </c>
      <c r="F741" s="18">
        <f>SUM(F742:F744)</f>
        <v>0</v>
      </c>
      <c r="G741" s="18">
        <f t="shared" ref="G741" si="825">SUM(G742:G744)</f>
        <v>0</v>
      </c>
      <c r="H741" s="18">
        <f t="shared" ref="H741" si="826">SUM(H742:H744)</f>
        <v>0</v>
      </c>
      <c r="I741" s="18">
        <f t="shared" ref="I741" si="827">SUM(I742:I744)</f>
        <v>0</v>
      </c>
      <c r="J741" s="18">
        <f t="shared" ref="J741" si="828">SUM(J742:J744)</f>
        <v>0</v>
      </c>
      <c r="K741" s="18">
        <f t="shared" ref="K741:L741" si="829">SUM(K742:K744)</f>
        <v>0</v>
      </c>
      <c r="L741" s="18">
        <f t="shared" si="829"/>
        <v>0</v>
      </c>
      <c r="N741" s="1"/>
    </row>
    <row r="742" spans="2:14" x14ac:dyDescent="0.35">
      <c r="B742" s="5" t="str">
        <f t="shared" si="823"/>
        <v>SPS1</v>
      </c>
      <c r="C742" s="5" t="str">
        <f t="shared" si="824"/>
        <v>CH</v>
      </c>
      <c r="D742" t="s">
        <v>452</v>
      </c>
      <c r="E742" s="5" t="s">
        <v>442</v>
      </c>
      <c r="F742" s="10" cm="1">
        <f t="array" ref="F742">SUMPRODUCT(("SUP_H2DSL"=[1]OUT_SyntheticFuels!$C$4:$C$1000)*1,("co2_m"=[1]OUT_SyntheticFuels!$A$4:$A$1000)*1,("Var_Fin"=[1]OUT_SyntheticFuels!$B$4:$B$1000)*1,[1]OUT_SyntheticFuels!E$4:E$1000)*IFERROR(F718/SUM(F718,F720),0)/1000</f>
        <v>0</v>
      </c>
      <c r="G742" s="10" cm="1">
        <f t="array" ref="G742">SUMPRODUCT(("SUP_H2DSL"=[1]OUT_SyntheticFuels!$C$4:$C$1000)*1,("co2_m"=[1]OUT_SyntheticFuels!$A$4:$A$1000)*1,("Var_Fin"=[1]OUT_SyntheticFuels!$B$4:$B$1000)*1,[1]OUT_SyntheticFuels!F$4:F$1000)*IFERROR(G718/SUM(G718,G720),0)/1000</f>
        <v>0</v>
      </c>
      <c r="H742" s="10" cm="1">
        <f t="array" ref="H742">SUMPRODUCT(("SUP_H2DSL"=[1]OUT_SyntheticFuels!$C$4:$C$1000)*1,("co2_m"=[1]OUT_SyntheticFuels!$A$4:$A$1000)*1,("Var_Fin"=[1]OUT_SyntheticFuels!$B$4:$B$1000)*1,[1]OUT_SyntheticFuels!G$4:G$1000)*IFERROR(H718/SUM(H718,H720),0)/1000</f>
        <v>0</v>
      </c>
      <c r="I742" s="10" cm="1">
        <f t="array" ref="I742">SUMPRODUCT(("SUP_H2DSL"=[1]OUT_SyntheticFuels!$C$4:$C$1000)*1,("co2_m"=[1]OUT_SyntheticFuels!$A$4:$A$1000)*1,("Var_Fin"=[1]OUT_SyntheticFuels!$B$4:$B$1000)*1,[1]OUT_SyntheticFuels!H$4:H$1000)*IFERROR(I718/SUM(I718,I720),0)/1000</f>
        <v>0</v>
      </c>
      <c r="J742" s="10" cm="1">
        <f t="array" ref="J742">SUMPRODUCT(("SUP_H2DSL"=[2]OUT_SyntheticFuels!$C$4:$C$1000)*1,("co2_m"=[2]OUT_SyntheticFuels!$A$4:$A$1000)*1,("Var_Fin"=[2]OUT_SyntheticFuels!$B$4:$B$1000)*1,[2]OUT_SyntheticFuels!I$4:I$1000)*IFERROR(J718/SUM(J718,J720),0)/1000</f>
        <v>0</v>
      </c>
      <c r="K742" s="10" cm="1">
        <f t="array" ref="K742">SUMPRODUCT(("SUP_H2DSL"=[2]OUT_SyntheticFuels!$C$4:$C$1000)*1,("co2_m"=[2]OUT_SyntheticFuels!$A$4:$A$1000)*1,("Var_Fin"=[2]OUT_SyntheticFuels!$B$4:$B$1000)*1,[2]OUT_SyntheticFuels!J$4:J$1000)*IFERROR(K718/SUM(K718,K720),0)/1000</f>
        <v>0</v>
      </c>
      <c r="L742" s="10" cm="1">
        <f t="array" ref="L742">SUMPRODUCT(("SUP_H2DSL"=[2]OUT_SyntheticFuels!$C$4:$C$1000)*1,("co2_m"=[2]OUT_SyntheticFuels!$A$4:$A$1000)*1,("Var_Fin"=[2]OUT_SyntheticFuels!$B$4:$B$1000)*1,[2]OUT_SyntheticFuels!K$4:K$1000)*IFERROR(L718/SUM(L718,L720),0)/1000</f>
        <v>0</v>
      </c>
      <c r="N742" s="1"/>
    </row>
    <row r="743" spans="2:14" x14ac:dyDescent="0.35">
      <c r="B743" s="5" t="str">
        <f t="shared" si="823"/>
        <v>SPS1</v>
      </c>
      <c r="C743" s="5" t="str">
        <f t="shared" si="824"/>
        <v>CH</v>
      </c>
      <c r="D743" t="s">
        <v>453</v>
      </c>
      <c r="E743" s="5" t="s">
        <v>442</v>
      </c>
      <c r="F743" s="10" cm="1">
        <f t="array" ref="F743">SUMPRODUCT(("SUP_H2GSL"=[1]OUT_SyntheticFuels!$C$4:$C$1000)*1,("co2_m"=[1]OUT_SyntheticFuels!$A$4:$A$1000)*1,("Var_Fin"=[1]OUT_SyntheticFuels!$B$4:$B$1000)*1,[1]OUT_SyntheticFuels!E$4:E$1000)/1000</f>
        <v>0</v>
      </c>
      <c r="G743" s="10" cm="1">
        <f t="array" ref="G743">SUMPRODUCT(("SUP_H2GSL"=[1]OUT_SyntheticFuels!$C$4:$C$1000)*1,("co2_m"=[1]OUT_SyntheticFuels!$A$4:$A$1000)*1,("Var_Fin"=[1]OUT_SyntheticFuels!$B$4:$B$1000)*1,[1]OUT_SyntheticFuels!F$4:F$1000)/1000</f>
        <v>0</v>
      </c>
      <c r="H743" s="10" cm="1">
        <f t="array" ref="H743">SUMPRODUCT(("SUP_H2GSL"=[1]OUT_SyntheticFuels!$C$4:$C$1000)*1,("co2_m"=[1]OUT_SyntheticFuels!$A$4:$A$1000)*1,("Var_Fin"=[1]OUT_SyntheticFuels!$B$4:$B$1000)*1,[1]OUT_SyntheticFuels!G$4:G$1000)/1000</f>
        <v>0</v>
      </c>
      <c r="I743" s="10" cm="1">
        <f t="array" ref="I743">SUMPRODUCT(("SUP_H2GSL"=[1]OUT_SyntheticFuels!$C$4:$C$1000)*1,("co2_m"=[1]OUT_SyntheticFuels!$A$4:$A$1000)*1,("Var_Fin"=[1]OUT_SyntheticFuels!$B$4:$B$1000)*1,[1]OUT_SyntheticFuels!H$4:H$1000)/1000</f>
        <v>0</v>
      </c>
      <c r="J743" s="10" cm="1">
        <f t="array" ref="J743">SUMPRODUCT(("SUP_H2GSL"=[2]OUT_SyntheticFuels!$C$4:$C$1000)*1,("co2_m"=[2]OUT_SyntheticFuels!$A$4:$A$1000)*1,("Var_Fin"=[2]OUT_SyntheticFuels!$B$4:$B$1000)*1,[2]OUT_SyntheticFuels!I$4:I$1000)/1000</f>
        <v>0</v>
      </c>
      <c r="K743" s="10" cm="1">
        <f t="array" ref="K743">SUMPRODUCT(("SUP_H2GSL"=[2]OUT_SyntheticFuels!$C$4:$C$1000)*1,("co2_m"=[2]OUT_SyntheticFuels!$A$4:$A$1000)*1,("Var_Fin"=[2]OUT_SyntheticFuels!$B$4:$B$1000)*1,[2]OUT_SyntheticFuels!J$4:J$1000)/1000</f>
        <v>0</v>
      </c>
      <c r="L743" s="10" cm="1">
        <f t="array" ref="L743">SUMPRODUCT(("SUP_H2GSL"=[2]OUT_SyntheticFuels!$C$4:$C$1000)*1,("co2_m"=[2]OUT_SyntheticFuels!$A$4:$A$1000)*1,("Var_Fin"=[2]OUT_SyntheticFuels!$B$4:$B$1000)*1,[2]OUT_SyntheticFuels!K$4:K$1000)/1000</f>
        <v>0</v>
      </c>
      <c r="M743" s="9"/>
      <c r="N743" s="1"/>
    </row>
    <row r="744" spans="2:14" x14ac:dyDescent="0.35">
      <c r="B744" s="5" t="str">
        <f t="shared" si="823"/>
        <v>SPS1</v>
      </c>
      <c r="C744" s="5" t="str">
        <f t="shared" si="824"/>
        <v>CH</v>
      </c>
      <c r="D744" t="s">
        <v>454</v>
      </c>
      <c r="E744" s="5" t="s">
        <v>442</v>
      </c>
      <c r="F744" s="10" cm="1">
        <f t="array" ref="F744">SUMPRODUCT(("SUP_H2DSL"=[1]OUT_SyntheticFuels!$C$4:$C$1000)*1,("co2_m"=[1]OUT_SyntheticFuels!$A$4:$A$1000)*1,("Var_Fin"=[1]OUT_SyntheticFuels!$B$4:$B$1000)*1,[1]OUT_SyntheticFuels!E$4:E$1000)/1000-F742</f>
        <v>0</v>
      </c>
      <c r="G744" s="10" cm="1">
        <f t="array" ref="G744">SUMPRODUCT(("SUP_H2DSL"=[1]OUT_SyntheticFuels!$C$4:$C$1000)*1,("co2_m"=[1]OUT_SyntheticFuels!$A$4:$A$1000)*1,("Var_Fin"=[1]OUT_SyntheticFuels!$B$4:$B$1000)*1,[1]OUT_SyntheticFuels!F$4:F$1000)/1000-G742</f>
        <v>0</v>
      </c>
      <c r="H744" s="10" cm="1">
        <f t="array" ref="H744">SUMPRODUCT(("SUP_H2DSL"=[1]OUT_SyntheticFuels!$C$4:$C$1000)*1,("co2_m"=[1]OUT_SyntheticFuels!$A$4:$A$1000)*1,("Var_Fin"=[1]OUT_SyntheticFuels!$B$4:$B$1000)*1,[1]OUT_SyntheticFuels!G$4:G$1000)/1000-H742</f>
        <v>0</v>
      </c>
      <c r="I744" s="10" cm="1">
        <f t="array" ref="I744">SUMPRODUCT(("SUP_H2DSL"=[1]OUT_SyntheticFuels!$C$4:$C$1000)*1,("co2_m"=[1]OUT_SyntheticFuels!$A$4:$A$1000)*1,("Var_Fin"=[1]OUT_SyntheticFuels!$B$4:$B$1000)*1,[1]OUT_SyntheticFuels!H$4:H$1000)/1000-I742</f>
        <v>0</v>
      </c>
      <c r="J744" s="10" cm="1">
        <f t="array" ref="J744">SUMPRODUCT(("SUP_H2DSL"=[2]OUT_SyntheticFuels!$C$4:$C$1000)*1,("co2_m"=[2]OUT_SyntheticFuels!$A$4:$A$1000)*1,("Var_Fin"=[2]OUT_SyntheticFuels!$B$4:$B$1000)*1,[2]OUT_SyntheticFuels!I$4:I$1000)/1000-J742</f>
        <v>0</v>
      </c>
      <c r="K744" s="10" cm="1">
        <f t="array" ref="K744">SUMPRODUCT(("SUP_H2DSL"=[2]OUT_SyntheticFuels!$C$4:$C$1000)*1,("co2_m"=[2]OUT_SyntheticFuels!$A$4:$A$1000)*1,("Var_Fin"=[2]OUT_SyntheticFuels!$B$4:$B$1000)*1,[2]OUT_SyntheticFuels!J$4:J$1000)/1000-K742</f>
        <v>0</v>
      </c>
      <c r="L744" s="10" cm="1">
        <f t="array" ref="L744">SUMPRODUCT(("SUP_H2DSL"=[2]OUT_SyntheticFuels!$C$4:$C$1000)*1,("co2_m"=[2]OUT_SyntheticFuels!$A$4:$A$1000)*1,("Var_Fin"=[2]OUT_SyntheticFuels!$B$4:$B$1000)*1,[2]OUT_SyntheticFuels!K$4:K$1000)/1000-L742</f>
        <v>0</v>
      </c>
      <c r="M744" s="9"/>
      <c r="N744" s="1"/>
    </row>
    <row r="745" spans="2:14" x14ac:dyDescent="0.35">
      <c r="B745" s="5" t="str">
        <f>B741</f>
        <v>SPS1</v>
      </c>
      <c r="C745" s="5" t="str">
        <f>C741</f>
        <v>CH</v>
      </c>
      <c r="D745" t="s">
        <v>933</v>
      </c>
      <c r="E745" s="5" t="s">
        <v>442</v>
      </c>
      <c r="F745" s="18">
        <f>IFERROR(F$736/F$735,0)*F739</f>
        <v>0</v>
      </c>
      <c r="G745" s="18">
        <f t="shared" ref="G745:K745" si="830">IFERROR(G$736/G$735,0)*G739</f>
        <v>0</v>
      </c>
      <c r="H745" s="18">
        <f t="shared" si="830"/>
        <v>0</v>
      </c>
      <c r="I745" s="18">
        <f t="shared" si="830"/>
        <v>0</v>
      </c>
      <c r="J745" s="18">
        <f t="shared" si="830"/>
        <v>0</v>
      </c>
      <c r="K745" s="18">
        <f t="shared" si="830"/>
        <v>0</v>
      </c>
      <c r="L745" s="18">
        <f t="shared" ref="L745" si="831">IFERROR(L$736/L$735,0)*L739</f>
        <v>0</v>
      </c>
      <c r="N745" s="1"/>
    </row>
    <row r="746" spans="2:14" x14ac:dyDescent="0.35">
      <c r="B746" s="5" t="str">
        <f>B745</f>
        <v>SPS1</v>
      </c>
      <c r="C746" s="5" t="str">
        <f>C745</f>
        <v>CH</v>
      </c>
      <c r="D746" t="s">
        <v>456</v>
      </c>
      <c r="E746" s="5" t="s">
        <v>442</v>
      </c>
      <c r="F746" s="18">
        <f t="shared" ref="F746:K746" si="832">IFERROR(F$736/F$735,0)*F740</f>
        <v>0</v>
      </c>
      <c r="G746" s="18">
        <f t="shared" si="832"/>
        <v>0</v>
      </c>
      <c r="H746" s="18">
        <f t="shared" si="832"/>
        <v>0</v>
      </c>
      <c r="I746" s="18">
        <f t="shared" si="832"/>
        <v>0</v>
      </c>
      <c r="J746" s="18">
        <f t="shared" si="832"/>
        <v>0</v>
      </c>
      <c r="K746" s="18">
        <f t="shared" si="832"/>
        <v>0</v>
      </c>
      <c r="L746" s="18">
        <f t="shared" ref="L746" si="833">IFERROR(L$736/L$735,0)*L740</f>
        <v>0</v>
      </c>
      <c r="N746" s="1"/>
    </row>
    <row r="747" spans="2:14" x14ac:dyDescent="0.35">
      <c r="B747" s="5" t="str">
        <f t="shared" ref="B747:B750" si="834">B746</f>
        <v>SPS1</v>
      </c>
      <c r="C747" s="5" t="str">
        <f t="shared" ref="C747:C750" si="835">C746</f>
        <v>CH</v>
      </c>
      <c r="D747" t="s">
        <v>934</v>
      </c>
      <c r="E747" s="5" t="s">
        <v>442</v>
      </c>
      <c r="F747" s="18">
        <f t="shared" ref="F747:K747" si="836">IFERROR(F$736/F$735,0)*F741</f>
        <v>0</v>
      </c>
      <c r="G747" s="18">
        <f t="shared" si="836"/>
        <v>0</v>
      </c>
      <c r="H747" s="18">
        <f t="shared" si="836"/>
        <v>0</v>
      </c>
      <c r="I747" s="18">
        <f t="shared" si="836"/>
        <v>0</v>
      </c>
      <c r="J747" s="18">
        <f t="shared" si="836"/>
        <v>0</v>
      </c>
      <c r="K747" s="18">
        <f t="shared" si="836"/>
        <v>0</v>
      </c>
      <c r="L747" s="18">
        <f t="shared" ref="L747" si="837">IFERROR(L$736/L$735,0)*L741</f>
        <v>0</v>
      </c>
      <c r="N747" s="1"/>
    </row>
    <row r="748" spans="2:14" x14ac:dyDescent="0.35">
      <c r="B748" s="5" t="str">
        <f t="shared" si="834"/>
        <v>SPS1</v>
      </c>
      <c r="C748" s="5" t="str">
        <f t="shared" si="835"/>
        <v>CH</v>
      </c>
      <c r="D748" t="s">
        <v>457</v>
      </c>
      <c r="E748" s="5" t="s">
        <v>442</v>
      </c>
      <c r="F748" s="18">
        <f t="shared" ref="F748:K748" si="838">IFERROR(F$736/F$735,0)*F742</f>
        <v>0</v>
      </c>
      <c r="G748" s="18">
        <f t="shared" si="838"/>
        <v>0</v>
      </c>
      <c r="H748" s="18">
        <f t="shared" si="838"/>
        <v>0</v>
      </c>
      <c r="I748" s="18">
        <f t="shared" si="838"/>
        <v>0</v>
      </c>
      <c r="J748" s="18">
        <f t="shared" si="838"/>
        <v>0</v>
      </c>
      <c r="K748" s="18">
        <f t="shared" si="838"/>
        <v>0</v>
      </c>
      <c r="L748" s="18">
        <f t="shared" ref="L748" si="839">IFERROR(L$736/L$735,0)*L742</f>
        <v>0</v>
      </c>
      <c r="N748" s="1"/>
    </row>
    <row r="749" spans="2:14" x14ac:dyDescent="0.35">
      <c r="B749" s="5" t="str">
        <f t="shared" si="834"/>
        <v>SPS1</v>
      </c>
      <c r="C749" s="5" t="str">
        <f t="shared" si="835"/>
        <v>CH</v>
      </c>
      <c r="D749" t="s">
        <v>458</v>
      </c>
      <c r="E749" s="5" t="s">
        <v>442</v>
      </c>
      <c r="F749" s="18">
        <f t="shared" ref="F749:K749" si="840">IFERROR(F$736/F$735,0)*F743</f>
        <v>0</v>
      </c>
      <c r="G749" s="18">
        <f t="shared" si="840"/>
        <v>0</v>
      </c>
      <c r="H749" s="18">
        <f t="shared" si="840"/>
        <v>0</v>
      </c>
      <c r="I749" s="18">
        <f t="shared" si="840"/>
        <v>0</v>
      </c>
      <c r="J749" s="18">
        <f t="shared" si="840"/>
        <v>0</v>
      </c>
      <c r="K749" s="18">
        <f t="shared" si="840"/>
        <v>0</v>
      </c>
      <c r="L749" s="18">
        <f t="shared" ref="L749" si="841">IFERROR(L$736/L$735,0)*L743</f>
        <v>0</v>
      </c>
      <c r="N749" s="1"/>
    </row>
    <row r="750" spans="2:14" x14ac:dyDescent="0.35">
      <c r="B750" s="5" t="str">
        <f t="shared" si="834"/>
        <v>SPS1</v>
      </c>
      <c r="C750" s="5" t="str">
        <f t="shared" si="835"/>
        <v>CH</v>
      </c>
      <c r="D750" t="s">
        <v>459</v>
      </c>
      <c r="E750" s="5" t="s">
        <v>442</v>
      </c>
      <c r="F750" s="18">
        <f t="shared" ref="F750:K750" si="842">IFERROR(F$736/F$735,0)*F744</f>
        <v>0</v>
      </c>
      <c r="G750" s="18">
        <f t="shared" si="842"/>
        <v>0</v>
      </c>
      <c r="H750" s="18">
        <f t="shared" si="842"/>
        <v>0</v>
      </c>
      <c r="I750" s="18">
        <f t="shared" si="842"/>
        <v>0</v>
      </c>
      <c r="J750" s="18">
        <f t="shared" si="842"/>
        <v>0</v>
      </c>
      <c r="K750" s="18">
        <f t="shared" si="842"/>
        <v>0</v>
      </c>
      <c r="L750" s="18">
        <f t="shared" ref="L750" si="843">IFERROR(L$736/L$735,0)*L744</f>
        <v>0</v>
      </c>
      <c r="N750" s="1"/>
    </row>
    <row r="751" spans="2:14" x14ac:dyDescent="0.35">
      <c r="B751" s="5" t="str">
        <f>B747</f>
        <v>SPS1</v>
      </c>
      <c r="C751" s="5" t="str">
        <f>C747</f>
        <v>CH</v>
      </c>
      <c r="D751" t="s">
        <v>935</v>
      </c>
      <c r="E751" s="5" t="s">
        <v>442</v>
      </c>
      <c r="F751" s="18">
        <f>IFERROR(F$737/F$735,0)*F739</f>
        <v>0</v>
      </c>
      <c r="G751" s="18">
        <f t="shared" ref="G751:K751" si="844">IFERROR(G$737/G$735,0)*G739</f>
        <v>0</v>
      </c>
      <c r="H751" s="18">
        <f t="shared" si="844"/>
        <v>0</v>
      </c>
      <c r="I751" s="18">
        <f t="shared" si="844"/>
        <v>0</v>
      </c>
      <c r="J751" s="18">
        <f t="shared" si="844"/>
        <v>0</v>
      </c>
      <c r="K751" s="18">
        <f t="shared" si="844"/>
        <v>0</v>
      </c>
      <c r="L751" s="18">
        <f t="shared" ref="L751" si="845">IFERROR(L$737/L$735,0)*L739</f>
        <v>0</v>
      </c>
      <c r="N751" s="1"/>
    </row>
    <row r="752" spans="2:14" x14ac:dyDescent="0.35">
      <c r="B752" s="5" t="str">
        <f>B751</f>
        <v>SPS1</v>
      </c>
      <c r="C752" s="5" t="str">
        <f>C751</f>
        <v>CH</v>
      </c>
      <c r="D752" t="s">
        <v>460</v>
      </c>
      <c r="E752" s="5" t="s">
        <v>442</v>
      </c>
      <c r="F752" s="18">
        <f t="shared" ref="F752:K752" si="846">IFERROR(F$737/F$735,0)*F740</f>
        <v>0</v>
      </c>
      <c r="G752" s="18">
        <f t="shared" si="846"/>
        <v>0</v>
      </c>
      <c r="H752" s="18">
        <f t="shared" si="846"/>
        <v>0</v>
      </c>
      <c r="I752" s="18">
        <f t="shared" si="846"/>
        <v>0</v>
      </c>
      <c r="J752" s="18">
        <f t="shared" si="846"/>
        <v>0</v>
      </c>
      <c r="K752" s="18">
        <f t="shared" si="846"/>
        <v>0</v>
      </c>
      <c r="L752" s="18">
        <f t="shared" ref="L752" si="847">IFERROR(L$737/L$735,0)*L740</f>
        <v>0</v>
      </c>
      <c r="N752" s="1"/>
    </row>
    <row r="753" spans="2:14" x14ac:dyDescent="0.35">
      <c r="B753" s="5" t="str">
        <f t="shared" ref="B753:B756" si="848">B752</f>
        <v>SPS1</v>
      </c>
      <c r="C753" s="5" t="str">
        <f t="shared" ref="C753:C756" si="849">C752</f>
        <v>CH</v>
      </c>
      <c r="D753" t="s">
        <v>936</v>
      </c>
      <c r="E753" s="5" t="s">
        <v>442</v>
      </c>
      <c r="F753" s="18">
        <f t="shared" ref="F753:K753" si="850">IFERROR(F$737/F$735,0)*F741</f>
        <v>0</v>
      </c>
      <c r="G753" s="18">
        <f t="shared" si="850"/>
        <v>0</v>
      </c>
      <c r="H753" s="18">
        <f t="shared" si="850"/>
        <v>0</v>
      </c>
      <c r="I753" s="18">
        <f t="shared" si="850"/>
        <v>0</v>
      </c>
      <c r="J753" s="18">
        <f t="shared" si="850"/>
        <v>0</v>
      </c>
      <c r="K753" s="18">
        <f t="shared" si="850"/>
        <v>0</v>
      </c>
      <c r="L753" s="18">
        <f t="shared" ref="L753" si="851">IFERROR(L$737/L$735,0)*L741</f>
        <v>0</v>
      </c>
      <c r="N753" s="1"/>
    </row>
    <row r="754" spans="2:14" x14ac:dyDescent="0.35">
      <c r="B754" s="5" t="str">
        <f t="shared" si="848"/>
        <v>SPS1</v>
      </c>
      <c r="C754" s="5" t="str">
        <f t="shared" si="849"/>
        <v>CH</v>
      </c>
      <c r="D754" t="s">
        <v>461</v>
      </c>
      <c r="E754" s="5" t="s">
        <v>442</v>
      </c>
      <c r="F754" s="18">
        <f t="shared" ref="F754:K754" si="852">IFERROR(F$737/F$735,0)*F742</f>
        <v>0</v>
      </c>
      <c r="G754" s="18">
        <f t="shared" si="852"/>
        <v>0</v>
      </c>
      <c r="H754" s="18">
        <f t="shared" si="852"/>
        <v>0</v>
      </c>
      <c r="I754" s="18">
        <f t="shared" si="852"/>
        <v>0</v>
      </c>
      <c r="J754" s="18">
        <f t="shared" si="852"/>
        <v>0</v>
      </c>
      <c r="K754" s="18">
        <f t="shared" si="852"/>
        <v>0</v>
      </c>
      <c r="L754" s="18">
        <f t="shared" ref="L754" si="853">IFERROR(L$737/L$735,0)*L742</f>
        <v>0</v>
      </c>
      <c r="N754" s="1"/>
    </row>
    <row r="755" spans="2:14" x14ac:dyDescent="0.35">
      <c r="B755" s="5" t="str">
        <f t="shared" si="848"/>
        <v>SPS1</v>
      </c>
      <c r="C755" s="5" t="str">
        <f t="shared" si="849"/>
        <v>CH</v>
      </c>
      <c r="D755" t="s">
        <v>462</v>
      </c>
      <c r="E755" s="5" t="s">
        <v>442</v>
      </c>
      <c r="F755" s="18">
        <f t="shared" ref="F755:K755" si="854">IFERROR(F$737/F$735,0)*F743</f>
        <v>0</v>
      </c>
      <c r="G755" s="18">
        <f t="shared" si="854"/>
        <v>0</v>
      </c>
      <c r="H755" s="18">
        <f t="shared" si="854"/>
        <v>0</v>
      </c>
      <c r="I755" s="18">
        <f t="shared" si="854"/>
        <v>0</v>
      </c>
      <c r="J755" s="18">
        <f t="shared" si="854"/>
        <v>0</v>
      </c>
      <c r="K755" s="18">
        <f t="shared" si="854"/>
        <v>0</v>
      </c>
      <c r="L755" s="18">
        <f t="shared" ref="L755" si="855">IFERROR(L$737/L$735,0)*L743</f>
        <v>0</v>
      </c>
      <c r="N755" s="1"/>
    </row>
    <row r="756" spans="2:14" x14ac:dyDescent="0.35">
      <c r="B756" s="5" t="str">
        <f t="shared" si="848"/>
        <v>SPS1</v>
      </c>
      <c r="C756" s="5" t="str">
        <f t="shared" si="849"/>
        <v>CH</v>
      </c>
      <c r="D756" t="s">
        <v>463</v>
      </c>
      <c r="E756" s="5" t="s">
        <v>442</v>
      </c>
      <c r="F756" s="18">
        <f t="shared" ref="F756:K756" si="856">IFERROR(F$737/F$735,0)*F744</f>
        <v>0</v>
      </c>
      <c r="G756" s="18">
        <f t="shared" si="856"/>
        <v>0</v>
      </c>
      <c r="H756" s="18">
        <f t="shared" si="856"/>
        <v>0</v>
      </c>
      <c r="I756" s="18">
        <f t="shared" si="856"/>
        <v>0</v>
      </c>
      <c r="J756" s="18">
        <f t="shared" si="856"/>
        <v>0</v>
      </c>
      <c r="K756" s="18">
        <f t="shared" si="856"/>
        <v>0</v>
      </c>
      <c r="L756" s="18">
        <f t="shared" ref="L756" si="857">IFERROR(L$737/L$735,0)*L744</f>
        <v>0</v>
      </c>
      <c r="N756" s="1"/>
    </row>
    <row r="757" spans="2:14" x14ac:dyDescent="0.35">
      <c r="B757" s="5" t="str">
        <f>B753</f>
        <v>SPS1</v>
      </c>
      <c r="C757" s="5" t="str">
        <f>C753</f>
        <v>CH</v>
      </c>
      <c r="D757" t="s">
        <v>937</v>
      </c>
      <c r="E757" s="5" t="s">
        <v>442</v>
      </c>
      <c r="F757" s="18">
        <f>IFERROR(F$738/F$735,0)*F739</f>
        <v>0</v>
      </c>
      <c r="G757" s="18">
        <f t="shared" ref="G757:K757" si="858">IFERROR(G$738/G$735,0)*G739</f>
        <v>0</v>
      </c>
      <c r="H757" s="18">
        <f t="shared" si="858"/>
        <v>0</v>
      </c>
      <c r="I757" s="18">
        <f t="shared" si="858"/>
        <v>0</v>
      </c>
      <c r="J757" s="18">
        <f t="shared" si="858"/>
        <v>0</v>
      </c>
      <c r="K757" s="18">
        <f t="shared" si="858"/>
        <v>0</v>
      </c>
      <c r="L757" s="18">
        <f t="shared" ref="L757" si="859">IFERROR(L$738/L$735,0)*L739</f>
        <v>0</v>
      </c>
      <c r="N757" s="1"/>
    </row>
    <row r="758" spans="2:14" x14ac:dyDescent="0.35">
      <c r="B758" s="5" t="str">
        <f>B757</f>
        <v>SPS1</v>
      </c>
      <c r="C758" s="5" t="str">
        <f>C757</f>
        <v>CH</v>
      </c>
      <c r="D758" t="s">
        <v>464</v>
      </c>
      <c r="E758" s="5" t="s">
        <v>442</v>
      </c>
      <c r="F758" s="18">
        <f t="shared" ref="F758:K758" si="860">IFERROR(F$738/F$735,0)*F740</f>
        <v>0</v>
      </c>
      <c r="G758" s="18">
        <f t="shared" si="860"/>
        <v>0</v>
      </c>
      <c r="H758" s="18">
        <f t="shared" si="860"/>
        <v>0</v>
      </c>
      <c r="I758" s="18">
        <f t="shared" si="860"/>
        <v>0</v>
      </c>
      <c r="J758" s="18">
        <f t="shared" si="860"/>
        <v>0</v>
      </c>
      <c r="K758" s="18">
        <f t="shared" si="860"/>
        <v>0</v>
      </c>
      <c r="L758" s="18">
        <f t="shared" ref="L758" si="861">IFERROR(L$738/L$735,0)*L740</f>
        <v>0</v>
      </c>
      <c r="N758" s="1"/>
    </row>
    <row r="759" spans="2:14" x14ac:dyDescent="0.35">
      <c r="B759" s="5" t="str">
        <f t="shared" ref="B759:B762" si="862">B758</f>
        <v>SPS1</v>
      </c>
      <c r="C759" s="5" t="str">
        <f t="shared" ref="C759:C762" si="863">C758</f>
        <v>CH</v>
      </c>
      <c r="D759" t="s">
        <v>938</v>
      </c>
      <c r="E759" s="5" t="s">
        <v>442</v>
      </c>
      <c r="F759" s="18">
        <f t="shared" ref="F759:K759" si="864">IFERROR(F$738/F$735,0)*F741</f>
        <v>0</v>
      </c>
      <c r="G759" s="18">
        <f t="shared" si="864"/>
        <v>0</v>
      </c>
      <c r="H759" s="18">
        <f t="shared" si="864"/>
        <v>0</v>
      </c>
      <c r="I759" s="18">
        <f t="shared" si="864"/>
        <v>0</v>
      </c>
      <c r="J759" s="18">
        <f t="shared" si="864"/>
        <v>0</v>
      </c>
      <c r="K759" s="18">
        <f t="shared" si="864"/>
        <v>0</v>
      </c>
      <c r="L759" s="18">
        <f t="shared" ref="L759" si="865">IFERROR(L$738/L$735,0)*L741</f>
        <v>0</v>
      </c>
      <c r="N759" s="1"/>
    </row>
    <row r="760" spans="2:14" x14ac:dyDescent="0.35">
      <c r="B760" s="5" t="str">
        <f t="shared" si="862"/>
        <v>SPS1</v>
      </c>
      <c r="C760" s="5" t="str">
        <f t="shared" si="863"/>
        <v>CH</v>
      </c>
      <c r="D760" t="s">
        <v>465</v>
      </c>
      <c r="E760" s="5" t="s">
        <v>442</v>
      </c>
      <c r="F760" s="18">
        <f t="shared" ref="F760:K760" si="866">IFERROR(F$738/F$735,0)*F742</f>
        <v>0</v>
      </c>
      <c r="G760" s="18">
        <f t="shared" si="866"/>
        <v>0</v>
      </c>
      <c r="H760" s="18">
        <f t="shared" si="866"/>
        <v>0</v>
      </c>
      <c r="I760" s="18">
        <f t="shared" si="866"/>
        <v>0</v>
      </c>
      <c r="J760" s="18">
        <f t="shared" si="866"/>
        <v>0</v>
      </c>
      <c r="K760" s="18">
        <f t="shared" si="866"/>
        <v>0</v>
      </c>
      <c r="L760" s="18">
        <f t="shared" ref="L760" si="867">IFERROR(L$738/L$735,0)*L742</f>
        <v>0</v>
      </c>
      <c r="N760" s="1"/>
    </row>
    <row r="761" spans="2:14" x14ac:dyDescent="0.35">
      <c r="B761" s="5" t="str">
        <f t="shared" si="862"/>
        <v>SPS1</v>
      </c>
      <c r="C761" s="5" t="str">
        <f t="shared" si="863"/>
        <v>CH</v>
      </c>
      <c r="D761" t="s">
        <v>466</v>
      </c>
      <c r="E761" s="5" t="s">
        <v>442</v>
      </c>
      <c r="F761" s="18">
        <f t="shared" ref="F761:K761" si="868">IFERROR(F$738/F$735,0)*F743</f>
        <v>0</v>
      </c>
      <c r="G761" s="18">
        <f t="shared" si="868"/>
        <v>0</v>
      </c>
      <c r="H761" s="18">
        <f t="shared" si="868"/>
        <v>0</v>
      </c>
      <c r="I761" s="18">
        <f t="shared" si="868"/>
        <v>0</v>
      </c>
      <c r="J761" s="18">
        <f t="shared" si="868"/>
        <v>0</v>
      </c>
      <c r="K761" s="18">
        <f t="shared" si="868"/>
        <v>0</v>
      </c>
      <c r="L761" s="18">
        <f t="shared" ref="L761" si="869">IFERROR(L$738/L$735,0)*L743</f>
        <v>0</v>
      </c>
      <c r="N761" s="1"/>
    </row>
    <row r="762" spans="2:14" x14ac:dyDescent="0.35">
      <c r="B762" s="5" t="str">
        <f t="shared" si="862"/>
        <v>SPS1</v>
      </c>
      <c r="C762" s="5" t="str">
        <f t="shared" si="863"/>
        <v>CH</v>
      </c>
      <c r="D762" t="s">
        <v>467</v>
      </c>
      <c r="E762" s="5" t="s">
        <v>442</v>
      </c>
      <c r="F762" s="18">
        <f t="shared" ref="F762:K762" si="870">IFERROR(F$738/F$735,0)*F744</f>
        <v>0</v>
      </c>
      <c r="G762" s="18">
        <f t="shared" si="870"/>
        <v>0</v>
      </c>
      <c r="H762" s="18">
        <f t="shared" si="870"/>
        <v>0</v>
      </c>
      <c r="I762" s="18">
        <f t="shared" si="870"/>
        <v>0</v>
      </c>
      <c r="J762" s="18">
        <f t="shared" si="870"/>
        <v>0</v>
      </c>
      <c r="K762" s="18">
        <f t="shared" si="870"/>
        <v>0</v>
      </c>
      <c r="L762" s="18">
        <f t="shared" ref="L762" si="871">IFERROR(L$738/L$735,0)*L744</f>
        <v>0</v>
      </c>
      <c r="N762" s="1"/>
    </row>
    <row r="763" spans="2:14" x14ac:dyDescent="0.35">
      <c r="B763" s="9" t="str">
        <f t="shared" ref="B763" si="872">B762</f>
        <v>SPS1</v>
      </c>
      <c r="C763" s="9" t="str">
        <f t="shared" ref="C763:C777" si="873">C762</f>
        <v>CH</v>
      </c>
      <c r="D763" s="2" t="s">
        <v>496</v>
      </c>
      <c r="E763" s="9" t="s">
        <v>8</v>
      </c>
      <c r="F763" s="17">
        <f t="shared" ref="F763:K763" si="874">F764+F768+F778+F789+F791+F803+F805+F807+F811+F813+F815</f>
        <v>142.21742137193101</v>
      </c>
      <c r="G763" s="17">
        <f t="shared" si="874"/>
        <v>142.72239583602445</v>
      </c>
      <c r="H763" s="17">
        <f t="shared" si="874"/>
        <v>148.56509218034034</v>
      </c>
      <c r="I763" s="17">
        <f t="shared" si="874"/>
        <v>149.71092027584598</v>
      </c>
      <c r="J763" s="17">
        <f t="shared" si="874"/>
        <v>150.27297427258085</v>
      </c>
      <c r="K763" s="17">
        <f t="shared" si="874"/>
        <v>147.80050112339009</v>
      </c>
      <c r="L763" s="17">
        <f t="shared" ref="L763" si="875">L764+L768+L778+L789+L791+L803+L805+L807+L811+L813+L815</f>
        <v>143.23530358000818</v>
      </c>
      <c r="N763" s="1"/>
    </row>
    <row r="764" spans="2:14" x14ac:dyDescent="0.35">
      <c r="B764" s="5" t="str">
        <f>B763</f>
        <v>SPS1</v>
      </c>
      <c r="C764" s="5" t="str">
        <f t="shared" si="873"/>
        <v>CH</v>
      </c>
      <c r="D764" t="s">
        <v>939</v>
      </c>
      <c r="E764" t="s">
        <v>8</v>
      </c>
      <c r="F764" s="18">
        <f>[1]Industry!B$11</f>
        <v>60.07001492343538</v>
      </c>
      <c r="G764" s="18">
        <f>[1]Industry!C$11</f>
        <v>61.585624125267366</v>
      </c>
      <c r="H764" s="18">
        <f>[1]Industry!D$11</f>
        <v>64.629933566078819</v>
      </c>
      <c r="I764" s="18">
        <f>[1]Industry!E$11</f>
        <v>67.246281769433907</v>
      </c>
      <c r="J764" s="18">
        <f>[2]Industry!F$11</f>
        <v>68.979548877391593</v>
      </c>
      <c r="K764" s="18">
        <f>[2]Industry!G$11</f>
        <v>68.661520516153956</v>
      </c>
      <c r="L764" s="18">
        <f>[2]Industry!H$11</f>
        <v>71.334646336622313</v>
      </c>
      <c r="N764" s="1"/>
    </row>
    <row r="765" spans="2:14" x14ac:dyDescent="0.35">
      <c r="B765" s="5" t="str">
        <f t="shared" ref="B765:B777" si="876">B764</f>
        <v>SPS1</v>
      </c>
      <c r="C765" s="5" t="str">
        <f t="shared" si="873"/>
        <v>CH</v>
      </c>
      <c r="D765" t="s">
        <v>758</v>
      </c>
      <c r="E765" t="s">
        <v>8</v>
      </c>
      <c r="F765" s="1">
        <f t="shared" ref="F765:J765" si="877">F764-F766-F767</f>
        <v>11.646944142451019</v>
      </c>
      <c r="G765" s="1">
        <f t="shared" si="877"/>
        <v>12.258978194772006</v>
      </c>
      <c r="H765" s="1">
        <f t="shared" si="877"/>
        <v>12.535506085223162</v>
      </c>
      <c r="I765" s="1">
        <f t="shared" si="877"/>
        <v>12.945635257265991</v>
      </c>
      <c r="J765" s="1">
        <f t="shared" si="877"/>
        <v>13.232410192208356</v>
      </c>
      <c r="K765" s="1">
        <f>K764-K766-K767</f>
        <v>13.214957554758797</v>
      </c>
      <c r="L765" s="1">
        <f>L764-L766-L767</f>
        <v>13.253152162948666</v>
      </c>
      <c r="M765" s="1"/>
      <c r="N765" s="1"/>
    </row>
    <row r="766" spans="2:14" x14ac:dyDescent="0.35">
      <c r="B766" s="5" t="str">
        <f t="shared" si="876"/>
        <v>SPS1</v>
      </c>
      <c r="C766" s="5" t="str">
        <f t="shared" si="873"/>
        <v>CH</v>
      </c>
      <c r="D766" t="s">
        <v>721</v>
      </c>
      <c r="E766" t="s">
        <v>8</v>
      </c>
      <c r="F766" s="1" cm="1">
        <f t="array" ref="F766">SUMPRODUCT(([1]OUT_FinalEnergyCons!$B$4:$B$10000="Var_Fin")*1, ([1]OUT_FinalEnergyCons!$C$4:$C$10000="ITOT_ELC")*1, (ISNUMBER(SEARCH("ITOT-SWHELCHP",[1]OUT_FinalEnergyCons!$A$4:$A$10000)))*1,[1]OUT_FinalEnergyCons!D$4:D$10000)</f>
        <v>0.35967312881337293</v>
      </c>
      <c r="G766" s="1" cm="1">
        <f t="array" ref="G766">SUMPRODUCT(([1]OUT_FinalEnergyCons!$B$4:$B$10000="Var_Fin")*1, ([1]OUT_FinalEnergyCons!$C$4:$C$10000="ITOT_ELC")*1, (ISNUMBER(SEARCH("ITOT-SWHELCHP",[1]OUT_FinalEnergyCons!$A$4:$A$10000)))*1,[1]OUT_FinalEnergyCons!E$4:E$10000)</f>
        <v>0.45106317504486559</v>
      </c>
      <c r="H766" s="1" cm="1">
        <f t="array" ref="H766">SUMPRODUCT(([1]OUT_FinalEnergyCons!$B$4:$B$10000="Var_Fin")*1, ([1]OUT_FinalEnergyCons!$C$4:$C$10000="ITOT_ELC")*1, (ISNUMBER(SEARCH("ITOT-SWHELCHP",[1]OUT_FinalEnergyCons!$A$4:$A$10000)))*1,[1]OUT_FinalEnergyCons!F$4:F$10000)</f>
        <v>0.44587235566669875</v>
      </c>
      <c r="I766" s="1" cm="1">
        <f t="array" ref="I766">SUMPRODUCT(([1]OUT_FinalEnergyCons!$B$4:$B$10000="Var_Fin")*1, ([1]OUT_FinalEnergyCons!$C$4:$C$10000="ITOT_ELC")*1, (ISNUMBER(SEARCH("ITOT-SWHELCHP",[1]OUT_FinalEnergyCons!$A$4:$A$10000)))*1,[1]OUT_FinalEnergyCons!G$4:G$10000)</f>
        <v>1.2439231165158215</v>
      </c>
      <c r="J766" s="1" cm="1">
        <f t="array" ref="J766">SUMPRODUCT(([2]OUT_FinalEnergyCons!$B$4:$B$10000="Var_Fin")*1, ([2]OUT_FinalEnergyCons!$C$4:$C$10000="ITOT_ELC")*1, (ISNUMBER(SEARCH("ITOT-SWHELCHP",[2]OUT_FinalEnergyCons!$A$4:$A$10000)))*1,[2]OUT_FinalEnergyCons!H$4:H$10000)</f>
        <v>1.915262256590712</v>
      </c>
      <c r="K766" s="1" cm="1">
        <f t="array" ref="K766">SUMPRODUCT(([2]OUT_FinalEnergyCons!$B$4:$B$10000="Var_Fin")*1, ([2]OUT_FinalEnergyCons!$C$4:$C$10000="ITOT_ELC")*1, (ISNUMBER(SEARCH("ITOT-SWHELCHP",[2]OUT_FinalEnergyCons!$A$4:$A$10000)))*1,[2]OUT_FinalEnergyCons!I$4:I$10000)</f>
        <v>1.8799518776605844</v>
      </c>
      <c r="L766" s="1" cm="1">
        <f t="array" ref="L766">SUMPRODUCT(([2]OUT_FinalEnergyCons!$B$4:$B$10000="Var_Fin")*1, ([2]OUT_FinalEnergyCons!$C$4:$C$10000="ITOT_ELC")*1, (ISNUMBER(SEARCH("ITOT-SWHELCHP",[2]OUT_FinalEnergyCons!$A$4:$A$10000)))*1,[2]OUT_FinalEnergyCons!J$4:J$10000)</f>
        <v>3.7811104623690079</v>
      </c>
      <c r="N766" s="1"/>
    </row>
    <row r="767" spans="2:14" x14ac:dyDescent="0.35">
      <c r="B767" s="5" t="str">
        <f t="shared" si="876"/>
        <v>SPS1</v>
      </c>
      <c r="C767" s="5" t="str">
        <f t="shared" si="873"/>
        <v>CH</v>
      </c>
      <c r="D767" t="s">
        <v>468</v>
      </c>
      <c r="E767" t="s">
        <v>8</v>
      </c>
      <c r="F767" s="1">
        <f>[1]Industry!B$11-[1]Industry!B$33</f>
        <v>48.063397652170991</v>
      </c>
      <c r="G767" s="1">
        <f>[1]Industry!C$11-[1]Industry!C$33</f>
        <v>48.875582755450495</v>
      </c>
      <c r="H767" s="1">
        <f>[1]Industry!D$11-[1]Industry!D$33</f>
        <v>51.648555125188963</v>
      </c>
      <c r="I767" s="1">
        <f>[1]Industry!E$11-[1]Industry!E$33</f>
        <v>53.056723395652099</v>
      </c>
      <c r="J767" s="1">
        <f>[2]Industry!F$11-[2]Industry!F$33</f>
        <v>53.83187642859253</v>
      </c>
      <c r="K767" s="1">
        <f>[2]Industry!G$11-[2]Industry!G$33</f>
        <v>53.566611083734571</v>
      </c>
      <c r="L767" s="1">
        <f>[2]Industry!H$11-[2]Industry!H$33</f>
        <v>54.300383711304633</v>
      </c>
      <c r="N767" s="1"/>
    </row>
    <row r="768" spans="2:14" x14ac:dyDescent="0.35">
      <c r="B768" s="5" t="str">
        <f t="shared" si="876"/>
        <v>SPS1</v>
      </c>
      <c r="C768" s="5" t="str">
        <f t="shared" si="873"/>
        <v>CH</v>
      </c>
      <c r="D768" t="s">
        <v>469</v>
      </c>
      <c r="E768" t="s">
        <v>8</v>
      </c>
      <c r="F768" s="1">
        <f>SUM(F771,F776)</f>
        <v>11.627814315180057</v>
      </c>
      <c r="G768" s="1">
        <f t="shared" ref="G768:K768" si="878">SUM(G771,G776)</f>
        <v>10.823219899260843</v>
      </c>
      <c r="H768" s="1">
        <f t="shared" si="878"/>
        <v>8.2578764313231936</v>
      </c>
      <c r="I768" s="1">
        <f t="shared" si="878"/>
        <v>6.7229384336947655</v>
      </c>
      <c r="J768" s="1">
        <f t="shared" si="878"/>
        <v>5.1084134857439327</v>
      </c>
      <c r="K768" s="1">
        <f t="shared" si="878"/>
        <v>3.4143325604537509</v>
      </c>
      <c r="L768" s="1">
        <f t="shared" ref="L768" si="879">SUM(L771,L776)</f>
        <v>0.68627027303722199</v>
      </c>
      <c r="N768" s="1"/>
    </row>
    <row r="769" spans="2:14" x14ac:dyDescent="0.35">
      <c r="B769" s="5" t="str">
        <f t="shared" si="876"/>
        <v>SPS1</v>
      </c>
      <c r="C769" s="5" t="str">
        <f t="shared" si="873"/>
        <v>CH</v>
      </c>
      <c r="D769" t="s">
        <v>470</v>
      </c>
      <c r="E769" t="s">
        <v>8</v>
      </c>
      <c r="F769" s="1">
        <f>SUM(F773,F777)</f>
        <v>8.8978100102315807</v>
      </c>
      <c r="G769" s="1">
        <f t="shared" ref="G769:K769" si="880">SUM(G773,G777)</f>
        <v>8.1049791533429705</v>
      </c>
      <c r="H769" s="1">
        <f t="shared" si="880"/>
        <v>8.2567088394417052</v>
      </c>
      <c r="I769" s="1">
        <f t="shared" si="880"/>
        <v>6.7227248231993846</v>
      </c>
      <c r="J769" s="1">
        <f t="shared" si="880"/>
        <v>5.1073512267547283</v>
      </c>
      <c r="K769" s="1">
        <f t="shared" si="880"/>
        <v>3.4135900607108338</v>
      </c>
      <c r="L769" s="1">
        <f t="shared" ref="L769" si="881">SUM(L773,L777)</f>
        <v>0.68627027303722199</v>
      </c>
      <c r="N769" s="1"/>
    </row>
    <row r="770" spans="2:14" x14ac:dyDescent="0.35">
      <c r="B770" s="5" t="str">
        <f t="shared" si="876"/>
        <v>SPS1</v>
      </c>
      <c r="C770" s="5" t="str">
        <f t="shared" si="873"/>
        <v>CH</v>
      </c>
      <c r="D770" t="s">
        <v>471</v>
      </c>
      <c r="E770" t="s">
        <v>8</v>
      </c>
      <c r="F770" s="1">
        <f>F775</f>
        <v>2.7300043049484755</v>
      </c>
      <c r="G770" s="1">
        <f t="shared" ref="G770:K770" si="882">G775</f>
        <v>2.7182407459178735</v>
      </c>
      <c r="H770" s="1">
        <f t="shared" si="882"/>
        <v>1.1675918814892839E-3</v>
      </c>
      <c r="I770" s="1">
        <f t="shared" si="882"/>
        <v>2.1361049538120043E-4</v>
      </c>
      <c r="J770" s="1">
        <f t="shared" si="882"/>
        <v>1.0622589892049896E-3</v>
      </c>
      <c r="K770" s="1">
        <f t="shared" si="882"/>
        <v>7.424997429171515E-4</v>
      </c>
      <c r="L770" s="1">
        <f t="shared" ref="L770" si="883">L775</f>
        <v>0</v>
      </c>
      <c r="N770" s="1"/>
    </row>
    <row r="771" spans="2:14" x14ac:dyDescent="0.35">
      <c r="B771" s="5" t="str">
        <f t="shared" si="876"/>
        <v>SPS1</v>
      </c>
      <c r="C771" s="5" t="str">
        <f t="shared" si="873"/>
        <v>CH</v>
      </c>
      <c r="D771" t="s">
        <v>940</v>
      </c>
      <c r="E771" t="s">
        <v>8</v>
      </c>
      <c r="F771" s="1">
        <f>SUM(F772,F774)</f>
        <v>11.627814315180057</v>
      </c>
      <c r="G771" s="1">
        <f t="shared" ref="G771:K771" si="884">SUM(G772,G774)</f>
        <v>10.823219899260843</v>
      </c>
      <c r="H771" s="1">
        <f t="shared" si="884"/>
        <v>8.2578514400322582</v>
      </c>
      <c r="I771" s="1">
        <f t="shared" si="884"/>
        <v>5.9027323069497575</v>
      </c>
      <c r="J771" s="1">
        <f t="shared" si="884"/>
        <v>3.9826947541169821</v>
      </c>
      <c r="K771" s="1">
        <f t="shared" si="884"/>
        <v>2.1683710117861033</v>
      </c>
      <c r="L771" s="1">
        <f t="shared" ref="L771" si="885">SUM(L772,L774)</f>
        <v>1.0967080018965827E-4</v>
      </c>
      <c r="N771" s="1"/>
    </row>
    <row r="772" spans="2:14" x14ac:dyDescent="0.35">
      <c r="B772" s="5" t="str">
        <f t="shared" si="876"/>
        <v>SPS1</v>
      </c>
      <c r="C772" s="5" t="str">
        <f t="shared" si="873"/>
        <v>CH</v>
      </c>
      <c r="D772" t="s">
        <v>525</v>
      </c>
      <c r="E772" t="s">
        <v>8</v>
      </c>
      <c r="F772" s="1">
        <f>[1]Industry!B$34</f>
        <v>8.8978100102315807</v>
      </c>
      <c r="G772" s="1">
        <f>[1]Industry!C$34</f>
        <v>8.1049791533429705</v>
      </c>
      <c r="H772" s="1">
        <f>[1]Industry!D$34</f>
        <v>8.2566838481507698</v>
      </c>
      <c r="I772" s="1">
        <f>[1]Industry!E$34</f>
        <v>5.9025186964543765</v>
      </c>
      <c r="J772" s="1">
        <f>[2]Industry!F$34</f>
        <v>3.9816324951277773</v>
      </c>
      <c r="K772" s="1">
        <f>[2]Industry!G$34</f>
        <v>2.1676285120431862</v>
      </c>
      <c r="L772" s="1">
        <f>[2]Industry!H$34</f>
        <v>1.0967080018965827E-4</v>
      </c>
      <c r="N772" s="1"/>
    </row>
    <row r="773" spans="2:14" x14ac:dyDescent="0.35">
      <c r="B773" s="5" t="str">
        <f t="shared" si="876"/>
        <v>SPS1</v>
      </c>
      <c r="C773" s="5" t="str">
        <f t="shared" si="873"/>
        <v>CH</v>
      </c>
      <c r="D773" t="s">
        <v>526</v>
      </c>
      <c r="E773" t="s">
        <v>8</v>
      </c>
      <c r="F773" s="1">
        <f>F772</f>
        <v>8.8978100102315807</v>
      </c>
      <c r="G773" s="1">
        <f t="shared" ref="G773:K773" si="886">G772</f>
        <v>8.1049791533429705</v>
      </c>
      <c r="H773" s="1">
        <f t="shared" si="886"/>
        <v>8.2566838481507698</v>
      </c>
      <c r="I773" s="1">
        <f t="shared" si="886"/>
        <v>5.9025186964543765</v>
      </c>
      <c r="J773" s="1">
        <f t="shared" si="886"/>
        <v>3.9816324951277773</v>
      </c>
      <c r="K773" s="1">
        <f t="shared" si="886"/>
        <v>2.1676285120431862</v>
      </c>
      <c r="L773" s="1">
        <f t="shared" ref="L773" si="887">L772</f>
        <v>1.0967080018965827E-4</v>
      </c>
      <c r="N773" s="1"/>
    </row>
    <row r="774" spans="2:14" x14ac:dyDescent="0.35">
      <c r="B774" s="5" t="str">
        <f t="shared" si="876"/>
        <v>SPS1</v>
      </c>
      <c r="C774" s="5" t="str">
        <f t="shared" si="873"/>
        <v>CH</v>
      </c>
      <c r="D774" t="s">
        <v>527</v>
      </c>
      <c r="E774" t="s">
        <v>8</v>
      </c>
      <c r="F774" s="1">
        <f>[1]Industry!B$35</f>
        <v>2.7300043049484755</v>
      </c>
      <c r="G774" s="1">
        <f>[1]Industry!C$35</f>
        <v>2.7182407459178735</v>
      </c>
      <c r="H774" s="1">
        <f>[1]Industry!D$35</f>
        <v>1.1675918814892839E-3</v>
      </c>
      <c r="I774" s="1">
        <f>[1]Industry!E$35</f>
        <v>2.1361049538120043E-4</v>
      </c>
      <c r="J774" s="1">
        <f>[2]Industry!F$35</f>
        <v>1.0622589892049896E-3</v>
      </c>
      <c r="K774" s="1">
        <f>[2]Industry!G$35</f>
        <v>7.424997429171515E-4</v>
      </c>
      <c r="L774" s="1">
        <f>[2]Industry!H$35</f>
        <v>0</v>
      </c>
      <c r="N774" s="1"/>
    </row>
    <row r="775" spans="2:14" x14ac:dyDescent="0.35">
      <c r="B775" s="5" t="str">
        <f t="shared" si="876"/>
        <v>SPS1</v>
      </c>
      <c r="C775" s="5" t="str">
        <f t="shared" si="873"/>
        <v>CH</v>
      </c>
      <c r="D775" t="s">
        <v>943</v>
      </c>
      <c r="E775" t="s">
        <v>8</v>
      </c>
      <c r="F775" s="1">
        <f>F774</f>
        <v>2.7300043049484755</v>
      </c>
      <c r="G775" s="1">
        <f t="shared" ref="G775:K775" si="888">G774</f>
        <v>2.7182407459178735</v>
      </c>
      <c r="H775" s="1">
        <f t="shared" si="888"/>
        <v>1.1675918814892839E-3</v>
      </c>
      <c r="I775" s="1">
        <f t="shared" si="888"/>
        <v>2.1361049538120043E-4</v>
      </c>
      <c r="J775" s="1">
        <f t="shared" si="888"/>
        <v>1.0622589892049896E-3</v>
      </c>
      <c r="K775" s="1">
        <f t="shared" si="888"/>
        <v>7.424997429171515E-4</v>
      </c>
      <c r="L775" s="1">
        <f t="shared" ref="L775" si="889">L774</f>
        <v>0</v>
      </c>
      <c r="N775" s="1"/>
    </row>
    <row r="776" spans="2:14" x14ac:dyDescent="0.35">
      <c r="B776" s="5" t="str">
        <f t="shared" si="876"/>
        <v>SPS1</v>
      </c>
      <c r="C776" s="5" t="str">
        <f t="shared" si="873"/>
        <v>CH</v>
      </c>
      <c r="D776" t="s">
        <v>941</v>
      </c>
      <c r="E776" t="s">
        <v>8</v>
      </c>
      <c r="F776" s="1">
        <f>[1]Industry!B$36</f>
        <v>0</v>
      </c>
      <c r="G776" s="1">
        <f>[1]Industry!C$36</f>
        <v>0</v>
      </c>
      <c r="H776" s="1">
        <f>[1]Industry!D$36</f>
        <v>2.4991290934578744E-5</v>
      </c>
      <c r="I776" s="1">
        <f>[1]Industry!E$36</f>
        <v>0.82020612674500781</v>
      </c>
      <c r="J776" s="1">
        <f>[2]Industry!F$36</f>
        <v>1.125718731626951</v>
      </c>
      <c r="K776" s="1">
        <f>[2]Industry!G$36</f>
        <v>1.2459615486676476</v>
      </c>
      <c r="L776" s="1">
        <f>[2]Industry!H$36</f>
        <v>0.68616060223703235</v>
      </c>
      <c r="N776" s="1"/>
    </row>
    <row r="777" spans="2:14" x14ac:dyDescent="0.35">
      <c r="B777" s="5" t="str">
        <f t="shared" si="876"/>
        <v>SPS1</v>
      </c>
      <c r="C777" s="5" t="str">
        <f t="shared" si="873"/>
        <v>CH</v>
      </c>
      <c r="D777" t="s">
        <v>942</v>
      </c>
      <c r="E777" t="s">
        <v>8</v>
      </c>
      <c r="F777" s="1">
        <f>F776</f>
        <v>0</v>
      </c>
      <c r="G777" s="1">
        <f t="shared" ref="G777:K777" si="890">G776</f>
        <v>0</v>
      </c>
      <c r="H777" s="1">
        <f t="shared" si="890"/>
        <v>2.4991290934578744E-5</v>
      </c>
      <c r="I777" s="1">
        <f t="shared" si="890"/>
        <v>0.82020612674500781</v>
      </c>
      <c r="J777" s="1">
        <f t="shared" si="890"/>
        <v>1.125718731626951</v>
      </c>
      <c r="K777" s="1">
        <f t="shared" si="890"/>
        <v>1.2459615486676476</v>
      </c>
      <c r="L777" s="1">
        <f t="shared" ref="L777" si="891">L776</f>
        <v>0.68616060223703235</v>
      </c>
      <c r="N777" s="1"/>
    </row>
    <row r="778" spans="2:14" x14ac:dyDescent="0.35">
      <c r="B778" s="5" t="str">
        <f t="shared" ref="B778:B779" si="892">B777</f>
        <v>SPS1</v>
      </c>
      <c r="C778" s="5" t="str">
        <f t="shared" ref="C778:C779" si="893">C777</f>
        <v>CH</v>
      </c>
      <c r="D778" t="s">
        <v>472</v>
      </c>
      <c r="E778" t="s">
        <v>8</v>
      </c>
      <c r="F778" s="1">
        <f>SUM([1]Industry!B$37:B$39)</f>
        <v>35.98908907509454</v>
      </c>
      <c r="G778" s="1">
        <f>SUM([1]Industry!C$37:C$39)</f>
        <v>32.747516988666575</v>
      </c>
      <c r="H778" s="1">
        <f>SUM([1]Industry!D$37:D$39)</f>
        <v>35.359857881073523</v>
      </c>
      <c r="I778" s="1">
        <f>SUM([1]Industry!E$37:E$39)</f>
        <v>35.594217350914995</v>
      </c>
      <c r="J778" s="1">
        <f>SUM([2]Industry!F$37:F$39)</f>
        <v>35.062683388537707</v>
      </c>
      <c r="K778" s="1">
        <f>SUM([2]Industry!G$37:G$39)</f>
        <v>34.32715994649913</v>
      </c>
      <c r="L778" s="1">
        <f>SUM([2]Industry!H$37:H$39)</f>
        <v>22.774914473372288</v>
      </c>
      <c r="N778" s="1"/>
    </row>
    <row r="779" spans="2:14" x14ac:dyDescent="0.35">
      <c r="B779" s="5" t="str">
        <f t="shared" si="892"/>
        <v>SPS1</v>
      </c>
      <c r="C779" s="5" t="str">
        <f t="shared" si="893"/>
        <v>CH</v>
      </c>
      <c r="D779" t="s">
        <v>678</v>
      </c>
      <c r="E779" t="s">
        <v>8</v>
      </c>
      <c r="F779" s="1">
        <f>SUM([1]Industry!B$37:B$38)-F780</f>
        <v>35.545864277156248</v>
      </c>
      <c r="G779" s="1">
        <f>SUM([1]Industry!C$37:C$38)-G780</f>
        <v>32.124141543601667</v>
      </c>
      <c r="H779" s="1">
        <f>SUM([1]Industry!D$37:D$38)-H780</f>
        <v>33.591726181442013</v>
      </c>
      <c r="I779" s="1">
        <f>SUM([1]Industry!E$37:E$38)-I780</f>
        <v>31.005516492991894</v>
      </c>
      <c r="J779" s="1">
        <f>SUM([2]Industry!F$37:F$38)-J780</f>
        <v>28.656978366847806</v>
      </c>
      <c r="K779" s="1">
        <f>SUM([2]Industry!G$37:G$38)-K780</f>
        <v>27.919073167246534</v>
      </c>
      <c r="L779" s="1">
        <f>SUM([2]Industry!H$37:H$38)-L780</f>
        <v>14.578772854308024</v>
      </c>
      <c r="N779" s="1"/>
    </row>
    <row r="780" spans="2:14" x14ac:dyDescent="0.35">
      <c r="B780" s="5" t="str">
        <f t="shared" ref="B780" si="894">B779</f>
        <v>SPS1</v>
      </c>
      <c r="C780" s="5" t="str">
        <f t="shared" ref="C780" si="895">C779</f>
        <v>CH</v>
      </c>
      <c r="D780" t="s">
        <v>722</v>
      </c>
      <c r="E780" t="s">
        <v>8</v>
      </c>
      <c r="F780" s="1" cm="1">
        <f t="array" ref="F780">SUMPRODUCT(([1]OUT_FinalEnergyCons!$B$4:$B$10000="Var_Fin")*1,  ([1]OUT_FinalEnergyCons!$C$4:$C$10000="Inga")*1,(ISNUMBER(SEARCH("ITOT-SWHNGAHP",[1]OUT_FinalEnergyCons!$A$4:$A$10000)))*1,[1]OUT_FinalEnergyCons!H$4:H$10000)</f>
        <v>6.4969096413330521E-3</v>
      </c>
      <c r="G780" s="1" cm="1">
        <f t="array" ref="G780">SUMPRODUCT(([1]OUT_FinalEnergyCons!$B$4:$B$10000="Var_Fin")*1,  ([1]OUT_FinalEnergyCons!$C$4:$C$10000="Inga")*1,(ISNUMBER(SEARCH("ITOT-SWHNGAHP",[1]OUT_FinalEnergyCons!$A$4:$A$10000)))*1,[1]OUT_FinalEnergyCons!I$4:I$10000)</f>
        <v>7.1308659952608197E-2</v>
      </c>
      <c r="H780" s="1" cm="1">
        <f t="array" ref="H780">SUMPRODUCT(([1]OUT_FinalEnergyCons!$B$4:$B$10000="Var_Fin")*1,  ([1]OUT_FinalEnergyCons!$C$4:$C$10000="Inga")*1,(ISNUMBER(SEARCH("ITOT-SWHNGAHP",[1]OUT_FinalEnergyCons!$A$4:$A$10000)))*1,[1]OUT_FinalEnergyCons!J$4:J$10000)</f>
        <v>4.9943860094177041E-2</v>
      </c>
      <c r="I780" s="1" cm="1">
        <f t="array" ref="I780">SUMPRODUCT(([1]OUT_FinalEnergyCons!$B$4:$B$10000="Var_Fin")*1,  ([1]OUT_FinalEnergyCons!$C$4:$C$10000="Inga")*1,(ISNUMBER(SEARCH("ITOT-SWHNGAHP",[1]OUT_FinalEnergyCons!$A$4:$A$10000)))*1,[1]OUT_FinalEnergyCons!K$4:K$10000)</f>
        <v>0</v>
      </c>
      <c r="J780" s="1" cm="1">
        <f t="array" ref="J780">SUMPRODUCT(([2]OUT_FinalEnergyCons!$B$4:$B$10000="Var_Fin")*1,  ([2]OUT_FinalEnergyCons!$C$4:$C$10000="Inga")*1,(ISNUMBER(SEARCH("ITOT-SWHNGAHP",[2]OUT_FinalEnergyCons!$A$4:$A$10000)))*1,[2]OUT_FinalEnergyCons!L$4:L$10000)</f>
        <v>0</v>
      </c>
      <c r="K780" s="1" cm="1">
        <f t="array" ref="K780">SUMPRODUCT(([2]OUT_FinalEnergyCons!$B$4:$B$10000="Var_Fin")*1,  ([2]OUT_FinalEnergyCons!$C$4:$C$10000="Inga")*1,(ISNUMBER(SEARCH("ITOT-SWHNGAHP",[2]OUT_FinalEnergyCons!$A$4:$A$10000)))*1,[2]OUT_FinalEnergyCons!M$4:M$10000)</f>
        <v>0</v>
      </c>
      <c r="L780" s="1" cm="1">
        <f t="array" ref="L780">SUMPRODUCT(([2]OUT_FinalEnergyCons!$B$4:$B$10000="Var_Fin")*1,  ([2]OUT_FinalEnergyCons!$C$4:$C$10000="Inga")*1,(ISNUMBER(SEARCH("ITOT-SWHNGAHP",[2]OUT_FinalEnergyCons!$A$4:$A$10000)))*1,[2]OUT_FinalEnergyCons!N$4:N$10000)</f>
        <v>0</v>
      </c>
      <c r="N780" s="1"/>
    </row>
    <row r="781" spans="2:14" x14ac:dyDescent="0.35">
      <c r="B781" s="5" t="str">
        <f>B779</f>
        <v>SPS1</v>
      </c>
      <c r="C781" s="5" t="str">
        <f>C779</f>
        <v>CH</v>
      </c>
      <c r="D781" t="s">
        <v>473</v>
      </c>
      <c r="E781" t="s">
        <v>8</v>
      </c>
      <c r="F781" s="1">
        <f t="shared" ref="F781:K781" si="896">F778-F779</f>
        <v>0.44322479793829217</v>
      </c>
      <c r="G781" s="1">
        <f t="shared" si="896"/>
        <v>0.62337544506490872</v>
      </c>
      <c r="H781" s="1">
        <f t="shared" si="896"/>
        <v>1.7681316996315104</v>
      </c>
      <c r="I781" s="1">
        <f t="shared" si="896"/>
        <v>4.5887008579231008</v>
      </c>
      <c r="J781" s="1">
        <f t="shared" si="896"/>
        <v>6.4057050216899007</v>
      </c>
      <c r="K781" s="1">
        <f t="shared" si="896"/>
        <v>6.4080867792525957</v>
      </c>
      <c r="L781" s="1">
        <f t="shared" ref="L781" si="897">L778-L779</f>
        <v>8.1961416190642638</v>
      </c>
      <c r="N781" s="1"/>
    </row>
    <row r="782" spans="2:14" x14ac:dyDescent="0.35">
      <c r="B782" s="5" t="str">
        <f t="shared" ref="B782:B790" si="898">B781</f>
        <v>SPS1</v>
      </c>
      <c r="C782" s="5" t="str">
        <f t="shared" ref="C782:C790" si="899">C781</f>
        <v>CH</v>
      </c>
      <c r="D782" t="s">
        <v>944</v>
      </c>
      <c r="E782" t="s">
        <v>8</v>
      </c>
      <c r="F782" s="1">
        <f>[1]Industry!B$37</f>
        <v>35.241713890709484</v>
      </c>
      <c r="G782" s="1">
        <f>[1]Industry!C$37</f>
        <v>32.195431459920798</v>
      </c>
      <c r="H782" s="1">
        <f>[1]Industry!D$37</f>
        <v>30.88433310601064</v>
      </c>
      <c r="I782" s="1">
        <f>[1]Industry!E$37</f>
        <v>27.911397509570108</v>
      </c>
      <c r="J782" s="1">
        <f>[2]Industry!F$37</f>
        <v>25.866275709348599</v>
      </c>
      <c r="K782" s="1">
        <f>[2]Industry!G$37</f>
        <v>24.913834658650302</v>
      </c>
      <c r="L782" s="1">
        <f>[2]Industry!H$37</f>
        <v>11.555456428319117</v>
      </c>
      <c r="N782" s="1"/>
    </row>
    <row r="783" spans="2:14" x14ac:dyDescent="0.35">
      <c r="B783" s="5" t="str">
        <f t="shared" si="898"/>
        <v>SPS1</v>
      </c>
      <c r="C783" s="5" t="str">
        <f t="shared" si="899"/>
        <v>CH</v>
      </c>
      <c r="D783" t="s">
        <v>679</v>
      </c>
      <c r="E783" t="s">
        <v>8</v>
      </c>
      <c r="F783" s="1">
        <f>[1]Industry!B$37*F779/SUM(F779:F780)</f>
        <v>35.235273749376795</v>
      </c>
      <c r="G783" s="1">
        <f>[1]Industry!C$37*G779/SUM(G779:G780)</f>
        <v>32.124122841482858</v>
      </c>
      <c r="H783" s="1">
        <f>[1]Industry!D$37*H779/SUM(H779:H780)</f>
        <v>30.838482742165922</v>
      </c>
      <c r="I783" s="1">
        <f>[1]Industry!E$37*I779/SUM(I779:I780)</f>
        <v>27.911397509570108</v>
      </c>
      <c r="J783" s="1">
        <f>[2]Industry!F$37*J779/SUM(J779:J780)</f>
        <v>25.866275709348603</v>
      </c>
      <c r="K783" s="1">
        <f>[2]Industry!G$37*K779/SUM(K779:K780)</f>
        <v>24.913834658650302</v>
      </c>
      <c r="L783" s="1">
        <f>[2]Industry!H$37*L779/SUM(L779:L780)</f>
        <v>11.555456428319117</v>
      </c>
      <c r="N783" s="1"/>
    </row>
    <row r="784" spans="2:14" x14ac:dyDescent="0.35">
      <c r="B784" s="5" t="str">
        <f t="shared" ref="B784" si="900">B783</f>
        <v>SPS1</v>
      </c>
      <c r="C784" s="5" t="str">
        <f t="shared" ref="C784" si="901">C783</f>
        <v>CH</v>
      </c>
      <c r="D784" t="s">
        <v>723</v>
      </c>
      <c r="E784" t="s">
        <v>8</v>
      </c>
      <c r="F784" s="1">
        <f>F782-F783</f>
        <v>6.4401413326891088E-3</v>
      </c>
      <c r="G784" s="1">
        <f t="shared" ref="G784:K784" si="902">G782-G783</f>
        <v>7.1308618437939231E-2</v>
      </c>
      <c r="H784" s="1">
        <f t="shared" si="902"/>
        <v>4.5850363844717634E-2</v>
      </c>
      <c r="I784" s="1">
        <f t="shared" si="902"/>
        <v>0</v>
      </c>
      <c r="J784" s="1">
        <f t="shared" si="902"/>
        <v>0</v>
      </c>
      <c r="K784" s="1">
        <f t="shared" si="902"/>
        <v>0</v>
      </c>
      <c r="L784" s="1">
        <f t="shared" ref="L784" si="903">L782-L783</f>
        <v>0</v>
      </c>
      <c r="N784" s="1"/>
    </row>
    <row r="785" spans="2:14" x14ac:dyDescent="0.35">
      <c r="B785" s="5" t="str">
        <f>B783</f>
        <v>SPS1</v>
      </c>
      <c r="C785" s="5" t="str">
        <f>C783</f>
        <v>CH</v>
      </c>
      <c r="D785" t="s">
        <v>945</v>
      </c>
      <c r="E785" t="s">
        <v>8</v>
      </c>
      <c r="F785" s="1">
        <f>SUM(F786:F788)</f>
        <v>0.74737518438505446</v>
      </c>
      <c r="G785" s="1">
        <f t="shared" ref="G785:K785" si="904">SUM(G786:G788)</f>
        <v>0.55208552874577765</v>
      </c>
      <c r="H785" s="1">
        <f t="shared" si="904"/>
        <v>4.4755247750628824</v>
      </c>
      <c r="I785" s="1">
        <f t="shared" si="904"/>
        <v>7.68281984134489</v>
      </c>
      <c r="J785" s="1">
        <f t="shared" si="904"/>
        <v>9.1964076791891074</v>
      </c>
      <c r="K785" s="1">
        <f t="shared" si="904"/>
        <v>9.4133252878488261</v>
      </c>
      <c r="L785" s="1">
        <f t="shared" ref="L785" si="905">SUM(L786:L788)</f>
        <v>11.219458045053171</v>
      </c>
      <c r="N785" s="1"/>
    </row>
    <row r="786" spans="2:14" x14ac:dyDescent="0.35">
      <c r="B786" s="5" t="str">
        <f t="shared" si="898"/>
        <v>SPS1</v>
      </c>
      <c r="C786" s="5" t="str">
        <f t="shared" si="899"/>
        <v>CH</v>
      </c>
      <c r="D786" t="s">
        <v>680</v>
      </c>
      <c r="E786" t="s">
        <v>8</v>
      </c>
      <c r="F786" s="1">
        <f>[1]Industry!B$38*F779/SUM(F779:F780)</f>
        <v>0.31059052777945079</v>
      </c>
      <c r="G786" s="1">
        <f>[1]Industry!C$38*G779/SUM(G779:G780)</f>
        <v>1.8702118807928591E-5</v>
      </c>
      <c r="H786" s="1">
        <f>[1]Industry!D$38*H779/SUM(H779:H780)</f>
        <v>2.7532434392760936</v>
      </c>
      <c r="I786" s="1">
        <f>[1]Industry!E$38*I779/SUM(I779:I780)</f>
        <v>3.0941189834217866</v>
      </c>
      <c r="J786" s="1">
        <f>[2]Industry!F$38*J779/SUM(J779:J780)</f>
        <v>2.7907026574992071</v>
      </c>
      <c r="K786" s="1">
        <f>[2]Industry!G$38*K779/SUM(K779:K780)</f>
        <v>3.0052385085962325</v>
      </c>
      <c r="L786" s="1">
        <f>[2]Industry!H$38*L779/SUM(L779:L780)</f>
        <v>3.023316425988908</v>
      </c>
      <c r="N786" s="1"/>
    </row>
    <row r="787" spans="2:14" x14ac:dyDescent="0.35">
      <c r="B787" s="5" t="str">
        <f t="shared" ref="B787" si="906">B786</f>
        <v>SPS1</v>
      </c>
      <c r="C787" s="5" t="str">
        <f t="shared" ref="C787" si="907">C786</f>
        <v>CH</v>
      </c>
      <c r="D787" t="s">
        <v>724</v>
      </c>
      <c r="E787" t="s">
        <v>8</v>
      </c>
      <c r="F787" s="1">
        <f>[1]Industry!B$38-F786</f>
        <v>5.6768308647814347E-5</v>
      </c>
      <c r="G787" s="1">
        <f>[1]Industry!C$38-G786</f>
        <v>4.1514666739271713E-8</v>
      </c>
      <c r="H787" s="1">
        <f>[1]Industry!D$38-H786</f>
        <v>4.0934962494536542E-3</v>
      </c>
      <c r="I787" s="1">
        <f>[1]Industry!E$38-I786</f>
        <v>0</v>
      </c>
      <c r="J787" s="1">
        <f>[2]Industry!F$38-J786</f>
        <v>0</v>
      </c>
      <c r="K787" s="1">
        <f>[2]Industry!G$38-K786</f>
        <v>0</v>
      </c>
      <c r="L787" s="1">
        <f>[2]Industry!H$38-L786</f>
        <v>0</v>
      </c>
      <c r="N787" s="1"/>
    </row>
    <row r="788" spans="2:14" x14ac:dyDescent="0.35">
      <c r="B788" s="5" t="str">
        <f>B786</f>
        <v>SPS1</v>
      </c>
      <c r="C788" s="5" t="str">
        <f>C786</f>
        <v>CH</v>
      </c>
      <c r="D788" t="s">
        <v>672</v>
      </c>
      <c r="E788" t="s">
        <v>8</v>
      </c>
      <c r="F788" s="1">
        <f>[1]Industry!B$39</f>
        <v>0.43672788829695591</v>
      </c>
      <c r="G788" s="1">
        <f>[1]Industry!C$39</f>
        <v>0.552066785112303</v>
      </c>
      <c r="H788" s="1">
        <f>[1]Industry!D$39</f>
        <v>1.7181878395373353</v>
      </c>
      <c r="I788" s="1">
        <f>[1]Industry!E$39</f>
        <v>4.5887008579231034</v>
      </c>
      <c r="J788" s="1">
        <f>[2]Industry!F$39</f>
        <v>6.4057050216898999</v>
      </c>
      <c r="K788" s="1">
        <f>[2]Industry!G$39</f>
        <v>6.4080867792525931</v>
      </c>
      <c r="L788" s="1">
        <f>[2]Industry!H$39</f>
        <v>8.1961416190642638</v>
      </c>
      <c r="N788" s="1"/>
    </row>
    <row r="789" spans="2:14" x14ac:dyDescent="0.35">
      <c r="B789" s="5" t="str">
        <f t="shared" si="898"/>
        <v>SPS1</v>
      </c>
      <c r="C789" s="5" t="str">
        <f t="shared" si="899"/>
        <v>CH</v>
      </c>
      <c r="D789" t="s">
        <v>946</v>
      </c>
      <c r="E789" t="s">
        <v>8</v>
      </c>
      <c r="F789" s="1">
        <f>[1]Industry!B$18</f>
        <v>3.5600044603966894</v>
      </c>
      <c r="G789" s="1">
        <f>[1]Industry!C$18</f>
        <v>3.464717415452482</v>
      </c>
      <c r="H789" s="1">
        <f>[1]Industry!D$18</f>
        <v>3.3403267487415373</v>
      </c>
      <c r="I789" s="1">
        <f>[1]Industry!E$18</f>
        <v>2.3688697598404625E-4</v>
      </c>
      <c r="J789" s="1">
        <f>[2]Industry!F$18</f>
        <v>1.042406781341394E-3</v>
      </c>
      <c r="K789" s="1">
        <f>[2]Industry!G$18</f>
        <v>6.9834283561204908E-4</v>
      </c>
      <c r="L789" s="1">
        <f>[2]Industry!H$18</f>
        <v>3.697954643951093E-4</v>
      </c>
      <c r="N789" s="1"/>
    </row>
    <row r="790" spans="2:14" x14ac:dyDescent="0.35">
      <c r="B790" s="5" t="str">
        <f t="shared" si="898"/>
        <v>SPS1</v>
      </c>
      <c r="C790" s="5" t="str">
        <f t="shared" si="899"/>
        <v>CH</v>
      </c>
      <c r="D790" t="s">
        <v>947</v>
      </c>
      <c r="E790" t="s">
        <v>8</v>
      </c>
      <c r="F790" s="1">
        <f>F789</f>
        <v>3.5600044603966894</v>
      </c>
      <c r="G790" s="1">
        <f t="shared" ref="G790:K790" si="908">G789</f>
        <v>3.464717415452482</v>
      </c>
      <c r="H790" s="1">
        <f t="shared" si="908"/>
        <v>3.3403267487415373</v>
      </c>
      <c r="I790" s="1">
        <f t="shared" si="908"/>
        <v>2.3688697598404625E-4</v>
      </c>
      <c r="J790" s="1">
        <f t="shared" si="908"/>
        <v>1.042406781341394E-3</v>
      </c>
      <c r="K790" s="1">
        <f t="shared" si="908"/>
        <v>6.9834283561204908E-4</v>
      </c>
      <c r="L790" s="1">
        <f t="shared" ref="L790" si="909">L789</f>
        <v>3.697954643951093E-4</v>
      </c>
      <c r="N790" s="1"/>
    </row>
    <row r="791" spans="2:14" x14ac:dyDescent="0.35">
      <c r="B791" s="5" t="str">
        <f t="shared" ref="B791:B792" si="910">B790</f>
        <v>SPS1</v>
      </c>
      <c r="C791" s="5" t="str">
        <f t="shared" ref="C791:C792" si="911">C790</f>
        <v>CH</v>
      </c>
      <c r="D791" t="s">
        <v>948</v>
      </c>
      <c r="E791" t="s">
        <v>8</v>
      </c>
      <c r="F791" s="1">
        <f>[1]Industry!B$19</f>
        <v>12.728644643289989</v>
      </c>
      <c r="G791" s="1">
        <f>[1]Industry!C$19</f>
        <v>13.638427482139384</v>
      </c>
      <c r="H791" s="1">
        <f>[1]Industry!D$19</f>
        <v>13.954535867209007</v>
      </c>
      <c r="I791" s="1">
        <f>[1]Industry!E$19</f>
        <v>15.337062167562612</v>
      </c>
      <c r="J791" s="1">
        <f>[2]Industry!F$19</f>
        <v>14.87701575630906</v>
      </c>
      <c r="K791" s="1">
        <f>[2]Industry!G$19</f>
        <v>15.257004361042545</v>
      </c>
      <c r="L791" s="1">
        <f>[2]Industry!H$19</f>
        <v>17.646610442106635</v>
      </c>
      <c r="N791" s="1"/>
    </row>
    <row r="792" spans="2:14" x14ac:dyDescent="0.35">
      <c r="B792" s="5" t="str">
        <f t="shared" si="910"/>
        <v>SPS1</v>
      </c>
      <c r="C792" s="5" t="str">
        <f t="shared" si="911"/>
        <v>CH</v>
      </c>
      <c r="D792" t="s">
        <v>949</v>
      </c>
      <c r="E792" t="s">
        <v>8</v>
      </c>
      <c r="F792" s="1">
        <f>SUM(F793:F801)</f>
        <v>4.2922593221752052</v>
      </c>
      <c r="G792" s="1">
        <f t="shared" ref="G792:K792" si="912">SUM(G793:G801)</f>
        <v>5.7148535085212018</v>
      </c>
      <c r="H792" s="1">
        <f t="shared" si="912"/>
        <v>4.8978029928206714</v>
      </c>
      <c r="I792" s="1">
        <f t="shared" si="912"/>
        <v>6.2469836627597397</v>
      </c>
      <c r="J792" s="1">
        <f t="shared" si="912"/>
        <v>7.2541721577006051</v>
      </c>
      <c r="K792" s="1">
        <f t="shared" si="912"/>
        <v>7.6371825079275233</v>
      </c>
      <c r="L792" s="1">
        <f t="shared" ref="L792" si="913">SUM(L793:L801)</f>
        <v>8.6703428606731396</v>
      </c>
      <c r="M792" s="1"/>
      <c r="N792" s="1"/>
    </row>
    <row r="793" spans="2:14" x14ac:dyDescent="0.35">
      <c r="B793" s="5" t="str">
        <f t="shared" ref="B793:B802" si="914">B792</f>
        <v>SPS1</v>
      </c>
      <c r="C793" s="5" t="str">
        <f t="shared" ref="C793:C810" si="915">C792</f>
        <v>CH</v>
      </c>
      <c r="D793" t="s">
        <v>481</v>
      </c>
      <c r="E793" t="s">
        <v>8</v>
      </c>
      <c r="F793" s="1">
        <f>F235</f>
        <v>0.9293540184727046</v>
      </c>
      <c r="G793" s="1">
        <f t="shared" ref="G793:K793" si="916">G235</f>
        <v>2.0719699777675049</v>
      </c>
      <c r="H793" s="1">
        <f t="shared" si="916"/>
        <v>0.10186488424774717</v>
      </c>
      <c r="I793" s="1">
        <f t="shared" si="916"/>
        <v>1.3179018489092584</v>
      </c>
      <c r="J793" s="1">
        <f t="shared" si="916"/>
        <v>0.84102020523369847</v>
      </c>
      <c r="K793" s="1">
        <f t="shared" si="916"/>
        <v>3.4872086989233025E-2</v>
      </c>
      <c r="L793" s="1">
        <f t="shared" ref="L793" si="917">L235</f>
        <v>0.33394420696755417</v>
      </c>
      <c r="N793" s="1"/>
    </row>
    <row r="794" spans="2:14" x14ac:dyDescent="0.35">
      <c r="B794" s="5" t="str">
        <f t="shared" si="914"/>
        <v>SPS1</v>
      </c>
      <c r="C794" s="5" t="str">
        <f t="shared" si="915"/>
        <v>CH</v>
      </c>
      <c r="D794" t="s">
        <v>482</v>
      </c>
      <c r="E794" t="s">
        <v>8</v>
      </c>
      <c r="F794" s="1">
        <f>F241</f>
        <v>0.76850399701165117</v>
      </c>
      <c r="G794" s="1">
        <f t="shared" ref="G794:K794" si="918">G241</f>
        <v>0.18748163947496038</v>
      </c>
      <c r="H794" s="1">
        <f t="shared" si="918"/>
        <v>1.0630817163902475</v>
      </c>
      <c r="I794" s="1">
        <f t="shared" si="918"/>
        <v>1.534004885741481</v>
      </c>
      <c r="J794" s="1">
        <f t="shared" si="918"/>
        <v>1.6632801706172475</v>
      </c>
      <c r="K794" s="1">
        <f t="shared" si="918"/>
        <v>0.22904256400395931</v>
      </c>
      <c r="L794" s="1">
        <f t="shared" ref="L794" si="919">L241</f>
        <v>4.9243005057068329E-2</v>
      </c>
      <c r="N794" s="1"/>
    </row>
    <row r="795" spans="2:14" x14ac:dyDescent="0.35">
      <c r="B795" s="5" t="str">
        <f t="shared" si="914"/>
        <v>SPS1</v>
      </c>
      <c r="C795" s="5" t="str">
        <f t="shared" si="915"/>
        <v>CH</v>
      </c>
      <c r="D795" t="s">
        <v>483</v>
      </c>
      <c r="E795" t="s">
        <v>8</v>
      </c>
      <c r="F795" s="1">
        <f>F242</f>
        <v>0</v>
      </c>
      <c r="G795" s="1">
        <f t="shared" ref="G795:K795" si="920">G242</f>
        <v>0</v>
      </c>
      <c r="H795" s="1">
        <f t="shared" si="920"/>
        <v>0</v>
      </c>
      <c r="I795" s="1">
        <f t="shared" si="920"/>
        <v>0</v>
      </c>
      <c r="J795" s="1">
        <f t="shared" si="920"/>
        <v>0</v>
      </c>
      <c r="K795" s="1">
        <f t="shared" si="920"/>
        <v>0</v>
      </c>
      <c r="L795" s="1">
        <f t="shared" ref="L795" si="921">L242</f>
        <v>0</v>
      </c>
      <c r="N795" s="1"/>
    </row>
    <row r="796" spans="2:14" x14ac:dyDescent="0.35">
      <c r="B796" s="5" t="str">
        <f t="shared" si="914"/>
        <v>SPS1</v>
      </c>
      <c r="C796" s="5" t="str">
        <f t="shared" si="915"/>
        <v>CH</v>
      </c>
      <c r="D796" t="s">
        <v>484</v>
      </c>
      <c r="E796" t="s">
        <v>8</v>
      </c>
      <c r="F796" s="1">
        <f>F243</f>
        <v>0</v>
      </c>
      <c r="G796" s="1">
        <f t="shared" ref="G796:K796" si="922">G243</f>
        <v>0</v>
      </c>
      <c r="H796" s="1">
        <f t="shared" si="922"/>
        <v>0</v>
      </c>
      <c r="I796" s="1">
        <f t="shared" si="922"/>
        <v>1.5599110263434578E-4</v>
      </c>
      <c r="J796" s="1">
        <f t="shared" si="922"/>
        <v>5.8875538345964679E-4</v>
      </c>
      <c r="K796" s="1">
        <f t="shared" si="922"/>
        <v>1.3943271126526011E-3</v>
      </c>
      <c r="L796" s="1">
        <f t="shared" ref="L796" si="923">L243</f>
        <v>7.2050882991622745E-4</v>
      </c>
      <c r="N796" s="1"/>
    </row>
    <row r="797" spans="2:14" x14ac:dyDescent="0.35">
      <c r="B797" s="5" t="str">
        <f t="shared" si="914"/>
        <v>SPS1</v>
      </c>
      <c r="C797" s="5" t="str">
        <f t="shared" si="915"/>
        <v>CH</v>
      </c>
      <c r="D797" t="s">
        <v>485</v>
      </c>
      <c r="E797" t="s">
        <v>8</v>
      </c>
      <c r="F797" s="1">
        <f>F274</f>
        <v>1.9348222656546448</v>
      </c>
      <c r="G797" s="1">
        <f t="shared" ref="G797:K797" si="924">G274</f>
        <v>1.8587705616024293</v>
      </c>
      <c r="H797" s="1">
        <f t="shared" si="924"/>
        <v>2.2411526409390576E-3</v>
      </c>
      <c r="I797" s="1">
        <f t="shared" si="924"/>
        <v>1.7782842889798008E-3</v>
      </c>
      <c r="J797" s="1">
        <f t="shared" si="924"/>
        <v>8.6659306252128091E-3</v>
      </c>
      <c r="K797" s="1">
        <f t="shared" si="924"/>
        <v>4.2953329285249928E-3</v>
      </c>
      <c r="L797" s="1">
        <f t="shared" ref="L797" si="925">L274</f>
        <v>9.8800501741109353E-4</v>
      </c>
      <c r="N797" s="1"/>
    </row>
    <row r="798" spans="2:14" x14ac:dyDescent="0.35">
      <c r="B798" s="5" t="str">
        <f t="shared" si="914"/>
        <v>SPS1</v>
      </c>
      <c r="C798" s="5" t="str">
        <f t="shared" si="915"/>
        <v>CH</v>
      </c>
      <c r="D798" t="s">
        <v>486</v>
      </c>
      <c r="E798" t="s">
        <v>8</v>
      </c>
      <c r="F798" s="1">
        <f>F275</f>
        <v>0</v>
      </c>
      <c r="G798" s="1">
        <f t="shared" ref="G798:K798" si="926">G275</f>
        <v>0</v>
      </c>
      <c r="H798" s="1">
        <f t="shared" si="926"/>
        <v>0</v>
      </c>
      <c r="I798" s="1">
        <f t="shared" si="926"/>
        <v>0</v>
      </c>
      <c r="J798" s="1">
        <f t="shared" si="926"/>
        <v>0</v>
      </c>
      <c r="K798" s="1">
        <f t="shared" si="926"/>
        <v>0</v>
      </c>
      <c r="L798" s="1">
        <f t="shared" ref="L798" si="927">L275</f>
        <v>0</v>
      </c>
      <c r="N798" s="1"/>
    </row>
    <row r="799" spans="2:14" x14ac:dyDescent="0.35">
      <c r="B799" s="5" t="str">
        <f t="shared" si="914"/>
        <v>SPS1</v>
      </c>
      <c r="C799" s="5" t="str">
        <f t="shared" si="915"/>
        <v>CH</v>
      </c>
      <c r="D799" t="s">
        <v>487</v>
      </c>
      <c r="E799" t="s">
        <v>8</v>
      </c>
      <c r="F799" s="1">
        <f>F283</f>
        <v>0.65957904103620457</v>
      </c>
      <c r="G799" s="1">
        <f t="shared" ref="G799:K799" si="928">G283</f>
        <v>1.5966313296763068</v>
      </c>
      <c r="H799" s="1">
        <f t="shared" si="928"/>
        <v>3.7306152395417373</v>
      </c>
      <c r="I799" s="1">
        <f t="shared" si="928"/>
        <v>3.393142652717386</v>
      </c>
      <c r="J799" s="1">
        <f t="shared" si="928"/>
        <v>4.740617095840987</v>
      </c>
      <c r="K799" s="1">
        <f t="shared" si="928"/>
        <v>7.3675781968931533</v>
      </c>
      <c r="L799" s="1">
        <f t="shared" ref="L799" si="929">L283</f>
        <v>8.2854471348011902</v>
      </c>
      <c r="N799" s="1"/>
    </row>
    <row r="800" spans="2:14" x14ac:dyDescent="0.35">
      <c r="B800" s="5" t="str">
        <f t="shared" si="914"/>
        <v>SPS1</v>
      </c>
      <c r="C800" s="5" t="str">
        <f t="shared" si="915"/>
        <v>CH</v>
      </c>
      <c r="D800" t="s">
        <v>488</v>
      </c>
      <c r="E800" t="s">
        <v>8</v>
      </c>
      <c r="F800" s="1">
        <f>F284</f>
        <v>0</v>
      </c>
      <c r="G800" s="1">
        <f t="shared" ref="G800:K800" si="930">G284</f>
        <v>0</v>
      </c>
      <c r="H800" s="1">
        <f t="shared" si="930"/>
        <v>0</v>
      </c>
      <c r="I800" s="1">
        <f t="shared" si="930"/>
        <v>0</v>
      </c>
      <c r="J800" s="1">
        <f t="shared" si="930"/>
        <v>0</v>
      </c>
      <c r="K800" s="1">
        <f t="shared" si="930"/>
        <v>0</v>
      </c>
      <c r="L800" s="1">
        <f t="shared" ref="L800" si="931">L284</f>
        <v>0</v>
      </c>
      <c r="N800" s="1"/>
    </row>
    <row r="801" spans="2:14" x14ac:dyDescent="0.35">
      <c r="B801" s="5" t="str">
        <f t="shared" si="914"/>
        <v>SPS1</v>
      </c>
      <c r="C801" s="5" t="str">
        <f t="shared" si="915"/>
        <v>CH</v>
      </c>
      <c r="D801" t="s">
        <v>489</v>
      </c>
      <c r="E801" t="s">
        <v>8</v>
      </c>
      <c r="F801" s="1">
        <f>F289</f>
        <v>0</v>
      </c>
      <c r="G801" s="1">
        <f t="shared" ref="G801:K801" si="932">G289</f>
        <v>0</v>
      </c>
      <c r="H801" s="1">
        <f t="shared" si="932"/>
        <v>0</v>
      </c>
      <c r="I801" s="1">
        <f t="shared" si="932"/>
        <v>0</v>
      </c>
      <c r="J801" s="1">
        <f t="shared" si="932"/>
        <v>0</v>
      </c>
      <c r="K801" s="1">
        <f t="shared" si="932"/>
        <v>0</v>
      </c>
      <c r="L801" s="1">
        <f t="shared" ref="L801" si="933">L289</f>
        <v>0</v>
      </c>
      <c r="M801" s="1"/>
      <c r="N801" s="1"/>
    </row>
    <row r="802" spans="2:14" x14ac:dyDescent="0.35">
      <c r="B802" s="5" t="str">
        <f t="shared" si="914"/>
        <v>SPS1</v>
      </c>
      <c r="C802" s="5" t="str">
        <f t="shared" si="915"/>
        <v>CH</v>
      </c>
      <c r="D802" t="s">
        <v>950</v>
      </c>
      <c r="E802" t="s">
        <v>8</v>
      </c>
      <c r="F802" s="1" cm="1">
        <f t="array" ref="F802">SUMPRODUCT(([1]OUT_FinalEnergyCons!$B$4:$B$10000="Var_Fin")*1, ([1]OUT_FinalEnergyCons!$C$4:$C$10000="ITOT_LTH_DH")*1, (ISNUMBER(SEARCH("ITOT-SWHLTHDH",[1]OUT_FinalEnergyCons!$A$4:$A$10000)))*1,[1]OUT_FinalEnergyCons!D$4:D$10000)</f>
        <v>7.1200029729715606</v>
      </c>
      <c r="G802" s="1" cm="1">
        <f t="array" ref="G802">SUMPRODUCT(([1]OUT_FinalEnergyCons!$B$4:$B$10000="Var_Fin")*1, ([1]OUT_FinalEnergyCons!$C$4:$C$10000="ITOT_LTH_DH")*1, (ISNUMBER(SEARCH("ITOT-SWHLTHDH",[1]OUT_FinalEnergyCons!$A$4:$A$10000)))*1,[1]OUT_FinalEnergyCons!E$4:E$10000)</f>
        <v>7.6289070574065185</v>
      </c>
      <c r="H802" s="1" cm="1">
        <f t="array" ref="H802">SUMPRODUCT(([1]OUT_FinalEnergyCons!$B$4:$B$10000="Var_Fin")*1, ([1]OUT_FinalEnergyCons!$C$4:$C$10000="ITOT_LTH_DH")*1, (ISNUMBER(SEARCH("ITOT-SWHLTHDH",[1]OUT_FinalEnergyCons!$A$4:$A$10000)))*1,[1]OUT_FinalEnergyCons!F$4:F$10000)</f>
        <v>7.6289065666842193</v>
      </c>
      <c r="I802" s="1" cm="1">
        <f t="array" ref="I802">SUMPRODUCT(([1]OUT_FinalEnergyCons!$B$4:$B$10000="Var_Fin")*1, ([1]OUT_FinalEnergyCons!$C$4:$C$10000="ITOT_LTH_DH")*1, (ISNUMBER(SEARCH("ITOT-SWHLTHDH",[1]OUT_FinalEnergyCons!$A$4:$A$10000)))*1,[1]OUT_FinalEnergyCons!G$4:G$10000)</f>
        <v>7.6289148403193145</v>
      </c>
      <c r="J802" s="1" cm="1">
        <f t="array" ref="J802">SUMPRODUCT(([2]OUT_FinalEnergyCons!$B$4:$B$10000="Var_Fin")*1, ([2]OUT_FinalEnergyCons!$C$4:$C$10000="ITOT_LTH_DH")*1, (ISNUMBER(SEARCH("ITOT-SWHLTHDH",[2]OUT_FinalEnergyCons!$A$4:$A$10000)))*1,[2]OUT_FinalEnergyCons!H$4:H$10000)</f>
        <v>7.6300598528357195</v>
      </c>
      <c r="K802" s="1" cm="1">
        <f t="array" ref="K802">SUMPRODUCT(([2]OUT_FinalEnergyCons!$B$4:$B$10000="Var_Fin")*1, ([2]OUT_FinalEnergyCons!$C$4:$C$10000="ITOT_LTH_DH")*1, (ISNUMBER(SEARCH("ITOT-SWHLTHDH",[2]OUT_FinalEnergyCons!$A$4:$A$10000)))*1,[2]OUT_FinalEnergyCons!I$4:I$10000)</f>
        <v>7.6363517871934734</v>
      </c>
      <c r="L802" s="1" cm="1">
        <f t="array" ref="L802">SUMPRODUCT(([2]OUT_FinalEnergyCons!$B$4:$B$10000="Var_Fin")*1, ([2]OUT_FinalEnergyCons!$C$4:$C$10000="ITOT_LTH_DH")*1, (ISNUMBER(SEARCH("ITOT-SWHLTHDH",[2]OUT_FinalEnergyCons!$A$4:$A$10000)))*1,[2]OUT_FinalEnergyCons!J$4:J$10000)</f>
        <v>9.0012012639766841</v>
      </c>
      <c r="N802" s="1"/>
    </row>
    <row r="803" spans="2:14" x14ac:dyDescent="0.35">
      <c r="B803" s="5" t="str">
        <f>B802</f>
        <v>SPS1</v>
      </c>
      <c r="C803" s="5" t="str">
        <f t="shared" si="915"/>
        <v>CH</v>
      </c>
      <c r="D803" t="s">
        <v>951</v>
      </c>
      <c r="E803" t="s">
        <v>8</v>
      </c>
      <c r="F803" s="1">
        <f>F804</f>
        <v>9.0019052224842984</v>
      </c>
      <c r="G803" s="1">
        <f t="shared" ref="G803:L803" si="934">G804</f>
        <v>10.609942922671451</v>
      </c>
      <c r="H803" s="1">
        <f t="shared" si="934"/>
        <v>10.197681734031493</v>
      </c>
      <c r="I803" s="1">
        <f t="shared" si="934"/>
        <v>10.322138308630933</v>
      </c>
      <c r="J803" s="1">
        <f t="shared" si="934"/>
        <v>10.335326086977046</v>
      </c>
      <c r="K803" s="1">
        <f t="shared" si="934"/>
        <v>10.094393053628234</v>
      </c>
      <c r="L803" s="1">
        <f t="shared" si="934"/>
        <v>9.7938716446296876</v>
      </c>
      <c r="N803" s="1"/>
    </row>
    <row r="804" spans="2:14" x14ac:dyDescent="0.35">
      <c r="B804" s="5" t="str">
        <f t="shared" ref="B804:B806" si="935">B803</f>
        <v>SPS1</v>
      </c>
      <c r="C804" s="5" t="str">
        <f t="shared" si="915"/>
        <v>CH</v>
      </c>
      <c r="D804" t="s">
        <v>952</v>
      </c>
      <c r="E804" t="s">
        <v>8</v>
      </c>
      <c r="F804" s="1" cm="1">
        <f t="array" ref="F804">SUMPRODUCT(([1]OUT_FinalEnergyCons!$B$4:$B$10000="Var_Fin")*1, ([1]OUT_FinalEnergyCons!$C$4:$C$10000="iWOD")*1, (ISNUMBER(SEARCH("ITOT-SWHWOD*BR",[1]OUT_FinalEnergyCons!$A$4:$A$10000)))*1,[1]OUT_FinalEnergyCons!D$4:D$10000)</f>
        <v>9.0019052224842984</v>
      </c>
      <c r="G804" s="1" cm="1">
        <f t="array" ref="G804">SUMPRODUCT(([1]OUT_FinalEnergyCons!$B$4:$B$10000="Var_Fin")*1, ([1]OUT_FinalEnergyCons!$C$4:$C$10000="iWOD")*1, (ISNUMBER(SEARCH("ITOT-SWHWOD*BR",[1]OUT_FinalEnergyCons!$A$4:$A$10000)))*1,[1]OUT_FinalEnergyCons!E$4:E$10000)</f>
        <v>10.609942922671451</v>
      </c>
      <c r="H804" s="1" cm="1">
        <f t="array" ref="H804">SUMPRODUCT(([1]OUT_FinalEnergyCons!$B$4:$B$10000="Var_Fin")*1, ([1]OUT_FinalEnergyCons!$C$4:$C$10000="iWOD")*1, (ISNUMBER(SEARCH("ITOT-SWHWOD*BR",[1]OUT_FinalEnergyCons!$A$4:$A$10000)))*1,[1]OUT_FinalEnergyCons!F$4:F$10000)</f>
        <v>10.197681734031493</v>
      </c>
      <c r="I804" s="1" cm="1">
        <f t="array" ref="I804">SUMPRODUCT(([1]OUT_FinalEnergyCons!$B$4:$B$10000="Var_Fin")*1, ([1]OUT_FinalEnergyCons!$C$4:$C$10000="iWOD")*1, (ISNUMBER(SEARCH("ITOT-SWHWOD*BR",[1]OUT_FinalEnergyCons!$A$4:$A$10000)))*1,[1]OUT_FinalEnergyCons!G$4:G$10000)</f>
        <v>10.322138308630933</v>
      </c>
      <c r="J804" s="1" cm="1">
        <f t="array" ref="J804">SUMPRODUCT(([2]OUT_FinalEnergyCons!$B$4:$B$10000="Var_Fin")*1, ([2]OUT_FinalEnergyCons!$C$4:$C$10000="iWOD")*1, (ISNUMBER(SEARCH("ITOT-SWHWOD*BR",[2]OUT_FinalEnergyCons!$A$4:$A$10000)))*1,[2]OUT_FinalEnergyCons!H$4:H$10000)</f>
        <v>10.335326086977046</v>
      </c>
      <c r="K804" s="1" cm="1">
        <f t="array" ref="K804">SUMPRODUCT(([2]OUT_FinalEnergyCons!$B$4:$B$10000="Var_Fin")*1, ([2]OUT_FinalEnergyCons!$C$4:$C$10000="iWOD")*1, (ISNUMBER(SEARCH("ITOT-SWHWOD*BR",[2]OUT_FinalEnergyCons!$A$4:$A$10000)))*1,[2]OUT_FinalEnergyCons!I$4:I$10000)</f>
        <v>10.094393053628234</v>
      </c>
      <c r="L804" s="1" cm="1">
        <f t="array" ref="L804">SUMPRODUCT(([2]OUT_FinalEnergyCons!$B$4:$B$10000="Var_Fin")*1, ([2]OUT_FinalEnergyCons!$C$4:$C$10000="iWOD")*1, (ISNUMBER(SEARCH("ITOT-SWHWOD*BR",[2]OUT_FinalEnergyCons!$A$4:$A$10000)))*1,[2]OUT_FinalEnergyCons!J$4:J$10000)</f>
        <v>9.7938716446296876</v>
      </c>
      <c r="N804" s="1"/>
    </row>
    <row r="805" spans="2:14" x14ac:dyDescent="0.35">
      <c r="B805" s="5" t="str">
        <f t="shared" si="935"/>
        <v>SPS1</v>
      </c>
      <c r="C805" s="5" t="str">
        <f t="shared" si="915"/>
        <v>CH</v>
      </c>
      <c r="D805" t="s">
        <v>953</v>
      </c>
      <c r="E805" t="s">
        <v>8</v>
      </c>
      <c r="F805" s="1">
        <f>F806</f>
        <v>0.62578933952296967</v>
      </c>
      <c r="G805" s="1">
        <f t="shared" ref="G805:L805" si="936">G806</f>
        <v>0.73757443264065503</v>
      </c>
      <c r="H805" s="1">
        <f t="shared" si="936"/>
        <v>0.73639804823255517</v>
      </c>
      <c r="I805" s="1">
        <f t="shared" si="936"/>
        <v>0.73433146241348601</v>
      </c>
      <c r="J805" s="1">
        <f t="shared" si="936"/>
        <v>0.73286112057003294</v>
      </c>
      <c r="K805" s="1">
        <f t="shared" si="936"/>
        <v>0.73081741447165638</v>
      </c>
      <c r="L805" s="1">
        <f t="shared" si="936"/>
        <v>0.72676240889193999</v>
      </c>
      <c r="N805" s="1"/>
    </row>
    <row r="806" spans="2:14" x14ac:dyDescent="0.35">
      <c r="B806" s="5" t="str">
        <f t="shared" si="935"/>
        <v>SPS1</v>
      </c>
      <c r="C806" s="5" t="str">
        <f t="shared" si="915"/>
        <v>CH</v>
      </c>
      <c r="D806" t="s">
        <v>954</v>
      </c>
      <c r="E806" t="s">
        <v>8</v>
      </c>
      <c r="F806" s="1" cm="1">
        <f t="array" ref="F806">SUMPRODUCT(([1]OUT_FinalEnergyCons!$B$4:$B$10000="Var_Fin")*1, ([1]OUT_FinalEnergyCons!$C$4:$C$10000="IPLT")*1, (ISNUMBER(SEARCH("ITOT-SWHPLT*BR",[1]OUT_FinalEnergyCons!$A$4:$A$10000)))*1,[1]OUT_FinalEnergyCons!D$4:D$10000)</f>
        <v>0.62578933952296967</v>
      </c>
      <c r="G806" s="1" cm="1">
        <f t="array" ref="G806">SUMPRODUCT(([1]OUT_FinalEnergyCons!$B$4:$B$10000="Var_Fin")*1, ([1]OUT_FinalEnergyCons!$C$4:$C$10000="IPLT")*1, (ISNUMBER(SEARCH("ITOT-SWHPLT*BR",[1]OUT_FinalEnergyCons!$A$4:$A$10000)))*1,[1]OUT_FinalEnergyCons!E$4:E$10000)</f>
        <v>0.73757443264065503</v>
      </c>
      <c r="H806" s="1" cm="1">
        <f t="array" ref="H806">SUMPRODUCT(([1]OUT_FinalEnergyCons!$B$4:$B$10000="Var_Fin")*1, ([1]OUT_FinalEnergyCons!$C$4:$C$10000="IPLT")*1, (ISNUMBER(SEARCH("ITOT-SWHPLT*BR",[1]OUT_FinalEnergyCons!$A$4:$A$10000)))*1,[1]OUT_FinalEnergyCons!F$4:F$10000)</f>
        <v>0.73639804823255517</v>
      </c>
      <c r="I806" s="1" cm="1">
        <f t="array" ref="I806">SUMPRODUCT(([1]OUT_FinalEnergyCons!$B$4:$B$10000="Var_Fin")*1, ([1]OUT_FinalEnergyCons!$C$4:$C$10000="IPLT")*1, (ISNUMBER(SEARCH("ITOT-SWHPLT*BR",[1]OUT_FinalEnergyCons!$A$4:$A$10000)))*1,[1]OUT_FinalEnergyCons!G$4:G$10000)</f>
        <v>0.73433146241348601</v>
      </c>
      <c r="J806" s="1" cm="1">
        <f t="array" ref="J806">SUMPRODUCT(([2]OUT_FinalEnergyCons!$B$4:$B$10000="Var_Fin")*1, ([2]OUT_FinalEnergyCons!$C$4:$C$10000="IPLT")*1, (ISNUMBER(SEARCH("ITOT-SWHPLT*BR",[2]OUT_FinalEnergyCons!$A$4:$A$10000)))*1,[2]OUT_FinalEnergyCons!H$4:H$10000)</f>
        <v>0.73286112057003294</v>
      </c>
      <c r="K806" s="1" cm="1">
        <f t="array" ref="K806">SUMPRODUCT(([2]OUT_FinalEnergyCons!$B$4:$B$10000="Var_Fin")*1, ([2]OUT_FinalEnergyCons!$C$4:$C$10000="IPLT")*1, (ISNUMBER(SEARCH("ITOT-SWHPLT*BR",[2]OUT_FinalEnergyCons!$A$4:$A$10000)))*1,[2]OUT_FinalEnergyCons!I$4:I$10000)</f>
        <v>0.73081741447165638</v>
      </c>
      <c r="L806" s="1" cm="1">
        <f t="array" ref="L806">SUMPRODUCT(([2]OUT_FinalEnergyCons!$B$4:$B$10000="Var_Fin")*1, ([2]OUT_FinalEnergyCons!$C$4:$C$10000="IPLT")*1, (ISNUMBER(SEARCH("ITOT-SWHPLT*BR",[2]OUT_FinalEnergyCons!$A$4:$A$10000)))*1,[2]OUT_FinalEnergyCons!J$4:J$10000)</f>
        <v>0.72676240889193999</v>
      </c>
      <c r="N806" s="1"/>
    </row>
    <row r="807" spans="2:14" x14ac:dyDescent="0.35">
      <c r="B807" s="5" t="str">
        <f>B806</f>
        <v>SPS1</v>
      </c>
      <c r="C807" s="5" t="str">
        <f t="shared" si="915"/>
        <v>CH</v>
      </c>
      <c r="D807" t="s">
        <v>492</v>
      </c>
      <c r="E807" t="s">
        <v>8</v>
      </c>
      <c r="F807" s="1">
        <f>[1]Industry!B$21</f>
        <v>7.7980455576488188</v>
      </c>
      <c r="G807" s="1">
        <f>[1]Industry!C$21</f>
        <v>8.0801506269820464</v>
      </c>
      <c r="H807" s="1">
        <f>[1]Industry!D$21</f>
        <v>11.036651992679024</v>
      </c>
      <c r="I807" s="1">
        <f>[1]Industry!E$21</f>
        <v>10.913845350247737</v>
      </c>
      <c r="J807" s="1">
        <f>[2]Industry!F$21</f>
        <v>10.771101403648546</v>
      </c>
      <c r="K807" s="1">
        <f>[2]Industry!G$21</f>
        <v>10.726623322248765</v>
      </c>
      <c r="L807" s="1">
        <f>[2]Industry!H$21</f>
        <v>10.62664042918647</v>
      </c>
      <c r="N807" s="1"/>
    </row>
    <row r="808" spans="2:14" x14ac:dyDescent="0.35">
      <c r="B808" s="5" t="str">
        <f t="shared" ref="B808:B810" si="937">B807</f>
        <v>SPS1</v>
      </c>
      <c r="C808" s="5" t="str">
        <f t="shared" si="915"/>
        <v>CH</v>
      </c>
      <c r="D808" t="s">
        <v>495</v>
      </c>
      <c r="E808" t="s">
        <v>8</v>
      </c>
      <c r="F808" s="1">
        <f>F807</f>
        <v>7.7980455576488188</v>
      </c>
      <c r="G808" s="1">
        <f t="shared" ref="G808:K808" si="938">G807</f>
        <v>8.0801506269820464</v>
      </c>
      <c r="H808" s="1">
        <f t="shared" si="938"/>
        <v>11.036651992679024</v>
      </c>
      <c r="I808" s="1">
        <f t="shared" si="938"/>
        <v>10.913845350247737</v>
      </c>
      <c r="J808" s="1">
        <f t="shared" si="938"/>
        <v>10.771101403648546</v>
      </c>
      <c r="K808" s="1">
        <f t="shared" si="938"/>
        <v>10.726623322248765</v>
      </c>
      <c r="L808" s="1">
        <f t="shared" ref="L808" si="939">L807</f>
        <v>10.62664042918647</v>
      </c>
      <c r="N808" s="1"/>
    </row>
    <row r="809" spans="2:14" x14ac:dyDescent="0.35">
      <c r="B809" s="5" t="str">
        <f t="shared" si="937"/>
        <v>SPS1</v>
      </c>
      <c r="C809" s="5" t="str">
        <f t="shared" si="915"/>
        <v>CH</v>
      </c>
      <c r="D809" t="s">
        <v>493</v>
      </c>
      <c r="E809" t="s">
        <v>8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N809" s="1"/>
    </row>
    <row r="810" spans="2:14" x14ac:dyDescent="0.35">
      <c r="B810" s="5" t="str">
        <f t="shared" si="937"/>
        <v>SPS1</v>
      </c>
      <c r="C810" s="5" t="str">
        <f t="shared" si="915"/>
        <v>CH</v>
      </c>
      <c r="D810" t="s">
        <v>494</v>
      </c>
      <c r="E810" t="s">
        <v>8</v>
      </c>
      <c r="F810" s="1">
        <f>F808</f>
        <v>7.7980455576488188</v>
      </c>
      <c r="G810" s="1">
        <f t="shared" ref="G810:K810" si="940">G808</f>
        <v>8.0801506269820464</v>
      </c>
      <c r="H810" s="1">
        <f t="shared" si="940"/>
        <v>11.036651992679024</v>
      </c>
      <c r="I810" s="1">
        <f t="shared" si="940"/>
        <v>10.913845350247737</v>
      </c>
      <c r="J810" s="1">
        <f t="shared" si="940"/>
        <v>10.771101403648546</v>
      </c>
      <c r="K810" s="1">
        <f t="shared" si="940"/>
        <v>10.726623322248765</v>
      </c>
      <c r="L810" s="1">
        <f t="shared" ref="L810" si="941">L808</f>
        <v>10.62664042918647</v>
      </c>
      <c r="N810" s="1"/>
    </row>
    <row r="811" spans="2:14" x14ac:dyDescent="0.35">
      <c r="B811" s="5" t="str">
        <f>B810</f>
        <v>SPS1</v>
      </c>
      <c r="C811" s="5" t="str">
        <f t="shared" ref="C811:C812" si="942">C810</f>
        <v>CH</v>
      </c>
      <c r="D811" t="s">
        <v>955</v>
      </c>
      <c r="E811" t="s">
        <v>8</v>
      </c>
      <c r="F811" s="1">
        <f>[1]Industry!B$22</f>
        <v>6.7641181729311065E-2</v>
      </c>
      <c r="G811" s="1">
        <f>[1]Industry!C$22</f>
        <v>8.5491523208523268E-2</v>
      </c>
      <c r="H811" s="1">
        <f>[1]Industry!D$22</f>
        <v>8.419430149156891E-2</v>
      </c>
      <c r="I811" s="1">
        <f>[1]Industry!E$22</f>
        <v>8.5486550814930021E-2</v>
      </c>
      <c r="J811" s="1">
        <f>[2]Industry!F$22</f>
        <v>3.4992448687641488E-2</v>
      </c>
      <c r="K811" s="1">
        <f>[2]Industry!G$22</f>
        <v>8.6598201095499344E-2</v>
      </c>
      <c r="L811" s="1">
        <f>[2]Industry!H$22</f>
        <v>8.6884238729321342E-2</v>
      </c>
      <c r="N811" s="1"/>
    </row>
    <row r="812" spans="2:14" x14ac:dyDescent="0.35">
      <c r="B812" s="5" t="str">
        <f t="shared" ref="B812" si="943">B811</f>
        <v>SPS1</v>
      </c>
      <c r="C812" s="5" t="str">
        <f t="shared" si="942"/>
        <v>CH</v>
      </c>
      <c r="D812" t="s">
        <v>956</v>
      </c>
      <c r="E812" t="s">
        <v>8</v>
      </c>
      <c r="F812" s="1">
        <f>F811</f>
        <v>6.7641181729311065E-2</v>
      </c>
      <c r="G812" s="1">
        <f t="shared" ref="G812:K812" si="944">G811</f>
        <v>8.5491523208523268E-2</v>
      </c>
      <c r="H812" s="1">
        <f t="shared" si="944"/>
        <v>8.419430149156891E-2</v>
      </c>
      <c r="I812" s="1">
        <f t="shared" si="944"/>
        <v>8.5486550814930021E-2</v>
      </c>
      <c r="J812" s="1">
        <f t="shared" si="944"/>
        <v>3.4992448687641488E-2</v>
      </c>
      <c r="K812" s="1">
        <f t="shared" si="944"/>
        <v>8.6598201095499344E-2</v>
      </c>
      <c r="L812" s="1">
        <f t="shared" ref="L812" si="945">L811</f>
        <v>8.6884238729321342E-2</v>
      </c>
      <c r="N812" s="1"/>
    </row>
    <row r="813" spans="2:14" x14ac:dyDescent="0.35">
      <c r="B813" s="5" t="str">
        <f>B812</f>
        <v>SPS1</v>
      </c>
      <c r="C813" s="5" t="str">
        <f t="shared" ref="C813:C814" si="946">C812</f>
        <v>CH</v>
      </c>
      <c r="D813" t="s">
        <v>957</v>
      </c>
      <c r="E813" t="s">
        <v>8</v>
      </c>
      <c r="F813" s="1">
        <f>[1]Industry!B$23</f>
        <v>0</v>
      </c>
      <c r="G813" s="1">
        <f>[1]Industry!C$23</f>
        <v>0</v>
      </c>
      <c r="H813" s="1">
        <f>[1]Industry!D$23</f>
        <v>0</v>
      </c>
      <c r="I813" s="1">
        <f>[1]Industry!E$23</f>
        <v>0</v>
      </c>
      <c r="J813" s="1">
        <f>[2]Industry!F$23</f>
        <v>1.7261323362746023E-2</v>
      </c>
      <c r="K813" s="1">
        <f>[2]Industry!G$23</f>
        <v>2.04183541986129E-2</v>
      </c>
      <c r="L813" s="1">
        <f>[2]Industry!H$23</f>
        <v>0.19992967655829669</v>
      </c>
      <c r="N813" s="1"/>
    </row>
    <row r="814" spans="2:14" x14ac:dyDescent="0.35">
      <c r="B814" s="5" t="str">
        <f t="shared" ref="B814" si="947">B813</f>
        <v>SPS1</v>
      </c>
      <c r="C814" s="5" t="str">
        <f t="shared" si="946"/>
        <v>CH</v>
      </c>
      <c r="D814" t="s">
        <v>958</v>
      </c>
      <c r="E814" t="s">
        <v>8</v>
      </c>
      <c r="F814" s="1">
        <f>F813</f>
        <v>0</v>
      </c>
      <c r="G814" s="1">
        <f t="shared" ref="G814:K814" si="948">G813</f>
        <v>0</v>
      </c>
      <c r="H814" s="1">
        <f t="shared" si="948"/>
        <v>0</v>
      </c>
      <c r="I814" s="1">
        <f t="shared" si="948"/>
        <v>0</v>
      </c>
      <c r="J814" s="1">
        <f t="shared" si="948"/>
        <v>1.7261323362746023E-2</v>
      </c>
      <c r="K814" s="1">
        <f t="shared" si="948"/>
        <v>2.04183541986129E-2</v>
      </c>
      <c r="L814" s="1">
        <f t="shared" ref="L814" si="949">L813</f>
        <v>0.19992967655829669</v>
      </c>
      <c r="N814" s="1"/>
    </row>
    <row r="815" spans="2:14" x14ac:dyDescent="0.35">
      <c r="B815" s="5" t="str">
        <f>B814</f>
        <v>SPS1</v>
      </c>
      <c r="C815" s="5" t="str">
        <f t="shared" ref="C815:C816" si="950">C814</f>
        <v>CH</v>
      </c>
      <c r="D815" t="s">
        <v>959</v>
      </c>
      <c r="E815" t="s">
        <v>8</v>
      </c>
      <c r="F815" s="1">
        <f>[1]Industry!B$24</f>
        <v>0.74847265314895872</v>
      </c>
      <c r="G815" s="1">
        <f>[1]Industry!C$24</f>
        <v>0.94973041973511985</v>
      </c>
      <c r="H815" s="1">
        <f>[1]Industry!D$24</f>
        <v>0.96763560947960825</v>
      </c>
      <c r="I815" s="1">
        <f>[1]Industry!E$24</f>
        <v>2.7543819951566579</v>
      </c>
      <c r="J815" s="1">
        <f>[2]Industry!F$24</f>
        <v>4.352727974571212</v>
      </c>
      <c r="K815" s="1">
        <f>[2]Industry!G$24</f>
        <v>4.4809350507622945</v>
      </c>
      <c r="L815" s="1">
        <f>[2]Industry!H$24</f>
        <v>9.358403861409613</v>
      </c>
      <c r="N815" s="1"/>
    </row>
    <row r="816" spans="2:14" x14ac:dyDescent="0.35">
      <c r="B816" s="5" t="str">
        <f t="shared" ref="B816" si="951">B815</f>
        <v>SPS1</v>
      </c>
      <c r="C816" s="5" t="str">
        <f t="shared" si="950"/>
        <v>CH</v>
      </c>
      <c r="D816" t="s">
        <v>960</v>
      </c>
      <c r="E816" t="s">
        <v>8</v>
      </c>
      <c r="F816" s="1" cm="1">
        <f t="array" ref="F816">SUMPRODUCT(([1]OUT_FinalEnergyCons!$B$4:$B$10000="Var_FOut")*1, ([1]OUT_FinalEnergyCons!$C$4:$C$10000="ITOT-SWHAelch")*1, (ISNUMBER(SEARCH("ITOT-SWHELCHP",[1]OUT_FinalEnergyCons!$A$4:$A$10000)))*1,[1]OUT_FinalEnergyCons!D$4:D$10000)-F766</f>
        <v>0.74847265314895872</v>
      </c>
      <c r="G816" s="1" cm="1">
        <f t="array" ref="G816">SUMPRODUCT(([1]OUT_FinalEnergyCons!$B$4:$B$10000="Var_FOut")*1, ([1]OUT_FinalEnergyCons!$C$4:$C$10000="ITOT-SWHAelch")*1, (ISNUMBER(SEARCH("ITOT-SWHELCHP",[1]OUT_FinalEnergyCons!$A$4:$A$10000)))*1,[1]OUT_FinalEnergyCons!E$4:E$10000)-G766</f>
        <v>0.94973041973511985</v>
      </c>
      <c r="H816" s="1" cm="1">
        <f t="array" ref="H816">SUMPRODUCT(([1]OUT_FinalEnergyCons!$B$4:$B$10000="Var_FOut")*1, ([1]OUT_FinalEnergyCons!$C$4:$C$10000="ITOT-SWHAelch")*1, (ISNUMBER(SEARCH("ITOT-SWHELCHP",[1]OUT_FinalEnergyCons!$A$4:$A$10000)))*1,[1]OUT_FinalEnergyCons!F$4:F$10000)-H766</f>
        <v>0.95522508355567326</v>
      </c>
      <c r="I816" s="1" cm="1">
        <f t="array" ref="I816">SUMPRODUCT(([1]OUT_FinalEnergyCons!$B$4:$B$10000="Var_FOut")*1, ([1]OUT_FinalEnergyCons!$C$4:$C$10000="ITOT-SWHAelch")*1, (ISNUMBER(SEARCH("ITOT-SWHELCHP",[1]OUT_FinalEnergyCons!$A$4:$A$10000)))*1,[1]OUT_FinalEnergyCons!G$4:G$10000)-I766</f>
        <v>2.7413162893294056</v>
      </c>
      <c r="J816" s="1" cm="1">
        <f t="array" ref="J816">SUMPRODUCT(([2]OUT_FinalEnergyCons!$B$4:$B$10000="Var_FOut")*1, ([2]OUT_FinalEnergyCons!$C$4:$C$10000="ITOT-SWHAelch")*1, (ISNUMBER(SEARCH("ITOT-SWHELCHP",[2]OUT_FinalEnergyCons!$A$4:$A$10000)))*1,[2]OUT_FinalEnergyCons!H$4:H$10000)-J766</f>
        <v>4.3383752537950944</v>
      </c>
      <c r="K816" s="1" cm="1">
        <f t="array" ref="K816">SUMPRODUCT(([2]OUT_FinalEnergyCons!$B$4:$B$10000="Var_FOut")*1, ([2]OUT_FinalEnergyCons!$C$4:$C$10000="ITOT-SWHAelch")*1, (ISNUMBER(SEARCH("ITOT-SWHELCHP",[2]OUT_FinalEnergyCons!$A$4:$A$10000)))*1,[2]OUT_FinalEnergyCons!I$4:I$10000)-K766</f>
        <v>4.3738079323779013</v>
      </c>
      <c r="L816" s="1" cm="1">
        <f t="array" ref="L816">SUMPRODUCT(([2]OUT_FinalEnergyCons!$B$4:$B$10000="Var_FOut")*1, ([2]OUT_FinalEnergyCons!$C$4:$C$10000="ITOT-SWHAelch")*1, (ISNUMBER(SEARCH("ITOT-SWHELCHP",[2]OUT_FinalEnergyCons!$A$4:$A$10000)))*1,[2]OUT_FinalEnergyCons!J$4:J$10000)-L766</f>
        <v>9.2612236236969991</v>
      </c>
      <c r="N816" s="1"/>
    </row>
    <row r="817" spans="2:14" x14ac:dyDescent="0.35">
      <c r="B817" s="5" t="str">
        <f t="shared" ref="B817:B818" si="952">B816</f>
        <v>SPS1</v>
      </c>
      <c r="C817" s="5" t="str">
        <f t="shared" ref="C817:C825" si="953">C816</f>
        <v>CH</v>
      </c>
      <c r="D817" t="s">
        <v>961</v>
      </c>
      <c r="E817" t="s">
        <v>8</v>
      </c>
      <c r="F817" s="1">
        <f>F815-F816</f>
        <v>0</v>
      </c>
      <c r="G817" s="1">
        <f t="shared" ref="G817:K817" si="954">G815-G816</f>
        <v>0</v>
      </c>
      <c r="H817" s="1">
        <f t="shared" si="954"/>
        <v>1.241052592393499E-2</v>
      </c>
      <c r="I817" s="1">
        <f t="shared" si="954"/>
        <v>1.3065705827252305E-2</v>
      </c>
      <c r="J817" s="1">
        <f t="shared" si="954"/>
        <v>1.43527207761176E-2</v>
      </c>
      <c r="K817" s="1">
        <f t="shared" si="954"/>
        <v>0.10712711838439315</v>
      </c>
      <c r="L817" s="1">
        <f t="shared" ref="L817" si="955">L815-L816</f>
        <v>9.7180237712613859E-2</v>
      </c>
      <c r="N817" s="1"/>
    </row>
    <row r="818" spans="2:14" x14ac:dyDescent="0.35">
      <c r="B818" s="9" t="str">
        <f t="shared" si="952"/>
        <v>SPS1</v>
      </c>
      <c r="C818" s="9" t="str">
        <f t="shared" si="953"/>
        <v>CH</v>
      </c>
      <c r="D818" s="2" t="s">
        <v>684</v>
      </c>
      <c r="E818" s="9" t="s">
        <v>8</v>
      </c>
      <c r="F818" s="17">
        <f>[1]Industry!B$71</f>
        <v>72.708243583982281</v>
      </c>
      <c r="G818" s="17">
        <f>[1]Industry!C$71</f>
        <v>73.852753050181306</v>
      </c>
      <c r="H818" s="17">
        <f>[1]Industry!D$71</f>
        <v>76.011268278823763</v>
      </c>
      <c r="I818" s="17">
        <f>[1]Industry!E$71</f>
        <v>76.907612357752697</v>
      </c>
      <c r="J818" s="17">
        <f>[2]Industry!F$71</f>
        <v>77.240990491964467</v>
      </c>
      <c r="K818" s="17">
        <f>[2]Industry!G$71</f>
        <v>77.479843190815103</v>
      </c>
      <c r="L818" s="17">
        <f>[2]Industry!H$71</f>
        <v>77.94194828461201</v>
      </c>
      <c r="N818" s="1"/>
    </row>
    <row r="819" spans="2:14" x14ac:dyDescent="0.35">
      <c r="B819" s="5" t="str">
        <f>B818</f>
        <v>SPS1</v>
      </c>
      <c r="C819" s="5" t="str">
        <f t="shared" si="953"/>
        <v>CH</v>
      </c>
      <c r="D819" t="s">
        <v>2031</v>
      </c>
      <c r="E819" t="s">
        <v>8</v>
      </c>
      <c r="F819" s="18">
        <f>SUM(F820:F822)</f>
        <v>58.985438274077225</v>
      </c>
      <c r="G819" s="18">
        <f t="shared" ref="G819:K819" si="956">SUM(G820:G822)</f>
        <v>60.611458787748063</v>
      </c>
      <c r="H819" s="18">
        <f t="shared" si="956"/>
        <v>63.626269080381903</v>
      </c>
      <c r="I819" s="18">
        <f t="shared" si="956"/>
        <v>67.979089120308714</v>
      </c>
      <c r="J819" s="18">
        <f t="shared" si="956"/>
        <v>71.279749042965079</v>
      </c>
      <c r="K819" s="18">
        <f t="shared" si="956"/>
        <v>71.014607942907162</v>
      </c>
      <c r="L819" s="18">
        <f t="shared" ref="L819" si="957">SUM(L820:L822)</f>
        <v>78.598957566498967</v>
      </c>
      <c r="N819" s="1"/>
    </row>
    <row r="820" spans="2:14" x14ac:dyDescent="0.35">
      <c r="B820" s="5" t="str">
        <f t="shared" ref="B820:B825" si="958">B819</f>
        <v>SPS1</v>
      </c>
      <c r="C820" s="5" t="str">
        <f t="shared" si="953"/>
        <v>CH</v>
      </c>
      <c r="D820" t="s">
        <v>2032</v>
      </c>
      <c r="E820" t="s">
        <v>8</v>
      </c>
      <c r="F820" s="1">
        <f>[1]Industry!B$55</f>
        <v>9.8138948399438988</v>
      </c>
      <c r="G820" s="1">
        <f>[1]Industry!C$55</f>
        <v>10.33508315108238</v>
      </c>
      <c r="H820" s="1">
        <f>[1]Industry!D$55</f>
        <v>10.576617256713416</v>
      </c>
      <c r="I820" s="1">
        <f>[1]Industry!E$55</f>
        <v>10.937121345826959</v>
      </c>
      <c r="J820" s="1">
        <f>[2]Industry!F$55</f>
        <v>11.194188272756749</v>
      </c>
      <c r="K820" s="1">
        <f>[2]Industry!G$55</f>
        <v>11.194189501244585</v>
      </c>
      <c r="L820" s="1">
        <f>[2]Industry!H$55</f>
        <v>11.256160108731796</v>
      </c>
      <c r="M820" s="1"/>
      <c r="N820" s="1"/>
    </row>
    <row r="821" spans="2:14" x14ac:dyDescent="0.35">
      <c r="B821" s="5" t="str">
        <f t="shared" si="958"/>
        <v>SPS1</v>
      </c>
      <c r="C821" s="5" t="str">
        <f t="shared" si="953"/>
        <v>CH</v>
      </c>
      <c r="D821" t="s">
        <v>2033</v>
      </c>
      <c r="E821" t="s">
        <v>8</v>
      </c>
      <c r="F821" s="1">
        <f>[1]Industry!B$56</f>
        <v>1.1081457819623317</v>
      </c>
      <c r="G821" s="1">
        <f>[1]Industry!C$56</f>
        <v>1.4007935947799854</v>
      </c>
      <c r="H821" s="1">
        <f>[1]Industry!D$56</f>
        <v>1.4010974392223721</v>
      </c>
      <c r="I821" s="1">
        <f>[1]Industry!E$56</f>
        <v>3.9852394058452272</v>
      </c>
      <c r="J821" s="1">
        <f>[2]Industry!F$56</f>
        <v>6.253637510385806</v>
      </c>
      <c r="K821" s="1">
        <f>[2]Industry!G$56</f>
        <v>6.2537598100384857</v>
      </c>
      <c r="L821" s="1">
        <f>[2]Industry!H$56</f>
        <v>13.042334086066006</v>
      </c>
      <c r="N821" s="1"/>
    </row>
    <row r="822" spans="2:14" x14ac:dyDescent="0.35">
      <c r="B822" s="5" t="str">
        <f t="shared" si="958"/>
        <v>SPS1</v>
      </c>
      <c r="C822" s="5" t="str">
        <f t="shared" si="953"/>
        <v>CH</v>
      </c>
      <c r="D822" t="s">
        <v>2034</v>
      </c>
      <c r="E822" t="s">
        <v>8</v>
      </c>
      <c r="F822" s="1">
        <f>[1]Industry!B$3-([1]Industry!B$6-[1]Industry!B$70)</f>
        <v>48.063397652170998</v>
      </c>
      <c r="G822" s="1">
        <f>[1]Industry!C$3-([1]Industry!C$6-[1]Industry!C$70)</f>
        <v>48.8755820418857</v>
      </c>
      <c r="H822" s="1">
        <f>[1]Industry!D$3-([1]Industry!D$6-[1]Industry!D$70)</f>
        <v>51.648554384446115</v>
      </c>
      <c r="I822" s="1">
        <f>[1]Industry!E$3-([1]Industry!E$6-[1]Industry!E$70)</f>
        <v>53.05672836863652</v>
      </c>
      <c r="J822" s="1">
        <f>[2]Industry!F$3-([2]Industry!F$6-[2]Industry!F$70)</f>
        <v>53.831923259822517</v>
      </c>
      <c r="K822" s="1">
        <f>[2]Industry!G$3-([2]Industry!G$6-[2]Industry!G$70)</f>
        <v>53.566658631624094</v>
      </c>
      <c r="L822" s="1">
        <f>[2]Industry!H$3-([2]Industry!H$6-[2]Industry!H$70)</f>
        <v>54.300463371701163</v>
      </c>
      <c r="N822" s="1"/>
    </row>
    <row r="823" spans="2:14" x14ac:dyDescent="0.35">
      <c r="B823" s="5" t="str">
        <f t="shared" si="958"/>
        <v>SPS1</v>
      </c>
      <c r="C823" s="5" t="str">
        <f t="shared" si="953"/>
        <v>CH</v>
      </c>
      <c r="D823" t="s">
        <v>2035</v>
      </c>
      <c r="E823" t="s">
        <v>8</v>
      </c>
      <c r="F823" s="1">
        <f>SUM(F824:F825)</f>
        <v>8.7635345035366861</v>
      </c>
      <c r="G823" s="1">
        <f t="shared" ref="G823:K823" si="959">SUM(G824:G825)</f>
        <v>8.1573298179969278</v>
      </c>
      <c r="H823" s="1">
        <f t="shared" si="959"/>
        <v>6.4460386948601789</v>
      </c>
      <c r="I823" s="1">
        <f t="shared" si="959"/>
        <v>5.2690891771909216</v>
      </c>
      <c r="J823" s="1">
        <f t="shared" si="959"/>
        <v>4.0196921110317607</v>
      </c>
      <c r="K823" s="1">
        <f t="shared" si="959"/>
        <v>2.6973952932069185</v>
      </c>
      <c r="L823" s="1">
        <f t="shared" ref="L823" si="960">SUM(L824:L825)</f>
        <v>0.54649653136796938</v>
      </c>
      <c r="N823" s="1"/>
    </row>
    <row r="824" spans="2:14" x14ac:dyDescent="0.35">
      <c r="B824" s="5" t="str">
        <f t="shared" si="958"/>
        <v>SPS1</v>
      </c>
      <c r="C824" s="5" t="str">
        <f t="shared" si="953"/>
        <v>CH</v>
      </c>
      <c r="D824" t="s">
        <v>2036</v>
      </c>
      <c r="E824" t="s">
        <v>8</v>
      </c>
      <c r="F824" s="1">
        <f>[1]Industry!B$57</f>
        <v>6.9177103428533977</v>
      </c>
      <c r="G824" s="1">
        <f>[1]Industry!C$57</f>
        <v>6.3115084394813961</v>
      </c>
      <c r="H824" s="1">
        <f>[1]Industry!D$57</f>
        <v>6.4452407187836736</v>
      </c>
      <c r="I824" s="1">
        <f>[1]Industry!E$57</f>
        <v>5.2689416257412374</v>
      </c>
      <c r="J824" s="1">
        <f>[2]Industry!F$57</f>
        <v>4.0189505878661089</v>
      </c>
      <c r="K824" s="1">
        <f>[2]Industry!G$57</f>
        <v>2.6968715524507583</v>
      </c>
      <c r="L824" s="1">
        <f>[2]Industry!H$57</f>
        <v>0.54649653136796938</v>
      </c>
      <c r="N824" s="1"/>
    </row>
    <row r="825" spans="2:14" x14ac:dyDescent="0.35">
      <c r="B825" s="5" t="str">
        <f t="shared" si="958"/>
        <v>SPS1</v>
      </c>
      <c r="C825" s="5" t="str">
        <f t="shared" si="953"/>
        <v>CH</v>
      </c>
      <c r="D825" t="s">
        <v>2037</v>
      </c>
      <c r="E825" t="s">
        <v>8</v>
      </c>
      <c r="F825" s="1">
        <f>[1]Industry!B$58</f>
        <v>1.8458241606832879</v>
      </c>
      <c r="G825" s="1">
        <f>[1]Industry!C$58</f>
        <v>1.845821378515532</v>
      </c>
      <c r="H825" s="1">
        <f>[1]Industry!D$58</f>
        <v>7.9797607650533195E-4</v>
      </c>
      <c r="I825" s="1">
        <f>[1]Industry!E$58</f>
        <v>1.4755144968456413E-4</v>
      </c>
      <c r="J825" s="1">
        <f>[2]Industry!F$58</f>
        <v>7.4152316565190832E-4</v>
      </c>
      <c r="K825" s="1">
        <f>[2]Industry!G$58</f>
        <v>5.2374075616018598E-4</v>
      </c>
      <c r="L825" s="1">
        <f>[2]Industry!H$58</f>
        <v>0</v>
      </c>
      <c r="N825" s="1"/>
    </row>
    <row r="826" spans="2:14" x14ac:dyDescent="0.35">
      <c r="B826" s="5" t="str">
        <f>B825</f>
        <v>SPS1</v>
      </c>
      <c r="C826" s="5" t="str">
        <f>C825</f>
        <v>CH</v>
      </c>
      <c r="D826" t="s">
        <v>2038</v>
      </c>
      <c r="E826" t="s">
        <v>8</v>
      </c>
      <c r="F826" s="1">
        <f>SUM(F827:F829)</f>
        <v>28.930282712233193</v>
      </c>
      <c r="G826" s="1">
        <f t="shared" ref="G826:K826" si="961">SUM(G827:G829)</f>
        <v>26.332649824433723</v>
      </c>
      <c r="H826" s="1">
        <f t="shared" si="961"/>
        <v>28.377668805273249</v>
      </c>
      <c r="I826" s="1">
        <f t="shared" si="961"/>
        <v>28.347124814121209</v>
      </c>
      <c r="J826" s="1">
        <f t="shared" si="961"/>
        <v>27.797339671467757</v>
      </c>
      <c r="K826" s="1">
        <f t="shared" si="961"/>
        <v>27.362384248614479</v>
      </c>
      <c r="L826" s="1">
        <f t="shared" ref="L826" si="962">SUM(L827:L829)</f>
        <v>17.976237426032448</v>
      </c>
      <c r="N826" s="1"/>
    </row>
    <row r="827" spans="2:14" x14ac:dyDescent="0.35">
      <c r="B827" s="5" t="str">
        <f t="shared" ref="B827:B856" si="963">B826</f>
        <v>SPS1</v>
      </c>
      <c r="C827" s="5" t="str">
        <f t="shared" ref="C827:C856" si="964">C826</f>
        <v>CH</v>
      </c>
      <c r="D827" t="s">
        <v>2039</v>
      </c>
      <c r="E827" t="s">
        <v>8</v>
      </c>
      <c r="F827" s="1">
        <f>[1]Industry!B$59</f>
        <v>28.619769183654057</v>
      </c>
      <c r="G827" s="1">
        <f>[1]Industry!C$59</f>
        <v>25.940130340218875</v>
      </c>
      <c r="H827" s="1">
        <f>[1]Industry!D$59</f>
        <v>27.129610248367513</v>
      </c>
      <c r="I827" s="1">
        <f>[1]Industry!E$59</f>
        <v>25.057325745743384</v>
      </c>
      <c r="J827" s="1">
        <f>[2]Industry!F$59</f>
        <v>23.213565836593723</v>
      </c>
      <c r="K827" s="1">
        <f>[2]Industry!G$59</f>
        <v>22.591542725702098</v>
      </c>
      <c r="L827" s="1">
        <f>[2]Industry!H$59</f>
        <v>11.886978925313818</v>
      </c>
      <c r="N827" s="1"/>
    </row>
    <row r="828" spans="2:14" x14ac:dyDescent="0.35">
      <c r="B828" s="5" t="str">
        <f t="shared" si="963"/>
        <v>SPS1</v>
      </c>
      <c r="C828" s="5" t="str">
        <f t="shared" si="964"/>
        <v>CH</v>
      </c>
      <c r="D828" t="s">
        <v>2040</v>
      </c>
      <c r="E828" t="s">
        <v>8</v>
      </c>
      <c r="F828" s="1">
        <f>[1]Industry!B$60</f>
        <v>0</v>
      </c>
      <c r="G828" s="1">
        <f>[1]Industry!C$60</f>
        <v>0</v>
      </c>
      <c r="H828" s="1">
        <f>[1]Industry!D$60</f>
        <v>2.642700299469216E-2</v>
      </c>
      <c r="I828" s="1">
        <f>[1]Industry!E$60</f>
        <v>2.7232758394501656E-2</v>
      </c>
      <c r="J828" s="1">
        <f>[2]Industry!F$60</f>
        <v>2.931756445251622E-2</v>
      </c>
      <c r="K828" s="1">
        <f>[2]Industry!G$60</f>
        <v>0.21469182286379224</v>
      </c>
      <c r="L828" s="1">
        <f>[2]Industry!H$60</f>
        <v>0.188036534992361</v>
      </c>
      <c r="N828" s="1"/>
    </row>
    <row r="829" spans="2:14" x14ac:dyDescent="0.35">
      <c r="B829" s="5" t="str">
        <f t="shared" si="963"/>
        <v>SPS1</v>
      </c>
      <c r="C829" s="5" t="str">
        <f t="shared" si="964"/>
        <v>CH</v>
      </c>
      <c r="D829" t="s">
        <v>2041</v>
      </c>
      <c r="E829" t="s">
        <v>8</v>
      </c>
      <c r="F829" s="1">
        <f>[1]Industry!B$68</f>
        <v>0.31051352857913567</v>
      </c>
      <c r="G829" s="1">
        <f>[1]Industry!C$68</f>
        <v>0.3925194842148475</v>
      </c>
      <c r="H829" s="1">
        <f>[1]Industry!D$68</f>
        <v>1.2216315539110449</v>
      </c>
      <c r="I829" s="1">
        <f>[1]Industry!E$68</f>
        <v>3.2625663099833249</v>
      </c>
      <c r="J829" s="1">
        <f>[2]Industry!F$68</f>
        <v>4.5544562704215172</v>
      </c>
      <c r="K829" s="1">
        <f>[2]Industry!G$68</f>
        <v>4.5561497000485893</v>
      </c>
      <c r="L829" s="1">
        <f>[2]Industry!H$68</f>
        <v>5.9012219657262666</v>
      </c>
      <c r="N829" s="1"/>
    </row>
    <row r="830" spans="2:14" x14ac:dyDescent="0.35">
      <c r="B830" s="5" t="str">
        <f t="shared" si="963"/>
        <v>SPS1</v>
      </c>
      <c r="C830" s="5" t="str">
        <f t="shared" si="964"/>
        <v>CH</v>
      </c>
      <c r="D830" t="s">
        <v>2042</v>
      </c>
      <c r="E830" t="s">
        <v>8</v>
      </c>
      <c r="F830" s="1">
        <f>F831</f>
        <v>2.3674029661637963</v>
      </c>
      <c r="G830" s="1">
        <f t="shared" ref="G830:L830" si="965">G831</f>
        <v>2.3075017986913506</v>
      </c>
      <c r="H830" s="1">
        <f t="shared" si="965"/>
        <v>2.2296681047849765</v>
      </c>
      <c r="I830" s="1">
        <f t="shared" si="965"/>
        <v>1.5871427390931096E-4</v>
      </c>
      <c r="J830" s="1">
        <f t="shared" si="965"/>
        <v>7.0101856045208782E-4</v>
      </c>
      <c r="K830" s="1">
        <f t="shared" si="965"/>
        <v>4.7138141403813331E-4</v>
      </c>
      <c r="L830" s="1">
        <f t="shared" si="965"/>
        <v>2.5146091578867445E-4</v>
      </c>
      <c r="N830" s="1"/>
    </row>
    <row r="831" spans="2:14" x14ac:dyDescent="0.35">
      <c r="B831" s="5" t="str">
        <f t="shared" si="963"/>
        <v>SPS1</v>
      </c>
      <c r="C831" s="5" t="str">
        <f t="shared" si="964"/>
        <v>CH</v>
      </c>
      <c r="D831" t="s">
        <v>2043</v>
      </c>
      <c r="E831" t="s">
        <v>8</v>
      </c>
      <c r="F831" s="1">
        <f>[1]Industry!B$61</f>
        <v>2.3674029661637963</v>
      </c>
      <c r="G831" s="1">
        <f>[1]Industry!C$61</f>
        <v>2.3075017986913506</v>
      </c>
      <c r="H831" s="1">
        <f>[1]Industry!D$61</f>
        <v>2.2296681047849765</v>
      </c>
      <c r="I831" s="1">
        <f>[1]Industry!E$61</f>
        <v>1.5871427390931096E-4</v>
      </c>
      <c r="J831" s="1">
        <f>[2]Industry!F$61</f>
        <v>7.0101856045208782E-4</v>
      </c>
      <c r="K831" s="1">
        <f>[2]Industry!G$61</f>
        <v>4.7138141403813331E-4</v>
      </c>
      <c r="L831" s="1">
        <f>[2]Industry!H$61</f>
        <v>2.5146091578867445E-4</v>
      </c>
      <c r="N831" s="1"/>
    </row>
    <row r="832" spans="2:14" x14ac:dyDescent="0.35">
      <c r="B832" s="5" t="str">
        <f t="shared" si="963"/>
        <v>SPS1</v>
      </c>
      <c r="C832" s="5" t="str">
        <f t="shared" si="964"/>
        <v>CH</v>
      </c>
      <c r="D832" t="s">
        <v>2044</v>
      </c>
      <c r="E832" t="s">
        <v>8</v>
      </c>
      <c r="F832" s="1">
        <f>F833+F843</f>
        <v>11.767329824810567</v>
      </c>
      <c r="G832" s="1">
        <f t="shared" ref="G832:K832" si="966">G833+G843</f>
        <v>12.635407937529965</v>
      </c>
      <c r="H832" s="1">
        <f t="shared" si="966"/>
        <v>12.969715664230765</v>
      </c>
      <c r="I832" s="1">
        <f t="shared" si="966"/>
        <v>14.330594627488901</v>
      </c>
      <c r="J832" s="1">
        <f t="shared" si="966"/>
        <v>13.974382959949939</v>
      </c>
      <c r="K832" s="1">
        <f t="shared" si="966"/>
        <v>14.407075525153568</v>
      </c>
      <c r="L832" s="1">
        <f t="shared" ref="L832" si="967">L833+L843</f>
        <v>16.764423390022067</v>
      </c>
      <c r="N832" s="1"/>
    </row>
    <row r="833" spans="2:14" x14ac:dyDescent="0.35">
      <c r="B833" s="5" t="str">
        <f t="shared" si="963"/>
        <v>SPS1</v>
      </c>
      <c r="C833" s="5" t="str">
        <f t="shared" si="964"/>
        <v>CH</v>
      </c>
      <c r="D833" t="s">
        <v>2045</v>
      </c>
      <c r="E833" t="s">
        <v>8</v>
      </c>
      <c r="F833" s="1">
        <f>[1]Industry!B$62</f>
        <v>5.1850560883247825</v>
      </c>
      <c r="G833" s="1">
        <f>[1]Industry!C$62</f>
        <v>5.5675584428525999</v>
      </c>
      <c r="H833" s="1">
        <f>[1]Industry!D$62</f>
        <v>5.8792076071780022</v>
      </c>
      <c r="I833" s="1">
        <f>[1]Industry!E$62</f>
        <v>7.202313811396686</v>
      </c>
      <c r="J833" s="1">
        <f>[2]Industry!F$62</f>
        <v>6.8072615333528157</v>
      </c>
      <c r="K833" s="1">
        <f>[2]Industry!G$62</f>
        <v>7.1962420304883716</v>
      </c>
      <c r="L833" s="1">
        <f>[2]Industry!H$62</f>
        <v>8.2132821892442252</v>
      </c>
      <c r="M833" s="1"/>
      <c r="N833" s="1"/>
    </row>
    <row r="834" spans="2:14" x14ac:dyDescent="0.35">
      <c r="B834" s="5" t="str">
        <f t="shared" si="963"/>
        <v>SPS1</v>
      </c>
      <c r="C834" s="5" t="str">
        <f t="shared" si="964"/>
        <v>CH</v>
      </c>
      <c r="D834" t="s">
        <v>2046</v>
      </c>
      <c r="E834" t="s">
        <v>8</v>
      </c>
      <c r="F834" s="1">
        <f>IFERROR(F793/F$792,0)*F$833</f>
        <v>1.122661132517264</v>
      </c>
      <c r="G834" s="1">
        <f t="shared" ref="G834:K834" si="968">IFERROR(G793/G$792,0)*G$833</f>
        <v>2.0185668671744552</v>
      </c>
      <c r="H834" s="1">
        <f t="shared" si="968"/>
        <v>0.12227621307993052</v>
      </c>
      <c r="I834" s="1">
        <f t="shared" si="968"/>
        <v>1.5194441351029739</v>
      </c>
      <c r="J834" s="1">
        <f t="shared" si="968"/>
        <v>0.78920714416495807</v>
      </c>
      <c r="K834" s="1">
        <f t="shared" si="968"/>
        <v>3.2858711680947415E-2</v>
      </c>
      <c r="L834" s="1">
        <f t="shared" ref="L834" si="969">IFERROR(L793/L$792,0)*L$833</f>
        <v>0.31634020146176306</v>
      </c>
      <c r="N834" s="1"/>
    </row>
    <row r="835" spans="2:14" x14ac:dyDescent="0.35">
      <c r="B835" s="5" t="str">
        <f t="shared" si="963"/>
        <v>SPS1</v>
      </c>
      <c r="C835" s="5" t="str">
        <f t="shared" si="964"/>
        <v>CH</v>
      </c>
      <c r="D835" t="s">
        <v>2047</v>
      </c>
      <c r="E835" t="s">
        <v>8</v>
      </c>
      <c r="F835" s="1">
        <f t="shared" ref="F835:K842" si="970">IFERROR(F794/F$792,0)*F$833</f>
        <v>0.92835405074915922</v>
      </c>
      <c r="G835" s="1">
        <f t="shared" si="970"/>
        <v>0.18264947354858174</v>
      </c>
      <c r="H835" s="1">
        <f t="shared" si="970"/>
        <v>1.2760983084078554</v>
      </c>
      <c r="I835" s="1">
        <f t="shared" si="970"/>
        <v>1.7685950807249271</v>
      </c>
      <c r="J835" s="1">
        <f t="shared" si="970"/>
        <v>1.5608098179214176</v>
      </c>
      <c r="K835" s="1">
        <f t="shared" si="970"/>
        <v>0.21581855928481586</v>
      </c>
      <c r="L835" s="1">
        <f t="shared" ref="L835" si="971">IFERROR(L794/L$792,0)*L$833</f>
        <v>4.6647139897381472E-2</v>
      </c>
      <c r="N835" s="1"/>
    </row>
    <row r="836" spans="2:14" x14ac:dyDescent="0.35">
      <c r="B836" s="5" t="str">
        <f t="shared" si="963"/>
        <v>SPS1</v>
      </c>
      <c r="C836" s="5" t="str">
        <f t="shared" si="964"/>
        <v>CH</v>
      </c>
      <c r="D836" t="s">
        <v>2048</v>
      </c>
      <c r="E836" t="s">
        <v>8</v>
      </c>
      <c r="F836" s="1">
        <f t="shared" si="970"/>
        <v>0</v>
      </c>
      <c r="G836" s="1">
        <f t="shared" si="970"/>
        <v>0</v>
      </c>
      <c r="H836" s="1">
        <f t="shared" si="970"/>
        <v>0</v>
      </c>
      <c r="I836" s="1">
        <f t="shared" si="970"/>
        <v>0</v>
      </c>
      <c r="J836" s="1">
        <f t="shared" si="970"/>
        <v>0</v>
      </c>
      <c r="K836" s="1">
        <f t="shared" si="970"/>
        <v>0</v>
      </c>
      <c r="L836" s="1">
        <f t="shared" ref="L836" si="972">IFERROR(L795/L$792,0)*L$833</f>
        <v>0</v>
      </c>
      <c r="N836" s="1"/>
    </row>
    <row r="837" spans="2:14" x14ac:dyDescent="0.35">
      <c r="B837" s="5" t="str">
        <f t="shared" si="963"/>
        <v>SPS1</v>
      </c>
      <c r="C837" s="5" t="str">
        <f t="shared" si="964"/>
        <v>CH</v>
      </c>
      <c r="D837" t="s">
        <v>2049</v>
      </c>
      <c r="E837" t="s">
        <v>8</v>
      </c>
      <c r="F837" s="1">
        <f t="shared" si="970"/>
        <v>0</v>
      </c>
      <c r="G837" s="1">
        <f t="shared" si="970"/>
        <v>0</v>
      </c>
      <c r="H837" s="1">
        <f t="shared" si="970"/>
        <v>0</v>
      </c>
      <c r="I837" s="1">
        <f t="shared" si="970"/>
        <v>1.7984629600616204E-4</v>
      </c>
      <c r="J837" s="1">
        <f t="shared" si="970"/>
        <v>5.5248370003526607E-4</v>
      </c>
      <c r="K837" s="1">
        <f t="shared" si="970"/>
        <v>1.31382422272936E-3</v>
      </c>
      <c r="L837" s="1">
        <f t="shared" ref="L837" si="973">IFERROR(L796/L$792,0)*L$833</f>
        <v>6.825269121462068E-4</v>
      </c>
      <c r="N837" s="1"/>
    </row>
    <row r="838" spans="2:14" x14ac:dyDescent="0.35">
      <c r="B838" s="5" t="str">
        <f t="shared" si="963"/>
        <v>SPS1</v>
      </c>
      <c r="C838" s="5" t="str">
        <f t="shared" si="964"/>
        <v>CH</v>
      </c>
      <c r="D838" t="s">
        <v>2050</v>
      </c>
      <c r="E838" t="s">
        <v>8</v>
      </c>
      <c r="F838" s="1">
        <f t="shared" si="970"/>
        <v>2.3372683743802618</v>
      </c>
      <c r="G838" s="1">
        <f t="shared" si="970"/>
        <v>1.8108624688532697</v>
      </c>
      <c r="H838" s="1">
        <f t="shared" si="970"/>
        <v>2.6902269598777246E-3</v>
      </c>
      <c r="I838" s="1">
        <f t="shared" si="970"/>
        <v>2.0502313094654147E-3</v>
      </c>
      <c r="J838" s="1">
        <f t="shared" si="970"/>
        <v>8.132045244210755E-3</v>
      </c>
      <c r="K838" s="1">
        <f t="shared" si="970"/>
        <v>4.0473375257311052E-3</v>
      </c>
      <c r="L838" s="1">
        <f t="shared" ref="L838" si="974">IFERROR(L797/L$792,0)*L$833</f>
        <v>9.3592192866943436E-4</v>
      </c>
      <c r="N838" s="1"/>
    </row>
    <row r="839" spans="2:14" x14ac:dyDescent="0.35">
      <c r="B839" s="5" t="str">
        <f t="shared" si="963"/>
        <v>SPS1</v>
      </c>
      <c r="C839" s="5" t="str">
        <f t="shared" si="964"/>
        <v>CH</v>
      </c>
      <c r="D839" t="s">
        <v>2051</v>
      </c>
      <c r="E839" t="s">
        <v>8</v>
      </c>
      <c r="F839" s="1">
        <f t="shared" si="970"/>
        <v>0</v>
      </c>
      <c r="G839" s="1">
        <f t="shared" si="970"/>
        <v>0</v>
      </c>
      <c r="H839" s="1">
        <f t="shared" si="970"/>
        <v>0</v>
      </c>
      <c r="I839" s="1">
        <f t="shared" si="970"/>
        <v>0</v>
      </c>
      <c r="J839" s="1">
        <f t="shared" si="970"/>
        <v>0</v>
      </c>
      <c r="K839" s="1">
        <f t="shared" si="970"/>
        <v>0</v>
      </c>
      <c r="L839" s="1">
        <f t="shared" ref="L839" si="975">IFERROR(L798/L$792,0)*L$833</f>
        <v>0</v>
      </c>
      <c r="N839" s="1"/>
    </row>
    <row r="840" spans="2:14" x14ac:dyDescent="0.35">
      <c r="B840" s="5" t="str">
        <f t="shared" si="963"/>
        <v>SPS1</v>
      </c>
      <c r="C840" s="5" t="str">
        <f t="shared" si="964"/>
        <v>CH</v>
      </c>
      <c r="D840" t="s">
        <v>2052</v>
      </c>
      <c r="E840" t="s">
        <v>8</v>
      </c>
      <c r="F840" s="1">
        <f t="shared" si="970"/>
        <v>0.79677253067809761</v>
      </c>
      <c r="G840" s="1">
        <f t="shared" si="970"/>
        <v>1.555479633276293</v>
      </c>
      <c r="H840" s="1">
        <f t="shared" si="970"/>
        <v>4.4781428587303385</v>
      </c>
      <c r="I840" s="1">
        <f t="shared" si="970"/>
        <v>3.912044517963313</v>
      </c>
      <c r="J840" s="1">
        <f t="shared" si="970"/>
        <v>4.4485600423221943</v>
      </c>
      <c r="K840" s="1">
        <f t="shared" si="970"/>
        <v>6.9422035977741485</v>
      </c>
      <c r="L840" s="1">
        <f t="shared" ref="L840" si="976">IFERROR(L799/L$792,0)*L$833</f>
        <v>7.8486763990442654</v>
      </c>
      <c r="N840" s="1"/>
    </row>
    <row r="841" spans="2:14" x14ac:dyDescent="0.35">
      <c r="B841" s="5" t="str">
        <f t="shared" si="963"/>
        <v>SPS1</v>
      </c>
      <c r="C841" s="5" t="str">
        <f t="shared" si="964"/>
        <v>CH</v>
      </c>
      <c r="D841" t="s">
        <v>2053</v>
      </c>
      <c r="E841" t="s">
        <v>8</v>
      </c>
      <c r="F841" s="1">
        <f t="shared" si="970"/>
        <v>0</v>
      </c>
      <c r="G841" s="1">
        <f t="shared" si="970"/>
        <v>0</v>
      </c>
      <c r="H841" s="1">
        <f t="shared" si="970"/>
        <v>0</v>
      </c>
      <c r="I841" s="1">
        <f t="shared" si="970"/>
        <v>0</v>
      </c>
      <c r="J841" s="1">
        <f t="shared" si="970"/>
        <v>0</v>
      </c>
      <c r="K841" s="1">
        <f t="shared" si="970"/>
        <v>0</v>
      </c>
      <c r="L841" s="1">
        <f t="shared" ref="L841" si="977">IFERROR(L800/L$792,0)*L$833</f>
        <v>0</v>
      </c>
      <c r="N841" s="1"/>
    </row>
    <row r="842" spans="2:14" x14ac:dyDescent="0.35">
      <c r="B842" s="5" t="str">
        <f t="shared" si="963"/>
        <v>SPS1</v>
      </c>
      <c r="C842" s="5" t="str">
        <f t="shared" si="964"/>
        <v>CH</v>
      </c>
      <c r="D842" t="s">
        <v>2054</v>
      </c>
      <c r="E842" t="s">
        <v>8</v>
      </c>
      <c r="F842" s="1">
        <f t="shared" si="970"/>
        <v>0</v>
      </c>
      <c r="G842" s="1">
        <f t="shared" si="970"/>
        <v>0</v>
      </c>
      <c r="H842" s="1">
        <f t="shared" si="970"/>
        <v>0</v>
      </c>
      <c r="I842" s="1">
        <f t="shared" si="970"/>
        <v>0</v>
      </c>
      <c r="J842" s="1">
        <f t="shared" si="970"/>
        <v>0</v>
      </c>
      <c r="K842" s="1">
        <f t="shared" si="970"/>
        <v>0</v>
      </c>
      <c r="L842" s="1">
        <f t="shared" ref="L842" si="978">IFERROR(L801/L$792,0)*L$833</f>
        <v>0</v>
      </c>
      <c r="M842" s="1"/>
      <c r="N842" s="1"/>
    </row>
    <row r="843" spans="2:14" x14ac:dyDescent="0.35">
      <c r="B843" s="5" t="str">
        <f t="shared" si="963"/>
        <v>SPS1</v>
      </c>
      <c r="C843" s="5" t="str">
        <f t="shared" si="964"/>
        <v>CH</v>
      </c>
      <c r="D843" t="s">
        <v>2055</v>
      </c>
      <c r="E843" t="s">
        <v>8</v>
      </c>
      <c r="F843" s="1">
        <f>[1]Industry!B$63</f>
        <v>6.5822737364857833</v>
      </c>
      <c r="G843" s="1">
        <f>[1]Industry!C$63</f>
        <v>7.0678494946773647</v>
      </c>
      <c r="H843" s="1">
        <f>[1]Industry!D$63</f>
        <v>7.0905080570527623</v>
      </c>
      <c r="I843" s="1">
        <f>[1]Industry!E$63</f>
        <v>7.1282808160922153</v>
      </c>
      <c r="J843" s="1">
        <f>[2]Industry!F$63</f>
        <v>7.1671214265971237</v>
      </c>
      <c r="K843" s="1">
        <f>[2]Industry!G$63</f>
        <v>7.210833494665196</v>
      </c>
      <c r="L843" s="1">
        <f>[2]Industry!H$63</f>
        <v>8.55114120077784</v>
      </c>
      <c r="N843" s="1"/>
    </row>
    <row r="844" spans="2:14" x14ac:dyDescent="0.35">
      <c r="B844" s="5" t="str">
        <f t="shared" si="963"/>
        <v>SPS1</v>
      </c>
      <c r="C844" s="5" t="str">
        <f t="shared" si="964"/>
        <v>CH</v>
      </c>
      <c r="D844" t="s">
        <v>2056</v>
      </c>
      <c r="E844" t="s">
        <v>8</v>
      </c>
      <c r="F844" s="1">
        <f>F845</f>
        <v>5.3111240812657341</v>
      </c>
      <c r="G844" s="1">
        <f t="shared" ref="G844:L844" si="979">G845</f>
        <v>6.2669396196579381</v>
      </c>
      <c r="H844" s="1">
        <f t="shared" si="979"/>
        <v>6.0336283593019617</v>
      </c>
      <c r="I844" s="1">
        <f t="shared" si="979"/>
        <v>6.1244687297876785</v>
      </c>
      <c r="J844" s="1">
        <f t="shared" si="979"/>
        <v>6.1495190217513418</v>
      </c>
      <c r="K844" s="1">
        <f t="shared" si="979"/>
        <v>6.0229878553315164</v>
      </c>
      <c r="L844" s="1">
        <f t="shared" si="979"/>
        <v>5.8763229867778106</v>
      </c>
      <c r="N844" s="1"/>
    </row>
    <row r="845" spans="2:14" x14ac:dyDescent="0.35">
      <c r="B845" s="5" t="str">
        <f t="shared" si="963"/>
        <v>SPS1</v>
      </c>
      <c r="C845" s="5" t="str">
        <f t="shared" si="964"/>
        <v>CH</v>
      </c>
      <c r="D845" t="s">
        <v>2057</v>
      </c>
      <c r="E845" t="s">
        <v>8</v>
      </c>
      <c r="F845" s="1">
        <f>[1]Industry!B$64</f>
        <v>5.3111240812657341</v>
      </c>
      <c r="G845" s="1">
        <f>[1]Industry!C$64</f>
        <v>6.2669396196579381</v>
      </c>
      <c r="H845" s="1">
        <f>[1]Industry!D$64</f>
        <v>6.0336283593019617</v>
      </c>
      <c r="I845" s="1">
        <f>[1]Industry!E$64</f>
        <v>6.1244687297876785</v>
      </c>
      <c r="J845" s="1">
        <f>[2]Industry!F$64</f>
        <v>6.1495190217513418</v>
      </c>
      <c r="K845" s="1">
        <f>[2]Industry!G$64</f>
        <v>6.0229878553315164</v>
      </c>
      <c r="L845" s="1">
        <f>[2]Industry!H$64</f>
        <v>5.8763229867778106</v>
      </c>
      <c r="N845" s="1"/>
    </row>
    <row r="846" spans="2:14" x14ac:dyDescent="0.35">
      <c r="B846" s="5" t="str">
        <f t="shared" si="963"/>
        <v>SPS1</v>
      </c>
      <c r="C846" s="5" t="str">
        <f t="shared" si="964"/>
        <v>CH</v>
      </c>
      <c r="D846" t="s">
        <v>2058</v>
      </c>
      <c r="E846" t="s">
        <v>8</v>
      </c>
      <c r="F846" s="1">
        <f>F847</f>
        <v>0.46151963789818995</v>
      </c>
      <c r="G846" s="1">
        <f t="shared" ref="G846:L846" si="980">G847</f>
        <v>0.54457578943301721</v>
      </c>
      <c r="H846" s="1">
        <f t="shared" si="980"/>
        <v>0.54462772317199415</v>
      </c>
      <c r="I846" s="1">
        <f t="shared" si="980"/>
        <v>0.54462916795666838</v>
      </c>
      <c r="J846" s="1">
        <f t="shared" si="980"/>
        <v>0.54506545842396192</v>
      </c>
      <c r="K846" s="1">
        <f t="shared" si="980"/>
        <v>0.54506798829344394</v>
      </c>
      <c r="L846" s="1">
        <f t="shared" si="980"/>
        <v>0.54507180666895427</v>
      </c>
      <c r="N846" s="1"/>
    </row>
    <row r="847" spans="2:14" x14ac:dyDescent="0.35">
      <c r="B847" s="5" t="str">
        <f t="shared" si="963"/>
        <v>SPS1</v>
      </c>
      <c r="C847" s="5" t="str">
        <f t="shared" si="964"/>
        <v>CH</v>
      </c>
      <c r="D847" t="s">
        <v>2059</v>
      </c>
      <c r="E847" t="s">
        <v>8</v>
      </c>
      <c r="F847" s="1">
        <f>[1]Industry!B$65</f>
        <v>0.46151963789818995</v>
      </c>
      <c r="G847" s="1">
        <f>[1]Industry!C$65</f>
        <v>0.54457578943301721</v>
      </c>
      <c r="H847" s="1">
        <f>[1]Industry!D$65</f>
        <v>0.54462772317199415</v>
      </c>
      <c r="I847" s="1">
        <f>[1]Industry!E$65</f>
        <v>0.54462916795666838</v>
      </c>
      <c r="J847" s="1">
        <f>[2]Industry!F$65</f>
        <v>0.54506545842396192</v>
      </c>
      <c r="K847" s="1">
        <f>[2]Industry!G$65</f>
        <v>0.54506798829344394</v>
      </c>
      <c r="L847" s="1">
        <f>[2]Industry!H$65</f>
        <v>0.54507180666895427</v>
      </c>
      <c r="N847" s="1"/>
    </row>
    <row r="848" spans="2:14" x14ac:dyDescent="0.35">
      <c r="B848" s="5" t="str">
        <f t="shared" si="963"/>
        <v>SPS1</v>
      </c>
      <c r="C848" s="5" t="str">
        <f t="shared" si="964"/>
        <v>CH</v>
      </c>
      <c r="D848" t="s">
        <v>2060</v>
      </c>
      <c r="E848" t="s">
        <v>8</v>
      </c>
      <c r="F848" s="1">
        <f>F849</f>
        <v>4.1173680544385762</v>
      </c>
      <c r="G848" s="1">
        <f t="shared" ref="G848:L848" si="981">G849</f>
        <v>4.2663195310465181</v>
      </c>
      <c r="H848" s="1">
        <f t="shared" si="981"/>
        <v>5.8273522521345233</v>
      </c>
      <c r="I848" s="1">
        <f t="shared" si="981"/>
        <v>5.7625103449308108</v>
      </c>
      <c r="J848" s="1">
        <f t="shared" si="981"/>
        <v>5.6871415411264241</v>
      </c>
      <c r="K848" s="1">
        <f t="shared" si="981"/>
        <v>5.6636571141473562</v>
      </c>
      <c r="L848" s="1">
        <f t="shared" si="981"/>
        <v>5.7808923934774352</v>
      </c>
      <c r="N848" s="1"/>
    </row>
    <row r="849" spans="2:14" x14ac:dyDescent="0.35">
      <c r="B849" s="5" t="str">
        <f t="shared" si="963"/>
        <v>SPS1</v>
      </c>
      <c r="C849" s="5" t="str">
        <f t="shared" si="964"/>
        <v>CH</v>
      </c>
      <c r="D849" t="s">
        <v>2061</v>
      </c>
      <c r="E849" t="s">
        <v>8</v>
      </c>
      <c r="F849" s="1">
        <f>[1]Industry!B$66</f>
        <v>4.1173680544385762</v>
      </c>
      <c r="G849" s="1">
        <f>[1]Industry!C$66</f>
        <v>4.2663195310465181</v>
      </c>
      <c r="H849" s="1">
        <f>[1]Industry!D$66</f>
        <v>5.8273522521345233</v>
      </c>
      <c r="I849" s="1">
        <f>[1]Industry!E$66</f>
        <v>5.7625103449308108</v>
      </c>
      <c r="J849" s="1">
        <f>[2]Industry!F$66</f>
        <v>5.6871415411264241</v>
      </c>
      <c r="K849" s="1">
        <f>[2]Industry!G$66</f>
        <v>5.6636571141473562</v>
      </c>
      <c r="L849" s="1">
        <f>[2]Industry!H$66</f>
        <v>5.7808923934774352</v>
      </c>
      <c r="N849" s="1"/>
    </row>
    <row r="850" spans="2:14" x14ac:dyDescent="0.35">
      <c r="B850" s="5" t="str">
        <f t="shared" si="963"/>
        <v>SPS1</v>
      </c>
      <c r="C850" s="5" t="str">
        <f t="shared" si="964"/>
        <v>CH</v>
      </c>
      <c r="D850" t="s">
        <v>2062</v>
      </c>
      <c r="E850" t="s">
        <v>8</v>
      </c>
      <c r="F850" s="1">
        <f>F851</f>
        <v>6.7641181729311065E-2</v>
      </c>
      <c r="G850" s="1">
        <f t="shared" ref="G850:L850" si="982">G851</f>
        <v>8.5491523208523268E-2</v>
      </c>
      <c r="H850" s="1">
        <f t="shared" si="982"/>
        <v>8.419430149156891E-2</v>
      </c>
      <c r="I850" s="1">
        <f t="shared" si="982"/>
        <v>8.5486550814930021E-2</v>
      </c>
      <c r="J850" s="1">
        <f t="shared" si="982"/>
        <v>3.4992448687641488E-2</v>
      </c>
      <c r="K850" s="1">
        <f t="shared" si="982"/>
        <v>8.6598201095499344E-2</v>
      </c>
      <c r="L850" s="1">
        <f t="shared" si="982"/>
        <v>8.6884238729321342E-2</v>
      </c>
      <c r="N850" s="1"/>
    </row>
    <row r="851" spans="2:14" x14ac:dyDescent="0.35">
      <c r="B851" s="5" t="str">
        <f t="shared" si="963"/>
        <v>SPS1</v>
      </c>
      <c r="C851" s="5" t="str">
        <f t="shared" si="964"/>
        <v>CH</v>
      </c>
      <c r="D851" t="s">
        <v>2063</v>
      </c>
      <c r="E851" t="s">
        <v>8</v>
      </c>
      <c r="F851" s="1">
        <f>[1]Industry!B$67</f>
        <v>6.7641181729311065E-2</v>
      </c>
      <c r="G851" s="1">
        <f>[1]Industry!C$67</f>
        <v>8.5491523208523268E-2</v>
      </c>
      <c r="H851" s="1">
        <f>[1]Industry!D$67</f>
        <v>8.419430149156891E-2</v>
      </c>
      <c r="I851" s="1">
        <f>[1]Industry!E$67</f>
        <v>8.5486550814930021E-2</v>
      </c>
      <c r="J851" s="1">
        <f>[2]Industry!F$67</f>
        <v>3.4992448687641488E-2</v>
      </c>
      <c r="K851" s="1">
        <f>[2]Industry!G$67</f>
        <v>8.6598201095499344E-2</v>
      </c>
      <c r="L851" s="1">
        <f>[2]Industry!H$67</f>
        <v>8.6884238729321342E-2</v>
      </c>
      <c r="N851" s="1"/>
    </row>
    <row r="852" spans="2:14" x14ac:dyDescent="0.35">
      <c r="B852" s="5" t="str">
        <f t="shared" si="963"/>
        <v>SPS1</v>
      </c>
      <c r="C852" s="5" t="str">
        <f t="shared" si="964"/>
        <v>CH</v>
      </c>
      <c r="D852" t="s">
        <v>2064</v>
      </c>
      <c r="E852" t="s">
        <v>8</v>
      </c>
      <c r="F852" s="1">
        <f>F853</f>
        <v>0</v>
      </c>
      <c r="G852" s="1">
        <f t="shared" ref="G852:L852" si="983">G853</f>
        <v>0</v>
      </c>
      <c r="H852" s="1">
        <f t="shared" si="983"/>
        <v>0</v>
      </c>
      <c r="I852" s="1">
        <f t="shared" si="983"/>
        <v>0</v>
      </c>
      <c r="J852" s="1">
        <f t="shared" si="983"/>
        <v>8.6631023720245767E-3</v>
      </c>
      <c r="K852" s="1">
        <f t="shared" si="983"/>
        <v>9.3208362125146247E-3</v>
      </c>
      <c r="L852" s="1">
        <f t="shared" si="983"/>
        <v>9.1629767881009017E-2</v>
      </c>
      <c r="N852" s="1"/>
    </row>
    <row r="853" spans="2:14" x14ac:dyDescent="0.35">
      <c r="B853" s="5" t="str">
        <f t="shared" si="963"/>
        <v>SPS1</v>
      </c>
      <c r="C853" s="5" t="str">
        <f t="shared" si="964"/>
        <v>CH</v>
      </c>
      <c r="D853" t="s">
        <v>2065</v>
      </c>
      <c r="E853" t="s">
        <v>8</v>
      </c>
      <c r="F853" s="1">
        <f>[1]Industry!B$69</f>
        <v>0</v>
      </c>
      <c r="G853" s="1">
        <f>[1]Industry!C$69</f>
        <v>0</v>
      </c>
      <c r="H853" s="1">
        <f>[1]Industry!D$69</f>
        <v>0</v>
      </c>
      <c r="I853" s="1">
        <f>[1]Industry!E$69</f>
        <v>0</v>
      </c>
      <c r="J853" s="1">
        <f>[2]Industry!F$69</f>
        <v>8.6631023720245767E-3</v>
      </c>
      <c r="K853" s="1">
        <f>[2]Industry!G$69</f>
        <v>9.3208362125146247E-3</v>
      </c>
      <c r="L853" s="1">
        <f>[2]Industry!H$69</f>
        <v>9.1629767881009017E-2</v>
      </c>
      <c r="N853" s="1"/>
    </row>
    <row r="854" spans="2:14" x14ac:dyDescent="0.35">
      <c r="B854" s="5" t="str">
        <f t="shared" si="963"/>
        <v>SPS1</v>
      </c>
      <c r="C854" s="5" t="str">
        <f t="shared" si="964"/>
        <v>CH</v>
      </c>
      <c r="D854" t="s">
        <v>2066</v>
      </c>
      <c r="E854" t="s">
        <v>8</v>
      </c>
      <c r="F854" s="1">
        <f>SUM(F855:F856)</f>
        <v>0</v>
      </c>
      <c r="G854" s="1">
        <f t="shared" ref="G854:K854" si="984">SUM(G855:G856)</f>
        <v>1.8405401942699688</v>
      </c>
      <c r="H854" s="1">
        <f t="shared" si="984"/>
        <v>1.8405392445252828</v>
      </c>
      <c r="I854" s="1">
        <f t="shared" si="984"/>
        <v>1.841359206333768</v>
      </c>
      <c r="J854" s="1">
        <f t="shared" si="984"/>
        <v>1.907905923128876</v>
      </c>
      <c r="K854" s="1">
        <f t="shared" si="984"/>
        <v>4.323043316769664</v>
      </c>
      <c r="L854" s="1">
        <f t="shared" ref="L854" si="985">SUM(L855:L856)</f>
        <v>7.8271029436128714</v>
      </c>
      <c r="N854" s="1"/>
    </row>
    <row r="855" spans="2:14" x14ac:dyDescent="0.35">
      <c r="B855" s="5" t="str">
        <f t="shared" si="963"/>
        <v>SPS1</v>
      </c>
      <c r="C855" s="5" t="str">
        <f t="shared" si="964"/>
        <v>CH</v>
      </c>
      <c r="D855" t="s">
        <v>2067</v>
      </c>
      <c r="E855" t="s">
        <v>8</v>
      </c>
      <c r="F855" s="1">
        <f>[1]Industry!B$6-F856</f>
        <v>0</v>
      </c>
      <c r="G855" s="1">
        <f>[1]Industry!C$6-G856</f>
        <v>0.31987973194895925</v>
      </c>
      <c r="H855" s="1">
        <f>[1]Industry!D$6-H856</f>
        <v>0.31987956688650843</v>
      </c>
      <c r="I855" s="1">
        <f>[1]Industry!E$6-I856</f>
        <v>0.32016972681830391</v>
      </c>
      <c r="J855" s="1">
        <f>[2]Industry!F$6-J856</f>
        <v>0.33223854767827277</v>
      </c>
      <c r="K855" s="1">
        <f>[2]Industry!G$6-K856</f>
        <v>1.0861078807069755</v>
      </c>
      <c r="L855" s="1">
        <f>[2]Industry!H$6-L856</f>
        <v>1.8518588556714644</v>
      </c>
      <c r="N855" s="1"/>
    </row>
    <row r="856" spans="2:14" x14ac:dyDescent="0.35">
      <c r="B856" s="5" t="str">
        <f t="shared" si="963"/>
        <v>SPS1</v>
      </c>
      <c r="C856" s="5" t="str">
        <f t="shared" si="964"/>
        <v>CH</v>
      </c>
      <c r="D856" t="s">
        <v>2068</v>
      </c>
      <c r="E856" t="s">
        <v>8</v>
      </c>
      <c r="F856" s="1">
        <f>[1]Industry!B$70</f>
        <v>0</v>
      </c>
      <c r="G856" s="1">
        <f>[1]Industry!C$70</f>
        <v>1.5206604623210096</v>
      </c>
      <c r="H856" s="1">
        <f>[1]Industry!D$70</f>
        <v>1.5206596776387744</v>
      </c>
      <c r="I856" s="1">
        <f>[1]Industry!E$70</f>
        <v>1.5211894795154641</v>
      </c>
      <c r="J856" s="1">
        <f>[2]Industry!F$70</f>
        <v>1.5756673754506032</v>
      </c>
      <c r="K856" s="1">
        <f>[2]Industry!G$70</f>
        <v>3.2369354360626885</v>
      </c>
      <c r="L856" s="1">
        <f>[2]Industry!H$70</f>
        <v>5.975244087941407</v>
      </c>
      <c r="N856" s="1"/>
    </row>
    <row r="857" spans="2:14" x14ac:dyDescent="0.35">
      <c r="B857" s="9" t="str">
        <f>B856</f>
        <v>SPS1</v>
      </c>
      <c r="C857" s="9" t="str">
        <f>C856</f>
        <v>CH</v>
      </c>
      <c r="D857" s="2" t="s">
        <v>687</v>
      </c>
      <c r="E857" s="2" t="s">
        <v>240</v>
      </c>
      <c r="F857" s="1" t="s">
        <v>292</v>
      </c>
      <c r="G857" s="1" t="s">
        <v>292</v>
      </c>
      <c r="H857" s="1" t="s">
        <v>292</v>
      </c>
      <c r="I857" s="1" t="s">
        <v>292</v>
      </c>
      <c r="J857" s="1" t="s">
        <v>292</v>
      </c>
      <c r="K857" s="1" t="s">
        <v>292</v>
      </c>
      <c r="L857" s="1" t="s">
        <v>292</v>
      </c>
      <c r="N857" s="1"/>
    </row>
    <row r="858" spans="2:14" x14ac:dyDescent="0.35">
      <c r="B858" s="5" t="str">
        <f>B857</f>
        <v>SPS1</v>
      </c>
      <c r="C858" s="5" t="str">
        <f>C857</f>
        <v>CH</v>
      </c>
      <c r="D858" t="s">
        <v>2069</v>
      </c>
      <c r="E858" t="s">
        <v>240</v>
      </c>
      <c r="F858" s="4">
        <f>IFERROR(F820/F765,"-")</f>
        <v>0.84261542941328404</v>
      </c>
      <c r="G858" s="4">
        <f t="shared" ref="G858:K858" si="986">IFERROR(G820/G765,"-")</f>
        <v>0.84306236513985355</v>
      </c>
      <c r="H858" s="4">
        <f t="shared" si="986"/>
        <v>0.84373276872970593</v>
      </c>
      <c r="I858" s="4">
        <f t="shared" si="986"/>
        <v>0.84485010804612981</v>
      </c>
      <c r="J858" s="4">
        <f t="shared" si="986"/>
        <v>0.84596744736255436</v>
      </c>
      <c r="K858" s="4">
        <f t="shared" si="986"/>
        <v>0.84708478667897658</v>
      </c>
      <c r="L858" s="4">
        <f t="shared" ref="L858" si="987">IFERROR(L820/L765,"-")</f>
        <v>0.84931946531182334</v>
      </c>
      <c r="N858" s="1"/>
    </row>
    <row r="859" spans="2:14" x14ac:dyDescent="0.35">
      <c r="B859" s="5" t="str">
        <f t="shared" ref="B859:B881" si="988">B858</f>
        <v>SPS1</v>
      </c>
      <c r="C859" s="5" t="str">
        <f t="shared" ref="C859:C881" si="989">C858</f>
        <v>CH</v>
      </c>
      <c r="D859" t="s">
        <v>2070</v>
      </c>
      <c r="E859" t="s">
        <v>240</v>
      </c>
      <c r="F859" s="4">
        <f t="shared" ref="F859:K859" si="990">IFERROR(F821/F766,"-")</f>
        <v>3.0809801822513299</v>
      </c>
      <c r="G859" s="4">
        <f t="shared" si="990"/>
        <v>3.1055374774069144</v>
      </c>
      <c r="H859" s="4">
        <f t="shared" si="990"/>
        <v>3.1423734201402902</v>
      </c>
      <c r="I859" s="4">
        <f t="shared" si="990"/>
        <v>3.2037666580292532</v>
      </c>
      <c r="J859" s="4">
        <f t="shared" si="990"/>
        <v>3.2651598959182104</v>
      </c>
      <c r="K859" s="4">
        <f t="shared" si="990"/>
        <v>3.3265531338071677</v>
      </c>
      <c r="L859" s="4">
        <f t="shared" ref="L859" si="991">IFERROR(L821/L766,"-")</f>
        <v>3.4493396095850883</v>
      </c>
      <c r="N859" s="1"/>
    </row>
    <row r="860" spans="2:14" x14ac:dyDescent="0.35">
      <c r="B860" s="5" t="str">
        <f t="shared" si="988"/>
        <v>SPS1</v>
      </c>
      <c r="C860" s="5" t="str">
        <f t="shared" si="989"/>
        <v>CH</v>
      </c>
      <c r="D860" t="s">
        <v>2071</v>
      </c>
      <c r="E860" t="s">
        <v>240</v>
      </c>
      <c r="F860" s="4">
        <f t="shared" ref="F860:K860" si="992">IFERROR(F822/F767,"-")</f>
        <v>1.0000000000000002</v>
      </c>
      <c r="G860" s="4">
        <f t="shared" si="992"/>
        <v>0.99999998540038293</v>
      </c>
      <c r="H860" s="4">
        <f t="shared" si="992"/>
        <v>0.99999998565801407</v>
      </c>
      <c r="I860" s="4">
        <f t="shared" si="992"/>
        <v>1.0000000937295803</v>
      </c>
      <c r="J860" s="4">
        <f t="shared" si="992"/>
        <v>1.0000008699535126</v>
      </c>
      <c r="K860" s="4">
        <f t="shared" si="992"/>
        <v>1.0000008876404267</v>
      </c>
      <c r="L860" s="4">
        <f t="shared" ref="L860" si="993">IFERROR(L822/L767,"-")</f>
        <v>1.0000014670319266</v>
      </c>
      <c r="N860" s="1"/>
    </row>
    <row r="861" spans="2:14" x14ac:dyDescent="0.35">
      <c r="B861" s="5" t="str">
        <f t="shared" si="988"/>
        <v>SPS1</v>
      </c>
      <c r="C861" s="5" t="str">
        <f t="shared" si="989"/>
        <v>CH</v>
      </c>
      <c r="D861" t="s">
        <v>2072</v>
      </c>
      <c r="E861" t="s">
        <v>240</v>
      </c>
      <c r="F861" s="4">
        <f>IFERROR(F824/F769,"-")</f>
        <v>0.77746213224363425</v>
      </c>
      <c r="G861" s="4">
        <f t="shared" ref="G861:K862" si="994">IFERROR(G824/G769,"-")</f>
        <v>0.77871988564932437</v>
      </c>
      <c r="H861" s="4">
        <f t="shared" si="994"/>
        <v>0.78060651575785522</v>
      </c>
      <c r="I861" s="4">
        <f t="shared" si="994"/>
        <v>0.78375089927207775</v>
      </c>
      <c r="J861" s="4">
        <f t="shared" si="994"/>
        <v>0.78689528278629817</v>
      </c>
      <c r="K861" s="4">
        <f t="shared" si="994"/>
        <v>0.79003966630051981</v>
      </c>
      <c r="L861" s="4">
        <f t="shared" ref="L861" si="995">IFERROR(L824/L769,"-")</f>
        <v>0.79632843332896108</v>
      </c>
      <c r="N861" s="1"/>
    </row>
    <row r="862" spans="2:14" x14ac:dyDescent="0.35">
      <c r="B862" s="5" t="str">
        <f t="shared" si="988"/>
        <v>SPS1</v>
      </c>
      <c r="C862" s="5" t="str">
        <f t="shared" si="989"/>
        <v>CH</v>
      </c>
      <c r="D862" t="s">
        <v>2073</v>
      </c>
      <c r="E862" t="s">
        <v>240</v>
      </c>
      <c r="F862" s="4">
        <f>IFERROR(F825/F770,"-")</f>
        <v>0.67612499999999998</v>
      </c>
      <c r="G862" s="4">
        <f t="shared" si="994"/>
        <v>0.67905000000000004</v>
      </c>
      <c r="H862" s="4">
        <f t="shared" si="994"/>
        <v>0.68343749999999959</v>
      </c>
      <c r="I862" s="4">
        <f t="shared" si="994"/>
        <v>0.69074999999999975</v>
      </c>
      <c r="J862" s="4">
        <f t="shared" si="994"/>
        <v>0.69806250000000025</v>
      </c>
      <c r="K862" s="4">
        <f t="shared" si="994"/>
        <v>0.70537500000000031</v>
      </c>
      <c r="L862" s="4" t="str">
        <f t="shared" ref="L862" si="996">IFERROR(L825/L770,"-")</f>
        <v>-</v>
      </c>
      <c r="N862" s="1"/>
    </row>
    <row r="863" spans="2:14" x14ac:dyDescent="0.35">
      <c r="B863" s="5" t="str">
        <f t="shared" si="988"/>
        <v>SPS1</v>
      </c>
      <c r="C863" s="5" t="str">
        <f t="shared" si="989"/>
        <v>CH</v>
      </c>
      <c r="D863" t="s">
        <v>2074</v>
      </c>
      <c r="E863" t="s">
        <v>240</v>
      </c>
      <c r="F863" s="4">
        <f>IFERROR(F827/F779,"-")</f>
        <v>0.80515046590235018</v>
      </c>
      <c r="G863" s="4">
        <f t="shared" ref="G863:K865" si="997">IFERROR(G827/G779,"-")</f>
        <v>0.80749645262926895</v>
      </c>
      <c r="H863" s="4">
        <f t="shared" si="997"/>
        <v>0.80762775041181001</v>
      </c>
      <c r="I863" s="4">
        <f t="shared" si="997"/>
        <v>0.80815701784574479</v>
      </c>
      <c r="J863" s="4">
        <f t="shared" si="997"/>
        <v>0.81004931990487294</v>
      </c>
      <c r="K863" s="4">
        <f t="shared" si="997"/>
        <v>0.80917953795849973</v>
      </c>
      <c r="L863" s="4">
        <f t="shared" ref="L863" si="998">IFERROR(L827/L779,"-")</f>
        <v>0.81536210517205621</v>
      </c>
      <c r="N863" s="1"/>
    </row>
    <row r="864" spans="2:14" x14ac:dyDescent="0.35">
      <c r="B864" s="5" t="str">
        <f t="shared" si="988"/>
        <v>SPS1</v>
      </c>
      <c r="C864" s="5" t="str">
        <f t="shared" si="989"/>
        <v>CH</v>
      </c>
      <c r="D864" t="s">
        <v>2075</v>
      </c>
      <c r="E864" t="s">
        <v>240</v>
      </c>
      <c r="F864" s="4">
        <f>IFERROR(F828/F780,"-")</f>
        <v>0</v>
      </c>
      <c r="G864" s="4">
        <f t="shared" si="997"/>
        <v>0</v>
      </c>
      <c r="H864" s="4">
        <f t="shared" si="997"/>
        <v>0.52913417074410884</v>
      </c>
      <c r="I864" s="4" t="str">
        <f t="shared" si="997"/>
        <v>-</v>
      </c>
      <c r="J864" s="4" t="str">
        <f t="shared" si="997"/>
        <v>-</v>
      </c>
      <c r="K864" s="4" t="str">
        <f t="shared" si="997"/>
        <v>-</v>
      </c>
      <c r="L864" s="4" t="str">
        <f t="shared" ref="L864" si="999">IFERROR(L828/L780,"-")</f>
        <v>-</v>
      </c>
      <c r="N864" s="1"/>
    </row>
    <row r="865" spans="2:14" x14ac:dyDescent="0.35">
      <c r="B865" s="5" t="str">
        <f t="shared" si="988"/>
        <v>SPS1</v>
      </c>
      <c r="C865" s="5" t="str">
        <f t="shared" si="989"/>
        <v>CH</v>
      </c>
      <c r="D865" t="s">
        <v>2076</v>
      </c>
      <c r="E865" t="s">
        <v>240</v>
      </c>
      <c r="F865" s="4">
        <f>IFERROR(F829/F781,"-")</f>
        <v>0.70057796861439781</v>
      </c>
      <c r="G865" s="4">
        <f t="shared" si="997"/>
        <v>0.62966786279811926</v>
      </c>
      <c r="H865" s="4">
        <f t="shared" si="997"/>
        <v>0.69091660658854792</v>
      </c>
      <c r="I865" s="4">
        <f t="shared" si="997"/>
        <v>0.71100000000000008</v>
      </c>
      <c r="J865" s="4">
        <f t="shared" si="997"/>
        <v>0.71099999999999963</v>
      </c>
      <c r="K865" s="4">
        <f t="shared" si="997"/>
        <v>0.71099999999999908</v>
      </c>
      <c r="L865" s="4">
        <f t="shared" ref="L865" si="1000">IFERROR(L829/L781,"-")</f>
        <v>0.71999999999999964</v>
      </c>
      <c r="N865" s="1"/>
    </row>
    <row r="866" spans="2:14" x14ac:dyDescent="0.35">
      <c r="B866" s="5" t="str">
        <f t="shared" si="988"/>
        <v>SPS1</v>
      </c>
      <c r="C866" s="5" t="str">
        <f t="shared" si="989"/>
        <v>CH</v>
      </c>
      <c r="D866" t="s">
        <v>2077</v>
      </c>
      <c r="E866" t="s">
        <v>240</v>
      </c>
      <c r="F866" s="4">
        <f>IFERROR(F831/F790,"-")</f>
        <v>0.66499999999999937</v>
      </c>
      <c r="G866" s="4">
        <f t="shared" ref="G866:K866" si="1001">IFERROR(G831/G790,"-")</f>
        <v>0.66599999999999926</v>
      </c>
      <c r="H866" s="4">
        <f t="shared" si="1001"/>
        <v>0.66750000000000009</v>
      </c>
      <c r="I866" s="4">
        <f t="shared" si="1001"/>
        <v>0.66999999999999993</v>
      </c>
      <c r="J866" s="4">
        <f t="shared" si="1001"/>
        <v>0.67250000000000032</v>
      </c>
      <c r="K866" s="4">
        <f t="shared" si="1001"/>
        <v>0.67500000000000027</v>
      </c>
      <c r="L866" s="4">
        <f t="shared" ref="L866" si="1002">IFERROR(L831/L790,"-")</f>
        <v>0.68000000000000038</v>
      </c>
      <c r="N866" s="1"/>
    </row>
    <row r="867" spans="2:14" x14ac:dyDescent="0.35">
      <c r="B867" s="5" t="str">
        <f t="shared" si="988"/>
        <v>SPS1</v>
      </c>
      <c r="C867" s="5" t="str">
        <f t="shared" si="989"/>
        <v>CH</v>
      </c>
      <c r="D867" t="s">
        <v>2078</v>
      </c>
      <c r="E867" t="s">
        <v>240</v>
      </c>
      <c r="F867" s="4">
        <f>IFERROR(F834/F793,"-")</f>
        <v>1.2080015905695864</v>
      </c>
      <c r="G867" s="4">
        <f t="shared" ref="G867:K867" si="1003">IFERROR(G834/G793,"-")</f>
        <v>0.97422592452300383</v>
      </c>
      <c r="H867" s="4">
        <f t="shared" si="1003"/>
        <v>1.2003764985639274</v>
      </c>
      <c r="I867" s="4">
        <f t="shared" si="1003"/>
        <v>1.15292662830735</v>
      </c>
      <c r="J867" s="4">
        <f t="shared" si="1003"/>
        <v>0.93839260846968253</v>
      </c>
      <c r="K867" s="4">
        <f t="shared" si="1003"/>
        <v>0.94226398583751947</v>
      </c>
      <c r="L867" s="4">
        <f t="shared" ref="L867" si="1004">IFERROR(L834/L793,"-")</f>
        <v>0.9472845908433396</v>
      </c>
      <c r="N867" s="1"/>
    </row>
    <row r="868" spans="2:14" x14ac:dyDescent="0.35">
      <c r="B868" s="5" t="str">
        <f t="shared" si="988"/>
        <v>SPS1</v>
      </c>
      <c r="C868" s="5" t="str">
        <f t="shared" si="989"/>
        <v>CH</v>
      </c>
      <c r="D868" t="s">
        <v>2079</v>
      </c>
      <c r="E868" t="s">
        <v>240</v>
      </c>
      <c r="F868" s="4">
        <f t="shared" ref="F868:K876" si="1005">IFERROR(F835/F794,"-")</f>
        <v>1.2080015905695862</v>
      </c>
      <c r="G868" s="4">
        <f t="shared" si="1005"/>
        <v>0.97422592452300372</v>
      </c>
      <c r="H868" s="4">
        <f t="shared" si="1005"/>
        <v>1.2003764985639274</v>
      </c>
      <c r="I868" s="4">
        <f t="shared" si="1005"/>
        <v>1.1529266283073498</v>
      </c>
      <c r="J868" s="4">
        <f t="shared" si="1005"/>
        <v>0.93839260846968253</v>
      </c>
      <c r="K868" s="4">
        <f t="shared" si="1005"/>
        <v>0.94226398583751947</v>
      </c>
      <c r="L868" s="4">
        <f t="shared" ref="L868" si="1006">IFERROR(L835/L794,"-")</f>
        <v>0.9472845908433396</v>
      </c>
      <c r="N868" s="1"/>
    </row>
    <row r="869" spans="2:14" x14ac:dyDescent="0.35">
      <c r="B869" s="5" t="str">
        <f t="shared" si="988"/>
        <v>SPS1</v>
      </c>
      <c r="C869" s="5" t="str">
        <f t="shared" si="989"/>
        <v>CH</v>
      </c>
      <c r="D869" t="s">
        <v>2080</v>
      </c>
      <c r="E869" t="s">
        <v>240</v>
      </c>
      <c r="F869" s="4" t="str">
        <f t="shared" si="1005"/>
        <v>-</v>
      </c>
      <c r="G869" s="4" t="str">
        <f t="shared" si="1005"/>
        <v>-</v>
      </c>
      <c r="H869" s="4" t="str">
        <f t="shared" si="1005"/>
        <v>-</v>
      </c>
      <c r="I869" s="4" t="str">
        <f t="shared" si="1005"/>
        <v>-</v>
      </c>
      <c r="J869" s="4" t="str">
        <f t="shared" si="1005"/>
        <v>-</v>
      </c>
      <c r="K869" s="4" t="str">
        <f t="shared" si="1005"/>
        <v>-</v>
      </c>
      <c r="L869" s="4" t="str">
        <f t="shared" ref="L869" si="1007">IFERROR(L836/L795,"-")</f>
        <v>-</v>
      </c>
      <c r="N869" s="1"/>
    </row>
    <row r="870" spans="2:14" x14ac:dyDescent="0.35">
      <c r="B870" s="5" t="str">
        <f t="shared" si="988"/>
        <v>SPS1</v>
      </c>
      <c r="C870" s="5" t="str">
        <f t="shared" si="989"/>
        <v>CH</v>
      </c>
      <c r="D870" t="s">
        <v>2081</v>
      </c>
      <c r="E870" t="s">
        <v>240</v>
      </c>
      <c r="F870" s="4" t="str">
        <f t="shared" si="1005"/>
        <v>-</v>
      </c>
      <c r="G870" s="4" t="str">
        <f t="shared" si="1005"/>
        <v>-</v>
      </c>
      <c r="H870" s="4" t="str">
        <f t="shared" si="1005"/>
        <v>-</v>
      </c>
      <c r="I870" s="4">
        <f t="shared" si="1005"/>
        <v>1.1529266283073498</v>
      </c>
      <c r="J870" s="4">
        <f t="shared" si="1005"/>
        <v>0.93839260846968242</v>
      </c>
      <c r="K870" s="4">
        <f t="shared" si="1005"/>
        <v>0.94226398583751947</v>
      </c>
      <c r="L870" s="4">
        <f t="shared" ref="L870" si="1008">IFERROR(L837/L796,"-")</f>
        <v>0.94728459084333949</v>
      </c>
      <c r="N870" s="1"/>
    </row>
    <row r="871" spans="2:14" x14ac:dyDescent="0.35">
      <c r="B871" s="5" t="str">
        <f t="shared" si="988"/>
        <v>SPS1</v>
      </c>
      <c r="C871" s="5" t="str">
        <f t="shared" si="989"/>
        <v>CH</v>
      </c>
      <c r="D871" t="s">
        <v>2082</v>
      </c>
      <c r="E871" t="s">
        <v>240</v>
      </c>
      <c r="F871" s="4">
        <f t="shared" si="1005"/>
        <v>1.2080015905695864</v>
      </c>
      <c r="G871" s="4">
        <f t="shared" si="1005"/>
        <v>0.97422592452300383</v>
      </c>
      <c r="H871" s="4">
        <f t="shared" si="1005"/>
        <v>1.2003764985639274</v>
      </c>
      <c r="I871" s="4">
        <f t="shared" si="1005"/>
        <v>1.1529266283073498</v>
      </c>
      <c r="J871" s="4">
        <f t="shared" si="1005"/>
        <v>0.93839260846968253</v>
      </c>
      <c r="K871" s="4">
        <f t="shared" si="1005"/>
        <v>0.94226398583751958</v>
      </c>
      <c r="L871" s="4">
        <f t="shared" ref="L871" si="1009">IFERROR(L838/L797,"-")</f>
        <v>0.9472845908433396</v>
      </c>
      <c r="N871" s="1"/>
    </row>
    <row r="872" spans="2:14" x14ac:dyDescent="0.35">
      <c r="B872" s="5" t="str">
        <f t="shared" si="988"/>
        <v>SPS1</v>
      </c>
      <c r="C872" s="5" t="str">
        <f t="shared" si="989"/>
        <v>CH</v>
      </c>
      <c r="D872" t="s">
        <v>2083</v>
      </c>
      <c r="E872" t="s">
        <v>240</v>
      </c>
      <c r="F872" s="4" t="str">
        <f t="shared" si="1005"/>
        <v>-</v>
      </c>
      <c r="G872" s="4" t="str">
        <f t="shared" si="1005"/>
        <v>-</v>
      </c>
      <c r="H872" s="4" t="str">
        <f t="shared" si="1005"/>
        <v>-</v>
      </c>
      <c r="I872" s="4" t="str">
        <f t="shared" si="1005"/>
        <v>-</v>
      </c>
      <c r="J872" s="4" t="str">
        <f t="shared" si="1005"/>
        <v>-</v>
      </c>
      <c r="K872" s="4" t="str">
        <f t="shared" si="1005"/>
        <v>-</v>
      </c>
      <c r="L872" s="4" t="str">
        <f t="shared" ref="L872" si="1010">IFERROR(L839/L798,"-")</f>
        <v>-</v>
      </c>
      <c r="N872" s="1"/>
    </row>
    <row r="873" spans="2:14" x14ac:dyDescent="0.35">
      <c r="B873" s="5" t="str">
        <f t="shared" si="988"/>
        <v>SPS1</v>
      </c>
      <c r="C873" s="5" t="str">
        <f t="shared" si="989"/>
        <v>CH</v>
      </c>
      <c r="D873" t="s">
        <v>2084</v>
      </c>
      <c r="E873" t="s">
        <v>240</v>
      </c>
      <c r="F873" s="4">
        <f t="shared" si="1005"/>
        <v>1.2080015905695864</v>
      </c>
      <c r="G873" s="4">
        <f t="shared" si="1005"/>
        <v>0.97422592452300383</v>
      </c>
      <c r="H873" s="4">
        <f t="shared" si="1005"/>
        <v>1.2003764985639276</v>
      </c>
      <c r="I873" s="4">
        <f t="shared" si="1005"/>
        <v>1.1529266283073498</v>
      </c>
      <c r="J873" s="4">
        <f t="shared" si="1005"/>
        <v>0.93839260846968242</v>
      </c>
      <c r="K873" s="4">
        <f t="shared" si="1005"/>
        <v>0.94226398583751958</v>
      </c>
      <c r="L873" s="4">
        <f t="shared" ref="L873" si="1011">IFERROR(L840/L799,"-")</f>
        <v>0.94728459084333949</v>
      </c>
      <c r="N873" s="1"/>
    </row>
    <row r="874" spans="2:14" x14ac:dyDescent="0.35">
      <c r="B874" s="5" t="str">
        <f t="shared" si="988"/>
        <v>SPS1</v>
      </c>
      <c r="C874" s="5" t="str">
        <f t="shared" si="989"/>
        <v>CH</v>
      </c>
      <c r="D874" t="s">
        <v>2085</v>
      </c>
      <c r="E874" t="s">
        <v>240</v>
      </c>
      <c r="F874" s="4" t="str">
        <f t="shared" si="1005"/>
        <v>-</v>
      </c>
      <c r="G874" s="4" t="str">
        <f t="shared" si="1005"/>
        <v>-</v>
      </c>
      <c r="H874" s="4" t="str">
        <f t="shared" si="1005"/>
        <v>-</v>
      </c>
      <c r="I874" s="4" t="str">
        <f t="shared" si="1005"/>
        <v>-</v>
      </c>
      <c r="J874" s="4" t="str">
        <f t="shared" si="1005"/>
        <v>-</v>
      </c>
      <c r="K874" s="4" t="str">
        <f t="shared" si="1005"/>
        <v>-</v>
      </c>
      <c r="L874" s="4" t="str">
        <f t="shared" ref="L874" si="1012">IFERROR(L841/L800,"-")</f>
        <v>-</v>
      </c>
      <c r="N874" s="1"/>
    </row>
    <row r="875" spans="2:14" x14ac:dyDescent="0.35">
      <c r="B875" s="5" t="str">
        <f t="shared" si="988"/>
        <v>SPS1</v>
      </c>
      <c r="C875" s="5" t="str">
        <f t="shared" si="989"/>
        <v>CH</v>
      </c>
      <c r="D875" t="s">
        <v>2086</v>
      </c>
      <c r="E875" t="s">
        <v>240</v>
      </c>
      <c r="F875" s="4" t="str">
        <f t="shared" si="1005"/>
        <v>-</v>
      </c>
      <c r="G875" s="4" t="str">
        <f t="shared" si="1005"/>
        <v>-</v>
      </c>
      <c r="H875" s="4" t="str">
        <f t="shared" si="1005"/>
        <v>-</v>
      </c>
      <c r="I875" s="4" t="str">
        <f t="shared" si="1005"/>
        <v>-</v>
      </c>
      <c r="J875" s="4" t="str">
        <f t="shared" si="1005"/>
        <v>-</v>
      </c>
      <c r="K875" s="4" t="str">
        <f t="shared" si="1005"/>
        <v>-</v>
      </c>
      <c r="L875" s="4" t="str">
        <f t="shared" ref="L875" si="1013">IFERROR(L842/L801,"-")</f>
        <v>-</v>
      </c>
      <c r="N875" s="1"/>
    </row>
    <row r="876" spans="2:14" x14ac:dyDescent="0.35">
      <c r="B876" s="5" t="str">
        <f t="shared" si="988"/>
        <v>SPS1</v>
      </c>
      <c r="C876" s="5" t="str">
        <f t="shared" si="989"/>
        <v>CH</v>
      </c>
      <c r="D876" t="s">
        <v>2087</v>
      </c>
      <c r="E876" t="s">
        <v>240</v>
      </c>
      <c r="F876" s="4">
        <f t="shared" si="1005"/>
        <v>0.92447626236575098</v>
      </c>
      <c r="G876" s="4">
        <f t="shared" si="1005"/>
        <v>0.92645636412827292</v>
      </c>
      <c r="H876" s="4">
        <f t="shared" si="1005"/>
        <v>0.9294265167720539</v>
      </c>
      <c r="I876" s="4">
        <f t="shared" si="1005"/>
        <v>0.93437677117835738</v>
      </c>
      <c r="J876" s="4">
        <f t="shared" si="1005"/>
        <v>0.93932702558466241</v>
      </c>
      <c r="K876" s="4">
        <f>IFERROR(K843/K802,"-")</f>
        <v>0.94427727999096478</v>
      </c>
      <c r="L876" s="4">
        <f>IFERROR(L843/L802,"-")</f>
        <v>0.94999999999999896</v>
      </c>
      <c r="N876" s="1"/>
    </row>
    <row r="877" spans="2:14" x14ac:dyDescent="0.35">
      <c r="B877" s="5" t="str">
        <f t="shared" si="988"/>
        <v>SPS1</v>
      </c>
      <c r="C877" s="5" t="str">
        <f t="shared" si="989"/>
        <v>CH</v>
      </c>
      <c r="D877" t="s">
        <v>2088</v>
      </c>
      <c r="E877" t="s">
        <v>240</v>
      </c>
      <c r="F877" s="4">
        <f>IFERROR(F845/F804,"-")</f>
        <v>0.58999999999999975</v>
      </c>
      <c r="G877" s="4">
        <f t="shared" ref="G877:K877" si="1014">IFERROR(G845/G804,"-")</f>
        <v>0.59066666666666678</v>
      </c>
      <c r="H877" s="4">
        <f t="shared" si="1014"/>
        <v>0.59166666666666623</v>
      </c>
      <c r="I877" s="4">
        <f t="shared" si="1014"/>
        <v>0.59333333333333249</v>
      </c>
      <c r="J877" s="4">
        <f t="shared" si="1014"/>
        <v>0.59499999999999997</v>
      </c>
      <c r="K877" s="4">
        <f t="shared" si="1014"/>
        <v>0.59666666666666701</v>
      </c>
      <c r="L877" s="4">
        <f t="shared" ref="L877" si="1015">IFERROR(L845/L804,"-")</f>
        <v>0.59999999999999976</v>
      </c>
      <c r="N877" s="1"/>
    </row>
    <row r="878" spans="2:14" x14ac:dyDescent="0.35">
      <c r="B878" s="5" t="str">
        <f t="shared" si="988"/>
        <v>SPS1</v>
      </c>
      <c r="C878" s="5" t="str">
        <f t="shared" si="989"/>
        <v>CH</v>
      </c>
      <c r="D878" t="s">
        <v>2089</v>
      </c>
      <c r="E878" t="s">
        <v>240</v>
      </c>
      <c r="F878" s="4">
        <f>IFERROR(F847/F806,"-")</f>
        <v>0.73749999999999971</v>
      </c>
      <c r="G878" s="4">
        <f t="shared" ref="G878:K878" si="1016">IFERROR(G847/G806,"-")</f>
        <v>0.73833333333333362</v>
      </c>
      <c r="H878" s="4">
        <f t="shared" si="1016"/>
        <v>0.73958333333333359</v>
      </c>
      <c r="I878" s="4">
        <f t="shared" si="1016"/>
        <v>0.74166666666666614</v>
      </c>
      <c r="J878" s="4">
        <f t="shared" si="1016"/>
        <v>0.74374999999999991</v>
      </c>
      <c r="K878" s="4">
        <f t="shared" si="1016"/>
        <v>0.74583333333333368</v>
      </c>
      <c r="L878" s="4">
        <f t="shared" ref="L878" si="1017">IFERROR(L847/L806,"-")</f>
        <v>0.749999999999999</v>
      </c>
      <c r="N878" s="1"/>
    </row>
    <row r="879" spans="2:14" x14ac:dyDescent="0.35">
      <c r="B879" s="5" t="str">
        <f t="shared" si="988"/>
        <v>SPS1</v>
      </c>
      <c r="C879" s="5" t="str">
        <f t="shared" si="989"/>
        <v>CH</v>
      </c>
      <c r="D879" t="s">
        <v>2090</v>
      </c>
      <c r="E879" t="s">
        <v>240</v>
      </c>
      <c r="F879" s="4">
        <f>IFERROR(F849/F808,"-")</f>
        <v>0.52800000000000002</v>
      </c>
      <c r="G879" s="4">
        <f t="shared" ref="G879:K879" si="1018">IFERROR(G849/G808,"-")</f>
        <v>0.52799999999999969</v>
      </c>
      <c r="H879" s="4">
        <f t="shared" si="1018"/>
        <v>0.52799999999999991</v>
      </c>
      <c r="I879" s="4">
        <f t="shared" si="1018"/>
        <v>0.52800000000000058</v>
      </c>
      <c r="J879" s="4">
        <f t="shared" si="1018"/>
        <v>0.52799999999999925</v>
      </c>
      <c r="K879" s="4">
        <f t="shared" si="1018"/>
        <v>0.5280000000000008</v>
      </c>
      <c r="L879" s="4">
        <f t="shared" ref="L879" si="1019">IFERROR(L849/L808,"-")</f>
        <v>0.54399999999999959</v>
      </c>
      <c r="N879" s="1"/>
    </row>
    <row r="880" spans="2:14" x14ac:dyDescent="0.35">
      <c r="B880" s="5" t="str">
        <f t="shared" si="988"/>
        <v>SPS1</v>
      </c>
      <c r="C880" s="5" t="str">
        <f t="shared" si="989"/>
        <v>CH</v>
      </c>
      <c r="D880" t="s">
        <v>2091</v>
      </c>
      <c r="E880" t="s">
        <v>240</v>
      </c>
      <c r="F880" s="4">
        <f>IFERROR(F851/F812,"-")</f>
        <v>1</v>
      </c>
      <c r="G880" s="4">
        <f t="shared" ref="G880:K880" si="1020">IFERROR(G851/G812,"-")</f>
        <v>1</v>
      </c>
      <c r="H880" s="4">
        <f t="shared" si="1020"/>
        <v>1</v>
      </c>
      <c r="I880" s="4">
        <f t="shared" si="1020"/>
        <v>1</v>
      </c>
      <c r="J880" s="4">
        <f t="shared" si="1020"/>
        <v>1</v>
      </c>
      <c r="K880" s="4">
        <f t="shared" si="1020"/>
        <v>1</v>
      </c>
      <c r="L880" s="4">
        <f t="shared" ref="L880" si="1021">IFERROR(L851/L812,"-")</f>
        <v>1</v>
      </c>
      <c r="N880" s="1"/>
    </row>
    <row r="881" spans="2:14" x14ac:dyDescent="0.35">
      <c r="B881" s="5" t="str">
        <f t="shared" si="988"/>
        <v>SPS1</v>
      </c>
      <c r="C881" s="5" t="str">
        <f t="shared" si="989"/>
        <v>CH</v>
      </c>
      <c r="D881" t="s">
        <v>2092</v>
      </c>
      <c r="E881" t="s">
        <v>240</v>
      </c>
      <c r="F881" s="4" t="str">
        <f>IFERROR(F853/F814,"-")</f>
        <v>-</v>
      </c>
      <c r="G881" s="4" t="str">
        <f t="shared" ref="G881:K881" si="1022">IFERROR(G853/G814,"-")</f>
        <v>-</v>
      </c>
      <c r="H881" s="4" t="str">
        <f t="shared" si="1022"/>
        <v>-</v>
      </c>
      <c r="I881" s="4" t="str">
        <f t="shared" si="1022"/>
        <v>-</v>
      </c>
      <c r="J881" s="4">
        <f t="shared" si="1022"/>
        <v>0.50187938606848537</v>
      </c>
      <c r="K881" s="4">
        <f t="shared" si="1022"/>
        <v>0.45649302200604525</v>
      </c>
      <c r="L881" s="4">
        <f t="shared" ref="L881" si="1023">IFERROR(L853/L814,"-")</f>
        <v>0.45830998908404208</v>
      </c>
      <c r="N881" s="1"/>
    </row>
    <row r="882" spans="2:14" x14ac:dyDescent="0.35">
      <c r="B882" s="9" t="str">
        <f>B816</f>
        <v>SPS1</v>
      </c>
      <c r="C882" s="9" t="str">
        <f>C816</f>
        <v>CH</v>
      </c>
      <c r="D882" s="2" t="s">
        <v>674</v>
      </c>
      <c r="E882" s="9" t="s">
        <v>8</v>
      </c>
      <c r="F882" s="17">
        <f t="shared" ref="F882:K882" si="1024">F883+F887+F894+F905+F913+F915+F917+F919+F923</f>
        <v>140.10108752733348</v>
      </c>
      <c r="G882" s="17">
        <f t="shared" si="1024"/>
        <v>139.66588167652515</v>
      </c>
      <c r="H882" s="17">
        <f t="shared" si="1024"/>
        <v>133.5131325007402</v>
      </c>
      <c r="I882" s="17">
        <f t="shared" si="1024"/>
        <v>128.68311789690688</v>
      </c>
      <c r="J882" s="17">
        <f t="shared" si="1024"/>
        <v>125.46327554829891</v>
      </c>
      <c r="K882" s="17">
        <f t="shared" si="1024"/>
        <v>121.64193045193034</v>
      </c>
      <c r="L882" s="17">
        <f t="shared" ref="L882" si="1025">L883+L887+L894+L905+L913+L915+L917+L919+L923</f>
        <v>113.99331612314336</v>
      </c>
      <c r="N882" s="1"/>
    </row>
    <row r="883" spans="2:14" x14ac:dyDescent="0.35">
      <c r="B883" s="5" t="str">
        <f>B882</f>
        <v>SPS1</v>
      </c>
      <c r="C883" s="5" t="str">
        <f>C882</f>
        <v>CH</v>
      </c>
      <c r="D883" t="s">
        <v>962</v>
      </c>
      <c r="E883" t="s">
        <v>8</v>
      </c>
      <c r="F883" s="1">
        <f>[1]Services!B$11</f>
        <v>60.950012993458756</v>
      </c>
      <c r="G883" s="1">
        <f>[1]Services!C$11</f>
        <v>60.772354382465515</v>
      </c>
      <c r="H883" s="1">
        <f>[1]Services!D$11</f>
        <v>61.297766763411531</v>
      </c>
      <c r="I883" s="1">
        <f>[1]Services!E$11</f>
        <v>61.728948601616267</v>
      </c>
      <c r="J883" s="1">
        <f>[2]Services!F$11</f>
        <v>62.445585335242107</v>
      </c>
      <c r="K883" s="1">
        <f>[2]Services!G$11</f>
        <v>62.544668293587193</v>
      </c>
      <c r="L883" s="1">
        <f>[2]Services!H$11</f>
        <v>62.099334097263863</v>
      </c>
      <c r="N883" s="1"/>
    </row>
    <row r="884" spans="2:14" x14ac:dyDescent="0.35">
      <c r="B884" s="5" t="str">
        <f>B883</f>
        <v>SPS1</v>
      </c>
      <c r="C884" s="5" t="str">
        <f>C883</f>
        <v>CH</v>
      </c>
      <c r="D884" t="s">
        <v>759</v>
      </c>
      <c r="E884" t="s">
        <v>8</v>
      </c>
      <c r="F884" s="1" cm="1">
        <f t="array" ref="F884">SUMPRODUCT(([1]OUT_FinalEnergyCons!$B$4:$B$10000="Var_Fin")*1, ISNUMBER(SEARCH("SCOM_ELC",[1]OUT_FinalEnergyCons!$C$4:$C$10000))*1, (ISNUMBER(SEARCH("SCOM-SHELCBR",[1]OUT_FinalEnergyCons!$A$4:$A$10000)))*1,[1]OUT_FinalEnergyCons!D$4:D$10000)</f>
        <v>2.6236076124484264</v>
      </c>
      <c r="G884" s="1" cm="1">
        <f t="array" ref="G884">SUMPRODUCT(([1]OUT_FinalEnergyCons!$B$4:$B$10000="Var_Fin")*1, ISNUMBER(SEARCH("SCOM_ELC",[1]OUT_FinalEnergyCons!$C$4:$C$10000))*1, (ISNUMBER(SEARCH("SCOM-SHELCBR",[1]OUT_FinalEnergyCons!$A$4:$A$10000)))*1,[1]OUT_FinalEnergyCons!E$4:E$10000)</f>
        <v>0.64525869443337192</v>
      </c>
      <c r="H884" s="1" cm="1">
        <f t="array" ref="H884">SUMPRODUCT(([1]OUT_FinalEnergyCons!$B$4:$B$10000="Var_Fin")*1, ISNUMBER(SEARCH("SCOM_ELC",[1]OUT_FinalEnergyCons!$C$4:$C$10000))*1, (ISNUMBER(SEARCH("SCOM-SHELCBR",[1]OUT_FinalEnergyCons!$A$4:$A$10000)))*1,[1]OUT_FinalEnergyCons!F$4:F$10000)</f>
        <v>1.1044128581295334</v>
      </c>
      <c r="I884" s="1" cm="1">
        <f t="array" ref="I884">SUMPRODUCT(([1]OUT_FinalEnergyCons!$B$4:$B$10000="Var_Fin")*1, ISNUMBER(SEARCH("SCOM_ELC",[1]OUT_FinalEnergyCons!$C$4:$C$10000))*1, (ISNUMBER(SEARCH("SCOM-SHELCBR",[1]OUT_FinalEnergyCons!$A$4:$A$10000)))*1,[1]OUT_FinalEnergyCons!G$4:G$10000)</f>
        <v>0.72990424570184309</v>
      </c>
      <c r="J884" s="1" cm="1">
        <f t="array" ref="J884">SUMPRODUCT(([2]OUT_FinalEnergyCons!$B$4:$B$10000="Var_Fin")*1, ISNUMBER(SEARCH("SCOM_ELC",[2]OUT_FinalEnergyCons!$C$4:$C$10000))*1, (ISNUMBER(SEARCH("SCOM-SHELCBR",[2]OUT_FinalEnergyCons!$A$4:$A$10000)))*1,[2]OUT_FinalEnergyCons!H$4:H$10000)</f>
        <v>0.60188543630124902</v>
      </c>
      <c r="K884" s="1" cm="1">
        <f t="array" ref="K884">SUMPRODUCT(([2]OUT_FinalEnergyCons!$B$4:$B$10000="Var_Fin")*1, ISNUMBER(SEARCH("SCOM_ELC",[2]OUT_FinalEnergyCons!$C$4:$C$10000))*1, (ISNUMBER(SEARCH("SCOM-SHELCBR",[2]OUT_FinalEnergyCons!$A$4:$A$10000)))*1,[2]OUT_FinalEnergyCons!I$4:I$10000)</f>
        <v>0.53871040385919622</v>
      </c>
      <c r="L884" s="1" cm="1">
        <f t="array" ref="L884">SUMPRODUCT(([2]OUT_FinalEnergyCons!$B$4:$B$10000="Var_Fin")*1, ISNUMBER(SEARCH("SCOM_ELC",[2]OUT_FinalEnergyCons!$C$4:$C$10000))*1, (ISNUMBER(SEARCH("SCOM-SHELCBR",[2]OUT_FinalEnergyCons!$A$4:$A$10000)))*1,[2]OUT_FinalEnergyCons!J$4:J$10000)</f>
        <v>0.39068223562172893</v>
      </c>
      <c r="N884" s="1"/>
    </row>
    <row r="885" spans="2:14" x14ac:dyDescent="0.35">
      <c r="B885" s="5" t="str">
        <f t="shared" ref="B885:B924" si="1026">B884</f>
        <v>SPS1</v>
      </c>
      <c r="C885" s="5" t="str">
        <f t="shared" ref="C885:C924" si="1027">C884</f>
        <v>CH</v>
      </c>
      <c r="D885" t="s">
        <v>725</v>
      </c>
      <c r="E885" t="s">
        <v>8</v>
      </c>
      <c r="F885" s="1" cm="1">
        <f t="array" ref="F885">SUMPRODUCT(([1]OUT_FinalEnergyCons!$B$4:$B$10000="Var_Fin")*1, ISNUMBER(SEARCH("SCOM_ELC",[1]OUT_FinalEnergyCons!$C$4:$C$10000))*1,(ISNUMBER(SEARCH("SCOM-SHELCHP",[1]OUT_FinalEnergyCons!$A$4:$A$10000)))*1,[1]OUT_FinalEnergyCons!D$4:D$10000)</f>
        <v>1.3316308060978892</v>
      </c>
      <c r="G885" s="1" cm="1">
        <f t="array" ref="G885">SUMPRODUCT(([1]OUT_FinalEnergyCons!$B$4:$B$10000="Var_Fin")*1, ISNUMBER(SEARCH("SCOM_ELC",[1]OUT_FinalEnergyCons!$C$4:$C$10000))*1,(ISNUMBER(SEARCH("SCOM-SHELCHP",[1]OUT_FinalEnergyCons!$A$4:$A$10000)))*1,[1]OUT_FinalEnergyCons!E$4:E$10000)</f>
        <v>1.4252011235416786</v>
      </c>
      <c r="H885" s="1" cm="1">
        <f t="array" ref="H885">SUMPRODUCT(([1]OUT_FinalEnergyCons!$B$4:$B$10000="Var_Fin")*1, ISNUMBER(SEARCH("SCOM_ELC",[1]OUT_FinalEnergyCons!$C$4:$C$10000))*1,(ISNUMBER(SEARCH("SCOM-SHELCHP",[1]OUT_FinalEnergyCons!$A$4:$A$10000)))*1,[1]OUT_FinalEnergyCons!F$4:F$10000)</f>
        <v>1.6790539204026178</v>
      </c>
      <c r="I885" s="1" cm="1">
        <f t="array" ref="I885">SUMPRODUCT(([1]OUT_FinalEnergyCons!$B$4:$B$10000="Var_Fin")*1, ISNUMBER(SEARCH("SCOM_ELC",[1]OUT_FinalEnergyCons!$C$4:$C$10000))*1,(ISNUMBER(SEARCH("SCOM-SHELCHP",[1]OUT_FinalEnergyCons!$A$4:$A$10000)))*1,[1]OUT_FinalEnergyCons!G$4:G$10000)</f>
        <v>2.4832965233140731</v>
      </c>
      <c r="J885" s="1" cm="1">
        <f t="array" ref="J885">SUMPRODUCT(([2]OUT_FinalEnergyCons!$B$4:$B$10000="Var_Fin")*1, ISNUMBER(SEARCH("SCOM_ELC",[2]OUT_FinalEnergyCons!$C$4:$C$10000))*1,(ISNUMBER(SEARCH("SCOM-SHELCHP",[2]OUT_FinalEnergyCons!$A$4:$A$10000)))*1,[2]OUT_FinalEnergyCons!H$4:H$10000)</f>
        <v>2.9713969464330017</v>
      </c>
      <c r="K885" s="1" cm="1">
        <f t="array" ref="K885">SUMPRODUCT(([2]OUT_FinalEnergyCons!$B$4:$B$10000="Var_Fin")*1, ISNUMBER(SEARCH("SCOM_ELC",[2]OUT_FinalEnergyCons!$C$4:$C$10000))*1,(ISNUMBER(SEARCH("SCOM-SHELCHP",[2]OUT_FinalEnergyCons!$A$4:$A$10000)))*1,[2]OUT_FinalEnergyCons!I$4:I$10000)</f>
        <v>3.4281778255545317</v>
      </c>
      <c r="L885" s="1" cm="1">
        <f t="array" ref="L885">SUMPRODUCT(([2]OUT_FinalEnergyCons!$B$4:$B$10000="Var_Fin")*1, ISNUMBER(SEARCH("SCOM_ELC",[2]OUT_FinalEnergyCons!$C$4:$C$10000))*1,(ISNUMBER(SEARCH("SCOM-SHELCHP",[2]OUT_FinalEnergyCons!$A$4:$A$10000)))*1,[2]OUT_FinalEnergyCons!J$4:J$10000)</f>
        <v>4.3530784714614343</v>
      </c>
      <c r="N885" s="1"/>
    </row>
    <row r="886" spans="2:14" x14ac:dyDescent="0.35">
      <c r="B886" s="5" t="str">
        <f t="shared" si="1026"/>
        <v>SPS1</v>
      </c>
      <c r="C886" s="5" t="str">
        <f t="shared" si="1027"/>
        <v>CH</v>
      </c>
      <c r="D886" t="s">
        <v>508</v>
      </c>
      <c r="E886" t="s">
        <v>8</v>
      </c>
      <c r="F886" s="1">
        <f>[1]Services!B$11-[1]Services!B$28</f>
        <v>56.994774574912441</v>
      </c>
      <c r="G886" s="1">
        <f>[1]Services!C$11-[1]Services!C$28</f>
        <v>58.701894564490466</v>
      </c>
      <c r="H886" s="1">
        <f>[1]Services!D$11-[1]Services!D$28</f>
        <v>58.514299984879379</v>
      </c>
      <c r="I886" s="1">
        <f>[1]Services!E$11-[1]Services!E$28</f>
        <v>58.515747832600354</v>
      </c>
      <c r="J886" s="1">
        <f>[2]Services!F$11-[2]Services!F$28</f>
        <v>58.872302952507859</v>
      </c>
      <c r="K886" s="1">
        <f>[2]Services!G$11-[2]Services!G$28</f>
        <v>58.577780064173467</v>
      </c>
      <c r="L886" s="1">
        <f>[2]Services!H$11-[2]Services!H$28</f>
        <v>57.355573390180702</v>
      </c>
      <c r="N886" s="1"/>
    </row>
    <row r="887" spans="2:14" x14ac:dyDescent="0.35">
      <c r="B887" s="5" t="str">
        <f t="shared" si="1026"/>
        <v>SPS1</v>
      </c>
      <c r="C887" s="5" t="str">
        <f t="shared" si="1027"/>
        <v>CH</v>
      </c>
      <c r="D887" t="s">
        <v>499</v>
      </c>
      <c r="E887" t="s">
        <v>8</v>
      </c>
      <c r="F887" s="1">
        <f>F888</f>
        <v>30.256634055456193</v>
      </c>
      <c r="G887" s="1">
        <f t="shared" ref="G887:L887" si="1028">G888</f>
        <v>26.400372028683567</v>
      </c>
      <c r="H887" s="1">
        <f t="shared" si="1028"/>
        <v>27.057776964062345</v>
      </c>
      <c r="I887" s="1">
        <f t="shared" si="1028"/>
        <v>19.557191665279888</v>
      </c>
      <c r="J887" s="1">
        <f t="shared" si="1028"/>
        <v>15.086981368198499</v>
      </c>
      <c r="K887" s="1">
        <f t="shared" si="1028"/>
        <v>12.140294950949196</v>
      </c>
      <c r="L887" s="1">
        <f t="shared" si="1028"/>
        <v>5.7780062930266558</v>
      </c>
      <c r="N887" s="1"/>
    </row>
    <row r="888" spans="2:14" x14ac:dyDescent="0.35">
      <c r="B888" s="5" t="str">
        <f t="shared" si="1026"/>
        <v>SPS1</v>
      </c>
      <c r="C888" s="5" t="str">
        <f t="shared" si="1027"/>
        <v>CH</v>
      </c>
      <c r="D888" t="s">
        <v>500</v>
      </c>
      <c r="E888" t="s">
        <v>8</v>
      </c>
      <c r="F888" s="1">
        <f>SUM(F891,F893)</f>
        <v>30.256634055456193</v>
      </c>
      <c r="G888" s="1">
        <f t="shared" ref="G888:K888" si="1029">SUM(G891,G893)</f>
        <v>26.400372028683567</v>
      </c>
      <c r="H888" s="1">
        <f t="shared" si="1029"/>
        <v>27.057776964062345</v>
      </c>
      <c r="I888" s="1">
        <f t="shared" si="1029"/>
        <v>19.557191665279888</v>
      </c>
      <c r="J888" s="1">
        <f t="shared" si="1029"/>
        <v>15.086981368198499</v>
      </c>
      <c r="K888" s="1">
        <f t="shared" si="1029"/>
        <v>12.140294950949196</v>
      </c>
      <c r="L888" s="1">
        <f t="shared" ref="L888" si="1030">SUM(L891,L893)</f>
        <v>5.7780062930266558</v>
      </c>
      <c r="N888" s="1"/>
    </row>
    <row r="889" spans="2:14" x14ac:dyDescent="0.35">
      <c r="B889" s="5" t="str">
        <f>B888</f>
        <v>SPS1</v>
      </c>
      <c r="C889" s="5" t="str">
        <f>C888</f>
        <v>CH</v>
      </c>
      <c r="D889" t="s">
        <v>963</v>
      </c>
      <c r="E889" t="s">
        <v>8</v>
      </c>
      <c r="F889" s="1">
        <f>F890</f>
        <v>30.256634055456193</v>
      </c>
      <c r="G889" s="1">
        <f t="shared" ref="G889:L889" si="1031">G890</f>
        <v>26.400372028683567</v>
      </c>
      <c r="H889" s="1">
        <f t="shared" si="1031"/>
        <v>27.0577555788281</v>
      </c>
      <c r="I889" s="1">
        <f t="shared" si="1031"/>
        <v>19.55712571454012</v>
      </c>
      <c r="J889" s="1">
        <f t="shared" si="1031"/>
        <v>15.08670275025619</v>
      </c>
      <c r="K889" s="1">
        <f t="shared" si="1031"/>
        <v>12.140104509192478</v>
      </c>
      <c r="L889" s="1">
        <f t="shared" si="1031"/>
        <v>5.7778758699105861</v>
      </c>
      <c r="N889" s="1"/>
    </row>
    <row r="890" spans="2:14" x14ac:dyDescent="0.35">
      <c r="B890" s="5" t="str">
        <f t="shared" si="1026"/>
        <v>SPS1</v>
      </c>
      <c r="C890" s="5" t="str">
        <f t="shared" si="1027"/>
        <v>CH</v>
      </c>
      <c r="D890" t="s">
        <v>528</v>
      </c>
      <c r="E890" t="s">
        <v>8</v>
      </c>
      <c r="F890" s="1">
        <f>[1]Services!B$12</f>
        <v>30.256634055456193</v>
      </c>
      <c r="G890" s="1">
        <f>[1]Services!C$12</f>
        <v>26.400372028683567</v>
      </c>
      <c r="H890" s="1">
        <f>[1]Services!D$12</f>
        <v>27.0577555788281</v>
      </c>
      <c r="I890" s="1">
        <f>[1]Services!E$12</f>
        <v>19.55712571454012</v>
      </c>
      <c r="J890" s="1">
        <f>[2]Services!F$12</f>
        <v>15.08670275025619</v>
      </c>
      <c r="K890" s="1">
        <f>[2]Services!G$12</f>
        <v>12.140104509192478</v>
      </c>
      <c r="L890" s="1">
        <f>[2]Services!H$12</f>
        <v>5.7778758699105861</v>
      </c>
      <c r="N890" s="1"/>
    </row>
    <row r="891" spans="2:14" x14ac:dyDescent="0.35">
      <c r="B891" s="5" t="str">
        <f>B890</f>
        <v>SPS1</v>
      </c>
      <c r="C891" s="5" t="str">
        <f t="shared" si="1027"/>
        <v>CH</v>
      </c>
      <c r="D891" t="s">
        <v>529</v>
      </c>
      <c r="E891" t="s">
        <v>8</v>
      </c>
      <c r="F891" s="1">
        <f>F890</f>
        <v>30.256634055456193</v>
      </c>
      <c r="G891" s="1">
        <f t="shared" ref="G891:K891" si="1032">G890</f>
        <v>26.400372028683567</v>
      </c>
      <c r="H891" s="1">
        <f t="shared" si="1032"/>
        <v>27.0577555788281</v>
      </c>
      <c r="I891" s="1">
        <f t="shared" si="1032"/>
        <v>19.55712571454012</v>
      </c>
      <c r="J891" s="1">
        <f t="shared" si="1032"/>
        <v>15.08670275025619</v>
      </c>
      <c r="K891" s="1">
        <f t="shared" si="1032"/>
        <v>12.140104509192478</v>
      </c>
      <c r="L891" s="1">
        <f t="shared" ref="L891" si="1033">L890</f>
        <v>5.7778758699105861</v>
      </c>
      <c r="N891" s="1"/>
    </row>
    <row r="892" spans="2:14" x14ac:dyDescent="0.35">
      <c r="B892" s="5" t="str">
        <f>B891</f>
        <v>SPS1</v>
      </c>
      <c r="C892" s="5" t="str">
        <f>C891</f>
        <v>CH</v>
      </c>
      <c r="D892" t="s">
        <v>964</v>
      </c>
      <c r="E892" t="s">
        <v>8</v>
      </c>
      <c r="F892">
        <f>F893</f>
        <v>0</v>
      </c>
      <c r="G892">
        <f t="shared" ref="G892:L892" si="1034">G893</f>
        <v>0</v>
      </c>
      <c r="H892">
        <f t="shared" si="1034"/>
        <v>2.1385234244311305E-5</v>
      </c>
      <c r="I892">
        <f t="shared" si="1034"/>
        <v>6.5950739768542421E-5</v>
      </c>
      <c r="J892">
        <f t="shared" si="1034"/>
        <v>2.7861794230824157E-4</v>
      </c>
      <c r="K892">
        <f t="shared" si="1034"/>
        <v>1.9044175671773948E-4</v>
      </c>
      <c r="L892">
        <f t="shared" si="1034"/>
        <v>1.3042311606952986E-4</v>
      </c>
      <c r="N892" s="1"/>
    </row>
    <row r="893" spans="2:14" x14ac:dyDescent="0.35">
      <c r="B893" s="5" t="str">
        <f t="shared" si="1026"/>
        <v>SPS1</v>
      </c>
      <c r="C893" s="5" t="str">
        <f t="shared" si="1027"/>
        <v>CH</v>
      </c>
      <c r="D893" t="s">
        <v>965</v>
      </c>
      <c r="E893" t="s">
        <v>8</v>
      </c>
      <c r="F893">
        <f>[1]Services!B$13</f>
        <v>0</v>
      </c>
      <c r="G893">
        <f>[1]Services!C$13</f>
        <v>0</v>
      </c>
      <c r="H893">
        <f>[1]Services!D$13</f>
        <v>2.1385234244311305E-5</v>
      </c>
      <c r="I893">
        <f>[1]Services!E$13</f>
        <v>6.5950739768542421E-5</v>
      </c>
      <c r="J893">
        <f>[2]Services!F$13</f>
        <v>2.7861794230824157E-4</v>
      </c>
      <c r="K893">
        <f>[2]Services!G$13</f>
        <v>1.9044175671773948E-4</v>
      </c>
      <c r="L893">
        <f>[2]Services!H$13</f>
        <v>1.3042311606952986E-4</v>
      </c>
      <c r="N893" s="1"/>
    </row>
    <row r="894" spans="2:14" x14ac:dyDescent="0.35">
      <c r="B894" s="5" t="str">
        <f t="shared" si="1026"/>
        <v>SPS1</v>
      </c>
      <c r="C894" s="5" t="str">
        <f t="shared" si="1027"/>
        <v>CH</v>
      </c>
      <c r="D894" t="s">
        <v>501</v>
      </c>
      <c r="E894" t="s">
        <v>8</v>
      </c>
      <c r="F894" s="1">
        <f>SUM(F895:F897)</f>
        <v>26.950966524901734</v>
      </c>
      <c r="G894" s="1">
        <f t="shared" ref="G894:K894" si="1035">SUM(G895:G897)</f>
        <v>28.287007728856452</v>
      </c>
      <c r="H894" s="1">
        <f t="shared" si="1035"/>
        <v>25.818702700216036</v>
      </c>
      <c r="I894" s="1">
        <f t="shared" si="1035"/>
        <v>24.445505852797098</v>
      </c>
      <c r="J894" s="1">
        <f t="shared" si="1035"/>
        <v>21.823781724433658</v>
      </c>
      <c r="K894" s="1">
        <f t="shared" si="1035"/>
        <v>19.823935889566211</v>
      </c>
      <c r="L894" s="1">
        <f t="shared" ref="L894" si="1036">SUM(L895:L897)</f>
        <v>16.265946342134374</v>
      </c>
      <c r="N894" s="1"/>
    </row>
    <row r="895" spans="2:14" x14ac:dyDescent="0.35">
      <c r="B895" s="5" t="str">
        <f t="shared" si="1026"/>
        <v>SPS1</v>
      </c>
      <c r="C895" s="5" t="str">
        <f t="shared" si="1027"/>
        <v>CH</v>
      </c>
      <c r="D895" t="s">
        <v>681</v>
      </c>
      <c r="E895" t="s">
        <v>8</v>
      </c>
      <c r="F895" s="1">
        <f>SUM([1]Services!B$14:B$15)-F896</f>
        <v>25.54868764787135</v>
      </c>
      <c r="G895" s="1">
        <f>SUM([1]Services!C$14:C$15)</f>
        <v>26.749781828078916</v>
      </c>
      <c r="H895" s="1">
        <f>SUM([1]Services!D$14:D$15)</f>
        <v>24.916433427650961</v>
      </c>
      <c r="I895" s="1">
        <f>SUM([1]Services!E$14:E$15)</f>
        <v>22.683640239626364</v>
      </c>
      <c r="J895" s="1">
        <f>SUM([2]Services!F$14:F$15)</f>
        <v>19.51388370221834</v>
      </c>
      <c r="K895" s="1">
        <f>SUM([2]Services!G$14:G$15)</f>
        <v>17.021181832328725</v>
      </c>
      <c r="L895" s="1">
        <f>SUM([2]Services!H$14:H$15)</f>
        <v>12.359062580561671</v>
      </c>
      <c r="N895" s="1"/>
    </row>
    <row r="896" spans="2:14" x14ac:dyDescent="0.35">
      <c r="B896" s="5" t="str">
        <f t="shared" ref="B896" si="1037">B895</f>
        <v>SPS1</v>
      </c>
      <c r="C896" s="5" t="str">
        <f t="shared" ref="C896" si="1038">C895</f>
        <v>CH</v>
      </c>
      <c r="D896" t="s">
        <v>726</v>
      </c>
      <c r="E896" t="s">
        <v>8</v>
      </c>
      <c r="F896" s="1" cm="1">
        <f t="array" ref="F896">SUMPRODUCT(([1]OUT_FinalEnergyCons!$B$4:$B$10000="Var_Fin")*1, ([1]OUT_FinalEnergyCons!$C$4:$C$10000="SNGA")*1,(ISNUMBER(SEARCH("SCOM-SHngahp",[1]OUT_FinalEnergyCons!$A$4:$A$10000)))*1,[1]OUT_FinalEnergyCons!D$4:D$10000)</f>
        <v>0</v>
      </c>
      <c r="G896" s="1" cm="1">
        <f t="array" ref="G896">SUMPRODUCT(([1]OUT_FinalEnergyCons!$B$4:$B$10000="Var_Fin")*1, ([1]OUT_FinalEnergyCons!$C$4:$C$10000="SNGA")*1,(ISNUMBER(SEARCH("SCOM-SHngahp",[1]OUT_FinalEnergyCons!$A$4:$A$10000)))*1,[1]OUT_FinalEnergyCons!E$4:E$10000)</f>
        <v>0</v>
      </c>
      <c r="H896" s="1" cm="1">
        <f t="array" ref="H896">SUMPRODUCT(([1]OUT_FinalEnergyCons!$B$4:$B$10000="Var_Fin")*1, ([1]OUT_FinalEnergyCons!$C$4:$C$10000="SNGA")*1,(ISNUMBER(SEARCH("SCOM-SHngahp",[1]OUT_FinalEnergyCons!$A$4:$A$10000)))*1,[1]OUT_FinalEnergyCons!F$4:F$10000)</f>
        <v>0.90226927256507528</v>
      </c>
      <c r="I896" s="1" cm="1">
        <f t="array" ref="I896">SUMPRODUCT(([1]OUT_FinalEnergyCons!$B$4:$B$10000="Var_Fin")*1, ([1]OUT_FinalEnergyCons!$C$4:$C$10000="SNGA")*1,(ISNUMBER(SEARCH("SCOM-SHngahp",[1]OUT_FinalEnergyCons!$A$4:$A$10000)))*1,[1]OUT_FinalEnergyCons!G$4:G$10000)</f>
        <v>1.7618656131707353</v>
      </c>
      <c r="J896" s="1" cm="1">
        <f t="array" ref="J896">SUMPRODUCT(([2]OUT_FinalEnergyCons!$B$4:$B$10000="Var_Fin")*1, ([2]OUT_FinalEnergyCons!$C$4:$C$10000="SNGA")*1,(ISNUMBER(SEARCH("SCOM-SHngahp",[2]OUT_FinalEnergyCons!$A$4:$A$10000)))*1,[2]OUT_FinalEnergyCons!H$4:H$10000)</f>
        <v>2.309898022215318</v>
      </c>
      <c r="K896" s="1" cm="1">
        <f t="array" ref="K896">SUMPRODUCT(([2]OUT_FinalEnergyCons!$B$4:$B$10000="Var_Fin")*1, ([2]OUT_FinalEnergyCons!$C$4:$C$10000="SNGA")*1,(ISNUMBER(SEARCH("SCOM-SHngahp",[2]OUT_FinalEnergyCons!$A$4:$A$10000)))*1,[2]OUT_FinalEnergyCons!I$4:I$10000)</f>
        <v>2.8027540572374874</v>
      </c>
      <c r="L896" s="1" cm="1">
        <f t="array" ref="L896">SUMPRODUCT(([2]OUT_FinalEnergyCons!$B$4:$B$10000="Var_Fin")*1, ([2]OUT_FinalEnergyCons!$C$4:$C$10000="SNGA")*1,(ISNUMBER(SEARCH("SCOM-SHngahp",[2]OUT_FinalEnergyCons!$A$4:$A$10000)))*1,[2]OUT_FinalEnergyCons!J$4:J$10000)</f>
        <v>3.9068837615727023</v>
      </c>
      <c r="N896" s="1"/>
    </row>
    <row r="897" spans="2:14" x14ac:dyDescent="0.35">
      <c r="B897" s="5" t="str">
        <f>B895</f>
        <v>SPS1</v>
      </c>
      <c r="C897" s="5" t="str">
        <f>C895</f>
        <v>CH</v>
      </c>
      <c r="D897" t="s">
        <v>502</v>
      </c>
      <c r="E897" t="s">
        <v>8</v>
      </c>
      <c r="F897" s="1">
        <f>[1]Services!B$16</f>
        <v>1.4022788770303827</v>
      </c>
      <c r="G897" s="1">
        <f>[1]Services!C$16</f>
        <v>1.5372259007775346</v>
      </c>
      <c r="H897" s="1">
        <f>[1]Services!D$16</f>
        <v>0</v>
      </c>
      <c r="I897" s="1">
        <f>[1]Services!E$16</f>
        <v>0</v>
      </c>
      <c r="J897" s="1">
        <f>[2]Services!F$16</f>
        <v>0</v>
      </c>
      <c r="K897" s="1">
        <f>[2]Services!G$16</f>
        <v>0</v>
      </c>
      <c r="L897" s="1">
        <f>[2]Services!H$16</f>
        <v>0</v>
      </c>
      <c r="N897" s="1"/>
    </row>
    <row r="898" spans="2:14" x14ac:dyDescent="0.35">
      <c r="B898" s="5" t="str">
        <f t="shared" si="1026"/>
        <v>SPS1</v>
      </c>
      <c r="C898" s="5" t="str">
        <f t="shared" si="1027"/>
        <v>CH</v>
      </c>
      <c r="D898" t="s">
        <v>966</v>
      </c>
      <c r="E898" t="s">
        <v>8</v>
      </c>
      <c r="F898" s="1">
        <f>[1]Services!B$14</f>
        <v>25.260291123940856</v>
      </c>
      <c r="G898" s="1">
        <f>[1]Services!C$14</f>
        <v>24.977783818816171</v>
      </c>
      <c r="H898" s="1">
        <f>[1]Services!D$14</f>
        <v>24.453278760161044</v>
      </c>
      <c r="I898" s="1">
        <f>[1]Services!E$14</f>
        <v>22.682945914576919</v>
      </c>
      <c r="J898" s="1">
        <f>[2]Services!F$14</f>
        <v>19.504154329582111</v>
      </c>
      <c r="K898" s="1">
        <f>[2]Services!G$14</f>
        <v>17.021107268122233</v>
      </c>
      <c r="L898" s="1">
        <f>[2]Services!H$14</f>
        <v>12.359021701759209</v>
      </c>
      <c r="N898" s="1"/>
    </row>
    <row r="899" spans="2:14" x14ac:dyDescent="0.35">
      <c r="B899" s="5" t="str">
        <f t="shared" si="1026"/>
        <v>SPS1</v>
      </c>
      <c r="C899" s="5" t="str">
        <f t="shared" si="1027"/>
        <v>CH</v>
      </c>
      <c r="D899" t="s">
        <v>682</v>
      </c>
      <c r="E899" t="s">
        <v>8</v>
      </c>
      <c r="F899" s="1">
        <f>[1]Services!B$14*IFERROR(F895/SUM(F895:F896),0)</f>
        <v>25.260291123940856</v>
      </c>
      <c r="G899" s="1">
        <f>[1]Services!C$14*IFERROR(G895/SUM(G895:G896),0)</f>
        <v>24.977783818816171</v>
      </c>
      <c r="H899" s="1">
        <f>[1]Services!D$14*IFERROR(H895/SUM(H895:H896),0)</f>
        <v>23.598726062647824</v>
      </c>
      <c r="I899" s="1">
        <f>[1]Services!E$14*IFERROR(I895/SUM(I895:I896),0)</f>
        <v>21.048113620536586</v>
      </c>
      <c r="J899" s="1">
        <f>[2]Services!F$14*IFERROR(J895/SUM(J895:J896),0)</f>
        <v>17.439773001004045</v>
      </c>
      <c r="K899" s="1">
        <f>[2]Services!G$14*IFERROR(K895/SUM(K895:K896),0)</f>
        <v>14.614623625309768</v>
      </c>
      <c r="L899" s="1">
        <f>[2]Services!H$14*IFERROR(L895/SUM(L895:L896),0)</f>
        <v>9.3905340294217989</v>
      </c>
      <c r="N899" s="1"/>
    </row>
    <row r="900" spans="2:14" x14ac:dyDescent="0.35">
      <c r="B900" s="5" t="str">
        <f>B899</f>
        <v>SPS1</v>
      </c>
      <c r="C900" s="5" t="str">
        <f t="shared" ref="C900" si="1039">C899</f>
        <v>CH</v>
      </c>
      <c r="D900" t="s">
        <v>727</v>
      </c>
      <c r="E900" t="s">
        <v>8</v>
      </c>
      <c r="F900" s="1">
        <f>F898-F899</f>
        <v>0</v>
      </c>
      <c r="G900" s="1">
        <f t="shared" ref="G900:K900" si="1040">G898-G899</f>
        <v>0</v>
      </c>
      <c r="H900" s="1">
        <f t="shared" si="1040"/>
        <v>0.85455269751322049</v>
      </c>
      <c r="I900" s="1">
        <f t="shared" si="1040"/>
        <v>1.6348322940403328</v>
      </c>
      <c r="J900" s="1">
        <f t="shared" si="1040"/>
        <v>2.0643813285780652</v>
      </c>
      <c r="K900" s="1">
        <f t="shared" si="1040"/>
        <v>2.4064836428124643</v>
      </c>
      <c r="L900" s="1">
        <f t="shared" ref="L900" si="1041">L898-L899</f>
        <v>2.9684876723374103</v>
      </c>
      <c r="N900" s="1"/>
    </row>
    <row r="901" spans="2:14" x14ac:dyDescent="0.35">
      <c r="B901" s="5" t="str">
        <f>B899</f>
        <v>SPS1</v>
      </c>
      <c r="C901" s="5" t="str">
        <f>C899</f>
        <v>CH</v>
      </c>
      <c r="D901" t="s">
        <v>967</v>
      </c>
      <c r="E901" t="s">
        <v>8</v>
      </c>
      <c r="F901" s="1">
        <f>[1]Services!B$15+F904</f>
        <v>1.6906754009608764</v>
      </c>
      <c r="G901" s="1">
        <f>[1]Services!C$15+G904</f>
        <v>3.3092239100402807</v>
      </c>
      <c r="H901" s="1">
        <f>[1]Services!D$15+H904</f>
        <v>0.46315466748991557</v>
      </c>
      <c r="I901" s="1">
        <f>[1]Services!E$15+I904</f>
        <v>6.9432504944597865E-4</v>
      </c>
      <c r="J901" s="1">
        <f>[2]Services!F$15+J904</f>
        <v>9.7293726362292273E-3</v>
      </c>
      <c r="K901" s="1">
        <f>[2]Services!G$15+K904</f>
        <v>7.4564206493069889E-5</v>
      </c>
      <c r="L901" s="1">
        <f>[2]Services!H$15+L904</f>
        <v>4.0878802461750658E-5</v>
      </c>
      <c r="N901" s="1"/>
    </row>
    <row r="902" spans="2:14" x14ac:dyDescent="0.35">
      <c r="B902" s="5" t="str">
        <f t="shared" si="1026"/>
        <v>SPS1</v>
      </c>
      <c r="C902" s="5" t="str">
        <f t="shared" si="1027"/>
        <v>CH</v>
      </c>
      <c r="D902" t="s">
        <v>683</v>
      </c>
      <c r="E902" t="s">
        <v>8</v>
      </c>
      <c r="F902" s="1">
        <f>[1]Services!B$15*F895/SUM(F895:F896)</f>
        <v>0.28839652393049381</v>
      </c>
      <c r="G902" s="1">
        <f>[1]Services!C$15*G895/SUM(G895:G896)</f>
        <v>1.7719980092627461</v>
      </c>
      <c r="H902" s="1">
        <f>[1]Services!D$15*H895/SUM(H895:H896)</f>
        <v>0.44696910504034487</v>
      </c>
      <c r="I902" s="1">
        <f>[1]Services!E$15*I895/SUM(I895:I896)</f>
        <v>6.4428282751985866E-4</v>
      </c>
      <c r="J902" s="1">
        <f>[2]Services!F$15*J895/SUM(J895:J896)</f>
        <v>8.6995850909908946E-3</v>
      </c>
      <c r="K902" s="1">
        <f>[2]Services!G$15*K895/SUM(K895:K896)</f>
        <v>6.4022145953863895E-5</v>
      </c>
      <c r="L902" s="1">
        <f>[2]Services!H$15*L895/SUM(L895:L896)</f>
        <v>3.1060208070064302E-5</v>
      </c>
      <c r="N902" s="1"/>
    </row>
    <row r="903" spans="2:14" x14ac:dyDescent="0.35">
      <c r="B903" s="5" t="str">
        <f>B902</f>
        <v>SPS1</v>
      </c>
      <c r="C903" s="5" t="str">
        <f t="shared" ref="C903" si="1042">C902</f>
        <v>CH</v>
      </c>
      <c r="D903" t="s">
        <v>728</v>
      </c>
      <c r="E903" t="s">
        <v>8</v>
      </c>
      <c r="F903" s="1">
        <f>[1]Services!B$15*F896/SUM(F895:F896)</f>
        <v>0</v>
      </c>
      <c r="G903" s="1">
        <f>[1]Services!C$15*G896/SUM(G895:G896)</f>
        <v>0</v>
      </c>
      <c r="H903" s="1">
        <f>[1]Services!D$15*H896/SUM(H895:H896)</f>
        <v>1.6185562449570666E-2</v>
      </c>
      <c r="I903" s="1">
        <f>[1]Services!E$15*I896/SUM(I895:I896)</f>
        <v>5.0042221926120106E-5</v>
      </c>
      <c r="J903" s="1">
        <f>[2]Services!F$15*J896/SUM(J895:J896)</f>
        <v>1.0297875452383329E-3</v>
      </c>
      <c r="K903" s="1">
        <f>[2]Services!G$15*K896/SUM(K895:K896)</f>
        <v>1.0542060539205995E-5</v>
      </c>
      <c r="L903" s="1">
        <f>[2]Services!H$15*L896/SUM(L895:L896)</f>
        <v>9.8185943916863609E-6</v>
      </c>
      <c r="N903" s="1"/>
    </row>
    <row r="904" spans="2:14" x14ac:dyDescent="0.35">
      <c r="B904" s="5" t="str">
        <f>B902</f>
        <v>SPS1</v>
      </c>
      <c r="C904" s="5" t="str">
        <f>C902</f>
        <v>CH</v>
      </c>
      <c r="D904" t="s">
        <v>673</v>
      </c>
      <c r="E904" t="s">
        <v>8</v>
      </c>
      <c r="F904" s="1">
        <f>[1]Services!B$16</f>
        <v>1.4022788770303827</v>
      </c>
      <c r="G904" s="1">
        <f>[1]Services!C$16</f>
        <v>1.5372259007775346</v>
      </c>
      <c r="H904" s="1">
        <f>[1]Services!D$16</f>
        <v>0</v>
      </c>
      <c r="I904" s="1">
        <f>[1]Services!E$16</f>
        <v>0</v>
      </c>
      <c r="J904" s="1">
        <f>[2]Services!F$16</f>
        <v>0</v>
      </c>
      <c r="K904" s="1">
        <f>[2]Services!G$16</f>
        <v>0</v>
      </c>
      <c r="L904" s="1">
        <f>[2]Services!H$16</f>
        <v>0</v>
      </c>
      <c r="N904" s="1"/>
    </row>
    <row r="905" spans="2:14" x14ac:dyDescent="0.35">
      <c r="B905" s="5" t="str">
        <f>B904</f>
        <v>SPS1</v>
      </c>
      <c r="C905" s="5" t="str">
        <f>C904</f>
        <v>CH</v>
      </c>
      <c r="D905" t="s">
        <v>968</v>
      </c>
      <c r="E905" t="s">
        <v>8</v>
      </c>
      <c r="F905" s="1">
        <f>[1]Services!B$17</f>
        <v>7.7268858741017405</v>
      </c>
      <c r="G905" s="1">
        <f>[1]Services!C$17</f>
        <v>8.3696933978694918</v>
      </c>
      <c r="H905" s="1">
        <f>[1]Services!D$17</f>
        <v>5.9892066213564963</v>
      </c>
      <c r="I905" s="1">
        <f>[1]Services!E$17</f>
        <v>6.9909215167352032</v>
      </c>
      <c r="J905" s="1">
        <f>[2]Services!F$17</f>
        <v>7.4463291853115559</v>
      </c>
      <c r="K905" s="1">
        <f>[2]Services!G$17</f>
        <v>7.8147929692513269</v>
      </c>
      <c r="L905" s="1">
        <f>[2]Services!H$17</f>
        <v>8.3571086944377289</v>
      </c>
      <c r="N905" s="1"/>
    </row>
    <row r="906" spans="2:14" x14ac:dyDescent="0.35">
      <c r="B906" s="5" t="str">
        <f t="shared" si="1026"/>
        <v>SPS1</v>
      </c>
      <c r="C906" s="5" t="str">
        <f t="shared" si="1027"/>
        <v>CH</v>
      </c>
      <c r="D906" t="s">
        <v>969</v>
      </c>
      <c r="E906" t="s">
        <v>8</v>
      </c>
      <c r="F906" s="1">
        <f>[1]Services!B$51/0.99</f>
        <v>2.1168845226241064</v>
      </c>
      <c r="G906" s="1">
        <f>[1]Services!C$51/0.99</f>
        <v>2.2929903377903633</v>
      </c>
      <c r="H906" s="1">
        <f>[1]Services!D$51/0.99</f>
        <v>0</v>
      </c>
      <c r="I906" s="1">
        <f>[1]Services!E$51/0.99</f>
        <v>0</v>
      </c>
      <c r="J906" s="1">
        <f>[2]Services!F$51/0.99</f>
        <v>0</v>
      </c>
      <c r="K906" s="1">
        <f>[2]Services!G$51/0.99</f>
        <v>0</v>
      </c>
      <c r="L906" s="1">
        <f>[2]Services!H$51/0.99</f>
        <v>0</v>
      </c>
      <c r="N906" s="1"/>
    </row>
    <row r="907" spans="2:14" x14ac:dyDescent="0.35">
      <c r="B907" s="5" t="str">
        <f t="shared" si="1026"/>
        <v>SPS1</v>
      </c>
      <c r="C907" s="5" t="str">
        <f t="shared" si="1027"/>
        <v>CH</v>
      </c>
      <c r="D907" t="s">
        <v>507</v>
      </c>
      <c r="E907" t="s">
        <v>8</v>
      </c>
      <c r="F907" s="1">
        <f>IF(F906-SUM(F908:F911)&lt;0,0,F906-SUM(F908:F911))</f>
        <v>1.4243080346981665</v>
      </c>
      <c r="G907" s="1">
        <f t="shared" ref="G907:L907" si="1043">IF(G906-SUM(G908:G911)&lt;0,0,G906-SUM(G908:G911))</f>
        <v>1.5542373109071335</v>
      </c>
      <c r="H907" s="1">
        <f t="shared" si="1043"/>
        <v>0</v>
      </c>
      <c r="I907" s="1">
        <f t="shared" si="1043"/>
        <v>0</v>
      </c>
      <c r="J907" s="1">
        <f t="shared" si="1043"/>
        <v>0</v>
      </c>
      <c r="K907" s="1">
        <f t="shared" si="1043"/>
        <v>0</v>
      </c>
      <c r="L907" s="1">
        <f t="shared" si="1043"/>
        <v>0</v>
      </c>
      <c r="N907" s="1"/>
    </row>
    <row r="908" spans="2:14" x14ac:dyDescent="0.35">
      <c r="B908" s="5" t="str">
        <f t="shared" si="1026"/>
        <v>SPS1</v>
      </c>
      <c r="C908" s="5" t="str">
        <f t="shared" si="1027"/>
        <v>CH</v>
      </c>
      <c r="D908" t="s">
        <v>503</v>
      </c>
      <c r="E908" t="s">
        <v>8</v>
      </c>
      <c r="F908" s="1">
        <f t="shared" ref="F908:L908" si="1044">F249*F906/SUM(F248:F250)</f>
        <v>0.69257648792593984</v>
      </c>
      <c r="G908" s="1">
        <f t="shared" si="1044"/>
        <v>0.73875302688322975</v>
      </c>
      <c r="H908" s="1">
        <f t="shared" si="1044"/>
        <v>0</v>
      </c>
      <c r="I908" s="1">
        <f t="shared" si="1044"/>
        <v>0</v>
      </c>
      <c r="J908" s="1">
        <f t="shared" si="1044"/>
        <v>0</v>
      </c>
      <c r="K908" s="1">
        <f t="shared" si="1044"/>
        <v>0</v>
      </c>
      <c r="L908" s="1">
        <f t="shared" si="1044"/>
        <v>0</v>
      </c>
      <c r="N908" s="1"/>
    </row>
    <row r="909" spans="2:14" x14ac:dyDescent="0.35">
      <c r="B909" s="5" t="str">
        <f t="shared" si="1026"/>
        <v>SPS1</v>
      </c>
      <c r="C909" s="5" t="str">
        <f t="shared" si="1027"/>
        <v>CH</v>
      </c>
      <c r="D909" t="s">
        <v>504</v>
      </c>
      <c r="E909" t="s">
        <v>8</v>
      </c>
      <c r="F909" s="1">
        <f>F250*F906/SUM(F248:F250)</f>
        <v>0</v>
      </c>
      <c r="G909" s="1">
        <f>G250*G906/SUM(G248:G250)</f>
        <v>0</v>
      </c>
      <c r="H909" s="1">
        <f t="shared" ref="H909:K909" si="1045">H250*H906/SUM(H248:H250)</f>
        <v>0</v>
      </c>
      <c r="I909" s="1">
        <f t="shared" si="1045"/>
        <v>0</v>
      </c>
      <c r="J909" s="1">
        <f t="shared" si="1045"/>
        <v>0</v>
      </c>
      <c r="K909" s="1">
        <f t="shared" si="1045"/>
        <v>0</v>
      </c>
      <c r="L909" s="1">
        <f t="shared" ref="L909" si="1046">L250*L906/SUM(L248:L250)</f>
        <v>0</v>
      </c>
      <c r="N909" s="1"/>
    </row>
    <row r="910" spans="2:14" x14ac:dyDescent="0.35">
      <c r="B910" s="5" t="str">
        <f t="shared" si="1026"/>
        <v>SPS1</v>
      </c>
      <c r="C910" s="5" t="str">
        <f t="shared" si="1027"/>
        <v>CH</v>
      </c>
      <c r="D910" t="s">
        <v>505</v>
      </c>
      <c r="E910" t="s">
        <v>8</v>
      </c>
      <c r="F910" s="1">
        <f>F287*F906/SUM(F248:F250)</f>
        <v>0</v>
      </c>
      <c r="G910" s="1">
        <f t="shared" ref="G910:K910" si="1047">G287*G906/SUM(G248:G250)</f>
        <v>0</v>
      </c>
      <c r="H910" s="1">
        <f t="shared" si="1047"/>
        <v>0</v>
      </c>
      <c r="I910" s="1">
        <f t="shared" si="1047"/>
        <v>0</v>
      </c>
      <c r="J910" s="1">
        <f t="shared" si="1047"/>
        <v>0</v>
      </c>
      <c r="K910" s="1">
        <f t="shared" si="1047"/>
        <v>0</v>
      </c>
      <c r="L910" s="1">
        <f t="shared" ref="L910" si="1048">L287*L906/SUM(L248:L250)</f>
        <v>0</v>
      </c>
      <c r="N910" s="1"/>
    </row>
    <row r="911" spans="2:14" x14ac:dyDescent="0.35">
      <c r="B911" s="5" t="str">
        <f t="shared" si="1026"/>
        <v>SPS1</v>
      </c>
      <c r="C911" s="5" t="str">
        <f t="shared" si="1027"/>
        <v>CH</v>
      </c>
      <c r="D911" t="s">
        <v>506</v>
      </c>
      <c r="E911" t="s">
        <v>8</v>
      </c>
      <c r="F911" s="1">
        <f t="shared" ref="F911:K911" si="1049">F290</f>
        <v>0</v>
      </c>
      <c r="G911" s="1">
        <f t="shared" si="1049"/>
        <v>0</v>
      </c>
      <c r="H911" s="1">
        <f t="shared" si="1049"/>
        <v>0</v>
      </c>
      <c r="I911" s="1">
        <f t="shared" si="1049"/>
        <v>0</v>
      </c>
      <c r="J911" s="1">
        <f t="shared" si="1049"/>
        <v>0</v>
      </c>
      <c r="K911" s="1">
        <f t="shared" si="1049"/>
        <v>0</v>
      </c>
      <c r="L911" s="1">
        <f t="shared" ref="L911" si="1050">L290</f>
        <v>0</v>
      </c>
      <c r="N911" s="1"/>
    </row>
    <row r="912" spans="2:14" x14ac:dyDescent="0.35">
      <c r="B912" s="5" t="str">
        <f t="shared" si="1026"/>
        <v>SPS1</v>
      </c>
      <c r="C912" s="5" t="str">
        <f t="shared" si="1027"/>
        <v>CH</v>
      </c>
      <c r="D912" t="s">
        <v>970</v>
      </c>
      <c r="E912" t="s">
        <v>8</v>
      </c>
      <c r="F912" s="1">
        <f>F905-F906</f>
        <v>5.6100013514776341</v>
      </c>
      <c r="G912" s="1">
        <f t="shared" ref="G912:K912" si="1051">G905-G906</f>
        <v>6.0767030600791285</v>
      </c>
      <c r="H912" s="1">
        <f t="shared" si="1051"/>
        <v>5.9892066213564963</v>
      </c>
      <c r="I912" s="1">
        <f t="shared" si="1051"/>
        <v>6.9909215167352032</v>
      </c>
      <c r="J912" s="1">
        <f t="shared" si="1051"/>
        <v>7.4463291853115559</v>
      </c>
      <c r="K912" s="1">
        <f t="shared" si="1051"/>
        <v>7.8147929692513269</v>
      </c>
      <c r="L912" s="1">
        <f t="shared" ref="L912" si="1052">L905-L906</f>
        <v>8.3571086944377289</v>
      </c>
      <c r="N912" s="1"/>
    </row>
    <row r="913" spans="2:14" x14ac:dyDescent="0.35">
      <c r="B913" s="5" t="str">
        <f t="shared" si="1026"/>
        <v>SPS1</v>
      </c>
      <c r="C913" s="5" t="str">
        <f t="shared" si="1027"/>
        <v>CH</v>
      </c>
      <c r="D913" t="s">
        <v>971</v>
      </c>
      <c r="E913" t="s">
        <v>8</v>
      </c>
      <c r="F913" s="1">
        <f>F914</f>
        <v>8.5743688934399689</v>
      </c>
      <c r="G913" s="1">
        <f t="shared" ref="G913:L913" si="1053">G914</f>
        <v>9.5565744194355364</v>
      </c>
      <c r="H913" s="1">
        <f t="shared" si="1053"/>
        <v>9.1019400082607795</v>
      </c>
      <c r="I913" s="1">
        <f t="shared" si="1053"/>
        <v>9.2582715634484316</v>
      </c>
      <c r="J913" s="1">
        <f t="shared" si="1053"/>
        <v>10.255334275899907</v>
      </c>
      <c r="K913" s="1">
        <f t="shared" si="1053"/>
        <v>9.374522903862049</v>
      </c>
      <c r="L913" s="1">
        <f t="shared" si="1053"/>
        <v>7.9573090916298508</v>
      </c>
      <c r="N913" s="1"/>
    </row>
    <row r="914" spans="2:14" x14ac:dyDescent="0.35">
      <c r="B914" s="5" t="str">
        <f t="shared" si="1026"/>
        <v>SPS1</v>
      </c>
      <c r="C914" s="5" t="str">
        <f t="shared" si="1027"/>
        <v>CH</v>
      </c>
      <c r="D914" t="s">
        <v>972</v>
      </c>
      <c r="E914" t="s">
        <v>8</v>
      </c>
      <c r="F914" s="1" cm="1">
        <f t="array" ref="F914">SUMPRODUCT(([1]OUT_FinalEnergyCons!$B$4:$B$10000="Var_Fin")*1, ISNUMBER(SEARCH("WOD",[1]OUT_FinalEnergyCons!$C$4:$C$10000))*1,(ISNUMBER(SEARCH("SCOM-SHWODBR",[1]OUT_FinalEnergyCons!$A$4:$A$10000)))*1,[1]OUT_FinalEnergyCons!D$4:D$10000)</f>
        <v>8.5743688934399689</v>
      </c>
      <c r="G914" s="1" cm="1">
        <f t="array" ref="G914">SUMPRODUCT(([1]OUT_FinalEnergyCons!$B$4:$B$10000="Var_Fin")*1, ISNUMBER(SEARCH("WOD",[1]OUT_FinalEnergyCons!$C$4:$C$10000))*1,(ISNUMBER(SEARCH("SCOM-SHWODBR",[1]OUT_FinalEnergyCons!$A$4:$A$10000)))*1,[1]OUT_FinalEnergyCons!E$4:E$10000)</f>
        <v>9.5565744194355364</v>
      </c>
      <c r="H914" s="1" cm="1">
        <f t="array" ref="H914">SUMPRODUCT(([1]OUT_FinalEnergyCons!$B$4:$B$10000="Var_Fin")*1, ISNUMBER(SEARCH("WOD",[1]OUT_FinalEnergyCons!$C$4:$C$10000))*1,(ISNUMBER(SEARCH("SCOM-SHWODBR",[1]OUT_FinalEnergyCons!$A$4:$A$10000)))*1,[1]OUT_FinalEnergyCons!F$4:F$10000)</f>
        <v>9.1019400082607795</v>
      </c>
      <c r="I914" s="1" cm="1">
        <f t="array" ref="I914">SUMPRODUCT(([1]OUT_FinalEnergyCons!$B$4:$B$10000="Var_Fin")*1, ISNUMBER(SEARCH("WOD",[1]OUT_FinalEnergyCons!$C$4:$C$10000))*1,(ISNUMBER(SEARCH("SCOM-SHWODBR",[1]OUT_FinalEnergyCons!$A$4:$A$10000)))*1,[1]OUT_FinalEnergyCons!G$4:G$10000)</f>
        <v>9.2582715634484316</v>
      </c>
      <c r="J914" s="1" cm="1">
        <f t="array" ref="J914">SUMPRODUCT(([2]OUT_FinalEnergyCons!$B$4:$B$10000="Var_Fin")*1, ISNUMBER(SEARCH("WOD",[2]OUT_FinalEnergyCons!$C$4:$C$10000))*1,(ISNUMBER(SEARCH("SCOM-SHWODBR",[2]OUT_FinalEnergyCons!$A$4:$A$10000)))*1,[2]OUT_FinalEnergyCons!H$4:H$10000)</f>
        <v>10.255334275899907</v>
      </c>
      <c r="K914" s="1" cm="1">
        <f t="array" ref="K914">SUMPRODUCT(([2]OUT_FinalEnergyCons!$B$4:$B$10000="Var_Fin")*1, ISNUMBER(SEARCH("WOD",[2]OUT_FinalEnergyCons!$C$4:$C$10000))*1,(ISNUMBER(SEARCH("SCOM-SHWODBR",[2]OUT_FinalEnergyCons!$A$4:$A$10000)))*1,[2]OUT_FinalEnergyCons!I$4:I$10000)</f>
        <v>9.374522903862049</v>
      </c>
      <c r="L914" s="1" cm="1">
        <f t="array" ref="L914">SUMPRODUCT(([2]OUT_FinalEnergyCons!$B$4:$B$10000="Var_Fin")*1, ISNUMBER(SEARCH("WOD",[2]OUT_FinalEnergyCons!$C$4:$C$10000))*1,(ISNUMBER(SEARCH("SCOM-SHWODBR",[2]OUT_FinalEnergyCons!$A$4:$A$10000)))*1,[2]OUT_FinalEnergyCons!J$4:J$10000)</f>
        <v>7.9573090916298508</v>
      </c>
      <c r="N914" s="1"/>
    </row>
    <row r="915" spans="2:14" x14ac:dyDescent="0.35">
      <c r="B915" s="5" t="str">
        <f t="shared" si="1026"/>
        <v>SPS1</v>
      </c>
      <c r="C915" s="5" t="str">
        <f t="shared" si="1027"/>
        <v>CH</v>
      </c>
      <c r="D915" t="s">
        <v>973</v>
      </c>
      <c r="E915" t="s">
        <v>8</v>
      </c>
      <c r="F915" s="1">
        <f>F916</f>
        <v>2.0856350343101524</v>
      </c>
      <c r="G915" s="1">
        <f t="shared" ref="G915:L915" si="1054">G916</f>
        <v>2.4000923132040493</v>
      </c>
      <c r="H915" s="1">
        <f t="shared" si="1054"/>
        <v>0.63650852920184731</v>
      </c>
      <c r="I915" s="1">
        <f t="shared" si="1054"/>
        <v>1.0634489422894986</v>
      </c>
      <c r="J915" s="1">
        <f t="shared" si="1054"/>
        <v>1.4352269518453395</v>
      </c>
      <c r="K915" s="1">
        <f t="shared" si="1054"/>
        <v>1.6106717418440355</v>
      </c>
      <c r="L915" s="1">
        <f t="shared" si="1054"/>
        <v>2.0383148014094492</v>
      </c>
      <c r="N915" s="1"/>
    </row>
    <row r="916" spans="2:14" x14ac:dyDescent="0.35">
      <c r="B916" s="5" t="str">
        <f t="shared" si="1026"/>
        <v>SPS1</v>
      </c>
      <c r="C916" s="5" t="str">
        <f t="shared" si="1027"/>
        <v>CH</v>
      </c>
      <c r="D916" t="s">
        <v>974</v>
      </c>
      <c r="E916" t="s">
        <v>8</v>
      </c>
      <c r="F916" s="1" cm="1">
        <f t="array" ref="F916">SUMPRODUCT(([1]OUT_FinalEnergyCons!$B$4:$B$10000="Var_Fin")*1,ISNUMBER(SEARCH("SPLT",[1]OUT_FinalEnergyCons!$C$4:$C$10000))*1, (ISNUMBER(SEARCH("SCOM-SHPLTBR",[1]OUT_FinalEnergyCons!$A$4:$A$10000)))*1,[1]OUT_FinalEnergyCons!D$4:D$10000)</f>
        <v>2.0856350343101524</v>
      </c>
      <c r="G916" s="1" cm="1">
        <f t="array" ref="G916">SUMPRODUCT(([1]OUT_FinalEnergyCons!$B$4:$B$10000="Var_Fin")*1,ISNUMBER(SEARCH("SPLT",[1]OUT_FinalEnergyCons!$C$4:$C$10000))*1, (ISNUMBER(SEARCH("SCOM-SHPLTBR",[1]OUT_FinalEnergyCons!$A$4:$A$10000)))*1,[1]OUT_FinalEnergyCons!E$4:E$10000)</f>
        <v>2.4000923132040493</v>
      </c>
      <c r="H916" s="1" cm="1">
        <f t="array" ref="H916">SUMPRODUCT(([1]OUT_FinalEnergyCons!$B$4:$B$10000="Var_Fin")*1,ISNUMBER(SEARCH("SPLT",[1]OUT_FinalEnergyCons!$C$4:$C$10000))*1, (ISNUMBER(SEARCH("SCOM-SHPLTBR",[1]OUT_FinalEnergyCons!$A$4:$A$10000)))*1,[1]OUT_FinalEnergyCons!F$4:F$10000)</f>
        <v>0.63650852920184731</v>
      </c>
      <c r="I916" s="1" cm="1">
        <f t="array" ref="I916">SUMPRODUCT(([1]OUT_FinalEnergyCons!$B$4:$B$10000="Var_Fin")*1,ISNUMBER(SEARCH("SPLT",[1]OUT_FinalEnergyCons!$C$4:$C$10000))*1, (ISNUMBER(SEARCH("SCOM-SHPLTBR",[1]OUT_FinalEnergyCons!$A$4:$A$10000)))*1,[1]OUT_FinalEnergyCons!G$4:G$10000)</f>
        <v>1.0634489422894986</v>
      </c>
      <c r="J916" s="1" cm="1">
        <f t="array" ref="J916">SUMPRODUCT(([2]OUT_FinalEnergyCons!$B$4:$B$10000="Var_Fin")*1,ISNUMBER(SEARCH("SPLT",[2]OUT_FinalEnergyCons!$C$4:$C$10000))*1, (ISNUMBER(SEARCH("SCOM-SHPLTBR",[2]OUT_FinalEnergyCons!$A$4:$A$10000)))*1,[2]OUT_FinalEnergyCons!H$4:H$10000)</f>
        <v>1.4352269518453395</v>
      </c>
      <c r="K916" s="1" cm="1">
        <f t="array" ref="K916">SUMPRODUCT(([2]OUT_FinalEnergyCons!$B$4:$B$10000="Var_Fin")*1,ISNUMBER(SEARCH("SPLT",[2]OUT_FinalEnergyCons!$C$4:$C$10000))*1, (ISNUMBER(SEARCH("SCOM-SHPLTBR",[2]OUT_FinalEnergyCons!$A$4:$A$10000)))*1,[2]OUT_FinalEnergyCons!I$4:I$10000)</f>
        <v>1.6106717418440355</v>
      </c>
      <c r="L916" s="1" cm="1">
        <f t="array" ref="L916">SUMPRODUCT(([2]OUT_FinalEnergyCons!$B$4:$B$10000="Var_Fin")*1,ISNUMBER(SEARCH("SPLT",[2]OUT_FinalEnergyCons!$C$4:$C$10000))*1, (ISNUMBER(SEARCH("SCOM-SHPLTBR",[2]OUT_FinalEnergyCons!$A$4:$A$10000)))*1,[2]OUT_FinalEnergyCons!J$4:J$10000)</f>
        <v>2.0383148014094492</v>
      </c>
      <c r="N916" s="1"/>
    </row>
    <row r="917" spans="2:14" x14ac:dyDescent="0.35">
      <c r="B917" s="5" t="str">
        <f t="shared" si="1026"/>
        <v>SPS1</v>
      </c>
      <c r="C917" s="5" t="str">
        <f t="shared" si="1027"/>
        <v>CH</v>
      </c>
      <c r="D917" t="s">
        <v>975</v>
      </c>
      <c r="E917" t="s">
        <v>8</v>
      </c>
      <c r="F917" s="1">
        <f>F918</f>
        <v>0.62699637824958021</v>
      </c>
      <c r="G917" s="1">
        <f t="shared" ref="G917:L917" si="1055">G918</f>
        <v>0.68733688927713943</v>
      </c>
      <c r="H917" s="1">
        <f t="shared" si="1055"/>
        <v>0.52379311326975142</v>
      </c>
      <c r="I917" s="1">
        <f t="shared" si="1055"/>
        <v>0.61029278424826483</v>
      </c>
      <c r="J917" s="1">
        <f t="shared" si="1055"/>
        <v>0.67911886533849009</v>
      </c>
      <c r="K917" s="1">
        <f t="shared" si="1055"/>
        <v>0.73654642754952071</v>
      </c>
      <c r="L917" s="1">
        <f t="shared" si="1055"/>
        <v>0.85947812305284821</v>
      </c>
      <c r="N917" s="1"/>
    </row>
    <row r="918" spans="2:14" x14ac:dyDescent="0.35">
      <c r="B918" s="5" t="str">
        <f t="shared" si="1026"/>
        <v>SPS1</v>
      </c>
      <c r="C918" s="5" t="str">
        <f t="shared" si="1027"/>
        <v>CH</v>
      </c>
      <c r="D918" t="s">
        <v>976</v>
      </c>
      <c r="E918" t="s">
        <v>8</v>
      </c>
      <c r="F918" s="1">
        <f>[1]Services!B$19</f>
        <v>0.62699637824958021</v>
      </c>
      <c r="G918" s="1">
        <f>[1]Services!C$19</f>
        <v>0.68733688927713943</v>
      </c>
      <c r="H918" s="1">
        <f>[1]Services!D$19</f>
        <v>0.52379311326975142</v>
      </c>
      <c r="I918" s="1">
        <f>[1]Services!E$19</f>
        <v>0.61029278424826483</v>
      </c>
      <c r="J918" s="1">
        <f>[2]Services!F$19</f>
        <v>0.67911886533849009</v>
      </c>
      <c r="K918" s="1">
        <f>[2]Services!G$19</f>
        <v>0.73654642754952071</v>
      </c>
      <c r="L918" s="1">
        <f>[2]Services!H$19</f>
        <v>0.85947812305284821</v>
      </c>
      <c r="N918" s="1"/>
    </row>
    <row r="919" spans="2:14" x14ac:dyDescent="0.35">
      <c r="B919" s="5" t="str">
        <f t="shared" si="1026"/>
        <v>SPS1</v>
      </c>
      <c r="C919" s="5" t="str">
        <f t="shared" si="1027"/>
        <v>CH</v>
      </c>
      <c r="D919" t="s">
        <v>977</v>
      </c>
      <c r="E919" t="s">
        <v>8</v>
      </c>
      <c r="F919" s="1">
        <f>[1]Services!B$20</f>
        <v>0</v>
      </c>
      <c r="G919" s="1">
        <f>[1]Services!C$20</f>
        <v>0</v>
      </c>
      <c r="H919" s="1">
        <f>[1]Services!D$20</f>
        <v>0</v>
      </c>
      <c r="I919" s="1">
        <f>[1]Services!E$20</f>
        <v>0</v>
      </c>
      <c r="J919" s="1">
        <f>[2]Services!F$20</f>
        <v>0</v>
      </c>
      <c r="K919" s="1">
        <f>[2]Services!G$20</f>
        <v>0</v>
      </c>
      <c r="L919" s="1">
        <f>[2]Services!H$20</f>
        <v>0</v>
      </c>
      <c r="N919" s="1"/>
    </row>
    <row r="920" spans="2:14" x14ac:dyDescent="0.35">
      <c r="B920" s="5" t="str">
        <f t="shared" si="1026"/>
        <v>SPS1</v>
      </c>
      <c r="C920" s="5" t="str">
        <f t="shared" si="1027"/>
        <v>CH</v>
      </c>
      <c r="D920" t="s">
        <v>746</v>
      </c>
      <c r="E920" t="s">
        <v>8</v>
      </c>
      <c r="F920" s="1">
        <f>F919-F921</f>
        <v>0</v>
      </c>
      <c r="G920" s="1">
        <f t="shared" ref="G920:K920" si="1056">G919-G921</f>
        <v>0</v>
      </c>
      <c r="H920" s="1">
        <f t="shared" si="1056"/>
        <v>0</v>
      </c>
      <c r="I920" s="1">
        <f t="shared" si="1056"/>
        <v>0</v>
      </c>
      <c r="J920" s="1">
        <f t="shared" si="1056"/>
        <v>0</v>
      </c>
      <c r="K920" s="1">
        <f t="shared" si="1056"/>
        <v>0</v>
      </c>
      <c r="L920" s="1">
        <f t="shared" ref="L920" si="1057">L919-L921</f>
        <v>0</v>
      </c>
      <c r="N920" s="1"/>
    </row>
    <row r="921" spans="2:14" x14ac:dyDescent="0.35">
      <c r="B921" s="5" t="str">
        <f t="shared" si="1026"/>
        <v>SPS1</v>
      </c>
      <c r="C921" s="5" t="str">
        <f t="shared" si="1027"/>
        <v>CH</v>
      </c>
      <c r="D921" t="s">
        <v>747</v>
      </c>
      <c r="E921" t="s">
        <v>8</v>
      </c>
      <c r="F921" s="1">
        <f>F922</f>
        <v>0</v>
      </c>
      <c r="G921" s="1">
        <f t="shared" ref="G921:L921" si="1058">G922</f>
        <v>0</v>
      </c>
      <c r="H921" s="1">
        <f t="shared" si="1058"/>
        <v>0</v>
      </c>
      <c r="I921" s="1">
        <f t="shared" si="1058"/>
        <v>0</v>
      </c>
      <c r="J921" s="1">
        <f t="shared" si="1058"/>
        <v>0</v>
      </c>
      <c r="K921" s="1">
        <f t="shared" si="1058"/>
        <v>0</v>
      </c>
      <c r="L921" s="1">
        <f t="shared" si="1058"/>
        <v>0</v>
      </c>
      <c r="N921" s="1"/>
    </row>
    <row r="922" spans="2:14" x14ac:dyDescent="0.35">
      <c r="B922" s="5" t="str">
        <f>B919</f>
        <v>SPS1</v>
      </c>
      <c r="C922" s="5" t="str">
        <f>C919</f>
        <v>CH</v>
      </c>
      <c r="D922" t="s">
        <v>978</v>
      </c>
      <c r="E922" t="s">
        <v>8</v>
      </c>
      <c r="F922" s="1">
        <f>[1]Services!B$20</f>
        <v>0</v>
      </c>
      <c r="G922" s="1">
        <f>[1]Services!C$20</f>
        <v>0</v>
      </c>
      <c r="H922" s="1">
        <f>[1]Services!D$20</f>
        <v>0</v>
      </c>
      <c r="I922" s="1">
        <f>[1]Services!E$20</f>
        <v>0</v>
      </c>
      <c r="J922" s="1">
        <f>[2]Services!F$20</f>
        <v>0</v>
      </c>
      <c r="K922" s="1">
        <f>[2]Services!G$20</f>
        <v>0</v>
      </c>
      <c r="L922" s="1">
        <f>[2]Services!H$20</f>
        <v>0</v>
      </c>
      <c r="N922" s="1"/>
    </row>
    <row r="923" spans="2:14" x14ac:dyDescent="0.35">
      <c r="B923" s="5" t="str">
        <f t="shared" si="1026"/>
        <v>SPS1</v>
      </c>
      <c r="C923" s="5" t="str">
        <f t="shared" si="1027"/>
        <v>CH</v>
      </c>
      <c r="D923" t="s">
        <v>979</v>
      </c>
      <c r="E923" t="s">
        <v>8</v>
      </c>
      <c r="F923" s="1">
        <f>F924</f>
        <v>2.9295877734153501</v>
      </c>
      <c r="G923" s="1">
        <f t="shared" ref="G923:L923" si="1059">G924</f>
        <v>3.1924505167333601</v>
      </c>
      <c r="H923" s="1">
        <f t="shared" si="1059"/>
        <v>3.0874378009613901</v>
      </c>
      <c r="I923" s="1">
        <f t="shared" si="1059"/>
        <v>5.028536970492226</v>
      </c>
      <c r="J923" s="1">
        <f t="shared" si="1059"/>
        <v>6.2909178420293408</v>
      </c>
      <c r="K923" s="1">
        <f t="shared" si="1059"/>
        <v>7.5964972753208073</v>
      </c>
      <c r="L923" s="1">
        <f t="shared" si="1059"/>
        <v>10.637818680188584</v>
      </c>
      <c r="N923" s="1"/>
    </row>
    <row r="924" spans="2:14" x14ac:dyDescent="0.35">
      <c r="B924" s="5" t="str">
        <f t="shared" si="1026"/>
        <v>SPS1</v>
      </c>
      <c r="C924" s="5" t="str">
        <f t="shared" si="1027"/>
        <v>CH</v>
      </c>
      <c r="D924" t="s">
        <v>980</v>
      </c>
      <c r="E924" t="s">
        <v>8</v>
      </c>
      <c r="F924" s="1">
        <f>[1]Services!B$21-F925</f>
        <v>2.9295877734153501</v>
      </c>
      <c r="G924" s="1">
        <f>[1]Services!C$21-G925</f>
        <v>3.1924505167333601</v>
      </c>
      <c r="H924" s="1">
        <f>[1]Services!D$21-H925</f>
        <v>3.0874378009613901</v>
      </c>
      <c r="I924" s="1">
        <f>[1]Services!E$21-I925</f>
        <v>5.028536970492226</v>
      </c>
      <c r="J924" s="1">
        <f>[2]Services!F$21-J925</f>
        <v>6.2909178420293408</v>
      </c>
      <c r="K924" s="1">
        <f>[2]Services!G$21-K925</f>
        <v>7.5964972753208073</v>
      </c>
      <c r="L924" s="1">
        <f>[2]Services!H$21-L925</f>
        <v>10.637818680188584</v>
      </c>
      <c r="N924" s="1"/>
    </row>
    <row r="925" spans="2:14" x14ac:dyDescent="0.35">
      <c r="B925" s="5" t="str">
        <f t="shared" ref="B925" si="1060">B924</f>
        <v>SPS1</v>
      </c>
      <c r="C925" s="5" t="str">
        <f t="shared" ref="C925" si="1061">C924</f>
        <v>CH</v>
      </c>
      <c r="D925" t="s">
        <v>981</v>
      </c>
      <c r="E925" t="s">
        <v>8</v>
      </c>
      <c r="F925" s="1">
        <f>[1]Services!B$50-F896</f>
        <v>0</v>
      </c>
      <c r="G925" s="1">
        <f>[1]Services!C$50-G896</f>
        <v>0</v>
      </c>
      <c r="H925" s="1">
        <f>[1]Services!D$50-H896</f>
        <v>0.81943404798465858</v>
      </c>
      <c r="I925" s="1">
        <f>[1]Services!E$50-I896</f>
        <v>1.6918250643886221</v>
      </c>
      <c r="J925" s="1">
        <f>[2]Services!F$50-J896</f>
        <v>2.3088703831832333</v>
      </c>
      <c r="K925" s="1">
        <f>[2]Services!G$50-K896</f>
        <v>2.897884633451278</v>
      </c>
      <c r="L925" s="1">
        <f>[2]Services!H$50-L896</f>
        <v>4.3348817849718397</v>
      </c>
      <c r="N925" s="1"/>
    </row>
    <row r="926" spans="2:14" x14ac:dyDescent="0.35">
      <c r="B926" s="9" t="str">
        <f>B854</f>
        <v>SPS1</v>
      </c>
      <c r="C926" s="9" t="str">
        <f>C854</f>
        <v>CH</v>
      </c>
      <c r="D926" s="2" t="s">
        <v>697</v>
      </c>
      <c r="E926" s="9" t="s">
        <v>8</v>
      </c>
      <c r="F926" s="17">
        <f>[1]Services!B$59</f>
        <v>73.238343219695921</v>
      </c>
      <c r="G926" s="17">
        <f>[1]Services!C$59</f>
        <v>78.573914998127819</v>
      </c>
      <c r="H926" s="17">
        <f>[1]Services!D$59</f>
        <v>63.321895988711674</v>
      </c>
      <c r="I926" s="17">
        <f>[1]Services!E$59</f>
        <v>62.691426460253616</v>
      </c>
      <c r="J926" s="17">
        <f>[2]Services!F$59</f>
        <v>61.971353470507083</v>
      </c>
      <c r="K926" s="17">
        <f>[2]Services!G$59</f>
        <v>61.368558980042764</v>
      </c>
      <c r="L926" s="17">
        <f>[2]Services!H$59</f>
        <v>60.686864290779596</v>
      </c>
      <c r="N926" s="1"/>
    </row>
    <row r="927" spans="2:14" x14ac:dyDescent="0.35">
      <c r="B927" s="5" t="str">
        <f>B926</f>
        <v>SPS1</v>
      </c>
      <c r="C927" s="5" t="str">
        <f>C926</f>
        <v>CH</v>
      </c>
      <c r="D927" t="s">
        <v>982</v>
      </c>
      <c r="E927" t="s">
        <v>8</v>
      </c>
      <c r="F927" s="1">
        <f>SUM(F928:F930)</f>
        <v>63.650035100784869</v>
      </c>
      <c r="G927" s="1">
        <f t="shared" ref="G927:K927" si="1062">SUM(G928:G930)</f>
        <v>63.909957910172039</v>
      </c>
      <c r="H927" s="1">
        <f t="shared" si="1062"/>
        <v>63.802747761829636</v>
      </c>
      <c r="I927" s="1">
        <f t="shared" si="1062"/>
        <v>66.382032654559623</v>
      </c>
      <c r="J927" s="1">
        <f t="shared" si="1062"/>
        <v>68.432411256258248</v>
      </c>
      <c r="K927" s="1">
        <f t="shared" si="1062"/>
        <v>69.873791976478401</v>
      </c>
      <c r="L927" s="1">
        <f t="shared" ref="L927" si="1063">SUM(L928:L930)</f>
        <v>72.551575073972742</v>
      </c>
      <c r="N927" s="1"/>
    </row>
    <row r="928" spans="2:14" x14ac:dyDescent="0.35">
      <c r="B928" s="5" t="str">
        <f>B927</f>
        <v>SPS1</v>
      </c>
      <c r="C928" s="5" t="str">
        <f>C927</f>
        <v>CH</v>
      </c>
      <c r="D928" t="s">
        <v>760</v>
      </c>
      <c r="E928" t="s">
        <v>8</v>
      </c>
      <c r="F928" s="1" cm="1">
        <f t="array" ref="F928">SUMPRODUCT(([1]OUT_FinalEnergyCons!$B$4:$B$10000="Var_FOut")*1, ISNUMBER(SEARCH("SCOM-SHAELC",[1]OUT_FinalEnergyCons!$C$4:$C$10000))*1, (ISNUMBER(SEARCH("SCOM-SHELCBR",[1]OUT_FinalEnergyCons!$A$4:$A$10000)))*1,[1]OUT_FinalEnergyCons!D$4:D$10000)</f>
        <v>2.3940419463591907</v>
      </c>
      <c r="G928" s="1" cm="1">
        <f t="array" ref="G928">SUMPRODUCT(([1]OUT_FinalEnergyCons!$B$4:$B$10000="Var_FOut")*1, ISNUMBER(SEARCH("SCOM-SHAELC",[1]OUT_FinalEnergyCons!$C$4:$C$10000))*1, (ISNUMBER(SEARCH("SCOM-SHELCBR",[1]OUT_FinalEnergyCons!$A$4:$A$10000)))*1,[1]OUT_FinalEnergyCons!E$4:E$10000)</f>
        <v>0.59041170540653587</v>
      </c>
      <c r="H928" s="1" cm="1">
        <f t="array" ref="H928">SUMPRODUCT(([1]OUT_FinalEnergyCons!$B$4:$B$10000="Var_FOut")*1, ISNUMBER(SEARCH("SCOM-SHAELC",[1]OUT_FinalEnergyCons!$C$4:$C$10000))*1, (ISNUMBER(SEARCH("SCOM-SHELCBR",[1]OUT_FinalEnergyCons!$A$4:$A$10000)))*1,[1]OUT_FinalEnergyCons!F$4:F$10000)</f>
        <v>0.5219560555862538</v>
      </c>
      <c r="I928" s="1" cm="1">
        <f t="array" ref="I928">SUMPRODUCT(([1]OUT_FinalEnergyCons!$B$4:$B$10000="Var_FOut")*1, ISNUMBER(SEARCH("SCOM-SHAELC",[1]OUT_FinalEnergyCons!$C$4:$C$10000))*1, (ISNUMBER(SEARCH("SCOM-SHELCBR",[1]OUT_FinalEnergyCons!$A$4:$A$10000)))*1,[1]OUT_FinalEnergyCons!G$4:G$10000)</f>
        <v>0.35445132815298386</v>
      </c>
      <c r="J928" s="1" cm="1">
        <f t="array" ref="J928">SUMPRODUCT(([2]OUT_FinalEnergyCons!$B$4:$B$10000="Var_FOut")*1, ISNUMBER(SEARCH("SCOM-SHAELC",[2]OUT_FinalEnergyCons!$C$4:$C$10000))*1, (ISNUMBER(SEARCH("SCOM-SHELCBR",[2]OUT_FinalEnergyCons!$A$4:$A$10000)))*1,[2]OUT_FinalEnergyCons!H$4:H$10000)</f>
        <v>0.29779351528805803</v>
      </c>
      <c r="K928" s="1" cm="1">
        <f t="array" ref="K928">SUMPRODUCT(([2]OUT_FinalEnergyCons!$B$4:$B$10000="Var_FOut")*1, ISNUMBER(SEARCH("SCOM-SHAELC",[2]OUT_FinalEnergyCons!$C$4:$C$10000))*1, (ISNUMBER(SEARCH("SCOM-SHELCBR",[2]OUT_FinalEnergyCons!$A$4:$A$10000)))*1,[2]OUT_FinalEnergyCons!I$4:I$10000)</f>
        <v>0.27133681142960153</v>
      </c>
      <c r="L928" s="1" cm="1">
        <f t="array" ref="L928">SUMPRODUCT(([2]OUT_FinalEnergyCons!$B$4:$B$10000="Var_FOut")*1, ISNUMBER(SEARCH("SCOM-SHAELC",[2]OUT_FinalEnergyCons!$C$4:$C$10000))*1, (ISNUMBER(SEARCH("SCOM-SHELCBR",[2]OUT_FinalEnergyCons!$A$4:$A$10000)))*1,[2]OUT_FinalEnergyCons!J$4:J$10000)</f>
        <v>0.20510453214202518</v>
      </c>
      <c r="N928" s="1"/>
    </row>
    <row r="929" spans="2:14" x14ac:dyDescent="0.35">
      <c r="B929" s="5" t="str">
        <f t="shared" ref="B929:B932" si="1064">B928</f>
        <v>SPS1</v>
      </c>
      <c r="C929" s="5" t="str">
        <f t="shared" ref="C929:C932" si="1065">C928</f>
        <v>CH</v>
      </c>
      <c r="D929" t="s">
        <v>729</v>
      </c>
      <c r="E929" t="s">
        <v>8</v>
      </c>
      <c r="F929" s="1">
        <f>[1]Services!B$47</f>
        <v>4.2612185795132396</v>
      </c>
      <c r="G929" s="1">
        <f>[1]Services!C$47</f>
        <v>4.6176516402750387</v>
      </c>
      <c r="H929" s="1">
        <f>[1]Services!D$47</f>
        <v>4.7664917213640079</v>
      </c>
      <c r="I929" s="1">
        <f>[1]Services!E$47</f>
        <v>7.5118334938063009</v>
      </c>
      <c r="J929" s="1">
        <f>[2]Services!F$47</f>
        <v>9.2623147884623425</v>
      </c>
      <c r="K929" s="1">
        <f>[2]Services!G$47</f>
        <v>11.02467510087534</v>
      </c>
      <c r="L929" s="1">
        <f>[2]Services!H$47</f>
        <v>14.990897151650016</v>
      </c>
      <c r="N929" s="1"/>
    </row>
    <row r="930" spans="2:14" x14ac:dyDescent="0.35">
      <c r="B930" s="5" t="str">
        <f t="shared" si="1064"/>
        <v>SPS1</v>
      </c>
      <c r="C930" s="5" t="str">
        <f t="shared" si="1065"/>
        <v>CH</v>
      </c>
      <c r="D930" t="s">
        <v>691</v>
      </c>
      <c r="E930" t="s">
        <v>8</v>
      </c>
      <c r="F930" s="1">
        <f>[1]Services!B$3-([1]Services!B$6-[1]Services!B$58)</f>
        <v>56.994774574912441</v>
      </c>
      <c r="G930" s="1">
        <f>[1]Services!C$3-([1]Services!C$6-[1]Services!C$58)</f>
        <v>58.701894564490466</v>
      </c>
      <c r="H930" s="1">
        <f>[1]Services!D$3-([1]Services!D$6-[1]Services!D$58)</f>
        <v>58.514299984879372</v>
      </c>
      <c r="I930" s="1">
        <f>[1]Services!E$3-([1]Services!E$6-[1]Services!E$58)</f>
        <v>58.51574783260034</v>
      </c>
      <c r="J930" s="1">
        <f>[2]Services!F$3-([2]Services!F$6-[2]Services!F$58)</f>
        <v>58.872302952507852</v>
      </c>
      <c r="K930" s="1">
        <f>[2]Services!G$3-([2]Services!G$6-[2]Services!G$58)</f>
        <v>58.57778006417346</v>
      </c>
      <c r="L930" s="1">
        <f>[2]Services!H$3-([2]Services!H$6-[2]Services!H$58)</f>
        <v>57.355573390180695</v>
      </c>
      <c r="N930" s="1"/>
    </row>
    <row r="931" spans="2:14" x14ac:dyDescent="0.35">
      <c r="B931" s="5" t="str">
        <f t="shared" si="1064"/>
        <v>SPS1</v>
      </c>
      <c r="C931" s="5" t="str">
        <f t="shared" si="1065"/>
        <v>CH</v>
      </c>
      <c r="D931" t="s">
        <v>1040</v>
      </c>
      <c r="E931" t="s">
        <v>8</v>
      </c>
      <c r="F931" s="1">
        <f>F932</f>
        <v>24.843069628867219</v>
      </c>
      <c r="G931" s="1">
        <f t="shared" ref="G931:L931" si="1066">G932</f>
        <v>21.719700361978994</v>
      </c>
      <c r="H931" s="1">
        <f t="shared" si="1066"/>
        <v>21.493883801556422</v>
      </c>
      <c r="I931" s="1">
        <f t="shared" si="1066"/>
        <v>15.849715032645875</v>
      </c>
      <c r="J931" s="1">
        <f t="shared" si="1066"/>
        <v>12.329969927937579</v>
      </c>
      <c r="K931" s="1">
        <f t="shared" si="1066"/>
        <v>9.9217642024151402</v>
      </c>
      <c r="L931" s="1">
        <f t="shared" si="1066"/>
        <v>4.7221271172657175</v>
      </c>
      <c r="N931" s="1"/>
    </row>
    <row r="932" spans="2:14" x14ac:dyDescent="0.35">
      <c r="B932" s="5" t="str">
        <f t="shared" si="1064"/>
        <v>SPS1</v>
      </c>
      <c r="C932" s="5" t="str">
        <f t="shared" si="1065"/>
        <v>CH</v>
      </c>
      <c r="D932" t="s">
        <v>1041</v>
      </c>
      <c r="E932" t="s">
        <v>8</v>
      </c>
      <c r="F932" s="1">
        <f>[1]Services!B$48</f>
        <v>24.843069628867219</v>
      </c>
      <c r="G932" s="1">
        <f>[1]Services!C$48</f>
        <v>21.719700361978994</v>
      </c>
      <c r="H932" s="1">
        <f>[1]Services!D$48</f>
        <v>21.493883801556422</v>
      </c>
      <c r="I932" s="1">
        <f>[1]Services!E$48</f>
        <v>15.849715032645875</v>
      </c>
      <c r="J932" s="1">
        <f>[2]Services!F$48</f>
        <v>12.329969927937579</v>
      </c>
      <c r="K932" s="1">
        <f>[2]Services!G$48</f>
        <v>9.9217642024151402</v>
      </c>
      <c r="L932" s="1">
        <f>[2]Services!H$48</f>
        <v>4.7221271172657175</v>
      </c>
      <c r="N932" s="1"/>
    </row>
    <row r="933" spans="2:14" x14ac:dyDescent="0.35">
      <c r="B933" s="5" t="str">
        <f>B932</f>
        <v>SPS1</v>
      </c>
      <c r="C933" s="5" t="str">
        <f>C932</f>
        <v>CH</v>
      </c>
      <c r="D933" t="s">
        <v>1042</v>
      </c>
      <c r="E933" t="s">
        <v>8</v>
      </c>
      <c r="F933" s="1">
        <f>SUM(F934:F936)</f>
        <v>25.412782537190044</v>
      </c>
      <c r="G933" s="1">
        <f t="shared" ref="G933:K933" si="1067">SUM(G934:G936)</f>
        <v>26.667689523200995</v>
      </c>
      <c r="H933" s="1">
        <f t="shared" si="1067"/>
        <v>22.268745844448333</v>
      </c>
      <c r="I933" s="1">
        <f t="shared" si="1067"/>
        <v>21.528865693104763</v>
      </c>
      <c r="J933" s="1">
        <f t="shared" si="1067"/>
        <v>19.514798549501826</v>
      </c>
      <c r="K933" s="1">
        <f t="shared" si="1067"/>
        <v>18.011630613083632</v>
      </c>
      <c r="L933" s="1">
        <f t="shared" ref="L933" si="1068">SUM(L934:L936)</f>
        <v>15.560064504288656</v>
      </c>
      <c r="N933" s="1"/>
    </row>
    <row r="934" spans="2:14" x14ac:dyDescent="0.35">
      <c r="B934" s="5" t="str">
        <f t="shared" ref="B934:B953" si="1069">B933</f>
        <v>SPS1</v>
      </c>
      <c r="C934" s="5" t="str">
        <f t="shared" ref="C934:C953" si="1070">C933</f>
        <v>CH</v>
      </c>
      <c r="D934" t="s">
        <v>1043</v>
      </c>
      <c r="E934" t="s">
        <v>8</v>
      </c>
      <c r="F934" s="1">
        <f>[1]Services!B$49</f>
        <v>24.189714900644145</v>
      </c>
      <c r="G934" s="1">
        <f>[1]Services!C$49</f>
        <v>25.326921092542829</v>
      </c>
      <c r="H934" s="1">
        <f>[1]Services!D$49</f>
        <v>20.5470425238986</v>
      </c>
      <c r="I934" s="1">
        <f>[1]Services!E$49</f>
        <v>18.075175015545405</v>
      </c>
      <c r="J934" s="1">
        <f>[2]Services!F$49</f>
        <v>14.896030144103275</v>
      </c>
      <c r="K934" s="1">
        <f>[2]Services!G$49</f>
        <v>12.310991922394866</v>
      </c>
      <c r="L934" s="1">
        <f>[2]Services!H$49</f>
        <v>7.3182989577441138</v>
      </c>
      <c r="N934" s="1"/>
    </row>
    <row r="935" spans="2:14" x14ac:dyDescent="0.35">
      <c r="B935" s="5" t="str">
        <f t="shared" ref="B935" si="1071">B934</f>
        <v>SPS1</v>
      </c>
      <c r="C935" s="5" t="str">
        <f t="shared" ref="C935" si="1072">C934</f>
        <v>CH</v>
      </c>
      <c r="D935" t="s">
        <v>1044</v>
      </c>
      <c r="E935" t="s">
        <v>8</v>
      </c>
      <c r="F935" s="1">
        <f>[1]Services!B$50</f>
        <v>0</v>
      </c>
      <c r="G935" s="1">
        <f>[1]Services!C$50</f>
        <v>0</v>
      </c>
      <c r="H935" s="1">
        <f>[1]Services!D$50</f>
        <v>1.7217033205497339</v>
      </c>
      <c r="I935" s="1">
        <f>[1]Services!E$50</f>
        <v>3.4536906775593574</v>
      </c>
      <c r="J935" s="1">
        <f>[2]Services!F$50</f>
        <v>4.6187684053985514</v>
      </c>
      <c r="K935" s="1">
        <f>[2]Services!G$50</f>
        <v>5.7006386906887654</v>
      </c>
      <c r="L935" s="1">
        <f>[2]Services!H$50</f>
        <v>8.2417655465445421</v>
      </c>
      <c r="N935" s="1"/>
    </row>
    <row r="936" spans="2:14" x14ac:dyDescent="0.35">
      <c r="B936" s="5" t="str">
        <f>B934</f>
        <v>SPS1</v>
      </c>
      <c r="C936" s="5" t="str">
        <f>C934</f>
        <v>CH</v>
      </c>
      <c r="D936" t="s">
        <v>1045</v>
      </c>
      <c r="E936" t="s">
        <v>8</v>
      </c>
      <c r="F936" s="1">
        <f>[1]Services!B$56</f>
        <v>1.2230676365458992</v>
      </c>
      <c r="G936" s="1">
        <f>[1]Services!C$56</f>
        <v>1.340768430658166</v>
      </c>
      <c r="H936" s="1">
        <f>[1]Services!D$56</f>
        <v>0</v>
      </c>
      <c r="I936" s="1">
        <f>[1]Services!E$56</f>
        <v>0</v>
      </c>
      <c r="J936" s="1">
        <f>[2]Services!F$56</f>
        <v>0</v>
      </c>
      <c r="K936" s="1">
        <f>[2]Services!G$56</f>
        <v>0</v>
      </c>
      <c r="L936" s="1">
        <f>[2]Services!H$56</f>
        <v>0</v>
      </c>
      <c r="N936" s="1"/>
    </row>
    <row r="937" spans="2:14" x14ac:dyDescent="0.35">
      <c r="B937" s="5" t="str">
        <f t="shared" si="1069"/>
        <v>SPS1</v>
      </c>
      <c r="C937" s="5" t="str">
        <f t="shared" si="1070"/>
        <v>CH</v>
      </c>
      <c r="D937" t="s">
        <v>983</v>
      </c>
      <c r="E937" t="s">
        <v>8</v>
      </c>
      <c r="F937" s="1">
        <f>F938+F944</f>
        <v>7.6496170153607226</v>
      </c>
      <c r="G937" s="1">
        <f t="shared" ref="G937:K937" si="1073">G938+G944</f>
        <v>8.2859964638907933</v>
      </c>
      <c r="H937" s="1">
        <f t="shared" si="1073"/>
        <v>4.9302573283011286</v>
      </c>
      <c r="I937" s="1">
        <f t="shared" si="1073"/>
        <v>5.7793794550250759</v>
      </c>
      <c r="J937" s="1">
        <f t="shared" si="1073"/>
        <v>6.1558639738586045</v>
      </c>
      <c r="K937" s="1">
        <f t="shared" si="1073"/>
        <v>6.4604721743261022</v>
      </c>
      <c r="L937" s="1">
        <f t="shared" ref="L937" si="1074">L938+L944</f>
        <v>6.9088033925748551</v>
      </c>
      <c r="N937" s="1"/>
    </row>
    <row r="938" spans="2:14" x14ac:dyDescent="0.35">
      <c r="B938" s="5" t="str">
        <f t="shared" si="1069"/>
        <v>SPS1</v>
      </c>
      <c r="C938" s="5" t="str">
        <f t="shared" si="1070"/>
        <v>CH</v>
      </c>
      <c r="D938" t="s">
        <v>984</v>
      </c>
      <c r="E938" t="s">
        <v>8</v>
      </c>
      <c r="F938" s="1">
        <f>[1]Services!B$51</f>
        <v>2.0957156773978651</v>
      </c>
      <c r="G938" s="1">
        <f>[1]Services!C$51</f>
        <v>2.2700604344124597</v>
      </c>
      <c r="H938" s="1">
        <f>[1]Services!D$51</f>
        <v>0</v>
      </c>
      <c r="I938" s="1">
        <f>[1]Services!E$51</f>
        <v>0</v>
      </c>
      <c r="J938" s="1">
        <f>[2]Services!F$51</f>
        <v>0</v>
      </c>
      <c r="K938" s="1">
        <f>[2]Services!G$51</f>
        <v>0</v>
      </c>
      <c r="L938" s="1">
        <f>[2]Services!H$51</f>
        <v>0</v>
      </c>
      <c r="N938" s="1"/>
    </row>
    <row r="939" spans="2:14" x14ac:dyDescent="0.35">
      <c r="B939" s="5" t="str">
        <f t="shared" si="1069"/>
        <v>SPS1</v>
      </c>
      <c r="C939" s="5" t="str">
        <f t="shared" si="1070"/>
        <v>CH</v>
      </c>
      <c r="D939" t="s">
        <v>692</v>
      </c>
      <c r="E939" t="s">
        <v>8</v>
      </c>
      <c r="F939" s="1">
        <f>IFERROR(F907/F$906,0)*F$938</f>
        <v>1.4100649543511847</v>
      </c>
      <c r="G939" s="1">
        <f t="shared" ref="G939:K939" si="1075">IFERROR(G907/G$906,0)*G$938</f>
        <v>1.5386949377980621</v>
      </c>
      <c r="H939" s="1">
        <f t="shared" si="1075"/>
        <v>0</v>
      </c>
      <c r="I939" s="1">
        <f t="shared" si="1075"/>
        <v>0</v>
      </c>
      <c r="J939" s="1">
        <f t="shared" si="1075"/>
        <v>0</v>
      </c>
      <c r="K939" s="1">
        <f t="shared" si="1075"/>
        <v>0</v>
      </c>
      <c r="L939" s="1">
        <f t="shared" ref="L939" si="1076">IFERROR(L907/L$906,0)*L$938</f>
        <v>0</v>
      </c>
      <c r="N939" s="1"/>
    </row>
    <row r="940" spans="2:14" x14ac:dyDescent="0.35">
      <c r="B940" s="5" t="str">
        <f t="shared" si="1069"/>
        <v>SPS1</v>
      </c>
      <c r="C940" s="5" t="str">
        <f t="shared" si="1070"/>
        <v>CH</v>
      </c>
      <c r="D940" t="s">
        <v>693</v>
      </c>
      <c r="E940" t="s">
        <v>8</v>
      </c>
      <c r="F940" s="1">
        <f>IFERROR(F908/F$906,0)*F$938</f>
        <v>0.6856507230466804</v>
      </c>
      <c r="G940" s="1">
        <f t="shared" ref="G940:K943" si="1077">IFERROR(G908/G$906,0)*G$938</f>
        <v>0.73136549661439754</v>
      </c>
      <c r="H940" s="1">
        <f t="shared" si="1077"/>
        <v>0</v>
      </c>
      <c r="I940" s="1">
        <f t="shared" si="1077"/>
        <v>0</v>
      </c>
      <c r="J940" s="1">
        <f t="shared" si="1077"/>
        <v>0</v>
      </c>
      <c r="K940" s="1">
        <f t="shared" si="1077"/>
        <v>0</v>
      </c>
      <c r="L940" s="1">
        <f t="shared" ref="L940" si="1078">IFERROR(L908/L$906,0)*L$938</f>
        <v>0</v>
      </c>
      <c r="N940" s="1"/>
    </row>
    <row r="941" spans="2:14" x14ac:dyDescent="0.35">
      <c r="B941" s="5" t="str">
        <f t="shared" si="1069"/>
        <v>SPS1</v>
      </c>
      <c r="C941" s="5" t="str">
        <f t="shared" si="1070"/>
        <v>CH</v>
      </c>
      <c r="D941" t="s">
        <v>694</v>
      </c>
      <c r="E941" t="s">
        <v>8</v>
      </c>
      <c r="F941" s="1">
        <f>IFERROR(F909/F$906,0)*F$938</f>
        <v>0</v>
      </c>
      <c r="G941" s="1">
        <f t="shared" si="1077"/>
        <v>0</v>
      </c>
      <c r="H941" s="1">
        <f t="shared" si="1077"/>
        <v>0</v>
      </c>
      <c r="I941" s="1">
        <f t="shared" si="1077"/>
        <v>0</v>
      </c>
      <c r="J941" s="1">
        <f t="shared" si="1077"/>
        <v>0</v>
      </c>
      <c r="K941" s="1">
        <f t="shared" si="1077"/>
        <v>0</v>
      </c>
      <c r="L941" s="1">
        <f t="shared" ref="L941" si="1079">IFERROR(L909/L$906,0)*L$938</f>
        <v>0</v>
      </c>
      <c r="N941" s="1"/>
    </row>
    <row r="942" spans="2:14" x14ac:dyDescent="0.35">
      <c r="B942" s="5" t="str">
        <f t="shared" si="1069"/>
        <v>SPS1</v>
      </c>
      <c r="C942" s="5" t="str">
        <f t="shared" si="1070"/>
        <v>CH</v>
      </c>
      <c r="D942" t="s">
        <v>695</v>
      </c>
      <c r="E942" t="s">
        <v>8</v>
      </c>
      <c r="F942" s="1">
        <f>IFERROR(F910/F$906,0)*F$938</f>
        <v>0</v>
      </c>
      <c r="G942" s="1">
        <f t="shared" si="1077"/>
        <v>0</v>
      </c>
      <c r="H942" s="1">
        <f t="shared" si="1077"/>
        <v>0</v>
      </c>
      <c r="I942" s="1">
        <f t="shared" si="1077"/>
        <v>0</v>
      </c>
      <c r="J942" s="1">
        <f t="shared" si="1077"/>
        <v>0</v>
      </c>
      <c r="K942" s="1">
        <f t="shared" si="1077"/>
        <v>0</v>
      </c>
      <c r="L942" s="1">
        <f t="shared" ref="L942" si="1080">IFERROR(L910/L$906,0)*L$938</f>
        <v>0</v>
      </c>
      <c r="N942" s="1"/>
    </row>
    <row r="943" spans="2:14" x14ac:dyDescent="0.35">
      <c r="B943" s="5" t="str">
        <f t="shared" si="1069"/>
        <v>SPS1</v>
      </c>
      <c r="C943" s="5" t="str">
        <f t="shared" si="1070"/>
        <v>CH</v>
      </c>
      <c r="D943" t="s">
        <v>696</v>
      </c>
      <c r="E943" t="s">
        <v>8</v>
      </c>
      <c r="F943" s="1">
        <f>IFERROR(F911/F$906,0)*F$938</f>
        <v>0</v>
      </c>
      <c r="G943" s="1">
        <f t="shared" si="1077"/>
        <v>0</v>
      </c>
      <c r="H943" s="1">
        <f t="shared" si="1077"/>
        <v>0</v>
      </c>
      <c r="I943" s="1">
        <f t="shared" si="1077"/>
        <v>0</v>
      </c>
      <c r="J943" s="1">
        <f t="shared" si="1077"/>
        <v>0</v>
      </c>
      <c r="K943" s="1">
        <f t="shared" si="1077"/>
        <v>0</v>
      </c>
      <c r="L943" s="1">
        <f t="shared" ref="L943" si="1081">IFERROR(L911/L$906,0)*L$938</f>
        <v>0</v>
      </c>
      <c r="N943" s="1"/>
    </row>
    <row r="944" spans="2:14" x14ac:dyDescent="0.35">
      <c r="B944" s="5" t="str">
        <f t="shared" si="1069"/>
        <v>SPS1</v>
      </c>
      <c r="C944" s="5" t="str">
        <f t="shared" si="1070"/>
        <v>CH</v>
      </c>
      <c r="D944" t="s">
        <v>985</v>
      </c>
      <c r="E944" t="s">
        <v>8</v>
      </c>
      <c r="F944" s="1">
        <f>[1]Services!B$52</f>
        <v>5.5539013379628575</v>
      </c>
      <c r="G944" s="1">
        <f>[1]Services!C$52</f>
        <v>6.0159360294783326</v>
      </c>
      <c r="H944" s="1">
        <f>[1]Services!D$52</f>
        <v>4.9302573283011286</v>
      </c>
      <c r="I944" s="1">
        <f>[1]Services!E$52</f>
        <v>5.7793794550250759</v>
      </c>
      <c r="J944" s="1">
        <f>[2]Services!F$52</f>
        <v>6.1558639738586045</v>
      </c>
      <c r="K944" s="1">
        <f>[2]Services!G$52</f>
        <v>6.4604721743261022</v>
      </c>
      <c r="L944" s="1">
        <f>[2]Services!H$52</f>
        <v>6.9088033925748551</v>
      </c>
      <c r="N944" s="1"/>
    </row>
    <row r="945" spans="2:14" x14ac:dyDescent="0.35">
      <c r="B945" s="5" t="str">
        <f t="shared" si="1069"/>
        <v>SPS1</v>
      </c>
      <c r="C945" s="5" t="str">
        <f t="shared" si="1070"/>
        <v>CH</v>
      </c>
      <c r="D945" t="s">
        <v>986</v>
      </c>
      <c r="E945" t="s">
        <v>8</v>
      </c>
      <c r="F945" s="1">
        <f>F946</f>
        <v>6.1735456032767795</v>
      </c>
      <c r="G945" s="1">
        <f t="shared" ref="G945:L945" si="1082">G946</f>
        <v>6.8807335819935878</v>
      </c>
      <c r="H945" s="1">
        <f t="shared" si="1082"/>
        <v>6.1542998136493985</v>
      </c>
      <c r="I945" s="1">
        <f t="shared" si="1082"/>
        <v>6.278426986203284</v>
      </c>
      <c r="J945" s="1">
        <f t="shared" si="1082"/>
        <v>6.9545775395643314</v>
      </c>
      <c r="K945" s="1">
        <f t="shared" si="1082"/>
        <v>6.3572619553261109</v>
      </c>
      <c r="L945" s="1">
        <f t="shared" si="1082"/>
        <v>5.4117541431659379</v>
      </c>
      <c r="N945" s="1"/>
    </row>
    <row r="946" spans="2:14" x14ac:dyDescent="0.35">
      <c r="B946" s="5" t="str">
        <f t="shared" si="1069"/>
        <v>SPS1</v>
      </c>
      <c r="C946" s="5" t="str">
        <f t="shared" si="1070"/>
        <v>CH</v>
      </c>
      <c r="D946" t="s">
        <v>987</v>
      </c>
      <c r="E946" t="s">
        <v>8</v>
      </c>
      <c r="F946" s="1">
        <f>[1]Services!B$53</f>
        <v>6.1735456032767795</v>
      </c>
      <c r="G946" s="1">
        <f>[1]Services!C$53</f>
        <v>6.8807335819935878</v>
      </c>
      <c r="H946" s="1">
        <f>[1]Services!D$53</f>
        <v>6.1542998136493985</v>
      </c>
      <c r="I946" s="1">
        <f>[1]Services!E$53</f>
        <v>6.278426986203284</v>
      </c>
      <c r="J946" s="1">
        <f>[2]Services!F$53</f>
        <v>6.9545775395643314</v>
      </c>
      <c r="K946" s="1">
        <f>[2]Services!G$53</f>
        <v>6.3572619553261109</v>
      </c>
      <c r="L946" s="1">
        <f>[2]Services!H$53</f>
        <v>5.4117541431659379</v>
      </c>
      <c r="N946" s="1"/>
    </row>
    <row r="947" spans="2:14" x14ac:dyDescent="0.35">
      <c r="B947" s="5" t="str">
        <f t="shared" si="1069"/>
        <v>SPS1</v>
      </c>
      <c r="C947" s="5" t="str">
        <f t="shared" si="1070"/>
        <v>CH</v>
      </c>
      <c r="D947" t="s">
        <v>988</v>
      </c>
      <c r="E947" t="s">
        <v>8</v>
      </c>
      <c r="F947" s="1">
        <f>F948</f>
        <v>1.8770715308791384</v>
      </c>
      <c r="G947" s="1">
        <f t="shared" ref="G947:L947" si="1083">G948</f>
        <v>2.1600830818836454</v>
      </c>
      <c r="H947" s="1">
        <f t="shared" si="1083"/>
        <v>0.42489618913846366</v>
      </c>
      <c r="I947" s="1">
        <f t="shared" si="1083"/>
        <v>0.71393835559870633</v>
      </c>
      <c r="J947" s="1">
        <f t="shared" si="1083"/>
        <v>0.96352869344663417</v>
      </c>
      <c r="K947" s="1">
        <f t="shared" si="1083"/>
        <v>1.0813122182488355</v>
      </c>
      <c r="L947" s="1">
        <f t="shared" si="1083"/>
        <v>1.3684071323422442</v>
      </c>
      <c r="N947" s="1"/>
    </row>
    <row r="948" spans="2:14" x14ac:dyDescent="0.35">
      <c r="B948" s="5" t="str">
        <f t="shared" si="1069"/>
        <v>SPS1</v>
      </c>
      <c r="C948" s="5" t="str">
        <f t="shared" si="1070"/>
        <v>CH</v>
      </c>
      <c r="D948" t="s">
        <v>989</v>
      </c>
      <c r="E948" t="s">
        <v>8</v>
      </c>
      <c r="F948" s="1">
        <f>[1]Services!B$54</f>
        <v>1.8770715308791384</v>
      </c>
      <c r="G948" s="1">
        <f>[1]Services!C$54</f>
        <v>2.1600830818836454</v>
      </c>
      <c r="H948" s="1">
        <f>[1]Services!D$54</f>
        <v>0.42489618913846366</v>
      </c>
      <c r="I948" s="1">
        <f>[1]Services!E$54</f>
        <v>0.71393835559870633</v>
      </c>
      <c r="J948" s="1">
        <f>[2]Services!F$54</f>
        <v>0.96352869344663417</v>
      </c>
      <c r="K948" s="1">
        <f>[2]Services!G$54</f>
        <v>1.0813122182488355</v>
      </c>
      <c r="L948" s="1">
        <f>[2]Services!H$54</f>
        <v>1.3684071323422442</v>
      </c>
      <c r="N948" s="1"/>
    </row>
    <row r="949" spans="2:14" x14ac:dyDescent="0.35">
      <c r="B949" s="5" t="str">
        <f t="shared" si="1069"/>
        <v>SPS1</v>
      </c>
      <c r="C949" s="5" t="str">
        <f t="shared" si="1070"/>
        <v>CH</v>
      </c>
      <c r="D949" t="s">
        <v>990</v>
      </c>
      <c r="E949" t="s">
        <v>8</v>
      </c>
      <c r="F949" s="1">
        <f>F950</f>
        <v>0.62699637824958021</v>
      </c>
      <c r="G949" s="1">
        <f t="shared" ref="G949:L949" si="1084">G950</f>
        <v>0.68733688927713943</v>
      </c>
      <c r="H949" s="1">
        <f t="shared" si="1084"/>
        <v>0.52379311326975142</v>
      </c>
      <c r="I949" s="1">
        <f t="shared" si="1084"/>
        <v>0.61029278424826483</v>
      </c>
      <c r="J949" s="1">
        <f t="shared" si="1084"/>
        <v>0.67911886533849009</v>
      </c>
      <c r="K949" s="1">
        <f t="shared" si="1084"/>
        <v>0.73654642754952071</v>
      </c>
      <c r="L949" s="1">
        <f t="shared" si="1084"/>
        <v>0.85947812305284821</v>
      </c>
      <c r="N949" s="1"/>
    </row>
    <row r="950" spans="2:14" x14ac:dyDescent="0.35">
      <c r="B950" s="5" t="str">
        <f t="shared" si="1069"/>
        <v>SPS1</v>
      </c>
      <c r="C950" s="5" t="str">
        <f t="shared" si="1070"/>
        <v>CH</v>
      </c>
      <c r="D950" t="s">
        <v>991</v>
      </c>
      <c r="E950" t="s">
        <v>8</v>
      </c>
      <c r="F950" s="1">
        <f>[1]Services!B$55</f>
        <v>0.62699637824958021</v>
      </c>
      <c r="G950" s="1">
        <f>[1]Services!C$55</f>
        <v>0.68733688927713943</v>
      </c>
      <c r="H950" s="1">
        <f>[1]Services!D$55</f>
        <v>0.52379311326975142</v>
      </c>
      <c r="I950" s="1">
        <f>[1]Services!E$55</f>
        <v>0.61029278424826483</v>
      </c>
      <c r="J950" s="1">
        <f>[2]Services!F$55</f>
        <v>0.67911886533849009</v>
      </c>
      <c r="K950" s="1">
        <f>[2]Services!G$55</f>
        <v>0.73654642754952071</v>
      </c>
      <c r="L950" s="1">
        <f>[2]Services!H$55</f>
        <v>0.85947812305284821</v>
      </c>
      <c r="N950" s="1"/>
    </row>
    <row r="951" spans="2:14" x14ac:dyDescent="0.35">
      <c r="B951" s="5" t="str">
        <f t="shared" si="1069"/>
        <v>SPS1</v>
      </c>
      <c r="C951" s="5" t="str">
        <f t="shared" si="1070"/>
        <v>CH</v>
      </c>
      <c r="D951" t="s">
        <v>992</v>
      </c>
      <c r="E951" t="s">
        <v>8</v>
      </c>
      <c r="F951" s="1">
        <f>F952</f>
        <v>0</v>
      </c>
      <c r="G951" s="1">
        <f t="shared" ref="G951:L951" si="1085">G952</f>
        <v>0</v>
      </c>
      <c r="H951" s="1">
        <f t="shared" si="1085"/>
        <v>0</v>
      </c>
      <c r="I951" s="1">
        <f t="shared" si="1085"/>
        <v>0</v>
      </c>
      <c r="J951" s="1">
        <f t="shared" si="1085"/>
        <v>0</v>
      </c>
      <c r="K951" s="1">
        <f t="shared" si="1085"/>
        <v>0</v>
      </c>
      <c r="L951" s="1">
        <f t="shared" si="1085"/>
        <v>0</v>
      </c>
      <c r="N951" s="1"/>
    </row>
    <row r="952" spans="2:14" x14ac:dyDescent="0.35">
      <c r="B952" s="5" t="str">
        <f t="shared" si="1069"/>
        <v>SPS1</v>
      </c>
      <c r="C952" s="5" t="str">
        <f t="shared" si="1070"/>
        <v>CH</v>
      </c>
      <c r="D952" t="s">
        <v>993</v>
      </c>
      <c r="E952" t="s">
        <v>8</v>
      </c>
      <c r="F952" s="1">
        <f>[1]Services!B$57</f>
        <v>0</v>
      </c>
      <c r="G952" s="1">
        <f>[1]Services!C$57</f>
        <v>0</v>
      </c>
      <c r="H952" s="1">
        <f>[1]Services!D$57</f>
        <v>0</v>
      </c>
      <c r="I952" s="1">
        <f>[1]Services!E$57</f>
        <v>0</v>
      </c>
      <c r="J952" s="1">
        <f>[2]Services!F$57</f>
        <v>0</v>
      </c>
      <c r="K952" s="1">
        <f>[2]Services!G$57</f>
        <v>0</v>
      </c>
      <c r="L952" s="1">
        <f>[2]Services!H$57</f>
        <v>0</v>
      </c>
      <c r="N952" s="1"/>
    </row>
    <row r="953" spans="2:14" x14ac:dyDescent="0.35">
      <c r="B953" s="5" t="str">
        <f t="shared" si="1069"/>
        <v>SPS1</v>
      </c>
      <c r="C953" s="5" t="str">
        <f t="shared" si="1070"/>
        <v>CH</v>
      </c>
      <c r="D953" t="s">
        <v>994</v>
      </c>
      <c r="E953" t="s">
        <v>8</v>
      </c>
      <c r="F953" s="1">
        <f>[1]Services!B$58</f>
        <v>0</v>
      </c>
      <c r="G953" s="1">
        <f>[1]Services!C$58</f>
        <v>6.9643117502210981</v>
      </c>
      <c r="H953" s="1">
        <f>[1]Services!D$58</f>
        <v>2.2375721213979114</v>
      </c>
      <c r="I953" s="1">
        <f>[1]Services!E$58</f>
        <v>4.0645233314683571</v>
      </c>
      <c r="J953" s="1">
        <f>[2]Services!F$58</f>
        <v>5.8133876171092131</v>
      </c>
      <c r="K953" s="1">
        <f>[2]Services!G$58</f>
        <v>7.5035594767884968</v>
      </c>
      <c r="L953" s="1">
        <f>[2]Services!H$58</f>
        <v>10.660228194297307</v>
      </c>
      <c r="N953" s="1"/>
    </row>
    <row r="954" spans="2:14" x14ac:dyDescent="0.35">
      <c r="B954" s="5" t="str">
        <f>B953</f>
        <v>SPS1</v>
      </c>
      <c r="C954" s="5" t="str">
        <f>C953</f>
        <v>CH</v>
      </c>
      <c r="D954" s="2" t="s">
        <v>689</v>
      </c>
      <c r="E954" s="2" t="s">
        <v>240</v>
      </c>
      <c r="F954" s="1" t="s">
        <v>292</v>
      </c>
      <c r="G954" s="1" t="s">
        <v>292</v>
      </c>
      <c r="H954" s="1" t="s">
        <v>292</v>
      </c>
      <c r="I954" s="1" t="s">
        <v>292</v>
      </c>
      <c r="J954" s="1" t="s">
        <v>292</v>
      </c>
      <c r="K954" s="1" t="s">
        <v>292</v>
      </c>
      <c r="L954" s="1" t="s">
        <v>292</v>
      </c>
      <c r="N954" s="1"/>
    </row>
    <row r="955" spans="2:14" x14ac:dyDescent="0.35">
      <c r="B955" s="5" t="str">
        <f t="shared" ref="B955:B971" si="1086">B954</f>
        <v>SPS1</v>
      </c>
      <c r="C955" s="5" t="str">
        <f t="shared" ref="C955:C971" si="1087">C954</f>
        <v>CH</v>
      </c>
      <c r="D955" t="s">
        <v>761</v>
      </c>
      <c r="E955" t="s">
        <v>240</v>
      </c>
      <c r="F955" s="4">
        <f t="shared" ref="F955:K957" si="1088">IFERROR(F928/F884,"-")</f>
        <v>0.91250000000000053</v>
      </c>
      <c r="G955" s="4">
        <f t="shared" si="1088"/>
        <v>0.91500000000000092</v>
      </c>
      <c r="H955" s="4">
        <f t="shared" si="1088"/>
        <v>0.47260954247694487</v>
      </c>
      <c r="I955" s="4">
        <f t="shared" si="1088"/>
        <v>0.48561346264284216</v>
      </c>
      <c r="J955" s="4">
        <f t="shared" si="1088"/>
        <v>0.49476777028877922</v>
      </c>
      <c r="K955" s="4">
        <f t="shared" si="1088"/>
        <v>0.5036784318361176</v>
      </c>
      <c r="L955" s="4">
        <f t="shared" ref="L955" si="1089">IFERROR(L928/L884,"-")</f>
        <v>0.52499067897372731</v>
      </c>
      <c r="N955" s="1"/>
    </row>
    <row r="956" spans="2:14" x14ac:dyDescent="0.35">
      <c r="B956" s="5" t="str">
        <f t="shared" si="1086"/>
        <v>SPS1</v>
      </c>
      <c r="C956" s="5" t="str">
        <f t="shared" si="1087"/>
        <v>CH</v>
      </c>
      <c r="D956" t="s">
        <v>730</v>
      </c>
      <c r="E956" t="s">
        <v>240</v>
      </c>
      <c r="F956" s="4">
        <f t="shared" si="1088"/>
        <v>3.1999999999999957</v>
      </c>
      <c r="G956" s="4">
        <f t="shared" si="1088"/>
        <v>3.24</v>
      </c>
      <c r="H956" s="4">
        <f t="shared" si="1088"/>
        <v>2.8387961002592808</v>
      </c>
      <c r="I956" s="4">
        <f t="shared" si="1088"/>
        <v>3.0249442317027104</v>
      </c>
      <c r="J956" s="4">
        <f t="shared" si="1088"/>
        <v>3.117158345195596</v>
      </c>
      <c r="K956" s="4">
        <f t="shared" si="1088"/>
        <v>3.2158994258391549</v>
      </c>
      <c r="L956" s="4">
        <f t="shared" ref="L956" si="1090">IFERROR(L929/L885,"-")</f>
        <v>3.4437461327494074</v>
      </c>
      <c r="N956" s="1"/>
    </row>
    <row r="957" spans="2:14" x14ac:dyDescent="0.35">
      <c r="B957" s="5" t="str">
        <f t="shared" si="1086"/>
        <v>SPS1</v>
      </c>
      <c r="C957" s="5" t="str">
        <f t="shared" si="1087"/>
        <v>CH</v>
      </c>
      <c r="D957" t="s">
        <v>699</v>
      </c>
      <c r="E957" t="s">
        <v>240</v>
      </c>
      <c r="F957" s="4">
        <f t="shared" si="1088"/>
        <v>1</v>
      </c>
      <c r="G957" s="4">
        <f t="shared" si="1088"/>
        <v>1</v>
      </c>
      <c r="H957" s="4">
        <f t="shared" si="1088"/>
        <v>0.99999999999999989</v>
      </c>
      <c r="I957" s="4">
        <f t="shared" si="1088"/>
        <v>0.99999999999999978</v>
      </c>
      <c r="J957" s="4">
        <f t="shared" si="1088"/>
        <v>0.99999999999999989</v>
      </c>
      <c r="K957" s="4">
        <f t="shared" si="1088"/>
        <v>0.99999999999999989</v>
      </c>
      <c r="L957" s="4">
        <f t="shared" ref="L957" si="1091">IFERROR(L930/L886,"-")</f>
        <v>0.99999999999999989</v>
      </c>
      <c r="N957" s="1"/>
    </row>
    <row r="958" spans="2:14" x14ac:dyDescent="0.35">
      <c r="B958" s="5" t="str">
        <f t="shared" si="1086"/>
        <v>SPS1</v>
      </c>
      <c r="C958" s="5" t="str">
        <f t="shared" si="1087"/>
        <v>CH</v>
      </c>
      <c r="D958" t="s">
        <v>700</v>
      </c>
      <c r="E958" t="s">
        <v>240</v>
      </c>
      <c r="F958" s="4">
        <f t="shared" ref="F958:K958" si="1092">IFERROR(F932/F888,"-")</f>
        <v>0.8210784313725491</v>
      </c>
      <c r="G958" s="4">
        <f t="shared" si="1092"/>
        <v>0.8227043292564552</v>
      </c>
      <c r="H958" s="4">
        <f t="shared" si="1092"/>
        <v>0.79436990814523356</v>
      </c>
      <c r="I958" s="4">
        <f t="shared" si="1092"/>
        <v>0.81042898714256917</v>
      </c>
      <c r="J958" s="4">
        <f t="shared" si="1092"/>
        <v>0.81725890865933193</v>
      </c>
      <c r="K958" s="4">
        <f t="shared" si="1092"/>
        <v>0.81725890865933215</v>
      </c>
      <c r="L958" s="4">
        <f t="shared" ref="L958" si="1093">IFERROR(L932/L888,"-")</f>
        <v>0.81725890865933204</v>
      </c>
      <c r="N958" s="1"/>
    </row>
    <row r="959" spans="2:14" x14ac:dyDescent="0.35">
      <c r="B959" s="5" t="str">
        <f t="shared" si="1086"/>
        <v>SPS1</v>
      </c>
      <c r="C959" s="5" t="str">
        <f t="shared" si="1087"/>
        <v>CH</v>
      </c>
      <c r="D959" t="s">
        <v>701</v>
      </c>
      <c r="E959" t="s">
        <v>240</v>
      </c>
      <c r="F959" s="4">
        <f t="shared" ref="F959:K961" si="1094">IFERROR(F934/F895,"-")</f>
        <v>0.94680851063829763</v>
      </c>
      <c r="G959" s="4">
        <f t="shared" si="1094"/>
        <v>0.94680851063829885</v>
      </c>
      <c r="H959" s="4">
        <f t="shared" si="1094"/>
        <v>0.82463818842935044</v>
      </c>
      <c r="I959" s="4">
        <f t="shared" si="1094"/>
        <v>0.79683749277462235</v>
      </c>
      <c r="J959" s="4">
        <f t="shared" si="1094"/>
        <v>0.76335548430115385</v>
      </c>
      <c r="K959" s="4">
        <f t="shared" si="1094"/>
        <v>0.72327480216516538</v>
      </c>
      <c r="L959" s="4">
        <f t="shared" ref="L959" si="1095">IFERROR(L934/L895,"-")</f>
        <v>0.59214029462512241</v>
      </c>
      <c r="N959" s="1"/>
    </row>
    <row r="960" spans="2:14" x14ac:dyDescent="0.35">
      <c r="B960" s="5" t="str">
        <f t="shared" si="1086"/>
        <v>SPS1</v>
      </c>
      <c r="C960" s="5" t="str">
        <f t="shared" si="1087"/>
        <v>CH</v>
      </c>
      <c r="D960" t="s">
        <v>731</v>
      </c>
      <c r="E960" t="s">
        <v>240</v>
      </c>
      <c r="F960" s="4" t="str">
        <f t="shared" si="1094"/>
        <v>-</v>
      </c>
      <c r="G960" s="4" t="str">
        <f t="shared" si="1094"/>
        <v>-</v>
      </c>
      <c r="H960" s="4">
        <f t="shared" si="1094"/>
        <v>1.9081923466761501</v>
      </c>
      <c r="I960" s="4">
        <f t="shared" si="1094"/>
        <v>1.9602463727888615</v>
      </c>
      <c r="J960" s="4">
        <f t="shared" si="1094"/>
        <v>1.9995551149781499</v>
      </c>
      <c r="K960" s="4">
        <f t="shared" si="1094"/>
        <v>2.0339418208915396</v>
      </c>
      <c r="L960" s="4">
        <f t="shared" ref="L960" si="1096">IFERROR(L935/L896,"-")</f>
        <v>2.1095497203190012</v>
      </c>
      <c r="N960" s="1"/>
    </row>
    <row r="961" spans="2:14" x14ac:dyDescent="0.35">
      <c r="B961" s="5" t="str">
        <f t="shared" si="1086"/>
        <v>SPS1</v>
      </c>
      <c r="C961" s="5" t="str">
        <f t="shared" si="1087"/>
        <v>CH</v>
      </c>
      <c r="D961" t="s">
        <v>702</v>
      </c>
      <c r="E961" t="s">
        <v>240</v>
      </c>
      <c r="F961" s="4">
        <f t="shared" si="1094"/>
        <v>0.87219999999999964</v>
      </c>
      <c r="G961" s="4">
        <f t="shared" si="1094"/>
        <v>0.8722000000000002</v>
      </c>
      <c r="H961" s="4" t="str">
        <f t="shared" si="1094"/>
        <v>-</v>
      </c>
      <c r="I961" s="4" t="str">
        <f t="shared" si="1094"/>
        <v>-</v>
      </c>
      <c r="J961" s="4" t="str">
        <f t="shared" si="1094"/>
        <v>-</v>
      </c>
      <c r="K961" s="4" t="str">
        <f t="shared" si="1094"/>
        <v>-</v>
      </c>
      <c r="L961" s="4" t="str">
        <f t="shared" ref="L961" si="1097">IFERROR(L936/L897,"-")</f>
        <v>-</v>
      </c>
      <c r="N961" s="1"/>
    </row>
    <row r="962" spans="2:14" x14ac:dyDescent="0.35">
      <c r="B962" s="5" t="str">
        <f>B961</f>
        <v>SPS1</v>
      </c>
      <c r="C962" s="5" t="str">
        <f>C961</f>
        <v>CH</v>
      </c>
      <c r="D962" t="s">
        <v>703</v>
      </c>
      <c r="E962" t="s">
        <v>240</v>
      </c>
      <c r="F962" s="4">
        <f t="shared" ref="F962:K967" si="1098">IFERROR(F939/F907,"-")</f>
        <v>0.99</v>
      </c>
      <c r="G962" s="4">
        <f t="shared" si="1098"/>
        <v>0.99</v>
      </c>
      <c r="H962" s="4" t="str">
        <f t="shared" si="1098"/>
        <v>-</v>
      </c>
      <c r="I962" s="4" t="str">
        <f t="shared" si="1098"/>
        <v>-</v>
      </c>
      <c r="J962" s="4" t="str">
        <f t="shared" si="1098"/>
        <v>-</v>
      </c>
      <c r="K962" s="4" t="str">
        <f t="shared" si="1098"/>
        <v>-</v>
      </c>
      <c r="L962" s="4" t="str">
        <f t="shared" ref="L962" si="1099">IFERROR(L939/L907,"-")</f>
        <v>-</v>
      </c>
      <c r="N962" s="1"/>
    </row>
    <row r="963" spans="2:14" x14ac:dyDescent="0.35">
      <c r="B963" s="5" t="str">
        <f t="shared" si="1086"/>
        <v>SPS1</v>
      </c>
      <c r="C963" s="5" t="str">
        <f t="shared" si="1087"/>
        <v>CH</v>
      </c>
      <c r="D963" t="s">
        <v>704</v>
      </c>
      <c r="E963" t="s">
        <v>240</v>
      </c>
      <c r="F963" s="4">
        <f t="shared" si="1098"/>
        <v>0.98999999999999988</v>
      </c>
      <c r="G963" s="4">
        <f t="shared" si="1098"/>
        <v>0.9900000000000001</v>
      </c>
      <c r="H963" s="4" t="str">
        <f t="shared" si="1098"/>
        <v>-</v>
      </c>
      <c r="I963" s="4" t="str">
        <f t="shared" si="1098"/>
        <v>-</v>
      </c>
      <c r="J963" s="4" t="str">
        <f t="shared" si="1098"/>
        <v>-</v>
      </c>
      <c r="K963" s="4" t="str">
        <f t="shared" si="1098"/>
        <v>-</v>
      </c>
      <c r="L963" s="4" t="str">
        <f t="shared" ref="L963" si="1100">IFERROR(L940/L908,"-")</f>
        <v>-</v>
      </c>
      <c r="N963" s="1"/>
    </row>
    <row r="964" spans="2:14" x14ac:dyDescent="0.35">
      <c r="B964" s="5" t="str">
        <f t="shared" si="1086"/>
        <v>SPS1</v>
      </c>
      <c r="C964" s="5" t="str">
        <f t="shared" si="1087"/>
        <v>CH</v>
      </c>
      <c r="D964" t="s">
        <v>705</v>
      </c>
      <c r="E964" t="s">
        <v>240</v>
      </c>
      <c r="F964" s="4" t="str">
        <f t="shared" si="1098"/>
        <v>-</v>
      </c>
      <c r="G964" s="4" t="str">
        <f t="shared" si="1098"/>
        <v>-</v>
      </c>
      <c r="H964" s="4" t="str">
        <f t="shared" si="1098"/>
        <v>-</v>
      </c>
      <c r="I964" s="4" t="str">
        <f t="shared" si="1098"/>
        <v>-</v>
      </c>
      <c r="J964" s="4" t="str">
        <f t="shared" si="1098"/>
        <v>-</v>
      </c>
      <c r="K964" s="4" t="str">
        <f t="shared" si="1098"/>
        <v>-</v>
      </c>
      <c r="L964" s="4" t="str">
        <f t="shared" ref="L964" si="1101">IFERROR(L941/L909,"-")</f>
        <v>-</v>
      </c>
      <c r="N964" s="1"/>
    </row>
    <row r="965" spans="2:14" x14ac:dyDescent="0.35">
      <c r="B965" s="5" t="str">
        <f t="shared" si="1086"/>
        <v>SPS1</v>
      </c>
      <c r="C965" s="5" t="str">
        <f t="shared" si="1087"/>
        <v>CH</v>
      </c>
      <c r="D965" t="s">
        <v>706</v>
      </c>
      <c r="E965" t="s">
        <v>240</v>
      </c>
      <c r="F965" s="4" t="str">
        <f t="shared" si="1098"/>
        <v>-</v>
      </c>
      <c r="G965" s="4" t="str">
        <f t="shared" si="1098"/>
        <v>-</v>
      </c>
      <c r="H965" s="4" t="str">
        <f t="shared" si="1098"/>
        <v>-</v>
      </c>
      <c r="I965" s="4" t="str">
        <f t="shared" si="1098"/>
        <v>-</v>
      </c>
      <c r="J965" s="4" t="str">
        <f t="shared" si="1098"/>
        <v>-</v>
      </c>
      <c r="K965" s="4" t="str">
        <f t="shared" si="1098"/>
        <v>-</v>
      </c>
      <c r="L965" s="4" t="str">
        <f t="shared" ref="L965" si="1102">IFERROR(L942/L910,"-")</f>
        <v>-</v>
      </c>
      <c r="N965" s="1"/>
    </row>
    <row r="966" spans="2:14" x14ac:dyDescent="0.35">
      <c r="B966" s="5" t="str">
        <f t="shared" si="1086"/>
        <v>SPS1</v>
      </c>
      <c r="C966" s="5" t="str">
        <f t="shared" si="1087"/>
        <v>CH</v>
      </c>
      <c r="D966" t="s">
        <v>707</v>
      </c>
      <c r="E966" t="s">
        <v>240</v>
      </c>
      <c r="F966" s="4" t="str">
        <f t="shared" si="1098"/>
        <v>-</v>
      </c>
      <c r="G966" s="4" t="str">
        <f t="shared" si="1098"/>
        <v>-</v>
      </c>
      <c r="H966" s="4" t="str">
        <f t="shared" si="1098"/>
        <v>-</v>
      </c>
      <c r="I966" s="4" t="str">
        <f t="shared" si="1098"/>
        <v>-</v>
      </c>
      <c r="J966" s="4" t="str">
        <f t="shared" si="1098"/>
        <v>-</v>
      </c>
      <c r="K966" s="4" t="str">
        <f t="shared" si="1098"/>
        <v>-</v>
      </c>
      <c r="L966" s="4" t="str">
        <f t="shared" ref="L966" si="1103">IFERROR(L943/L911,"-")</f>
        <v>-</v>
      </c>
      <c r="N966" s="1"/>
    </row>
    <row r="967" spans="2:14" x14ac:dyDescent="0.35">
      <c r="B967" s="5" t="str">
        <f t="shared" si="1086"/>
        <v>SPS1</v>
      </c>
      <c r="C967" s="5" t="str">
        <f t="shared" si="1087"/>
        <v>CH</v>
      </c>
      <c r="D967" t="s">
        <v>995</v>
      </c>
      <c r="E967" t="s">
        <v>240</v>
      </c>
      <c r="F967" s="4">
        <f t="shared" si="1098"/>
        <v>0.99</v>
      </c>
      <c r="G967" s="4">
        <f t="shared" si="1098"/>
        <v>0.98999999999999921</v>
      </c>
      <c r="H967" s="4">
        <f t="shared" si="1098"/>
        <v>0.82319038897750929</v>
      </c>
      <c r="I967" s="4">
        <f t="shared" si="1098"/>
        <v>0.82669780245567348</v>
      </c>
      <c r="J967" s="4">
        <f t="shared" si="1098"/>
        <v>0.82669780245567293</v>
      </c>
      <c r="K967" s="4">
        <f t="shared" si="1098"/>
        <v>0.82669780245567126</v>
      </c>
      <c r="L967" s="4">
        <f t="shared" ref="L967" si="1104">IFERROR(L944/L912,"-")</f>
        <v>0.82669780245567137</v>
      </c>
      <c r="N967" s="1"/>
    </row>
    <row r="968" spans="2:14" x14ac:dyDescent="0.35">
      <c r="B968" s="5" t="str">
        <f t="shared" si="1086"/>
        <v>SPS1</v>
      </c>
      <c r="C968" s="5" t="str">
        <f t="shared" si="1087"/>
        <v>CH</v>
      </c>
      <c r="D968" t="s">
        <v>996</v>
      </c>
      <c r="E968" t="s">
        <v>240</v>
      </c>
      <c r="F968" s="4">
        <f t="shared" ref="F968:K968" si="1105">IFERROR(F946/F913,"-")</f>
        <v>0.7200000000000002</v>
      </c>
      <c r="G968" s="4">
        <f t="shared" si="1105"/>
        <v>0.7200000000000002</v>
      </c>
      <c r="H968" s="4">
        <f t="shared" si="1105"/>
        <v>0.67615253540056863</v>
      </c>
      <c r="I968" s="4">
        <f t="shared" si="1105"/>
        <v>0.6781424527436043</v>
      </c>
      <c r="J968" s="4">
        <f t="shared" si="1105"/>
        <v>0.67814245274360563</v>
      </c>
      <c r="K968" s="4">
        <f t="shared" si="1105"/>
        <v>0.67814245274360485</v>
      </c>
      <c r="L968" s="4">
        <f t="shared" ref="L968" si="1106">IFERROR(L946/L913,"-")</f>
        <v>0.68009852085027889</v>
      </c>
      <c r="N968" s="1"/>
    </row>
    <row r="969" spans="2:14" x14ac:dyDescent="0.35">
      <c r="B969" s="5" t="str">
        <f t="shared" si="1086"/>
        <v>SPS1</v>
      </c>
      <c r="C969" s="5" t="str">
        <f t="shared" si="1087"/>
        <v>CH</v>
      </c>
      <c r="D969" t="s">
        <v>997</v>
      </c>
      <c r="E969" t="s">
        <v>240</v>
      </c>
      <c r="F969" s="4">
        <f t="shared" ref="F969:K969" si="1107">IFERROR(F948/F916,"-")</f>
        <v>0.90000000000000058</v>
      </c>
      <c r="G969" s="4">
        <f t="shared" si="1107"/>
        <v>0.90000000000000047</v>
      </c>
      <c r="H969" s="4">
        <f t="shared" si="1107"/>
        <v>0.6675420196980929</v>
      </c>
      <c r="I969" s="4">
        <f t="shared" si="1107"/>
        <v>0.67134239097710591</v>
      </c>
      <c r="J969" s="4">
        <f t="shared" si="1107"/>
        <v>0.67134239097710613</v>
      </c>
      <c r="K969" s="4">
        <f t="shared" si="1107"/>
        <v>0.67134239097710646</v>
      </c>
      <c r="L969" s="4">
        <f t="shared" ref="L969" si="1108">IFERROR(L948/L916,"-")</f>
        <v>0.6713423909771058</v>
      </c>
      <c r="N969" s="1"/>
    </row>
    <row r="970" spans="2:14" x14ac:dyDescent="0.35">
      <c r="B970" s="5" t="str">
        <f t="shared" si="1086"/>
        <v>SPS1</v>
      </c>
      <c r="C970" s="5" t="str">
        <f t="shared" si="1087"/>
        <v>CH</v>
      </c>
      <c r="D970" t="s">
        <v>998</v>
      </c>
      <c r="E970" t="s">
        <v>240</v>
      </c>
      <c r="F970" s="4">
        <f t="shared" ref="F970:K970" si="1109">IFERROR(F950/F918,"-")</f>
        <v>1</v>
      </c>
      <c r="G970" s="4">
        <f t="shared" si="1109"/>
        <v>1</v>
      </c>
      <c r="H970" s="4">
        <f t="shared" si="1109"/>
        <v>1</v>
      </c>
      <c r="I970" s="4">
        <f t="shared" si="1109"/>
        <v>1</v>
      </c>
      <c r="J970" s="4">
        <f t="shared" si="1109"/>
        <v>1</v>
      </c>
      <c r="K970" s="4">
        <f t="shared" si="1109"/>
        <v>1</v>
      </c>
      <c r="L970" s="4">
        <f t="shared" ref="L970" si="1110">IFERROR(L950/L918,"-")</f>
        <v>1</v>
      </c>
      <c r="N970" s="1"/>
    </row>
    <row r="971" spans="2:14" x14ac:dyDescent="0.35">
      <c r="B971" s="5" t="str">
        <f t="shared" si="1086"/>
        <v>SPS1</v>
      </c>
      <c r="C971" s="5" t="str">
        <f t="shared" si="1087"/>
        <v>CH</v>
      </c>
      <c r="D971" t="s">
        <v>999</v>
      </c>
      <c r="E971" t="s">
        <v>240</v>
      </c>
      <c r="F971" s="4" t="str">
        <f t="shared" ref="F971:K971" si="1111">IFERROR(F952/F922,"-")</f>
        <v>-</v>
      </c>
      <c r="G971" s="4" t="str">
        <f t="shared" si="1111"/>
        <v>-</v>
      </c>
      <c r="H971" s="4" t="str">
        <f t="shared" si="1111"/>
        <v>-</v>
      </c>
      <c r="I971" s="4" t="str">
        <f t="shared" si="1111"/>
        <v>-</v>
      </c>
      <c r="J971" s="4" t="str">
        <f t="shared" si="1111"/>
        <v>-</v>
      </c>
      <c r="K971" s="4" t="str">
        <f t="shared" si="1111"/>
        <v>-</v>
      </c>
      <c r="L971" s="4" t="str">
        <f t="shared" ref="L971" si="1112">IFERROR(L952/L922,"-")</f>
        <v>-</v>
      </c>
      <c r="N971" s="1"/>
    </row>
    <row r="972" spans="2:14" x14ac:dyDescent="0.35">
      <c r="B972" s="9" t="str">
        <f>B924</f>
        <v>SPS1</v>
      </c>
      <c r="C972" s="9" t="str">
        <f>C924</f>
        <v>CH</v>
      </c>
      <c r="D972" s="2" t="s">
        <v>740</v>
      </c>
      <c r="E972" s="9" t="s">
        <v>8</v>
      </c>
      <c r="F972" s="3">
        <f>[1]Residential!B$26</f>
        <v>219.91228261839149</v>
      </c>
      <c r="G972" s="3">
        <f>[1]Residential!C$26</f>
        <v>216.99271107214253</v>
      </c>
      <c r="H972" s="3">
        <f>[1]Residential!D$26</f>
        <v>220.35317449240327</v>
      </c>
      <c r="I972" s="3">
        <f>[1]Residential!E$26</f>
        <v>211.18258740720438</v>
      </c>
      <c r="J972" s="3">
        <f>[2]Residential!F$26</f>
        <v>205.25164377083252</v>
      </c>
      <c r="K972" s="3">
        <f>[2]Residential!G$26</f>
        <v>200.14573528984965</v>
      </c>
      <c r="L972" s="3">
        <f>[2]Residential!H$26</f>
        <v>191.24314526283635</v>
      </c>
      <c r="N972" s="1"/>
    </row>
    <row r="973" spans="2:14" x14ac:dyDescent="0.35">
      <c r="B973" s="5" t="str">
        <f>B972</f>
        <v>SPS1</v>
      </c>
      <c r="C973" s="5" t="str">
        <f>C972</f>
        <v>CH</v>
      </c>
      <c r="D973" t="s">
        <v>1000</v>
      </c>
      <c r="E973" t="s">
        <v>8</v>
      </c>
      <c r="F973" s="1">
        <f>[1]Residential!B$15</f>
        <v>69.470033851746962</v>
      </c>
      <c r="G973" s="1">
        <f>[1]Residential!C$15</f>
        <v>70.028411723656916</v>
      </c>
      <c r="H973" s="1">
        <f>[1]Residential!D$15</f>
        <v>69.491915727101642</v>
      </c>
      <c r="I973" s="1">
        <f>[1]Residential!E$15</f>
        <v>70.760390832898594</v>
      </c>
      <c r="J973" s="1">
        <f>[2]Residential!F$15</f>
        <v>71.980689710807198</v>
      </c>
      <c r="K973" s="1">
        <f>[2]Residential!G$15</f>
        <v>72.801636152685873</v>
      </c>
      <c r="L973" s="1">
        <f>[2]Residential!H$15</f>
        <v>73.67944369692944</v>
      </c>
      <c r="N973" s="1"/>
    </row>
    <row r="974" spans="2:14" x14ac:dyDescent="0.35">
      <c r="B974" s="5" t="str">
        <f>B973</f>
        <v>SPS1</v>
      </c>
      <c r="C974" s="5" t="str">
        <f>C973</f>
        <v>CH</v>
      </c>
      <c r="D974" t="s">
        <v>1001</v>
      </c>
      <c r="E974" t="s">
        <v>8</v>
      </c>
      <c r="F974" s="1">
        <f>SUM(F975:F976)</f>
        <v>15.333213131748545</v>
      </c>
      <c r="G974" s="1">
        <f t="shared" ref="G974:K974" si="1113">SUM(G975:G976)</f>
        <v>15.08192295072265</v>
      </c>
      <c r="H974" s="1">
        <f t="shared" si="1113"/>
        <v>11.388179070175886</v>
      </c>
      <c r="I974" s="1">
        <f t="shared" si="1113"/>
        <v>12.693259901913803</v>
      </c>
      <c r="J974" s="1">
        <f t="shared" si="1113"/>
        <v>13.347922828315586</v>
      </c>
      <c r="K974" s="1">
        <f t="shared" si="1113"/>
        <v>13.851851788207439</v>
      </c>
      <c r="L974" s="1">
        <f t="shared" ref="L974" si="1114">SUM(L975:L976)</f>
        <v>14.654286900026138</v>
      </c>
      <c r="N974" s="1"/>
    </row>
    <row r="975" spans="2:14" x14ac:dyDescent="0.35">
      <c r="B975" s="5" t="str">
        <f>B974</f>
        <v>SPS1</v>
      </c>
      <c r="C975" s="5" t="str">
        <f t="shared" ref="C975" si="1115">C974</f>
        <v>CH</v>
      </c>
      <c r="D975" t="s">
        <v>762</v>
      </c>
      <c r="E975" t="s">
        <v>8</v>
      </c>
      <c r="F975" s="1" cm="1">
        <f t="array" ref="F975">SUMPRODUCT(([1]OUT_FinalEnergyCons!$B$4:$B$10000="Var_Fin")*1,ISNUMBER(SEARCH("R*_ELC",[1]OUT_FinalEnergyCons!$C$4:$C$10000))*1, (ISNUMBER(SEARCH("RH*-SHELCBR",[1]OUT_FinalEnergyCons!$A$4:$A$10000)))*1,[1]OUT_FinalEnergyCons!D$4:D$10000)</f>
        <v>9.3768558635323878</v>
      </c>
      <c r="G975" s="1" cm="1">
        <f t="array" ref="G975">SUMPRODUCT(([1]OUT_FinalEnergyCons!$B$4:$B$10000="Var_Fin")*1,ISNUMBER(SEARCH("R*_ELC",[1]OUT_FinalEnergyCons!$C$4:$C$10000))*1, (ISNUMBER(SEARCH("RH*-SHELCBR",[1]OUT_FinalEnergyCons!$A$4:$A$10000)))*1,[1]OUT_FinalEnergyCons!E$4:E$10000)</f>
        <v>8.2980656533346249</v>
      </c>
      <c r="H975" s="1" cm="1">
        <f t="array" ref="H975">SUMPRODUCT(([1]OUT_FinalEnergyCons!$B$4:$B$10000="Var_Fin")*1,ISNUMBER(SEARCH("R*_ELC",[1]OUT_FinalEnergyCons!$C$4:$C$10000))*1, (ISNUMBER(SEARCH("RH*-SHELCBR",[1]OUT_FinalEnergyCons!$A$4:$A$10000)))*1,[1]OUT_FinalEnergyCons!F$4:F$10000)</f>
        <v>0.90846277768515604</v>
      </c>
      <c r="I975" s="1" cm="1">
        <f t="array" ref="I975">SUMPRODUCT(([1]OUT_FinalEnergyCons!$B$4:$B$10000="Var_Fin")*1,ISNUMBER(SEARCH("R*_ELC",[1]OUT_FinalEnergyCons!$C$4:$C$10000))*1, (ISNUMBER(SEARCH("RH*-SHELCBR",[1]OUT_FinalEnergyCons!$A$4:$A$10000)))*1,[1]OUT_FinalEnergyCons!G$4:G$10000)</f>
        <v>0.24495654566479869</v>
      </c>
      <c r="J975" s="1" cm="1">
        <f t="array" ref="J975">SUMPRODUCT(([2]OUT_FinalEnergyCons!$B$4:$B$10000="Var_Fin")*1,ISNUMBER(SEARCH("R*_ELC",[2]OUT_FinalEnergyCons!$C$4:$C$10000))*1, (ISNUMBER(SEARCH("RH*-SHELCBR",[2]OUT_FinalEnergyCons!$A$4:$A$10000)))*1,[2]OUT_FinalEnergyCons!H$4:H$10000)</f>
        <v>6.9397197204417296E-2</v>
      </c>
      <c r="K975" s="1" cm="1">
        <f t="array" ref="K975">SUMPRODUCT(([2]OUT_FinalEnergyCons!$B$4:$B$10000="Var_Fin")*1,ISNUMBER(SEARCH("R*_ELC",[2]OUT_FinalEnergyCons!$C$4:$C$10000))*1, (ISNUMBER(SEARCH("RH*-SHELCBR",[2]OUT_FinalEnergyCons!$A$4:$A$10000)))*1,[2]OUT_FinalEnergyCons!I$4:I$10000)</f>
        <v>4.4798487308596431E-2</v>
      </c>
      <c r="L975" s="1" cm="1">
        <f t="array" ref="L975">SUMPRODUCT(([2]OUT_FinalEnergyCons!$B$4:$B$10000="Var_Fin")*1,ISNUMBER(SEARCH("R*_ELC",[2]OUT_FinalEnergyCons!$C$4:$C$10000))*1, (ISNUMBER(SEARCH("RH*-SHELCBR",[2]OUT_FinalEnergyCons!$A$4:$A$10000)))*1,[2]OUT_FinalEnergyCons!J$4:J$10000)</f>
        <v>4.8462377056327E-2</v>
      </c>
      <c r="N975" s="1"/>
    </row>
    <row r="976" spans="2:14" x14ac:dyDescent="0.35">
      <c r="B976" s="5" t="str">
        <f t="shared" ref="B976:B980" si="1116">B975</f>
        <v>SPS1</v>
      </c>
      <c r="C976" s="5" t="str">
        <f t="shared" ref="C976:C980" si="1117">C975</f>
        <v>CH</v>
      </c>
      <c r="D976" t="s">
        <v>732</v>
      </c>
      <c r="E976" t="s">
        <v>8</v>
      </c>
      <c r="F976" s="1" cm="1">
        <f t="array" ref="F976">SUMPRODUCT(([1]OUT_FinalEnergyCons!$B$4:$B$10000="Var_Fin")*1,ISNUMBER(SEARCH("R*_ELC",[1]OUT_FinalEnergyCons!$C$4:$C$10000))*1, (ISNUMBER(SEARCH("RH*-SHELCHP",[1]OUT_FinalEnergyCons!$A$4:$A$10000)))*1,[1]OUT_FinalEnergyCons!D$4:D$10000)</f>
        <v>5.9563572682161574</v>
      </c>
      <c r="G976" s="1" cm="1">
        <f t="array" ref="G976">SUMPRODUCT(([1]OUT_FinalEnergyCons!$B$4:$B$10000="Var_Fin")*1,ISNUMBER(SEARCH("R*_ELC",[1]OUT_FinalEnergyCons!$C$4:$C$10000))*1, (ISNUMBER(SEARCH("RH*-SHELCHP",[1]OUT_FinalEnergyCons!$A$4:$A$10000)))*1,[1]OUT_FinalEnergyCons!E$4:E$10000)</f>
        <v>6.7838572973880238</v>
      </c>
      <c r="H976" s="1" cm="1">
        <f t="array" ref="H976">SUMPRODUCT(([1]OUT_FinalEnergyCons!$B$4:$B$10000="Var_Fin")*1,ISNUMBER(SEARCH("R*_ELC",[1]OUT_FinalEnergyCons!$C$4:$C$10000))*1, (ISNUMBER(SEARCH("RH*-SHELCHP",[1]OUT_FinalEnergyCons!$A$4:$A$10000)))*1,[1]OUT_FinalEnergyCons!F$4:F$10000)</f>
        <v>10.47971629249073</v>
      </c>
      <c r="I976" s="1" cm="1">
        <f t="array" ref="I976">SUMPRODUCT(([1]OUT_FinalEnergyCons!$B$4:$B$10000="Var_Fin")*1,ISNUMBER(SEARCH("R*_ELC",[1]OUT_FinalEnergyCons!$C$4:$C$10000))*1, (ISNUMBER(SEARCH("RH*-SHELCHP",[1]OUT_FinalEnergyCons!$A$4:$A$10000)))*1,[1]OUT_FinalEnergyCons!G$4:G$10000)</f>
        <v>12.448303356249005</v>
      </c>
      <c r="J976" s="1" cm="1">
        <f t="array" ref="J976">SUMPRODUCT(([2]OUT_FinalEnergyCons!$B$4:$B$10000="Var_Fin")*1,ISNUMBER(SEARCH("R*_ELC",[2]OUT_FinalEnergyCons!$C$4:$C$10000))*1, (ISNUMBER(SEARCH("RH*-SHELCHP",[2]OUT_FinalEnergyCons!$A$4:$A$10000)))*1,[2]OUT_FinalEnergyCons!H$4:H$10000)</f>
        <v>13.278525631111169</v>
      </c>
      <c r="K976" s="1" cm="1">
        <f t="array" ref="K976">SUMPRODUCT(([2]OUT_FinalEnergyCons!$B$4:$B$10000="Var_Fin")*1,ISNUMBER(SEARCH("R*_ELC",[2]OUT_FinalEnergyCons!$C$4:$C$10000))*1, (ISNUMBER(SEARCH("RH*-SHELCHP",[2]OUT_FinalEnergyCons!$A$4:$A$10000)))*1,[2]OUT_FinalEnergyCons!I$4:I$10000)</f>
        <v>13.807053300898842</v>
      </c>
      <c r="L976" s="1" cm="1">
        <f t="array" ref="L976">SUMPRODUCT(([2]OUT_FinalEnergyCons!$B$4:$B$10000="Var_Fin")*1,ISNUMBER(SEARCH("R*_ELC",[2]OUT_FinalEnergyCons!$C$4:$C$10000))*1, (ISNUMBER(SEARCH("RH*-SHELCHP",[2]OUT_FinalEnergyCons!$A$4:$A$10000)))*1,[2]OUT_FinalEnergyCons!J$4:J$10000)</f>
        <v>14.605824522969812</v>
      </c>
      <c r="N976" s="1"/>
    </row>
    <row r="977" spans="2:14" x14ac:dyDescent="0.35">
      <c r="B977" s="5" t="str">
        <f t="shared" si="1116"/>
        <v>SPS1</v>
      </c>
      <c r="C977" s="5" t="str">
        <f t="shared" si="1117"/>
        <v>CH</v>
      </c>
      <c r="D977" t="s">
        <v>1002</v>
      </c>
      <c r="E977" t="s">
        <v>8</v>
      </c>
      <c r="F977" s="1">
        <f>SUM(F978:F979)</f>
        <v>9.5599150445221976</v>
      </c>
      <c r="G977" s="1">
        <f t="shared" ref="G977:K977" si="1118">SUM(G978:G979)</f>
        <v>10.08530811018607</v>
      </c>
      <c r="H977" s="1">
        <f t="shared" si="1118"/>
        <v>8.5803447248568716</v>
      </c>
      <c r="I977" s="1">
        <f t="shared" si="1118"/>
        <v>8.0502474790138479</v>
      </c>
      <c r="J977" s="1">
        <f t="shared" si="1118"/>
        <v>8.1276251403132971</v>
      </c>
      <c r="K977" s="1">
        <f t="shared" si="1118"/>
        <v>8.4014622457516097</v>
      </c>
      <c r="L977" s="1">
        <f t="shared" ref="L977" si="1119">SUM(L978:L979)</f>
        <v>8.9654008759738577</v>
      </c>
      <c r="N977" s="1"/>
    </row>
    <row r="978" spans="2:14" x14ac:dyDescent="0.35">
      <c r="B978" s="5" t="str">
        <f t="shared" si="1116"/>
        <v>SPS1</v>
      </c>
      <c r="C978" s="5" t="str">
        <f t="shared" si="1117"/>
        <v>CH</v>
      </c>
      <c r="D978" t="s">
        <v>763</v>
      </c>
      <c r="E978" t="s">
        <v>8</v>
      </c>
      <c r="F978" s="1" cm="1">
        <f t="array" ref="F978">SUMPRODUCT(([1]OUT_FinalEnergyCons!$B$4:$B$10000="Var_Fin")*1,ISNUMBER(SEARCH("R*_ELC",[1]OUT_FinalEnergyCons!$C$4:$C$10000))*1, (ISNUMBER(SEARCH("RH*-wHELCBR",[1]OUT_FinalEnergyCons!$A$4:$A$10000)))*1,[1]OUT_FinalEnergyCons!D$4:D$10000)</f>
        <v>8.4110150088221491</v>
      </c>
      <c r="G978" s="1" cm="1">
        <f t="array" ref="G978">SUMPRODUCT(([1]OUT_FinalEnergyCons!$B$4:$B$10000="Var_Fin")*1,ISNUMBER(SEARCH("R*_ELC",[1]OUT_FinalEnergyCons!$C$4:$C$10000))*1, (ISNUMBER(SEARCH("RH*-wHELCBR",[1]OUT_FinalEnergyCons!$A$4:$A$10000)))*1,[1]OUT_FinalEnergyCons!E$4:E$10000)</f>
        <v>8.7988751001049934</v>
      </c>
      <c r="H978" s="1" cm="1">
        <f t="array" ref="H978">SUMPRODUCT(([1]OUT_FinalEnergyCons!$B$4:$B$10000="Var_Fin")*1,ISNUMBER(SEARCH("R*_ELC",[1]OUT_FinalEnergyCons!$C$4:$C$10000))*1, (ISNUMBER(SEARCH("RH*-wHELCBR",[1]OUT_FinalEnergyCons!$A$4:$A$10000)))*1,[1]OUT_FinalEnergyCons!F$4:F$10000)</f>
        <v>6.0584792174977826</v>
      </c>
      <c r="I978" s="1" cm="1">
        <f t="array" ref="I978">SUMPRODUCT(([1]OUT_FinalEnergyCons!$B$4:$B$10000="Var_Fin")*1,ISNUMBER(SEARCH("R*_ELC",[1]OUT_FinalEnergyCons!$C$4:$C$10000))*1, (ISNUMBER(SEARCH("RH*-wHELCBR",[1]OUT_FinalEnergyCons!$A$4:$A$10000)))*1,[1]OUT_FinalEnergyCons!G$4:G$10000)</f>
        <v>4.6228790996558304</v>
      </c>
      <c r="J978" s="1" cm="1">
        <f t="array" ref="J978">SUMPRODUCT(([2]OUT_FinalEnergyCons!$B$4:$B$10000="Var_Fin")*1,ISNUMBER(SEARCH("R*_ELC",[2]OUT_FinalEnergyCons!$C$4:$C$10000))*1, (ISNUMBER(SEARCH("RH*-wHELCBR",[2]OUT_FinalEnergyCons!$A$4:$A$10000)))*1,[2]OUT_FinalEnergyCons!H$4:H$10000)</f>
        <v>4.1109254277206393</v>
      </c>
      <c r="K978" s="1" cm="1">
        <f t="array" ref="K978">SUMPRODUCT(([2]OUT_FinalEnergyCons!$B$4:$B$10000="Var_Fin")*1,ISNUMBER(SEARCH("R*_ELC",[2]OUT_FinalEnergyCons!$C$4:$C$10000))*1, (ISNUMBER(SEARCH("RH*-wHELCBR",[2]OUT_FinalEnergyCons!$A$4:$A$10000)))*1,[2]OUT_FinalEnergyCons!I$4:I$10000)</f>
        <v>3.8594524034674356</v>
      </c>
      <c r="L978" s="1" cm="1">
        <f t="array" ref="L978">SUMPRODUCT(([2]OUT_FinalEnergyCons!$B$4:$B$10000="Var_Fin")*1,ISNUMBER(SEARCH("R*_ELC",[2]OUT_FinalEnergyCons!$C$4:$C$10000))*1, (ISNUMBER(SEARCH("RH*-wHELCBR",[2]OUT_FinalEnergyCons!$A$4:$A$10000)))*1,[2]OUT_FinalEnergyCons!J$4:J$10000)</f>
        <v>3.4348713144906875</v>
      </c>
      <c r="N978" s="1"/>
    </row>
    <row r="979" spans="2:14" x14ac:dyDescent="0.35">
      <c r="B979" s="5" t="str">
        <f t="shared" si="1116"/>
        <v>SPS1</v>
      </c>
      <c r="C979" s="5" t="str">
        <f t="shared" si="1117"/>
        <v>CH</v>
      </c>
      <c r="D979" t="s">
        <v>733</v>
      </c>
      <c r="E979" t="s">
        <v>8</v>
      </c>
      <c r="F979" s="1" cm="1">
        <f t="array" ref="F979">SUMPRODUCT(([1]OUT_FinalEnergyCons!$B$4:$B$10000="Var_Fin")*1,ISNUMBER(SEARCH("R*_ELC",[1]OUT_FinalEnergyCons!$C$4:$C$10000))*1, (ISNUMBER(SEARCH("RH*-wHELCHP",[1]OUT_FinalEnergyCons!$A$4:$A$10000)))*1,[1]OUT_FinalEnergyCons!D$4:D$10000)</f>
        <v>1.1489000357000481</v>
      </c>
      <c r="G979" s="1" cm="1">
        <f t="array" ref="G979">SUMPRODUCT(([1]OUT_FinalEnergyCons!$B$4:$B$10000="Var_Fin")*1,ISNUMBER(SEARCH("R*_ELC",[1]OUT_FinalEnergyCons!$C$4:$C$10000))*1, (ISNUMBER(SEARCH("RH*-wHELCHP",[1]OUT_FinalEnergyCons!$A$4:$A$10000)))*1,[1]OUT_FinalEnergyCons!E$4:E$10000)</f>
        <v>1.2864330100810752</v>
      </c>
      <c r="H979" s="1" cm="1">
        <f t="array" ref="H979">SUMPRODUCT(([1]OUT_FinalEnergyCons!$B$4:$B$10000="Var_Fin")*1,ISNUMBER(SEARCH("R*_ELC",[1]OUT_FinalEnergyCons!$C$4:$C$10000))*1, (ISNUMBER(SEARCH("RH*-wHELCHP",[1]OUT_FinalEnergyCons!$A$4:$A$10000)))*1,[1]OUT_FinalEnergyCons!F$4:F$10000)</f>
        <v>2.5218655073590899</v>
      </c>
      <c r="I979" s="1" cm="1">
        <f t="array" ref="I979">SUMPRODUCT(([1]OUT_FinalEnergyCons!$B$4:$B$10000="Var_Fin")*1,ISNUMBER(SEARCH("R*_ELC",[1]OUT_FinalEnergyCons!$C$4:$C$10000))*1, (ISNUMBER(SEARCH("RH*-wHELCHP",[1]OUT_FinalEnergyCons!$A$4:$A$10000)))*1,[1]OUT_FinalEnergyCons!G$4:G$10000)</f>
        <v>3.427368379358017</v>
      </c>
      <c r="J979" s="1" cm="1">
        <f t="array" ref="J979">SUMPRODUCT(([2]OUT_FinalEnergyCons!$B$4:$B$10000="Var_Fin")*1,ISNUMBER(SEARCH("R*_ELC",[2]OUT_FinalEnergyCons!$C$4:$C$10000))*1, (ISNUMBER(SEARCH("RH*-wHELCHP",[2]OUT_FinalEnergyCons!$A$4:$A$10000)))*1,[2]OUT_FinalEnergyCons!H$4:H$10000)</f>
        <v>4.0166997125926578</v>
      </c>
      <c r="K979" s="1" cm="1">
        <f t="array" ref="K979">SUMPRODUCT(([2]OUT_FinalEnergyCons!$B$4:$B$10000="Var_Fin")*1,ISNUMBER(SEARCH("R*_ELC",[2]OUT_FinalEnergyCons!$C$4:$C$10000))*1, (ISNUMBER(SEARCH("RH*-wHELCHP",[2]OUT_FinalEnergyCons!$A$4:$A$10000)))*1,[2]OUT_FinalEnergyCons!I$4:I$10000)</f>
        <v>4.5420098422841741</v>
      </c>
      <c r="L979" s="1" cm="1">
        <f t="array" ref="L979">SUMPRODUCT(([2]OUT_FinalEnergyCons!$B$4:$B$10000="Var_Fin")*1,ISNUMBER(SEARCH("R*_ELC",[2]OUT_FinalEnergyCons!$C$4:$C$10000))*1, (ISNUMBER(SEARCH("RH*-wHELCHP",[2]OUT_FinalEnergyCons!$A$4:$A$10000)))*1,[2]OUT_FinalEnergyCons!J$4:J$10000)</f>
        <v>5.5305295614831698</v>
      </c>
      <c r="N979" s="1"/>
    </row>
    <row r="980" spans="2:14" x14ac:dyDescent="0.35">
      <c r="B980" s="5" t="str">
        <f t="shared" si="1116"/>
        <v>SPS1</v>
      </c>
      <c r="C980" s="5" t="str">
        <f t="shared" si="1117"/>
        <v>CH</v>
      </c>
      <c r="D980" t="s">
        <v>1003</v>
      </c>
      <c r="E980" t="s">
        <v>8</v>
      </c>
      <c r="F980" s="1">
        <f>[1]Residential!B$3-([1]Residential!B$10-[1]Residential!B$244)</f>
        <v>44.576905675476212</v>
      </c>
      <c r="G980" s="1">
        <f>[1]Residential!C$3-([1]Residential!C$10-[1]Residential!C$244)</f>
        <v>44.861180662748197</v>
      </c>
      <c r="H980" s="1">
        <f>[1]Residential!D$3-([1]Residential!D$10-[1]Residential!D$244)</f>
        <v>49.523391932068883</v>
      </c>
      <c r="I980" s="1">
        <f>[1]Residential!E$3-([1]Residential!E$10-[1]Residential!E$244)</f>
        <v>50.016883451970948</v>
      </c>
      <c r="J980" s="1">
        <f>[2]Residential!F$3-([2]Residential!F$10-[2]Residential!F$244)</f>
        <v>50.505141742178317</v>
      </c>
      <c r="K980" s="1">
        <f>[2]Residential!G$3-([2]Residential!G$10-[2]Residential!G$244)</f>
        <v>50.54832211872683</v>
      </c>
      <c r="L980" s="1">
        <f>[2]Residential!H$3-([2]Residential!H$10-[2]Residential!H$244)</f>
        <v>50.05975592092944</v>
      </c>
      <c r="N980" s="1"/>
    </row>
    <row r="981" spans="2:14" x14ac:dyDescent="0.35">
      <c r="B981" s="5" t="str">
        <f>B980</f>
        <v>SPS1</v>
      </c>
      <c r="C981" s="5" t="str">
        <f>C980</f>
        <v>CH</v>
      </c>
      <c r="D981" t="s">
        <v>676</v>
      </c>
      <c r="E981" t="s">
        <v>8</v>
      </c>
      <c r="F981" s="1">
        <f>SUM([1]Residential!B$16:B$17)</f>
        <v>60.231828915783481</v>
      </c>
      <c r="G981" s="1">
        <f>SUM([1]Residential!C$16:C$17)</f>
        <v>51.320008617506552</v>
      </c>
      <c r="H981" s="1">
        <f>SUM([1]Residential!D$16:D$17)</f>
        <v>50.991284394842808</v>
      </c>
      <c r="I981" s="1">
        <f>SUM([1]Residential!E$16:E$17)</f>
        <v>33.332695651666882</v>
      </c>
      <c r="J981" s="1">
        <f>SUM([2]Residential!F$16:F$17)</f>
        <v>24.435831884659905</v>
      </c>
      <c r="K981" s="1">
        <f>SUM([2]Residential!G$16:G$17)</f>
        <v>18.442128480449462</v>
      </c>
      <c r="L981" s="1">
        <f>SUM([2]Residential!H$16:H$17)</f>
        <v>6.9776354289926807</v>
      </c>
      <c r="N981" s="1"/>
    </row>
    <row r="982" spans="2:14" x14ac:dyDescent="0.35">
      <c r="B982" s="5" t="str">
        <f t="shared" ref="B982:B993" si="1120">B981</f>
        <v>SPS1</v>
      </c>
      <c r="C982" s="5" t="str">
        <f t="shared" ref="C982:C993" si="1121">C981</f>
        <v>CH</v>
      </c>
      <c r="D982" t="s">
        <v>1004</v>
      </c>
      <c r="E982" t="s">
        <v>8</v>
      </c>
      <c r="F982" s="1">
        <f>[1]Residential!B$16</f>
        <v>60.231828915783481</v>
      </c>
      <c r="G982" s="1">
        <f>[1]Residential!C$16</f>
        <v>51.320008617506552</v>
      </c>
      <c r="H982" s="1">
        <f>[1]Residential!D$16</f>
        <v>50.991262938038375</v>
      </c>
      <c r="I982" s="1">
        <f>[1]Residential!E$16</f>
        <v>33.332629373233573</v>
      </c>
      <c r="J982" s="1">
        <f>[2]Residential!F$16</f>
        <v>24.435553013925272</v>
      </c>
      <c r="K982" s="1">
        <f>[2]Residential!G$16</f>
        <v>18.441937286957607</v>
      </c>
      <c r="L982" s="1">
        <f>[2]Residential!H$16</f>
        <v>6.977504765707482</v>
      </c>
      <c r="N982" s="1"/>
    </row>
    <row r="983" spans="2:14" x14ac:dyDescent="0.35">
      <c r="B983" s="5" t="str">
        <f t="shared" si="1120"/>
        <v>SPS1</v>
      </c>
      <c r="C983" s="5" t="str">
        <f t="shared" si="1121"/>
        <v>CH</v>
      </c>
      <c r="D983" t="s">
        <v>1005</v>
      </c>
      <c r="E983" t="s">
        <v>8</v>
      </c>
      <c r="F983" s="1">
        <f>[1]Residential!B$17</f>
        <v>0</v>
      </c>
      <c r="G983" s="1">
        <f>[1]Residential!C$17</f>
        <v>0</v>
      </c>
      <c r="H983" s="1">
        <f>[1]Residential!D$17</f>
        <v>2.1456804431857636E-5</v>
      </c>
      <c r="I983" s="1">
        <f>[1]Residential!E$17</f>
        <v>6.627843330687327E-5</v>
      </c>
      <c r="J983" s="1">
        <f>[2]Residential!F$17</f>
        <v>2.7887073463090718E-4</v>
      </c>
      <c r="K983" s="1">
        <f>[2]Residential!G$17</f>
        <v>1.9119349185557687E-4</v>
      </c>
      <c r="L983" s="1">
        <f>[2]Residential!H$17</f>
        <v>1.3066328519896256E-4</v>
      </c>
      <c r="N983" s="1"/>
    </row>
    <row r="984" spans="2:14" x14ac:dyDescent="0.35">
      <c r="B984" s="5" t="str">
        <f t="shared" si="1120"/>
        <v>SPS1</v>
      </c>
      <c r="C984" s="5" t="str">
        <f t="shared" si="1121"/>
        <v>CH</v>
      </c>
      <c r="D984" t="s">
        <v>1006</v>
      </c>
      <c r="E984" t="s">
        <v>8</v>
      </c>
      <c r="F984" s="1">
        <f>SUM(F986,F988)</f>
        <v>50.37141726301806</v>
      </c>
      <c r="G984" s="1">
        <f t="shared" ref="G984:K984" si="1122">SUM(G986,G988)</f>
        <v>43.018247563402902</v>
      </c>
      <c r="H984" s="1">
        <f t="shared" si="1122"/>
        <v>41.712291036065039</v>
      </c>
      <c r="I984" s="1">
        <f t="shared" si="1122"/>
        <v>27.434962439871903</v>
      </c>
      <c r="J984" s="1">
        <f t="shared" si="1122"/>
        <v>20.182660671532602</v>
      </c>
      <c r="K984" s="1">
        <f t="shared" si="1122"/>
        <v>15.141352150361069</v>
      </c>
      <c r="L984" s="1">
        <f t="shared" ref="L984" si="1123">SUM(L986,L988)</f>
        <v>5.3551616838819029</v>
      </c>
      <c r="N984" s="1"/>
    </row>
    <row r="985" spans="2:14" x14ac:dyDescent="0.35">
      <c r="B985" s="5" t="str">
        <f t="shared" si="1120"/>
        <v>SPS1</v>
      </c>
      <c r="C985" s="5" t="str">
        <f t="shared" si="1121"/>
        <v>CH</v>
      </c>
      <c r="D985" t="s">
        <v>708</v>
      </c>
      <c r="E985" t="s">
        <v>8</v>
      </c>
      <c r="F985" s="1" cm="1">
        <f t="array" ref="F985">SUMPRODUCT(([1]OUT_FinalEnergyCons!$B$4:$B$10000="Var_Fin")*1, ([1]OUT_FinalEnergyCons!$C$4:$C$10000="RLFO")*1,(ISNUMBER(SEARCH("RH*-SHLFOBR",[1]OUT_FinalEnergyCons!$A$4:$A$10000)))*1,[1]OUT_FinalEnergyCons!D$4:D$10000)</f>
        <v>50.37141726301806</v>
      </c>
      <c r="G985" s="1" cm="1">
        <f t="array" ref="G985">SUMPRODUCT(([1]OUT_FinalEnergyCons!$B$4:$B$10000="Var_Fin")*1, ([1]OUT_FinalEnergyCons!$C$4:$C$10000="RLFO")*1,(ISNUMBER(SEARCH("RH*-SHLFOBR",[1]OUT_FinalEnergyCons!$A$4:$A$10000)))*1,[1]OUT_FinalEnergyCons!E$4:E$10000)</f>
        <v>43.018247563402902</v>
      </c>
      <c r="H985" s="1" cm="1">
        <f t="array" ref="H985">SUMPRODUCT(([1]OUT_FinalEnergyCons!$B$4:$B$10000="Var_Fin")*1, ([1]OUT_FinalEnergyCons!$C$4:$C$10000="RLFO")*1,(ISNUMBER(SEARCH("RH*-SHLFOBR",[1]OUT_FinalEnergyCons!$A$4:$A$10000)))*1,[1]OUT_FinalEnergyCons!F$4:F$10000)</f>
        <v>41.712291036065039</v>
      </c>
      <c r="I985" s="1" cm="1">
        <f t="array" ref="I985">SUMPRODUCT(([1]OUT_FinalEnergyCons!$B$4:$B$10000="Var_Fin")*1, ([1]OUT_FinalEnergyCons!$C$4:$C$10000="RLFO")*1,(ISNUMBER(SEARCH("RH*-SHLFOBR",[1]OUT_FinalEnergyCons!$A$4:$A$10000)))*1,[1]OUT_FinalEnergyCons!G$4:G$10000)</f>
        <v>27.434962439871903</v>
      </c>
      <c r="J985" s="1" cm="1">
        <f t="array" ref="J985">SUMPRODUCT(([2]OUT_FinalEnergyCons!$B$4:$B$10000="Var_Fin")*1, ([2]OUT_FinalEnergyCons!$C$4:$C$10000="RLFO")*1,(ISNUMBER(SEARCH("RH*-SHLFOBR",[2]OUT_FinalEnergyCons!$A$4:$A$10000)))*1,[2]OUT_FinalEnergyCons!H$4:H$10000)</f>
        <v>20.182660671532602</v>
      </c>
      <c r="K985" s="1" cm="1">
        <f t="array" ref="K985">SUMPRODUCT(([2]OUT_FinalEnergyCons!$B$4:$B$10000="Var_Fin")*1, ([2]OUT_FinalEnergyCons!$C$4:$C$10000="RLFO")*1,(ISNUMBER(SEARCH("RH*-SHLFOBR",[2]OUT_FinalEnergyCons!$A$4:$A$10000)))*1,[2]OUT_FinalEnergyCons!I$4:I$10000)</f>
        <v>15.141352150361069</v>
      </c>
      <c r="L985" s="1" cm="1">
        <f t="array" ref="L985">SUMPRODUCT(([2]OUT_FinalEnergyCons!$B$4:$B$10000="Var_Fin")*1, ([2]OUT_FinalEnergyCons!$C$4:$C$10000="RLFO")*1,(ISNUMBER(SEARCH("RH*-SHLFOBR",[2]OUT_FinalEnergyCons!$A$4:$A$10000)))*1,[2]OUT_FinalEnergyCons!J$4:J$10000)</f>
        <v>5.3551616838819029</v>
      </c>
      <c r="N985" s="1"/>
    </row>
    <row r="986" spans="2:14" x14ac:dyDescent="0.35">
      <c r="B986" s="5" t="str">
        <f t="shared" si="1120"/>
        <v>SPS1</v>
      </c>
      <c r="C986" s="5" t="str">
        <f t="shared" si="1121"/>
        <v>CH</v>
      </c>
      <c r="D986" t="s">
        <v>1007</v>
      </c>
      <c r="E986" t="s">
        <v>8</v>
      </c>
      <c r="F986" s="1">
        <f>F987</f>
        <v>50.37141726301806</v>
      </c>
      <c r="G986" s="1">
        <f t="shared" ref="G986:L986" si="1124">G987</f>
        <v>43.018247563402902</v>
      </c>
      <c r="H986" s="1">
        <f t="shared" si="1124"/>
        <v>41.712273483801319</v>
      </c>
      <c r="I986" s="1">
        <f t="shared" si="1124"/>
        <v>27.43490788843846</v>
      </c>
      <c r="J986" s="1">
        <f t="shared" si="1124"/>
        <v>20.182430339558032</v>
      </c>
      <c r="K986" s="1">
        <f t="shared" si="1124"/>
        <v>15.141195176723667</v>
      </c>
      <c r="L986" s="1">
        <f t="shared" si="1124"/>
        <v>5.3550614030596231</v>
      </c>
      <c r="N986" s="1"/>
    </row>
    <row r="987" spans="2:14" x14ac:dyDescent="0.35">
      <c r="B987" s="5" t="str">
        <f t="shared" si="1120"/>
        <v>SPS1</v>
      </c>
      <c r="C987" s="5" t="str">
        <f t="shared" si="1121"/>
        <v>CH</v>
      </c>
      <c r="D987" t="s">
        <v>709</v>
      </c>
      <c r="E987" t="s">
        <v>8</v>
      </c>
      <c r="F987" s="1">
        <f>F985*IFERROR(F982/F981,0)</f>
        <v>50.37141726301806</v>
      </c>
      <c r="G987" s="1">
        <f t="shared" ref="G987:K987" si="1125">G985*IFERROR(G982/G981,0)</f>
        <v>43.018247563402902</v>
      </c>
      <c r="H987" s="1">
        <f t="shared" si="1125"/>
        <v>41.712273483801319</v>
      </c>
      <c r="I987" s="1">
        <f t="shared" si="1125"/>
        <v>27.43490788843846</v>
      </c>
      <c r="J987" s="1">
        <f t="shared" si="1125"/>
        <v>20.182430339558032</v>
      </c>
      <c r="K987" s="1">
        <f t="shared" si="1125"/>
        <v>15.141195176723667</v>
      </c>
      <c r="L987" s="1">
        <f t="shared" ref="L987" si="1126">L985*IFERROR(L982/L981,0)</f>
        <v>5.3550614030596231</v>
      </c>
      <c r="N987" s="1"/>
    </row>
    <row r="988" spans="2:14" x14ac:dyDescent="0.35">
      <c r="B988" s="5" t="str">
        <f t="shared" si="1120"/>
        <v>SPS1</v>
      </c>
      <c r="C988" s="5" t="str">
        <f t="shared" si="1121"/>
        <v>CH</v>
      </c>
      <c r="D988" t="s">
        <v>1008</v>
      </c>
      <c r="E988" t="s">
        <v>8</v>
      </c>
      <c r="F988" s="1">
        <f>F989</f>
        <v>0</v>
      </c>
      <c r="G988" s="1">
        <f t="shared" ref="G988:L988" si="1127">G989</f>
        <v>0</v>
      </c>
      <c r="H988" s="1">
        <f t="shared" si="1127"/>
        <v>1.7552263720688188E-5</v>
      </c>
      <c r="I988" s="1">
        <f t="shared" si="1127"/>
        <v>5.4551433443350561E-5</v>
      </c>
      <c r="J988" s="1">
        <f t="shared" si="1127"/>
        <v>2.3033197457067445E-4</v>
      </c>
      <c r="K988" s="1">
        <f t="shared" si="1127"/>
        <v>1.569736374023023E-4</v>
      </c>
      <c r="L988" s="1">
        <f t="shared" si="1127"/>
        <v>1.0028082227986346E-4</v>
      </c>
      <c r="N988" s="1"/>
    </row>
    <row r="989" spans="2:14" x14ac:dyDescent="0.35">
      <c r="B989" s="5" t="str">
        <f t="shared" si="1120"/>
        <v>SPS1</v>
      </c>
      <c r="C989" s="5" t="str">
        <f t="shared" si="1121"/>
        <v>CH</v>
      </c>
      <c r="D989" t="s">
        <v>710</v>
      </c>
      <c r="E989" t="s">
        <v>8</v>
      </c>
      <c r="F989" s="1">
        <f>F985-F987</f>
        <v>0</v>
      </c>
      <c r="G989" s="1">
        <f t="shared" ref="G989:K989" si="1128">G985-G987</f>
        <v>0</v>
      </c>
      <c r="H989" s="1">
        <f t="shared" si="1128"/>
        <v>1.7552263720688188E-5</v>
      </c>
      <c r="I989" s="1">
        <f t="shared" si="1128"/>
        <v>5.4551433443350561E-5</v>
      </c>
      <c r="J989" s="1">
        <f t="shared" si="1128"/>
        <v>2.3033197457067445E-4</v>
      </c>
      <c r="K989" s="1">
        <f t="shared" si="1128"/>
        <v>1.569736374023023E-4</v>
      </c>
      <c r="L989" s="1">
        <f t="shared" ref="L989" si="1129">L985-L987</f>
        <v>1.0028082227986346E-4</v>
      </c>
      <c r="N989" s="1"/>
    </row>
    <row r="990" spans="2:14" x14ac:dyDescent="0.35">
      <c r="B990" s="5" t="str">
        <f t="shared" si="1120"/>
        <v>SPS1</v>
      </c>
      <c r="C990" s="5" t="str">
        <f t="shared" si="1121"/>
        <v>CH</v>
      </c>
      <c r="D990" t="s">
        <v>1009</v>
      </c>
      <c r="E990" t="s">
        <v>8</v>
      </c>
      <c r="F990" s="1">
        <f>F991</f>
        <v>9.8604116527654213</v>
      </c>
      <c r="G990" s="1">
        <f t="shared" ref="G990:L990" si="1130">G991</f>
        <v>8.3017610541036557</v>
      </c>
      <c r="H990" s="1">
        <f t="shared" si="1130"/>
        <v>9.2789933587777718</v>
      </c>
      <c r="I990" s="1">
        <f t="shared" si="1130"/>
        <v>5.8977332117949812</v>
      </c>
      <c r="J990" s="1">
        <f t="shared" si="1130"/>
        <v>4.2531712131272981</v>
      </c>
      <c r="K990" s="1">
        <f t="shared" si="1130"/>
        <v>3.3007763300883917</v>
      </c>
      <c r="L990" s="1">
        <f t="shared" si="1130"/>
        <v>1.622473745110778</v>
      </c>
      <c r="N990" s="1"/>
    </row>
    <row r="991" spans="2:14" x14ac:dyDescent="0.35">
      <c r="B991" s="5" t="str">
        <f t="shared" si="1120"/>
        <v>SPS1</v>
      </c>
      <c r="C991" s="5" t="str">
        <f t="shared" si="1121"/>
        <v>CH</v>
      </c>
      <c r="D991" t="s">
        <v>711</v>
      </c>
      <c r="E991" t="s">
        <v>8</v>
      </c>
      <c r="F991" s="1" cm="1">
        <f t="array" ref="F991">SUMPRODUCT(([1]OUT_FinalEnergyCons!$B$4:$B$10000="Var_Fin")*1, ([1]OUT_FinalEnergyCons!$C$4:$C$10000="RLFO")*1,(ISNUMBER(SEARCH("RH*-wHLFOBR",[1]OUT_FinalEnergyCons!$A$4:$A$10000)))*1,[1]OUT_FinalEnergyCons!D$4:D$10000)</f>
        <v>9.8604116527654213</v>
      </c>
      <c r="G991" s="1" cm="1">
        <f t="array" ref="G991">SUMPRODUCT(([1]OUT_FinalEnergyCons!$B$4:$B$10000="Var_Fin")*1, ([1]OUT_FinalEnergyCons!$C$4:$C$10000="RLFO")*1,(ISNUMBER(SEARCH("RH*-wHLFOBR",[1]OUT_FinalEnergyCons!$A$4:$A$10000)))*1,[1]OUT_FinalEnergyCons!E$4:E$10000)</f>
        <v>8.3017610541036557</v>
      </c>
      <c r="H991" s="1" cm="1">
        <f t="array" ref="H991">SUMPRODUCT(([1]OUT_FinalEnergyCons!$B$4:$B$10000="Var_Fin")*1, ([1]OUT_FinalEnergyCons!$C$4:$C$10000="RLFO")*1,(ISNUMBER(SEARCH("RH*-wHLFOBR",[1]OUT_FinalEnergyCons!$A$4:$A$10000)))*1,[1]OUT_FinalEnergyCons!F$4:F$10000)</f>
        <v>9.2789933587777718</v>
      </c>
      <c r="I991" s="1" cm="1">
        <f t="array" ref="I991">SUMPRODUCT(([1]OUT_FinalEnergyCons!$B$4:$B$10000="Var_Fin")*1, ([1]OUT_FinalEnergyCons!$C$4:$C$10000="RLFO")*1,(ISNUMBER(SEARCH("RH*-wHLFOBR",[1]OUT_FinalEnergyCons!$A$4:$A$10000)))*1,[1]OUT_FinalEnergyCons!G$4:G$10000)</f>
        <v>5.8977332117949812</v>
      </c>
      <c r="J991" s="1" cm="1">
        <f t="array" ref="J991">SUMPRODUCT(([2]OUT_FinalEnergyCons!$B$4:$B$10000="Var_Fin")*1, ([2]OUT_FinalEnergyCons!$C$4:$C$10000="RLFO")*1,(ISNUMBER(SEARCH("RH*-wHLFOBR",[2]OUT_FinalEnergyCons!$A$4:$A$10000)))*1,[2]OUT_FinalEnergyCons!H$4:H$10000)</f>
        <v>4.2531712131272981</v>
      </c>
      <c r="K991" s="1" cm="1">
        <f t="array" ref="K991">SUMPRODUCT(([2]OUT_FinalEnergyCons!$B$4:$B$10000="Var_Fin")*1, ([2]OUT_FinalEnergyCons!$C$4:$C$10000="RLFO")*1,(ISNUMBER(SEARCH("RH*-wHLFOBR",[2]OUT_FinalEnergyCons!$A$4:$A$10000)))*1,[2]OUT_FinalEnergyCons!I$4:I$10000)</f>
        <v>3.3007763300883917</v>
      </c>
      <c r="L991" s="1" cm="1">
        <f t="array" ref="L991">SUMPRODUCT(([2]OUT_FinalEnergyCons!$B$4:$B$10000="Var_Fin")*1, ([2]OUT_FinalEnergyCons!$C$4:$C$10000="RLFO")*1,(ISNUMBER(SEARCH("RH*-wHLFOBR",[2]OUT_FinalEnergyCons!$A$4:$A$10000)))*1,[2]OUT_FinalEnergyCons!J$4:J$10000)</f>
        <v>1.622473745110778</v>
      </c>
      <c r="N991" s="1"/>
    </row>
    <row r="992" spans="2:14" x14ac:dyDescent="0.35">
      <c r="B992" s="5" t="str">
        <f t="shared" si="1120"/>
        <v>SPS1</v>
      </c>
      <c r="C992" s="5" t="str">
        <f t="shared" si="1121"/>
        <v>CH</v>
      </c>
      <c r="D992" t="s">
        <v>712</v>
      </c>
      <c r="E992" t="s">
        <v>8</v>
      </c>
      <c r="F992" s="1">
        <f>IFERROR(F982/F981,0)*F991</f>
        <v>9.8604116527654213</v>
      </c>
      <c r="G992" s="1">
        <f t="shared" ref="G992:K992" si="1131">IFERROR(G982/G981,0)*G991</f>
        <v>8.3017610541036557</v>
      </c>
      <c r="H992" s="1">
        <f t="shared" si="1131"/>
        <v>9.2789894542370597</v>
      </c>
      <c r="I992" s="1">
        <f t="shared" si="1131"/>
        <v>5.8977214847951185</v>
      </c>
      <c r="J992" s="1">
        <f t="shared" si="1131"/>
        <v>4.2531226743672379</v>
      </c>
      <c r="K992" s="1">
        <f t="shared" si="1131"/>
        <v>3.3007421102339398</v>
      </c>
      <c r="L992" s="1">
        <f t="shared" ref="L992" si="1132">IFERROR(L982/L981,0)*L991</f>
        <v>1.6224433626478587</v>
      </c>
      <c r="N992" s="1"/>
    </row>
    <row r="993" spans="2:14" x14ac:dyDescent="0.35">
      <c r="B993" s="5" t="str">
        <f t="shared" si="1120"/>
        <v>SPS1</v>
      </c>
      <c r="C993" s="5" t="str">
        <f t="shared" si="1121"/>
        <v>CH</v>
      </c>
      <c r="D993" t="s">
        <v>713</v>
      </c>
      <c r="E993" t="s">
        <v>8</v>
      </c>
      <c r="F993" s="1">
        <f>F991-F992</f>
        <v>0</v>
      </c>
      <c r="G993" s="1">
        <f t="shared" ref="G993:K993" si="1133">G991-G992</f>
        <v>0</v>
      </c>
      <c r="H993" s="1">
        <f t="shared" si="1133"/>
        <v>3.904540712085236E-6</v>
      </c>
      <c r="I993" s="1">
        <f t="shared" si="1133"/>
        <v>1.1726999862737841E-5</v>
      </c>
      <c r="J993" s="1">
        <f t="shared" si="1133"/>
        <v>4.8538760060168329E-5</v>
      </c>
      <c r="K993" s="1">
        <f t="shared" si="1133"/>
        <v>3.4219854451844611E-5</v>
      </c>
      <c r="L993" s="1">
        <f t="shared" ref="L993" si="1134">L991-L992</f>
        <v>3.0382462919309461E-5</v>
      </c>
      <c r="N993" s="1"/>
    </row>
    <row r="994" spans="2:14" x14ac:dyDescent="0.35">
      <c r="B994" s="5" t="str">
        <f>B993</f>
        <v>SPS1</v>
      </c>
      <c r="C994" s="5" t="str">
        <f>C993</f>
        <v>CH</v>
      </c>
      <c r="D994" t="s">
        <v>677</v>
      </c>
      <c r="E994" t="s">
        <v>8</v>
      </c>
      <c r="F994" s="1">
        <f>SUM(F995:F996)</f>
        <v>47.001919445206745</v>
      </c>
      <c r="G994" s="1">
        <f t="shared" ref="G994:K994" si="1135">SUM(G995:G996)</f>
        <v>47.59516920299118</v>
      </c>
      <c r="H994" s="1">
        <f t="shared" si="1135"/>
        <v>48.140007721848946</v>
      </c>
      <c r="I994" s="1">
        <f t="shared" si="1135"/>
        <v>43.564815244894859</v>
      </c>
      <c r="J994" s="1">
        <f t="shared" si="1135"/>
        <v>38.266993287065198</v>
      </c>
      <c r="K994" s="1">
        <f t="shared" si="1135"/>
        <v>33.34762319668458</v>
      </c>
      <c r="L994" s="1">
        <f t="shared" ref="L994" si="1136">SUM(L995:L996)</f>
        <v>24.536622241089752</v>
      </c>
      <c r="N994" s="1"/>
    </row>
    <row r="995" spans="2:14" x14ac:dyDescent="0.35">
      <c r="B995" s="5" t="str">
        <f t="shared" ref="B995:B1055" si="1137">B994</f>
        <v>SPS1</v>
      </c>
      <c r="C995" s="5" t="str">
        <f t="shared" ref="C995:C1055" si="1138">C994</f>
        <v>CH</v>
      </c>
      <c r="D995" t="s">
        <v>1010</v>
      </c>
      <c r="E995" t="s">
        <v>8</v>
      </c>
      <c r="F995" s="1">
        <f>[1]Residential!B$18</f>
        <v>46.691551575696771</v>
      </c>
      <c r="G995" s="1">
        <f>[1]Residential!C$18</f>
        <v>45.248017789277483</v>
      </c>
      <c r="H995" s="1">
        <f>[1]Residential!D$18</f>
        <v>47.61151836864952</v>
      </c>
      <c r="I995" s="1">
        <f>[1]Residential!E$18</f>
        <v>43.564118781118502</v>
      </c>
      <c r="J995" s="1">
        <f>[2]Residential!F$18</f>
        <v>38.250926158699116</v>
      </c>
      <c r="K995" s="1">
        <f>[2]Residential!G$18</f>
        <v>33.347522526822715</v>
      </c>
      <c r="L995" s="1">
        <f>[2]Residential!H$18</f>
        <v>24.536569451324727</v>
      </c>
      <c r="N995" s="1"/>
    </row>
    <row r="996" spans="2:14" x14ac:dyDescent="0.35">
      <c r="B996" s="5" t="str">
        <f t="shared" si="1137"/>
        <v>SPS1</v>
      </c>
      <c r="C996" s="5" t="str">
        <f t="shared" si="1138"/>
        <v>CH</v>
      </c>
      <c r="D996" t="s">
        <v>1011</v>
      </c>
      <c r="E996" t="s">
        <v>8</v>
      </c>
      <c r="F996" s="1">
        <f>[1]Residential!B$19</f>
        <v>0.31036786950997175</v>
      </c>
      <c r="G996" s="1">
        <f>[1]Residential!C$19</f>
        <v>2.3471514137136982</v>
      </c>
      <c r="H996" s="1">
        <f>[1]Residential!D$19</f>
        <v>0.52848935319942258</v>
      </c>
      <c r="I996" s="1">
        <f>[1]Residential!E$19</f>
        <v>6.9646377635419656E-4</v>
      </c>
      <c r="J996" s="1">
        <f>[2]Residential!F$19</f>
        <v>1.6067128366080687E-2</v>
      </c>
      <c r="K996" s="1">
        <f>[2]Residential!G$19</f>
        <v>1.0066986186431614E-4</v>
      </c>
      <c r="L996" s="1">
        <f>[2]Residential!H$19</f>
        <v>5.2789765024952552E-5</v>
      </c>
      <c r="N996" s="1"/>
    </row>
    <row r="997" spans="2:14" x14ac:dyDescent="0.35">
      <c r="B997" s="5" t="str">
        <f t="shared" si="1137"/>
        <v>SPS1</v>
      </c>
      <c r="C997" s="5" t="str">
        <f t="shared" si="1138"/>
        <v>CH</v>
      </c>
      <c r="D997" t="s">
        <v>1012</v>
      </c>
      <c r="E997" t="s">
        <v>8</v>
      </c>
      <c r="F997" s="1">
        <f>SUM(F998:F999)</f>
        <v>38.494651042753972</v>
      </c>
      <c r="G997" s="1">
        <f t="shared" ref="G997:K997" si="1139">SUM(G998:G999)</f>
        <v>40.763133000031907</v>
      </c>
      <c r="H997" s="1">
        <f t="shared" si="1139"/>
        <v>37.483968734874701</v>
      </c>
      <c r="I997" s="1">
        <f t="shared" si="1139"/>
        <v>34.487802728083921</v>
      </c>
      <c r="J997" s="1">
        <f t="shared" si="1139"/>
        <v>30.286413004684636</v>
      </c>
      <c r="K997" s="1">
        <f t="shared" si="1139"/>
        <v>26.150436172885307</v>
      </c>
      <c r="L997" s="1">
        <f t="shared" ref="L997" si="1140">SUM(L998:L999)</f>
        <v>18.658005199512925</v>
      </c>
      <c r="N997" s="1"/>
    </row>
    <row r="998" spans="2:14" x14ac:dyDescent="0.35">
      <c r="B998" s="5" t="str">
        <f t="shared" si="1137"/>
        <v>SPS1</v>
      </c>
      <c r="C998" s="5" t="str">
        <f t="shared" si="1138"/>
        <v>CH</v>
      </c>
      <c r="D998" t="s">
        <v>714</v>
      </c>
      <c r="E998" t="s">
        <v>8</v>
      </c>
      <c r="F998" s="1" cm="1">
        <f t="array" ref="F998">SUMPRODUCT(([1]OUT_FinalEnergyCons!$B$4:$B$10000="Var_Fin")*1,([1]OUT_FinalEnergyCons!$C$4:$C$10000="RNGA")*1, (ISNUMBER(SEARCH("RH*-SHNGABR",[1]OUT_FinalEnergyCons!$A$4:$A$10000)))*1,[1]OUT_FinalEnergyCons!D$4:D$10000)</f>
        <v>38.494651042753972</v>
      </c>
      <c r="G998" s="1" cm="1">
        <f t="array" ref="G998">SUMPRODUCT(([1]OUT_FinalEnergyCons!$B$4:$B$10000="Var_Fin")*1,([1]OUT_FinalEnergyCons!$C$4:$C$10000="RNGA")*1, (ISNUMBER(SEARCH("RH*-SHNGABR",[1]OUT_FinalEnergyCons!$A$4:$A$10000)))*1,[1]OUT_FinalEnergyCons!E$4:E$10000)</f>
        <v>40.763133000031907</v>
      </c>
      <c r="H998" s="1" cm="1">
        <f t="array" ref="H998">SUMPRODUCT(([1]OUT_FinalEnergyCons!$B$4:$B$10000="Var_Fin")*1,([1]OUT_FinalEnergyCons!$C$4:$C$10000="RNGA")*1, (ISNUMBER(SEARCH("RH*-SHNGABR",[1]OUT_FinalEnergyCons!$A$4:$A$10000)))*1,[1]OUT_FinalEnergyCons!F$4:F$10000)</f>
        <v>35.111397345126321</v>
      </c>
      <c r="I998" s="1" cm="1">
        <f t="array" ref="I998">SUMPRODUCT(([1]OUT_FinalEnergyCons!$B$4:$B$10000="Var_Fin")*1,([1]OUT_FinalEnergyCons!$C$4:$C$10000="RNGA")*1, (ISNUMBER(SEARCH("RH*-SHNGABR",[1]OUT_FinalEnergyCons!$A$4:$A$10000)))*1,[1]OUT_FinalEnergyCons!G$4:G$10000)</f>
        <v>29.583495280758637</v>
      </c>
      <c r="J998" s="1" cm="1">
        <f t="array" ref="J998">SUMPRODUCT(([2]OUT_FinalEnergyCons!$B$4:$B$10000="Var_Fin")*1,([2]OUT_FinalEnergyCons!$C$4:$C$10000="RNGA")*1, (ISNUMBER(SEARCH("RH*-SHNGABR",[2]OUT_FinalEnergyCons!$A$4:$A$10000)))*1,[2]OUT_FinalEnergyCons!H$4:H$10000)</f>
        <v>24.13517813674396</v>
      </c>
      <c r="K998" s="1" cm="1">
        <f t="array" ref="K998">SUMPRODUCT(([2]OUT_FinalEnergyCons!$B$4:$B$10000="Var_Fin")*1,([2]OUT_FinalEnergyCons!$C$4:$C$10000="RNGA")*1, (ISNUMBER(SEARCH("RH*-SHNGABR",[2]OUT_FinalEnergyCons!$A$4:$A$10000)))*1,[2]OUT_FinalEnergyCons!I$4:I$10000)</f>
        <v>18.853582166108421</v>
      </c>
      <c r="L998" s="1" cm="1">
        <f t="array" ref="L998">SUMPRODUCT(([2]OUT_FinalEnergyCons!$B$4:$B$10000="Var_Fin")*1,([2]OUT_FinalEnergyCons!$C$4:$C$10000="RNGA")*1, (ISNUMBER(SEARCH("RH*-SHNGABR",[2]OUT_FinalEnergyCons!$A$4:$A$10000)))*1,[2]OUT_FinalEnergyCons!J$4:J$10000)</f>
        <v>9.1896979429945223</v>
      </c>
      <c r="N998" s="1"/>
    </row>
    <row r="999" spans="2:14" x14ac:dyDescent="0.35">
      <c r="B999" s="5" t="str">
        <f t="shared" si="1137"/>
        <v>SPS1</v>
      </c>
      <c r="C999" s="5" t="str">
        <f t="shared" si="1138"/>
        <v>CH</v>
      </c>
      <c r="D999" t="s">
        <v>715</v>
      </c>
      <c r="E999" t="s">
        <v>8</v>
      </c>
      <c r="F999" s="1" cm="1">
        <f t="array" ref="F999">SUMPRODUCT(([1]OUT_FinalEnergyCons!$B$4:$B$10000="Var_Fin")*1, ([1]OUT_FinalEnergyCons!$C$4:$C$10000="RNGA")*1,ISNUMBER(SEARCH("RH*-SHngahp",[1]OUT_FinalEnergyCons!$A$4:$A$10000))*1,[1]OUT_FinalEnergyCons!D$4:D$10000)</f>
        <v>0</v>
      </c>
      <c r="G999" s="1" cm="1">
        <f t="array" ref="G999">SUMPRODUCT(([1]OUT_FinalEnergyCons!$B$4:$B$10000="Var_Fin")*1, ([1]OUT_FinalEnergyCons!$C$4:$C$10000="RNGA")*1,ISNUMBER(SEARCH("RH*-SHngahp",[1]OUT_FinalEnergyCons!$A$4:$A$10000))*1,[1]OUT_FinalEnergyCons!E$4:E$10000)</f>
        <v>0</v>
      </c>
      <c r="H999" s="1" cm="1">
        <f t="array" ref="H999">SUMPRODUCT(([1]OUT_FinalEnergyCons!$B$4:$B$10000="Var_Fin")*1, ([1]OUT_FinalEnergyCons!$C$4:$C$10000="RNGA")*1,ISNUMBER(SEARCH("RH*-SHngahp",[1]OUT_FinalEnergyCons!$A$4:$A$10000))*1,[1]OUT_FinalEnergyCons!F$4:F$10000)</f>
        <v>2.3725713897483827</v>
      </c>
      <c r="I999" s="1" cm="1">
        <f t="array" ref="I999">SUMPRODUCT(([1]OUT_FinalEnergyCons!$B$4:$B$10000="Var_Fin")*1, ([1]OUT_FinalEnergyCons!$C$4:$C$10000="RNGA")*1,ISNUMBER(SEARCH("RH*-SHngahp",[1]OUT_FinalEnergyCons!$A$4:$A$10000))*1,[1]OUT_FinalEnergyCons!G$4:G$10000)</f>
        <v>4.9043074473252872</v>
      </c>
      <c r="J999" s="1" cm="1">
        <f t="array" ref="J999">SUMPRODUCT(([2]OUT_FinalEnergyCons!$B$4:$B$10000="Var_Fin")*1, ([2]OUT_FinalEnergyCons!$C$4:$C$10000="RNGA")*1,ISNUMBER(SEARCH("RH*-SHngahp",[2]OUT_FinalEnergyCons!$A$4:$A$10000))*1,[2]OUT_FinalEnergyCons!H$4:H$10000)</f>
        <v>6.1512348679406763</v>
      </c>
      <c r="K999" s="1" cm="1">
        <f t="array" ref="K999">SUMPRODUCT(([2]OUT_FinalEnergyCons!$B$4:$B$10000="Var_Fin")*1, ([2]OUT_FinalEnergyCons!$C$4:$C$10000="RNGA")*1,ISNUMBER(SEARCH("RH*-SHngahp",[2]OUT_FinalEnergyCons!$A$4:$A$10000))*1,[2]OUT_FinalEnergyCons!I$4:I$10000)</f>
        <v>7.2968540067768863</v>
      </c>
      <c r="L999" s="1" cm="1">
        <f t="array" ref="L999">SUMPRODUCT(([2]OUT_FinalEnergyCons!$B$4:$B$10000="Var_Fin")*1, ([2]OUT_FinalEnergyCons!$C$4:$C$10000="RNGA")*1,ISNUMBER(SEARCH("RH*-SHngahp",[2]OUT_FinalEnergyCons!$A$4:$A$10000))*1,[2]OUT_FinalEnergyCons!J$4:J$10000)</f>
        <v>9.4683072565184023</v>
      </c>
      <c r="N999" s="1"/>
    </row>
    <row r="1000" spans="2:14" x14ac:dyDescent="0.35">
      <c r="B1000" s="5" t="str">
        <f t="shared" si="1137"/>
        <v>SPS1</v>
      </c>
      <c r="C1000" s="5" t="str">
        <f t="shared" si="1138"/>
        <v>CH</v>
      </c>
      <c r="D1000" t="s">
        <v>1013</v>
      </c>
      <c r="E1000" t="s">
        <v>8</v>
      </c>
      <c r="F1000" s="1">
        <f>SUM(F1001:F1002)</f>
        <v>38.240459235851333</v>
      </c>
      <c r="G1000" s="1">
        <f t="shared" ref="G1000:K1000" si="1141">SUM(G1001:G1002)</f>
        <v>38.752902826453465</v>
      </c>
      <c r="H1000" s="1">
        <f t="shared" si="1141"/>
        <v>37.072463225642096</v>
      </c>
      <c r="I1000" s="1">
        <f t="shared" si="1141"/>
        <v>34.487251377063814</v>
      </c>
      <c r="J1000" s="1">
        <f t="shared" si="1141"/>
        <v>30.273696675449045</v>
      </c>
      <c r="K1000" s="1">
        <f t="shared" si="1141"/>
        <v>26.150357229903921</v>
      </c>
      <c r="L1000" s="1">
        <f t="shared" ref="L1000" si="1142">SUM(L1001:L1002)</f>
        <v>18.65796505740613</v>
      </c>
      <c r="N1000" s="1"/>
    </row>
    <row r="1001" spans="2:14" x14ac:dyDescent="0.35">
      <c r="B1001" s="5" t="str">
        <f t="shared" si="1137"/>
        <v>SPS1</v>
      </c>
      <c r="C1001" s="5" t="str">
        <f t="shared" si="1138"/>
        <v>CH</v>
      </c>
      <c r="D1001" t="s">
        <v>716</v>
      </c>
      <c r="E1001" t="s">
        <v>8</v>
      </c>
      <c r="F1001" s="1">
        <f>F998-F1004</f>
        <v>38.240459235851333</v>
      </c>
      <c r="G1001" s="1">
        <f t="shared" ref="G1001:K1001" si="1143">G998-G1004</f>
        <v>38.752902826453465</v>
      </c>
      <c r="H1001" s="1">
        <f t="shared" si="1143"/>
        <v>34.725938336061148</v>
      </c>
      <c r="I1001" s="1">
        <f t="shared" si="1143"/>
        <v>29.583022334122109</v>
      </c>
      <c r="J1001" s="1">
        <f t="shared" si="1143"/>
        <v>24.1250445210101</v>
      </c>
      <c r="K1001" s="1">
        <f t="shared" si="1143"/>
        <v>18.853525250882374</v>
      </c>
      <c r="L1001" s="1">
        <f t="shared" ref="L1001" si="1144">L998-L1004</f>
        <v>9.1896781716506801</v>
      </c>
      <c r="N1001" s="1"/>
    </row>
    <row r="1002" spans="2:14" x14ac:dyDescent="0.35">
      <c r="B1002" s="5" t="str">
        <f t="shared" si="1137"/>
        <v>SPS1</v>
      </c>
      <c r="C1002" s="5" t="str">
        <f t="shared" si="1138"/>
        <v>CH</v>
      </c>
      <c r="D1002" t="s">
        <v>734</v>
      </c>
      <c r="E1002" t="s">
        <v>8</v>
      </c>
      <c r="F1002" s="1">
        <f>F999-F1005</f>
        <v>0</v>
      </c>
      <c r="G1002" s="1">
        <f t="shared" ref="G1002:K1002" si="1145">G999-G1005</f>
        <v>0</v>
      </c>
      <c r="H1002" s="1">
        <f t="shared" si="1145"/>
        <v>2.3465248895809454</v>
      </c>
      <c r="I1002" s="1">
        <f t="shared" si="1145"/>
        <v>4.9042290429417044</v>
      </c>
      <c r="J1002" s="1">
        <f t="shared" si="1145"/>
        <v>6.1486521544389463</v>
      </c>
      <c r="K1002" s="1">
        <f t="shared" si="1145"/>
        <v>7.2968319790215475</v>
      </c>
      <c r="L1002" s="1">
        <f t="shared" ref="L1002" si="1146">L999-L1005</f>
        <v>9.4682868857554521</v>
      </c>
      <c r="N1002" s="1"/>
    </row>
    <row r="1003" spans="2:14" x14ac:dyDescent="0.35">
      <c r="B1003" s="5" t="str">
        <f t="shared" si="1137"/>
        <v>SPS1</v>
      </c>
      <c r="C1003" s="5" t="str">
        <f t="shared" si="1138"/>
        <v>CH</v>
      </c>
      <c r="D1003" t="s">
        <v>1014</v>
      </c>
      <c r="E1003" t="s">
        <v>8</v>
      </c>
      <c r="F1003" s="1">
        <f>SUM(F1004:F1005)</f>
        <v>0.25419180690263848</v>
      </c>
      <c r="G1003" s="1">
        <f t="shared" ref="G1003:K1003" si="1147">SUM(G1004:G1005)</f>
        <v>2.0102301735784445</v>
      </c>
      <c r="H1003" s="1">
        <f t="shared" si="1147"/>
        <v>0.4115055092326117</v>
      </c>
      <c r="I1003" s="1">
        <f t="shared" si="1147"/>
        <v>5.5135102010961964E-4</v>
      </c>
      <c r="J1003" s="1">
        <f t="shared" si="1147"/>
        <v>1.2716329235589218E-2</v>
      </c>
      <c r="K1003" s="1">
        <f t="shared" si="1147"/>
        <v>7.8942981383983875E-5</v>
      </c>
      <c r="L1003" s="1">
        <f t="shared" ref="L1003" si="1148">SUM(L1004:L1005)</f>
        <v>4.0142106791993606E-5</v>
      </c>
      <c r="N1003" s="1"/>
    </row>
    <row r="1004" spans="2:14" x14ac:dyDescent="0.35">
      <c r="B1004" s="5" t="str">
        <f t="shared" si="1137"/>
        <v>SPS1</v>
      </c>
      <c r="C1004" s="5" t="str">
        <f t="shared" si="1138"/>
        <v>CH</v>
      </c>
      <c r="D1004" t="s">
        <v>717</v>
      </c>
      <c r="E1004" t="s">
        <v>8</v>
      </c>
      <c r="F1004" s="1">
        <f>F998*IFERROR(F$996/F$994,0)</f>
        <v>0.25419180690263848</v>
      </c>
      <c r="G1004" s="1">
        <f t="shared" ref="G1004:K1004" si="1149">G998*IFERROR(G996/G994,0)</f>
        <v>2.0102301735784445</v>
      </c>
      <c r="H1004" s="1">
        <f t="shared" si="1149"/>
        <v>0.38545900906517427</v>
      </c>
      <c r="I1004" s="1">
        <f t="shared" si="1149"/>
        <v>4.7294663652701179E-4</v>
      </c>
      <c r="J1004" s="1">
        <f t="shared" si="1149"/>
        <v>1.0133615733859227E-2</v>
      </c>
      <c r="K1004" s="1">
        <f t="shared" si="1149"/>
        <v>5.6915226045206329E-5</v>
      </c>
      <c r="L1004" s="1">
        <f t="shared" ref="L1004" si="1150">L998*IFERROR(L996/L994,0)</f>
        <v>1.9771343842453222E-5</v>
      </c>
      <c r="N1004" s="1"/>
    </row>
    <row r="1005" spans="2:14" x14ac:dyDescent="0.35">
      <c r="B1005" s="5" t="str">
        <f t="shared" si="1137"/>
        <v>SPS1</v>
      </c>
      <c r="C1005" s="5" t="str">
        <f t="shared" si="1138"/>
        <v>CH</v>
      </c>
      <c r="D1005" t="s">
        <v>735</v>
      </c>
      <c r="E1005" t="s">
        <v>8</v>
      </c>
      <c r="F1005" s="1">
        <f>F999*IFERROR(F$996/F$994,0)</f>
        <v>0</v>
      </c>
      <c r="G1005" s="1">
        <f t="shared" ref="G1005:K1005" si="1151">G999*IFERROR(G$996/G$994,0)</f>
        <v>0</v>
      </c>
      <c r="H1005" s="1">
        <f t="shared" si="1151"/>
        <v>2.6046500167437432E-2</v>
      </c>
      <c r="I1005" s="1">
        <f t="shared" si="1151"/>
        <v>7.840438358260786E-5</v>
      </c>
      <c r="J1005" s="1">
        <f t="shared" si="1151"/>
        <v>2.5827135017299913E-3</v>
      </c>
      <c r="K1005" s="1">
        <f t="shared" si="1151"/>
        <v>2.2027755338777552E-5</v>
      </c>
      <c r="L1005" s="1">
        <f t="shared" ref="L1005" si="1152">L999*IFERROR(L$996/L$994,0)</f>
        <v>2.0370762949540381E-5</v>
      </c>
      <c r="N1005" s="1"/>
    </row>
    <row r="1006" spans="2:14" x14ac:dyDescent="0.35">
      <c r="B1006" s="5" t="str">
        <f t="shared" si="1137"/>
        <v>SPS1</v>
      </c>
      <c r="C1006" s="5" t="str">
        <f t="shared" si="1138"/>
        <v>CH</v>
      </c>
      <c r="D1006" t="s">
        <v>1015</v>
      </c>
      <c r="E1006" t="s">
        <v>8</v>
      </c>
      <c r="F1006" s="1">
        <f>SUM(F1007:F1008)</f>
        <v>8.5072684024527732</v>
      </c>
      <c r="G1006" s="1">
        <f t="shared" ref="G1006:K1006" si="1153">SUM(G1007:G1008)</f>
        <v>6.8320362029592729</v>
      </c>
      <c r="H1006" s="1">
        <f t="shared" si="1153"/>
        <v>10.656038986974242</v>
      </c>
      <c r="I1006" s="1">
        <f t="shared" si="1153"/>
        <v>9.0770125168109352</v>
      </c>
      <c r="J1006" s="1">
        <f t="shared" si="1153"/>
        <v>7.9805802823805614</v>
      </c>
      <c r="K1006" s="1">
        <f t="shared" si="1153"/>
        <v>7.1971870237992732</v>
      </c>
      <c r="L1006" s="1">
        <f t="shared" ref="L1006" si="1154">SUM(L1007:L1008)</f>
        <v>5.8786170415768275</v>
      </c>
      <c r="M1006" s="19"/>
      <c r="N1006" s="1"/>
    </row>
    <row r="1007" spans="2:14" x14ac:dyDescent="0.35">
      <c r="B1007" s="5" t="str">
        <f t="shared" si="1137"/>
        <v>SPS1</v>
      </c>
      <c r="C1007" s="5" t="str">
        <f t="shared" si="1138"/>
        <v>CH</v>
      </c>
      <c r="D1007" t="s">
        <v>719</v>
      </c>
      <c r="E1007" t="s">
        <v>8</v>
      </c>
      <c r="F1007" s="1">
        <f>F994-F998-F999-F1008</f>
        <v>8.5072684024527732</v>
      </c>
      <c r="G1007" s="1">
        <f t="shared" ref="G1007:K1007" si="1155">G994-G998-G999-G1008</f>
        <v>6.8320362029592729</v>
      </c>
      <c r="H1007" s="1">
        <f t="shared" si="1155"/>
        <v>10.207668215383146</v>
      </c>
      <c r="I1007" s="1">
        <f t="shared" si="1155"/>
        <v>8.0658948268606228</v>
      </c>
      <c r="J1007" s="1">
        <f t="shared" si="1155"/>
        <v>6.607751740900655</v>
      </c>
      <c r="K1007" s="1">
        <f t="shared" si="1155"/>
        <v>5.4940431603571795</v>
      </c>
      <c r="L1007" s="1">
        <f t="shared" ref="L1007" si="1156">L994-L998-L999-L1008</f>
        <v>3.5485862213520218</v>
      </c>
      <c r="N1007" s="1"/>
    </row>
    <row r="1008" spans="2:14" x14ac:dyDescent="0.35">
      <c r="B1008" s="5" t="str">
        <f t="shared" si="1137"/>
        <v>SPS1</v>
      </c>
      <c r="C1008" s="5" t="str">
        <f t="shared" si="1138"/>
        <v>CH</v>
      </c>
      <c r="D1008" t="s">
        <v>736</v>
      </c>
      <c r="E1008" t="s">
        <v>8</v>
      </c>
      <c r="F1008" s="1" cm="1">
        <f t="array" ref="F1008">SUMPRODUCT(([1]OUT_FinalEnergyCons!$B$4:$B$10000="Var_Fin")*1, ([1]OUT_FinalEnergyCons!$C$4:$C$10000="RNGA")*1,ISNUMBER(SEARCH("RH*-wHngahp",[1]OUT_FinalEnergyCons!$A$4:$A$10000))*1,[1]OUT_FinalEnergyCons!D$4:D$10000)</f>
        <v>0</v>
      </c>
      <c r="G1008" s="1" cm="1">
        <f t="array" ref="G1008">SUMPRODUCT(([1]OUT_FinalEnergyCons!$B$4:$B$10000="Var_Fin")*1, ([1]OUT_FinalEnergyCons!$C$4:$C$10000="RNGA")*1,ISNUMBER(SEARCH("RH*-wHngahp",[1]OUT_FinalEnergyCons!$A$4:$A$10000))*1,[1]OUT_FinalEnergyCons!E$4:E$10000)</f>
        <v>0</v>
      </c>
      <c r="H1008" s="1" cm="1">
        <f t="array" ref="H1008">SUMPRODUCT(([1]OUT_FinalEnergyCons!$B$4:$B$10000="Var_Fin")*1, ([1]OUT_FinalEnergyCons!$C$4:$C$10000="RNGA")*1,ISNUMBER(SEARCH("RH*-wHngahp",[1]OUT_FinalEnergyCons!$A$4:$A$10000))*1,[1]OUT_FinalEnergyCons!F$4:F$10000)</f>
        <v>0.44837077159109606</v>
      </c>
      <c r="I1008" s="1" cm="1">
        <f t="array" ref="I1008">SUMPRODUCT(([1]OUT_FinalEnergyCons!$B$4:$B$10000="Var_Fin")*1, ([1]OUT_FinalEnergyCons!$C$4:$C$10000="RNGA")*1,ISNUMBER(SEARCH("RH*-wHngahp",[1]OUT_FinalEnergyCons!$A$4:$A$10000))*1,[1]OUT_FinalEnergyCons!G$4:G$10000)</f>
        <v>1.0111176899503123</v>
      </c>
      <c r="J1008" s="1" cm="1">
        <f t="array" ref="J1008">SUMPRODUCT(([2]OUT_FinalEnergyCons!$B$4:$B$10000="Var_Fin")*1, ([2]OUT_FinalEnergyCons!$C$4:$C$10000="RNGA")*1,ISNUMBER(SEARCH("RH*-wHngahp",[2]OUT_FinalEnergyCons!$A$4:$A$10000))*1,[2]OUT_FinalEnergyCons!H$4:H$10000)</f>
        <v>1.3728285414799066</v>
      </c>
      <c r="K1008" s="1" cm="1">
        <f t="array" ref="K1008">SUMPRODUCT(([2]OUT_FinalEnergyCons!$B$4:$B$10000="Var_Fin")*1, ([2]OUT_FinalEnergyCons!$C$4:$C$10000="RNGA")*1,ISNUMBER(SEARCH("RH*-wHngahp",[2]OUT_FinalEnergyCons!$A$4:$A$10000))*1,[2]OUT_FinalEnergyCons!I$4:I$10000)</f>
        <v>1.7031438634420937</v>
      </c>
      <c r="L1008" s="1" cm="1">
        <f t="array" ref="L1008">SUMPRODUCT(([2]OUT_FinalEnergyCons!$B$4:$B$10000="Var_Fin")*1, ([2]OUT_FinalEnergyCons!$C$4:$C$10000="RNGA")*1,ISNUMBER(SEARCH("RH*-wHngahp",[2]OUT_FinalEnergyCons!$A$4:$A$10000))*1,[2]OUT_FinalEnergyCons!J$4:J$10000)</f>
        <v>2.3300308202248057</v>
      </c>
      <c r="N1008" s="1"/>
    </row>
    <row r="1009" spans="2:14" x14ac:dyDescent="0.35">
      <c r="B1009" s="5" t="str">
        <f t="shared" si="1137"/>
        <v>SPS1</v>
      </c>
      <c r="C1009" s="5" t="str">
        <f t="shared" si="1138"/>
        <v>CH</v>
      </c>
      <c r="D1009" t="s">
        <v>1016</v>
      </c>
      <c r="E1009" t="s">
        <v>8</v>
      </c>
      <c r="F1009" s="1">
        <f>SUM(F1010:F1011)</f>
        <v>8.4510923398454398</v>
      </c>
      <c r="G1009" s="1">
        <f t="shared" ref="G1009:K1009" si="1157">SUM(G1010:G1011)</f>
        <v>6.4951149628240188</v>
      </c>
      <c r="H1009" s="1">
        <f t="shared" si="1157"/>
        <v>10.539055143007431</v>
      </c>
      <c r="I1009" s="1">
        <f t="shared" si="1157"/>
        <v>9.0768674040546902</v>
      </c>
      <c r="J1009" s="1">
        <f t="shared" si="1157"/>
        <v>7.9772294832500705</v>
      </c>
      <c r="K1009" s="1">
        <f t="shared" si="1157"/>
        <v>7.1971652969187927</v>
      </c>
      <c r="L1009" s="1">
        <f t="shared" ref="L1009" si="1158">SUM(L1010:L1011)</f>
        <v>5.8786043939185948</v>
      </c>
      <c r="N1009" s="1"/>
    </row>
    <row r="1010" spans="2:14" x14ac:dyDescent="0.35">
      <c r="B1010" s="5" t="str">
        <f t="shared" si="1137"/>
        <v>SPS1</v>
      </c>
      <c r="C1010" s="5" t="str">
        <f t="shared" si="1138"/>
        <v>CH</v>
      </c>
      <c r="D1010" t="s">
        <v>718</v>
      </c>
      <c r="E1010" t="s">
        <v>8</v>
      </c>
      <c r="F1010" s="1">
        <f>F1007-F1013</f>
        <v>8.4510923398454398</v>
      </c>
      <c r="G1010" s="1">
        <f t="shared" ref="G1010:K1010" si="1159">G1007-G1013</f>
        <v>6.4951149628240188</v>
      </c>
      <c r="H1010" s="1">
        <f t="shared" si="1159"/>
        <v>10.095606663503217</v>
      </c>
      <c r="I1010" s="1">
        <f t="shared" si="1159"/>
        <v>8.0657658786821624</v>
      </c>
      <c r="J1010" s="1">
        <f t="shared" si="1159"/>
        <v>6.6049773500663447</v>
      </c>
      <c r="K1010" s="1">
        <f t="shared" si="1159"/>
        <v>5.4940265749303032</v>
      </c>
      <c r="L1010" s="1">
        <f t="shared" ref="L1010" si="1160">L1007-L1013</f>
        <v>3.5485785866812445</v>
      </c>
      <c r="N1010" s="1"/>
    </row>
    <row r="1011" spans="2:14" x14ac:dyDescent="0.35">
      <c r="B1011" s="5" t="str">
        <f t="shared" si="1137"/>
        <v>SPS1</v>
      </c>
      <c r="C1011" s="5" t="str">
        <f t="shared" si="1138"/>
        <v>CH</v>
      </c>
      <c r="D1011" t="s">
        <v>737</v>
      </c>
      <c r="E1011" t="s">
        <v>8</v>
      </c>
      <c r="F1011" s="1">
        <f>F1008-F1014</f>
        <v>0</v>
      </c>
      <c r="G1011" s="1">
        <f t="shared" ref="G1011:K1011" si="1161">G1008-G1014</f>
        <v>0</v>
      </c>
      <c r="H1011" s="1">
        <f t="shared" si="1161"/>
        <v>0.4434484795042139</v>
      </c>
      <c r="I1011" s="1">
        <f t="shared" si="1161"/>
        <v>1.011101525372528</v>
      </c>
      <c r="J1011" s="1">
        <f t="shared" si="1161"/>
        <v>1.3722521331837254</v>
      </c>
      <c r="K1011" s="1">
        <f t="shared" si="1161"/>
        <v>1.7031387219884897</v>
      </c>
      <c r="L1011" s="1">
        <f t="shared" ref="L1011" si="1162">L1008-L1014</f>
        <v>2.3300258072373499</v>
      </c>
      <c r="N1011" s="1"/>
    </row>
    <row r="1012" spans="2:14" x14ac:dyDescent="0.35">
      <c r="B1012" s="5" t="str">
        <f t="shared" si="1137"/>
        <v>SPS1</v>
      </c>
      <c r="C1012" s="5" t="str">
        <f t="shared" si="1138"/>
        <v>CH</v>
      </c>
      <c r="D1012" t="s">
        <v>1017</v>
      </c>
      <c r="E1012" t="s">
        <v>8</v>
      </c>
      <c r="F1012" s="1">
        <f t="shared" ref="F1012:K1012" si="1163">SUM(F1013:F1014)</f>
        <v>5.6176062607333245E-2</v>
      </c>
      <c r="G1012" s="1">
        <f t="shared" si="1163"/>
        <v>0.33692124013525376</v>
      </c>
      <c r="H1012" s="1">
        <f t="shared" si="1163"/>
        <v>0.11698384396681087</v>
      </c>
      <c r="I1012" s="1">
        <f t="shared" si="1163"/>
        <v>1.4511275624457686E-4</v>
      </c>
      <c r="J1012" s="1">
        <f t="shared" si="1163"/>
        <v>3.350799130491469E-3</v>
      </c>
      <c r="K1012" s="1">
        <f t="shared" si="1163"/>
        <v>2.1726880480332258E-5</v>
      </c>
      <c r="L1012" s="1">
        <f t="shared" ref="L1012" si="1164">SUM(L1013:L1014)</f>
        <v>1.2647658232958949E-5</v>
      </c>
      <c r="N1012" s="1"/>
    </row>
    <row r="1013" spans="2:14" x14ac:dyDescent="0.35">
      <c r="B1013" s="5" t="str">
        <f t="shared" si="1137"/>
        <v>SPS1</v>
      </c>
      <c r="C1013" s="5" t="str">
        <f t="shared" si="1138"/>
        <v>CH</v>
      </c>
      <c r="D1013" t="s">
        <v>738</v>
      </c>
      <c r="E1013" t="s">
        <v>8</v>
      </c>
      <c r="F1013" s="1">
        <f>F1007*IFERROR(F$996/F$994,0)</f>
        <v>5.6176062607333245E-2</v>
      </c>
      <c r="G1013" s="1">
        <f t="shared" ref="G1013:K1013" si="1165">G1007*IFERROR(G$996/G$994,0)</f>
        <v>0.33692124013525376</v>
      </c>
      <c r="H1013" s="1">
        <f t="shared" si="1165"/>
        <v>0.11206155187992868</v>
      </c>
      <c r="I1013" s="1">
        <f t="shared" si="1165"/>
        <v>1.2894817846035572E-4</v>
      </c>
      <c r="J1013" s="1">
        <f t="shared" si="1165"/>
        <v>2.7743908343102084E-3</v>
      </c>
      <c r="K1013" s="1">
        <f t="shared" si="1165"/>
        <v>1.6585426876381876E-5</v>
      </c>
      <c r="L1013" s="1">
        <f t="shared" ref="L1013" si="1166">L1007*IFERROR(L$996/L$994,0)</f>
        <v>7.6346707772290988E-6</v>
      </c>
      <c r="N1013" s="1"/>
    </row>
    <row r="1014" spans="2:14" x14ac:dyDescent="0.35">
      <c r="B1014" s="5" t="str">
        <f t="shared" si="1137"/>
        <v>SPS1</v>
      </c>
      <c r="C1014" s="5" t="str">
        <f t="shared" si="1138"/>
        <v>CH</v>
      </c>
      <c r="D1014" t="s">
        <v>739</v>
      </c>
      <c r="E1014" t="s">
        <v>8</v>
      </c>
      <c r="F1014" s="1">
        <f>F1008*IFERROR(F$996/F$994,0)</f>
        <v>0</v>
      </c>
      <c r="G1014" s="1">
        <f t="shared" ref="G1014:K1014" si="1167">G1008*IFERROR(G$996/G$994,0)</f>
        <v>0</v>
      </c>
      <c r="H1014" s="1">
        <f t="shared" si="1167"/>
        <v>4.9222920868821855E-3</v>
      </c>
      <c r="I1014" s="1">
        <f t="shared" si="1167"/>
        <v>1.6164577784221146E-5</v>
      </c>
      <c r="J1014" s="1">
        <f t="shared" si="1167"/>
        <v>5.7640829618126055E-4</v>
      </c>
      <c r="K1014" s="1">
        <f t="shared" si="1167"/>
        <v>5.1414536039503813E-6</v>
      </c>
      <c r="L1014" s="1">
        <f t="shared" ref="L1014" si="1168">L1008*IFERROR(L$996/L$994,0)</f>
        <v>5.0129874557298494E-6</v>
      </c>
      <c r="N1014" s="1"/>
    </row>
    <row r="1015" spans="2:14" x14ac:dyDescent="0.35">
      <c r="B1015" s="5" t="str">
        <f t="shared" si="1137"/>
        <v>SPS1</v>
      </c>
      <c r="C1015" s="5" t="str">
        <f t="shared" si="1138"/>
        <v>CH</v>
      </c>
      <c r="D1015" t="s">
        <v>1018</v>
      </c>
      <c r="E1015" t="s">
        <v>8</v>
      </c>
      <c r="F1015" s="1">
        <f>[1]Residential!B$20</f>
        <v>0.10000087481723838</v>
      </c>
      <c r="G1015" s="1">
        <f>[1]Residential!C$20</f>
        <v>0.10000064147796808</v>
      </c>
      <c r="H1015" s="1">
        <f>[1]Residential!D$20</f>
        <v>2.6953289373847958E-2</v>
      </c>
      <c r="I1015" s="1">
        <f>[1]Residential!E$20</f>
        <v>6.0615561167295905E-3</v>
      </c>
      <c r="J1015" s="1">
        <f>[2]Residential!F$20</f>
        <v>1.3028193972934993E-3</v>
      </c>
      <c r="K1015" s="1">
        <f>[2]Residential!G$20</f>
        <v>0</v>
      </c>
      <c r="L1015" s="1">
        <f>[2]Residential!H$20</f>
        <v>0</v>
      </c>
      <c r="N1015" s="1"/>
    </row>
    <row r="1016" spans="2:14" x14ac:dyDescent="0.35">
      <c r="B1016" s="5" t="str">
        <f t="shared" si="1137"/>
        <v>SPS1</v>
      </c>
      <c r="C1016" s="5" t="str">
        <f t="shared" si="1138"/>
        <v>CH</v>
      </c>
      <c r="D1016" t="s">
        <v>1019</v>
      </c>
      <c r="E1016" t="s">
        <v>8</v>
      </c>
      <c r="F1016" s="1">
        <f>F1015</f>
        <v>0.10000087481723838</v>
      </c>
      <c r="G1016" s="1">
        <f t="shared" ref="G1016:G1017" si="1169">G1015</f>
        <v>0.10000064147796808</v>
      </c>
      <c r="H1016" s="1">
        <f t="shared" ref="H1016:H1017" si="1170">H1015</f>
        <v>2.6953289373847958E-2</v>
      </c>
      <c r="I1016" s="1">
        <f t="shared" ref="I1016:I1017" si="1171">I1015</f>
        <v>6.0615561167295905E-3</v>
      </c>
      <c r="J1016" s="1">
        <f t="shared" ref="J1016:J1017" si="1172">J1015</f>
        <v>1.3028193972934993E-3</v>
      </c>
      <c r="K1016" s="1">
        <f t="shared" ref="K1016:L1017" si="1173">K1015</f>
        <v>0</v>
      </c>
      <c r="L1016" s="1">
        <f t="shared" si="1173"/>
        <v>0</v>
      </c>
      <c r="N1016" s="1"/>
    </row>
    <row r="1017" spans="2:14" x14ac:dyDescent="0.35">
      <c r="B1017" s="5" t="str">
        <f t="shared" si="1137"/>
        <v>SPS1</v>
      </c>
      <c r="C1017" s="5" t="str">
        <f t="shared" si="1138"/>
        <v>CH</v>
      </c>
      <c r="D1017" t="s">
        <v>764</v>
      </c>
      <c r="E1017" t="s">
        <v>8</v>
      </c>
      <c r="F1017" s="1">
        <f t="shared" ref="F1017" si="1174">F1016</f>
        <v>0.10000087481723838</v>
      </c>
      <c r="G1017" s="1">
        <f t="shared" si="1169"/>
        <v>0.10000064147796808</v>
      </c>
      <c r="H1017" s="1">
        <f t="shared" si="1170"/>
        <v>2.6953289373847958E-2</v>
      </c>
      <c r="I1017" s="1">
        <f t="shared" si="1171"/>
        <v>6.0615561167295905E-3</v>
      </c>
      <c r="J1017" s="1">
        <f t="shared" si="1172"/>
        <v>1.3028193972934993E-3</v>
      </c>
      <c r="K1017" s="1">
        <f t="shared" si="1173"/>
        <v>0</v>
      </c>
      <c r="L1017" s="1">
        <f t="shared" si="1173"/>
        <v>0</v>
      </c>
      <c r="N1017" s="1"/>
    </row>
    <row r="1018" spans="2:14" x14ac:dyDescent="0.35">
      <c r="B1018" s="5" t="str">
        <f t="shared" si="1137"/>
        <v>SPS1</v>
      </c>
      <c r="C1018" s="5" t="str">
        <f t="shared" si="1138"/>
        <v>CH</v>
      </c>
      <c r="D1018" t="s">
        <v>1020</v>
      </c>
      <c r="E1018" t="s">
        <v>8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N1018" s="1"/>
    </row>
    <row r="1019" spans="2:14" x14ac:dyDescent="0.35">
      <c r="B1019" s="5" t="str">
        <f t="shared" si="1137"/>
        <v>SPS1</v>
      </c>
      <c r="C1019" s="5" t="str">
        <f t="shared" si="1138"/>
        <v>CH</v>
      </c>
      <c r="D1019" t="s">
        <v>765</v>
      </c>
      <c r="E1019" t="s">
        <v>8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N1019" s="1"/>
    </row>
    <row r="1020" spans="2:14" x14ac:dyDescent="0.35">
      <c r="B1020" s="5" t="str">
        <f t="shared" si="1137"/>
        <v>SPS1</v>
      </c>
      <c r="C1020" s="5" t="str">
        <f t="shared" si="1138"/>
        <v>CH</v>
      </c>
      <c r="D1020" t="s">
        <v>1021</v>
      </c>
      <c r="E1020" t="s">
        <v>8</v>
      </c>
      <c r="F1020" s="1">
        <f>F1021+F1023</f>
        <v>13.722996182627355</v>
      </c>
      <c r="G1020" s="1">
        <f t="shared" ref="G1020:K1020" si="1175">G1021+G1023</f>
        <v>13.882341117139855</v>
      </c>
      <c r="H1020" s="1">
        <f t="shared" si="1175"/>
        <v>16.367566608176805</v>
      </c>
      <c r="I1020" s="1">
        <f t="shared" si="1175"/>
        <v>15.497574588526556</v>
      </c>
      <c r="J1020" s="1">
        <f t="shared" si="1175"/>
        <v>15.376470612471685</v>
      </c>
      <c r="K1020" s="1">
        <f t="shared" si="1175"/>
        <v>14.066665955781279</v>
      </c>
      <c r="L1020" s="1">
        <f t="shared" ref="L1020" si="1176">L1021+L1023</f>
        <v>11.325734586699429</v>
      </c>
      <c r="N1020" s="1"/>
    </row>
    <row r="1021" spans="2:14" x14ac:dyDescent="0.35">
      <c r="B1021" s="5" t="str">
        <f t="shared" si="1137"/>
        <v>SPS1</v>
      </c>
      <c r="C1021" s="5" t="str">
        <f t="shared" si="1138"/>
        <v>CH</v>
      </c>
      <c r="D1021" t="s">
        <v>1022</v>
      </c>
      <c r="E1021" t="s">
        <v>8</v>
      </c>
      <c r="F1021" s="1">
        <f>F1022</f>
        <v>12.682051454853426</v>
      </c>
      <c r="G1021" s="1">
        <f t="shared" ref="G1021:L1021" si="1177">G1022</f>
        <v>12.687857887863736</v>
      </c>
      <c r="H1021" s="1">
        <f t="shared" si="1177"/>
        <v>13.725598687135248</v>
      </c>
      <c r="I1021" s="1">
        <f t="shared" si="1177"/>
        <v>12.757077890946636</v>
      </c>
      <c r="J1021" s="1">
        <f t="shared" si="1177"/>
        <v>12.396546233938878</v>
      </c>
      <c r="K1021" s="1">
        <f t="shared" si="1177"/>
        <v>11.10984040340187</v>
      </c>
      <c r="L1021" s="1">
        <f t="shared" si="1177"/>
        <v>8.5022355202218556</v>
      </c>
      <c r="N1021" s="1"/>
    </row>
    <row r="1022" spans="2:14" x14ac:dyDescent="0.35">
      <c r="B1022" s="5" t="str">
        <f t="shared" si="1137"/>
        <v>SPS1</v>
      </c>
      <c r="C1022" s="5" t="str">
        <f t="shared" si="1138"/>
        <v>CH</v>
      </c>
      <c r="D1022" t="s">
        <v>766</v>
      </c>
      <c r="E1022" t="s">
        <v>8</v>
      </c>
      <c r="F1022" s="1">
        <f>[1]Residential!B$22-F1024-F1025</f>
        <v>12.682051454853426</v>
      </c>
      <c r="G1022" s="1">
        <f>[1]Residential!C$22-G1024-G1025</f>
        <v>12.687857887863736</v>
      </c>
      <c r="H1022" s="1">
        <f>[1]Residential!D$22-H1024-H1025</f>
        <v>13.725598687135248</v>
      </c>
      <c r="I1022" s="1">
        <f>[1]Residential!E$22-I1024-I1025</f>
        <v>12.757077890946636</v>
      </c>
      <c r="J1022" s="1">
        <f>[2]Residential!F$22-J1024-J1025</f>
        <v>12.396546233938878</v>
      </c>
      <c r="K1022" s="1">
        <f>[2]Residential!G$22-K1024-K1025</f>
        <v>11.10984040340187</v>
      </c>
      <c r="L1022" s="1">
        <f>[2]Residential!H$22-L1024-L1025</f>
        <v>8.5022355202218556</v>
      </c>
      <c r="N1022" s="1"/>
    </row>
    <row r="1023" spans="2:14" x14ac:dyDescent="0.35">
      <c r="B1023" s="5" t="str">
        <f t="shared" si="1137"/>
        <v>SPS1</v>
      </c>
      <c r="C1023" s="5" t="str">
        <f t="shared" si="1138"/>
        <v>CH</v>
      </c>
      <c r="D1023" t="s">
        <v>1023</v>
      </c>
      <c r="E1023" t="s">
        <v>8</v>
      </c>
      <c r="F1023" s="1">
        <f>F1024</f>
        <v>1.0409447277739288</v>
      </c>
      <c r="G1023" s="1">
        <f t="shared" ref="G1023" si="1178">G1024</f>
        <v>1.1944832292761201</v>
      </c>
      <c r="H1023" s="1">
        <f t="shared" ref="H1023" si="1179">H1024</f>
        <v>2.6419679210415565</v>
      </c>
      <c r="I1023" s="1">
        <f t="shared" ref="I1023" si="1180">I1024</f>
        <v>2.740496697579919</v>
      </c>
      <c r="J1023" s="1">
        <f t="shared" ref="J1023" si="1181">J1024</f>
        <v>2.9799243785328065</v>
      </c>
      <c r="K1023" s="1">
        <f t="shared" ref="K1023:L1023" si="1182">K1024</f>
        <v>2.9568255523794083</v>
      </c>
      <c r="L1023" s="1">
        <f t="shared" si="1182"/>
        <v>2.8234990664775745</v>
      </c>
      <c r="N1023" s="1"/>
    </row>
    <row r="1024" spans="2:14" x14ac:dyDescent="0.35">
      <c r="B1024" s="5" t="str">
        <f t="shared" si="1137"/>
        <v>SPS1</v>
      </c>
      <c r="C1024" s="5" t="str">
        <f t="shared" si="1138"/>
        <v>CH</v>
      </c>
      <c r="D1024" t="s">
        <v>767</v>
      </c>
      <c r="E1024" t="s">
        <v>8</v>
      </c>
      <c r="F1024" s="1" cm="1">
        <f t="array" ref="F1024">SUMPRODUCT(([1]OUT_FinalEnergyCons!$B$4:$B$10000="Var_Fin")*1, ISNUMBER(SEARCH("WOD",[1]OUT_FinalEnergyCons!$C$4:$C$10000))*1,(ISNUMBER(SEARCH("RH*-wHWODBR",[1]OUT_FinalEnergyCons!$A$4:$A$10000)))*1,[1]OUT_FinalEnergyCons!D$4:D$10000)</f>
        <v>1.0409447277739288</v>
      </c>
      <c r="G1024" s="1" cm="1">
        <f t="array" ref="G1024">SUMPRODUCT(([1]OUT_FinalEnergyCons!$B$4:$B$10000="Var_Fin")*1, ISNUMBER(SEARCH("WOD",[1]OUT_FinalEnergyCons!$C$4:$C$10000))*1,(ISNUMBER(SEARCH("RH*-wHWODBR",[1]OUT_FinalEnergyCons!$A$4:$A$10000)))*1,[1]OUT_FinalEnergyCons!E$4:E$10000)</f>
        <v>1.1944832292761201</v>
      </c>
      <c r="H1024" s="1" cm="1">
        <f t="array" ref="H1024">SUMPRODUCT(([1]OUT_FinalEnergyCons!$B$4:$B$10000="Var_Fin")*1, ISNUMBER(SEARCH("WOD",[1]OUT_FinalEnergyCons!$C$4:$C$10000))*1,(ISNUMBER(SEARCH("RH*-wHWODBR",[1]OUT_FinalEnergyCons!$A$4:$A$10000)))*1,[1]OUT_FinalEnergyCons!F$4:F$10000)</f>
        <v>2.6419679210415565</v>
      </c>
      <c r="I1024" s="1" cm="1">
        <f t="array" ref="I1024">SUMPRODUCT(([1]OUT_FinalEnergyCons!$B$4:$B$10000="Var_Fin")*1, ISNUMBER(SEARCH("WOD",[1]OUT_FinalEnergyCons!$C$4:$C$10000))*1,(ISNUMBER(SEARCH("RH*-wHWODBR",[1]OUT_FinalEnergyCons!$A$4:$A$10000)))*1,[1]OUT_FinalEnergyCons!G$4:G$10000)</f>
        <v>2.740496697579919</v>
      </c>
      <c r="J1024" s="1" cm="1">
        <f t="array" ref="J1024">SUMPRODUCT(([2]OUT_FinalEnergyCons!$B$4:$B$10000="Var_Fin")*1, ISNUMBER(SEARCH("WOD",[2]OUT_FinalEnergyCons!$C$4:$C$10000))*1,(ISNUMBER(SEARCH("RH*-wHWODBR",[2]OUT_FinalEnergyCons!$A$4:$A$10000)))*1,[2]OUT_FinalEnergyCons!H$4:H$10000)</f>
        <v>2.9799243785328065</v>
      </c>
      <c r="K1024" s="1" cm="1">
        <f t="array" ref="K1024">SUMPRODUCT(([2]OUT_FinalEnergyCons!$B$4:$B$10000="Var_Fin")*1, ISNUMBER(SEARCH("WOD",[2]OUT_FinalEnergyCons!$C$4:$C$10000))*1,(ISNUMBER(SEARCH("RH*-wHWODBR",[2]OUT_FinalEnergyCons!$A$4:$A$10000)))*1,[2]OUT_FinalEnergyCons!I$4:I$10000)</f>
        <v>2.9568255523794083</v>
      </c>
      <c r="L1024" s="1" cm="1">
        <f t="array" ref="L1024">SUMPRODUCT(([2]OUT_FinalEnergyCons!$B$4:$B$10000="Var_Fin")*1, ISNUMBER(SEARCH("WOD",[2]OUT_FinalEnergyCons!$C$4:$C$10000))*1,(ISNUMBER(SEARCH("RH*-wHWODBR",[2]OUT_FinalEnergyCons!$A$4:$A$10000)))*1,[2]OUT_FinalEnergyCons!J$4:J$10000)</f>
        <v>2.8234990664775745</v>
      </c>
      <c r="N1024" s="1"/>
    </row>
    <row r="1025" spans="2:14" x14ac:dyDescent="0.35">
      <c r="B1025" s="5" t="str">
        <f t="shared" si="1137"/>
        <v>SPS1</v>
      </c>
      <c r="C1025" s="5" t="str">
        <f t="shared" si="1138"/>
        <v>CH</v>
      </c>
      <c r="D1025" t="s">
        <v>1024</v>
      </c>
      <c r="E1025" t="s">
        <v>8</v>
      </c>
      <c r="F1025" s="1">
        <f>F1026+F1028</f>
        <v>3.2682136058828695</v>
      </c>
      <c r="G1025" s="1">
        <f t="shared" ref="G1025:K1025" si="1183">G1026+G1028</f>
        <v>3.831986286663092</v>
      </c>
      <c r="H1025" s="1">
        <f t="shared" si="1183"/>
        <v>0.64122617001259374</v>
      </c>
      <c r="I1025" s="1">
        <f t="shared" si="1183"/>
        <v>1.0213248369986569</v>
      </c>
      <c r="J1025" s="1">
        <f t="shared" si="1183"/>
        <v>1.3465377086139254</v>
      </c>
      <c r="K1025" s="1">
        <f t="shared" si="1183"/>
        <v>1.5568627030075102</v>
      </c>
      <c r="L1025" s="1">
        <f t="shared" ref="L1025" si="1184">L1026+L1028</f>
        <v>1.9289716361074727</v>
      </c>
      <c r="N1025" s="1"/>
    </row>
    <row r="1026" spans="2:14" x14ac:dyDescent="0.35">
      <c r="B1026" s="5" t="str">
        <f t="shared" si="1137"/>
        <v>SPS1</v>
      </c>
      <c r="C1026" s="5" t="str">
        <f t="shared" si="1138"/>
        <v>CH</v>
      </c>
      <c r="D1026" t="s">
        <v>1025</v>
      </c>
      <c r="E1026" t="s">
        <v>8</v>
      </c>
      <c r="F1026" s="1">
        <f>F1027</f>
        <v>2.9965429452273673</v>
      </c>
      <c r="G1026" s="1">
        <f t="shared" ref="G1026:L1026" si="1185">G1027</f>
        <v>3.5202467265155661</v>
      </c>
      <c r="H1026" s="1">
        <f t="shared" si="1185"/>
        <v>0.4594457745263103</v>
      </c>
      <c r="I1026" s="1">
        <f t="shared" si="1185"/>
        <v>0.72115671388791602</v>
      </c>
      <c r="J1026" s="1">
        <f t="shared" si="1185"/>
        <v>0.92647775478766559</v>
      </c>
      <c r="K1026" s="1">
        <f t="shared" si="1185"/>
        <v>1.0532370410905274</v>
      </c>
      <c r="L1026" s="1">
        <f t="shared" si="1185"/>
        <v>1.2623939972852991</v>
      </c>
      <c r="N1026" s="1"/>
    </row>
    <row r="1027" spans="2:14" x14ac:dyDescent="0.35">
      <c r="B1027" s="5" t="str">
        <f t="shared" si="1137"/>
        <v>SPS1</v>
      </c>
      <c r="C1027" s="5" t="str">
        <f t="shared" si="1138"/>
        <v>CH</v>
      </c>
      <c r="D1027" t="s">
        <v>768</v>
      </c>
      <c r="E1027" t="s">
        <v>8</v>
      </c>
      <c r="F1027" s="1" cm="1">
        <f t="array" ref="F1027">SUMPRODUCT(([1]OUT_FinalEnergyCons!$B$4:$B$10000="Var_Fin")*1, ISNUMBER(SEARCH("RPLT",[1]OUT_FinalEnergyCons!$C$4:$C$10000))*1,(ISNUMBER(SEARCH("RH*-SHPLTBR",[1]OUT_FinalEnergyCons!$A$4:$A$10000)))*1,[1]OUT_FinalEnergyCons!D$4:D$10000)</f>
        <v>2.9965429452273673</v>
      </c>
      <c r="G1027" s="1" cm="1">
        <f t="array" ref="G1027">SUMPRODUCT(([1]OUT_FinalEnergyCons!$B$4:$B$10000="Var_Fin")*1, ISNUMBER(SEARCH("RPLT",[1]OUT_FinalEnergyCons!$C$4:$C$10000))*1,(ISNUMBER(SEARCH("RH*-SHPLTBR",[1]OUT_FinalEnergyCons!$A$4:$A$10000)))*1,[1]OUT_FinalEnergyCons!E$4:E$10000)</f>
        <v>3.5202467265155661</v>
      </c>
      <c r="H1027" s="1" cm="1">
        <f t="array" ref="H1027">SUMPRODUCT(([1]OUT_FinalEnergyCons!$B$4:$B$10000="Var_Fin")*1, ISNUMBER(SEARCH("RPLT",[1]OUT_FinalEnergyCons!$C$4:$C$10000))*1,(ISNUMBER(SEARCH("RH*-SHPLTBR",[1]OUT_FinalEnergyCons!$A$4:$A$10000)))*1,[1]OUT_FinalEnergyCons!F$4:F$10000)</f>
        <v>0.4594457745263103</v>
      </c>
      <c r="I1027" s="1" cm="1">
        <f t="array" ref="I1027">SUMPRODUCT(([1]OUT_FinalEnergyCons!$B$4:$B$10000="Var_Fin")*1, ISNUMBER(SEARCH("RPLT",[1]OUT_FinalEnergyCons!$C$4:$C$10000))*1,(ISNUMBER(SEARCH("RH*-SHPLTBR",[1]OUT_FinalEnergyCons!$A$4:$A$10000)))*1,[1]OUT_FinalEnergyCons!G$4:G$10000)</f>
        <v>0.72115671388791602</v>
      </c>
      <c r="J1027" s="1" cm="1">
        <f t="array" ref="J1027">SUMPRODUCT(([2]OUT_FinalEnergyCons!$B$4:$B$10000="Var_Fin")*1, ISNUMBER(SEARCH("RPLT",[2]OUT_FinalEnergyCons!$C$4:$C$10000))*1,(ISNUMBER(SEARCH("RH*-SHPLTBR",[2]OUT_FinalEnergyCons!$A$4:$A$10000)))*1,[2]OUT_FinalEnergyCons!H$4:H$10000)</f>
        <v>0.92647775478766559</v>
      </c>
      <c r="K1027" s="1" cm="1">
        <f t="array" ref="K1027">SUMPRODUCT(([2]OUT_FinalEnergyCons!$B$4:$B$10000="Var_Fin")*1, ISNUMBER(SEARCH("RPLT",[2]OUT_FinalEnergyCons!$C$4:$C$10000))*1,(ISNUMBER(SEARCH("RH*-SHPLTBR",[2]OUT_FinalEnergyCons!$A$4:$A$10000)))*1,[2]OUT_FinalEnergyCons!I$4:I$10000)</f>
        <v>1.0532370410905274</v>
      </c>
      <c r="L1027" s="1" cm="1">
        <f t="array" ref="L1027">SUMPRODUCT(([2]OUT_FinalEnergyCons!$B$4:$B$10000="Var_Fin")*1, ISNUMBER(SEARCH("RPLT",[2]OUT_FinalEnergyCons!$C$4:$C$10000))*1,(ISNUMBER(SEARCH("RH*-SHPLTBR",[2]OUT_FinalEnergyCons!$A$4:$A$10000)))*1,[2]OUT_FinalEnergyCons!J$4:J$10000)</f>
        <v>1.2623939972852991</v>
      </c>
      <c r="N1027" s="1"/>
    </row>
    <row r="1028" spans="2:14" x14ac:dyDescent="0.35">
      <c r="B1028" s="5" t="str">
        <f t="shared" si="1137"/>
        <v>SPS1</v>
      </c>
      <c r="C1028" s="5" t="str">
        <f t="shared" si="1138"/>
        <v>CH</v>
      </c>
      <c r="D1028" t="s">
        <v>1026</v>
      </c>
      <c r="E1028" t="s">
        <v>8</v>
      </c>
      <c r="F1028" s="1">
        <f>F1029</f>
        <v>0.27167066065550233</v>
      </c>
      <c r="G1028" s="1">
        <f t="shared" ref="G1028:L1028" si="1186">G1029</f>
        <v>0.31173956014752607</v>
      </c>
      <c r="H1028" s="1">
        <f t="shared" si="1186"/>
        <v>0.18178039548628347</v>
      </c>
      <c r="I1028" s="1">
        <f t="shared" si="1186"/>
        <v>0.30016812311074098</v>
      </c>
      <c r="J1028" s="1">
        <f t="shared" si="1186"/>
        <v>0.42005995382625988</v>
      </c>
      <c r="K1028" s="1">
        <f t="shared" si="1186"/>
        <v>0.50362566191698288</v>
      </c>
      <c r="L1028" s="1">
        <f t="shared" si="1186"/>
        <v>0.66657763882217358</v>
      </c>
      <c r="N1028" s="1"/>
    </row>
    <row r="1029" spans="2:14" x14ac:dyDescent="0.35">
      <c r="B1029" s="5" t="str">
        <f t="shared" si="1137"/>
        <v>SPS1</v>
      </c>
      <c r="C1029" s="5" t="str">
        <f t="shared" si="1138"/>
        <v>CH</v>
      </c>
      <c r="D1029" t="s">
        <v>769</v>
      </c>
      <c r="E1029" t="s">
        <v>8</v>
      </c>
      <c r="F1029" s="1" cm="1">
        <f t="array" ref="F1029">SUMPRODUCT(([1]OUT_FinalEnergyCons!$B$4:$B$10000="Var_Fin")*1, ISNUMBER(SEARCH("PLT",[1]OUT_FinalEnergyCons!$C$4:$C$10000))*1,(ISNUMBER(SEARCH("RH*-wHPLTBR",[1]OUT_FinalEnergyCons!$A$4:$A$10000)))*1,[1]OUT_FinalEnergyCons!D$4:D$10000)</f>
        <v>0.27167066065550233</v>
      </c>
      <c r="G1029" s="1" cm="1">
        <f t="array" ref="G1029">SUMPRODUCT(([1]OUT_FinalEnergyCons!$B$4:$B$10000="Var_Fin")*1, ISNUMBER(SEARCH("PLT",[1]OUT_FinalEnergyCons!$C$4:$C$10000))*1,(ISNUMBER(SEARCH("RH*-wHPLTBR",[1]OUT_FinalEnergyCons!$A$4:$A$10000)))*1,[1]OUT_FinalEnergyCons!E$4:E$10000)</f>
        <v>0.31173956014752607</v>
      </c>
      <c r="H1029" s="1" cm="1">
        <f t="array" ref="H1029">SUMPRODUCT(([1]OUT_FinalEnergyCons!$B$4:$B$10000="Var_Fin")*1, ISNUMBER(SEARCH("PLT",[1]OUT_FinalEnergyCons!$C$4:$C$10000))*1,(ISNUMBER(SEARCH("RH*-wHPLTBR",[1]OUT_FinalEnergyCons!$A$4:$A$10000)))*1,[1]OUT_FinalEnergyCons!F$4:F$10000)</f>
        <v>0.18178039548628347</v>
      </c>
      <c r="I1029" s="1" cm="1">
        <f t="array" ref="I1029">SUMPRODUCT(([1]OUT_FinalEnergyCons!$B$4:$B$10000="Var_Fin")*1, ISNUMBER(SEARCH("PLT",[1]OUT_FinalEnergyCons!$C$4:$C$10000))*1,(ISNUMBER(SEARCH("RH*-wHPLTBR",[1]OUT_FinalEnergyCons!$A$4:$A$10000)))*1,[1]OUT_FinalEnergyCons!G$4:G$10000)</f>
        <v>0.30016812311074098</v>
      </c>
      <c r="J1029" s="1" cm="1">
        <f t="array" ref="J1029">SUMPRODUCT(([2]OUT_FinalEnergyCons!$B$4:$B$10000="Var_Fin")*1, ISNUMBER(SEARCH("PLT",[2]OUT_FinalEnergyCons!$C$4:$C$10000))*1,(ISNUMBER(SEARCH("RH*-wHPLTBR",[2]OUT_FinalEnergyCons!$A$4:$A$10000)))*1,[2]OUT_FinalEnergyCons!H$4:H$10000)</f>
        <v>0.42005995382625988</v>
      </c>
      <c r="K1029" s="1" cm="1">
        <f t="array" ref="K1029">SUMPRODUCT(([2]OUT_FinalEnergyCons!$B$4:$B$10000="Var_Fin")*1, ISNUMBER(SEARCH("PLT",[2]OUT_FinalEnergyCons!$C$4:$C$10000))*1,(ISNUMBER(SEARCH("RH*-wHPLTBR",[2]OUT_FinalEnergyCons!$A$4:$A$10000)))*1,[2]OUT_FinalEnergyCons!I$4:I$10000)</f>
        <v>0.50362566191698288</v>
      </c>
      <c r="L1029" s="1" cm="1">
        <f t="array" ref="L1029">SUMPRODUCT(([2]OUT_FinalEnergyCons!$B$4:$B$10000="Var_Fin")*1, ISNUMBER(SEARCH("PLT",[2]OUT_FinalEnergyCons!$C$4:$C$10000))*1,(ISNUMBER(SEARCH("RH*-wHPLTBR",[2]OUT_FinalEnergyCons!$A$4:$A$10000)))*1,[2]OUT_FinalEnergyCons!J$4:J$10000)</f>
        <v>0.66657763882217358</v>
      </c>
      <c r="N1029" s="1"/>
    </row>
    <row r="1030" spans="2:14" x14ac:dyDescent="0.35">
      <c r="B1030" s="5" t="str">
        <f t="shared" si="1137"/>
        <v>SPS1</v>
      </c>
      <c r="C1030" s="5" t="str">
        <f t="shared" si="1138"/>
        <v>CH</v>
      </c>
      <c r="D1030" t="s">
        <v>1027</v>
      </c>
      <c r="E1030" t="s">
        <v>8</v>
      </c>
      <c r="F1030" s="1">
        <f>[1]Residential!B$23</f>
        <v>2.5068274400828376</v>
      </c>
      <c r="G1030" s="1">
        <f>[1]Residential!C$23</f>
        <v>2.9280139363750326</v>
      </c>
      <c r="H1030" s="1">
        <f>[1]Residential!D$23</f>
        <v>0.93532387787510463</v>
      </c>
      <c r="I1030" s="1">
        <f>[1]Residential!E$23</f>
        <v>1.1101405338707628</v>
      </c>
      <c r="J1030" s="1">
        <f>[2]Residential!F$23</f>
        <v>1.1969614926613557</v>
      </c>
      <c r="K1030" s="1">
        <f>[2]Residential!G$23</f>
        <v>1.2824745517569118</v>
      </c>
      <c r="L1030" s="1">
        <f>[2]Residential!H$23</f>
        <v>1.4727557995892528</v>
      </c>
      <c r="N1030" s="1"/>
    </row>
    <row r="1031" spans="2:14" x14ac:dyDescent="0.35">
      <c r="B1031" s="5" t="str">
        <f t="shared" si="1137"/>
        <v>SPS1</v>
      </c>
      <c r="C1031" s="5" t="str">
        <f t="shared" si="1138"/>
        <v>CH</v>
      </c>
      <c r="D1031" t="s">
        <v>1028</v>
      </c>
      <c r="E1031" t="s">
        <v>8</v>
      </c>
      <c r="F1031" s="1">
        <f>F1032</f>
        <v>0.78533941542298669</v>
      </c>
      <c r="G1031" s="1">
        <f t="shared" ref="G1031:L1031" si="1187">G1032</f>
        <v>0.94128629309483069</v>
      </c>
      <c r="H1031" s="1">
        <f t="shared" si="1187"/>
        <v>3.0776095350368661E-2</v>
      </c>
      <c r="I1031" s="1">
        <f t="shared" si="1187"/>
        <v>3.5919727013563496E-2</v>
      </c>
      <c r="J1031" s="1">
        <f t="shared" si="1187"/>
        <v>3.8106589989307313E-2</v>
      </c>
      <c r="K1031" s="1">
        <f t="shared" si="1187"/>
        <v>3.9282212729925915E-2</v>
      </c>
      <c r="L1031" s="1">
        <f t="shared" si="1187"/>
        <v>4.0788064534296842E-2</v>
      </c>
      <c r="N1031" s="1"/>
    </row>
    <row r="1032" spans="2:14" x14ac:dyDescent="0.35">
      <c r="B1032" s="5" t="str">
        <f t="shared" si="1137"/>
        <v>SPS1</v>
      </c>
      <c r="C1032" s="5" t="str">
        <f t="shared" si="1138"/>
        <v>CH</v>
      </c>
      <c r="D1032" t="s">
        <v>742</v>
      </c>
      <c r="E1032" t="s">
        <v>8</v>
      </c>
      <c r="F1032" s="1" cm="1">
        <f t="array" ref="F1032">SUMPRODUCT(([1]OUT_FinalEnergyCons!$B$4:$B$10000="Var_Fin")*1, ("SOL"=[1]OUT_FinalEnergyCons!$C$4:$C$10000)*1,(ISNUMBER(SEARCH("RH*-SHSOLBR",[1]OUT_FinalEnergyCons!$A$4:$A$10000)))*1,[1]OUT_FinalEnergyCons!D$4:D$10000)</f>
        <v>0.78533941542298669</v>
      </c>
      <c r="G1032" s="1" cm="1">
        <f t="array" ref="G1032">SUMPRODUCT(([1]OUT_FinalEnergyCons!$B$4:$B$10000="Var_Fin")*1, ("SOL"=[1]OUT_FinalEnergyCons!$C$4:$C$10000)*1,(ISNUMBER(SEARCH("RH*-SHSOLBR",[1]OUT_FinalEnergyCons!$A$4:$A$10000)))*1,[1]OUT_FinalEnergyCons!E$4:E$10000)</f>
        <v>0.94128629309483069</v>
      </c>
      <c r="H1032" s="1" cm="1">
        <f t="array" ref="H1032">SUMPRODUCT(([1]OUT_FinalEnergyCons!$B$4:$B$10000="Var_Fin")*1, ("SOL"=[1]OUT_FinalEnergyCons!$C$4:$C$10000)*1,(ISNUMBER(SEARCH("RH*-SHSOLBR",[1]OUT_FinalEnergyCons!$A$4:$A$10000)))*1,[1]OUT_FinalEnergyCons!F$4:F$10000)</f>
        <v>3.0776095350368661E-2</v>
      </c>
      <c r="I1032" s="1" cm="1">
        <f t="array" ref="I1032">SUMPRODUCT(([1]OUT_FinalEnergyCons!$B$4:$B$10000="Var_Fin")*1, ("SOL"=[1]OUT_FinalEnergyCons!$C$4:$C$10000)*1,(ISNUMBER(SEARCH("RH*-SHSOLBR",[1]OUT_FinalEnergyCons!$A$4:$A$10000)))*1,[1]OUT_FinalEnergyCons!G$4:G$10000)</f>
        <v>3.5919727013563496E-2</v>
      </c>
      <c r="J1032" s="1" cm="1">
        <f t="array" ref="J1032">SUMPRODUCT(([2]OUT_FinalEnergyCons!$B$4:$B$10000="Var_Fin")*1, ("SOL"=[2]OUT_FinalEnergyCons!$C$4:$C$10000)*1,(ISNUMBER(SEARCH("RH*-SHSOLBR",[2]OUT_FinalEnergyCons!$A$4:$A$10000)))*1,[2]OUT_FinalEnergyCons!H$4:H$10000)</f>
        <v>3.8106589989307313E-2</v>
      </c>
      <c r="K1032" s="1" cm="1">
        <f t="array" ref="K1032">SUMPRODUCT(([2]OUT_FinalEnergyCons!$B$4:$B$10000="Var_Fin")*1, ("SOL"=[2]OUT_FinalEnergyCons!$C$4:$C$10000)*1,(ISNUMBER(SEARCH("RH*-SHSOLBR",[2]OUT_FinalEnergyCons!$A$4:$A$10000)))*1,[2]OUT_FinalEnergyCons!I$4:I$10000)</f>
        <v>3.9282212729925915E-2</v>
      </c>
      <c r="L1032" s="1" cm="1">
        <f t="array" ref="L1032">SUMPRODUCT(([2]OUT_FinalEnergyCons!$B$4:$B$10000="Var_Fin")*1, ("SOL"=[2]OUT_FinalEnergyCons!$C$4:$C$10000)*1,(ISNUMBER(SEARCH("RH*-SHSOLBR",[2]OUT_FinalEnergyCons!$A$4:$A$10000)))*1,[2]OUT_FinalEnergyCons!J$4:J$10000)</f>
        <v>4.0788064534296842E-2</v>
      </c>
      <c r="N1032" s="1"/>
    </row>
    <row r="1033" spans="2:14" x14ac:dyDescent="0.35">
      <c r="B1033" s="5" t="str">
        <f t="shared" si="1137"/>
        <v>SPS1</v>
      </c>
      <c r="C1033" s="5" t="str">
        <f t="shared" si="1138"/>
        <v>CH</v>
      </c>
      <c r="D1033" t="s">
        <v>1029</v>
      </c>
      <c r="E1033" t="s">
        <v>8</v>
      </c>
      <c r="F1033" s="1">
        <f>F1030-F1031</f>
        <v>1.721488024659851</v>
      </c>
      <c r="G1033" s="1">
        <f t="shared" ref="G1033:K1033" si="1188">G1030-G1031</f>
        <v>1.9867276432802019</v>
      </c>
      <c r="H1033" s="1">
        <f t="shared" si="1188"/>
        <v>0.904547782524736</v>
      </c>
      <c r="I1033" s="1">
        <f t="shared" si="1188"/>
        <v>1.0742208068571992</v>
      </c>
      <c r="J1033" s="1">
        <f t="shared" si="1188"/>
        <v>1.1588549026720483</v>
      </c>
      <c r="K1033" s="1">
        <f t="shared" si="1188"/>
        <v>1.2431923390269859</v>
      </c>
      <c r="L1033" s="1">
        <f t="shared" ref="L1033" si="1189">L1030-L1031</f>
        <v>1.431967735054956</v>
      </c>
      <c r="N1033" s="1"/>
    </row>
    <row r="1034" spans="2:14" x14ac:dyDescent="0.35">
      <c r="B1034" s="5" t="str">
        <f t="shared" si="1137"/>
        <v>SPS1</v>
      </c>
      <c r="C1034" s="5" t="str">
        <f t="shared" si="1138"/>
        <v>CH</v>
      </c>
      <c r="D1034" t="s">
        <v>743</v>
      </c>
      <c r="E1034" t="s">
        <v>8</v>
      </c>
      <c r="F1034" s="1">
        <f>F1033</f>
        <v>1.721488024659851</v>
      </c>
      <c r="G1034" s="1">
        <f t="shared" ref="G1034:K1034" si="1190">G1033</f>
        <v>1.9867276432802019</v>
      </c>
      <c r="H1034" s="1">
        <f t="shared" si="1190"/>
        <v>0.904547782524736</v>
      </c>
      <c r="I1034" s="1">
        <f t="shared" si="1190"/>
        <v>1.0742208068571992</v>
      </c>
      <c r="J1034" s="1">
        <f t="shared" si="1190"/>
        <v>1.1588549026720483</v>
      </c>
      <c r="K1034" s="1">
        <f t="shared" si="1190"/>
        <v>1.2431923390269859</v>
      </c>
      <c r="L1034" s="1">
        <f t="shared" ref="L1034" si="1191">L1033</f>
        <v>1.431967735054956</v>
      </c>
      <c r="N1034" s="1"/>
    </row>
    <row r="1035" spans="2:14" x14ac:dyDescent="0.35">
      <c r="B1035" s="5" t="str">
        <f t="shared" si="1137"/>
        <v>SPS1</v>
      </c>
      <c r="C1035" s="5" t="str">
        <f t="shared" si="1138"/>
        <v>CH</v>
      </c>
      <c r="D1035" t="s">
        <v>1030</v>
      </c>
      <c r="E1035" t="s">
        <v>8</v>
      </c>
      <c r="F1035" s="1">
        <f>[1]Residential!B$24</f>
        <v>0</v>
      </c>
      <c r="G1035" s="1">
        <f>[1]Residential!C$24</f>
        <v>0</v>
      </c>
      <c r="H1035" s="1">
        <f>[1]Residential!D$24</f>
        <v>0</v>
      </c>
      <c r="I1035" s="1">
        <f>[1]Residential!E$24</f>
        <v>0</v>
      </c>
      <c r="J1035" s="1">
        <f>[2]Residential!F$24</f>
        <v>0</v>
      </c>
      <c r="K1035" s="1">
        <f>[2]Residential!G$24</f>
        <v>0</v>
      </c>
      <c r="L1035" s="1">
        <f>[2]Residential!H$24</f>
        <v>0</v>
      </c>
      <c r="N1035" s="1"/>
    </row>
    <row r="1036" spans="2:14" x14ac:dyDescent="0.35">
      <c r="B1036" s="5" t="str">
        <f t="shared" si="1137"/>
        <v>SPS1</v>
      </c>
      <c r="C1036" s="5" t="str">
        <f t="shared" si="1138"/>
        <v>CH</v>
      </c>
      <c r="D1036" t="s">
        <v>745</v>
      </c>
      <c r="E1036" t="str">
        <f>E1035</f>
        <v>PJ/yr.</v>
      </c>
      <c r="F1036" s="1">
        <f>F1035-F1038-F1040</f>
        <v>0</v>
      </c>
      <c r="G1036" s="1">
        <f t="shared" ref="G1036:K1036" si="1192">G1035-G1038-G1040</f>
        <v>0</v>
      </c>
      <c r="H1036" s="1">
        <f t="shared" si="1192"/>
        <v>0</v>
      </c>
      <c r="I1036" s="1">
        <f t="shared" si="1192"/>
        <v>0</v>
      </c>
      <c r="J1036" s="1">
        <f t="shared" si="1192"/>
        <v>0</v>
      </c>
      <c r="K1036" s="1">
        <f t="shared" si="1192"/>
        <v>0</v>
      </c>
      <c r="L1036" s="1">
        <f t="shared" ref="L1036" si="1193">L1035-L1038-L1040</f>
        <v>0</v>
      </c>
      <c r="N1036" s="1"/>
    </row>
    <row r="1037" spans="2:14" x14ac:dyDescent="0.35">
      <c r="B1037" s="5" t="str">
        <f t="shared" si="1137"/>
        <v>SPS1</v>
      </c>
      <c r="C1037" s="5" t="str">
        <f t="shared" si="1138"/>
        <v>CH</v>
      </c>
      <c r="D1037" t="s">
        <v>744</v>
      </c>
      <c r="E1037" t="str">
        <f>E1036</f>
        <v>PJ/yr.</v>
      </c>
      <c r="F1037" s="1">
        <f>F1038+F1040</f>
        <v>0</v>
      </c>
      <c r="G1037" s="1">
        <f t="shared" ref="G1037:K1037" si="1194">G1038+G1040</f>
        <v>0</v>
      </c>
      <c r="H1037" s="1">
        <f t="shared" si="1194"/>
        <v>0</v>
      </c>
      <c r="I1037" s="1">
        <f t="shared" si="1194"/>
        <v>0</v>
      </c>
      <c r="J1037" s="1">
        <f t="shared" si="1194"/>
        <v>0</v>
      </c>
      <c r="K1037" s="1">
        <f t="shared" si="1194"/>
        <v>0</v>
      </c>
      <c r="L1037" s="1">
        <f t="shared" ref="L1037" si="1195">L1038+L1040</f>
        <v>0</v>
      </c>
      <c r="N1037" s="1"/>
    </row>
    <row r="1038" spans="2:14" x14ac:dyDescent="0.35">
      <c r="B1038" s="5" t="str">
        <f>B1035</f>
        <v>SPS1</v>
      </c>
      <c r="C1038" s="5" t="str">
        <f>C1035</f>
        <v>CH</v>
      </c>
      <c r="D1038" t="s">
        <v>1032</v>
      </c>
      <c r="E1038" t="s">
        <v>8</v>
      </c>
      <c r="F1038" s="1">
        <f>F1039</f>
        <v>0</v>
      </c>
      <c r="G1038" s="1">
        <f t="shared" ref="G1038:L1038" si="1196">G1039</f>
        <v>0</v>
      </c>
      <c r="H1038" s="1">
        <f t="shared" si="1196"/>
        <v>0</v>
      </c>
      <c r="I1038" s="1">
        <f t="shared" si="1196"/>
        <v>0</v>
      </c>
      <c r="J1038" s="1">
        <f t="shared" si="1196"/>
        <v>0</v>
      </c>
      <c r="K1038" s="1">
        <f t="shared" si="1196"/>
        <v>0</v>
      </c>
      <c r="L1038" s="1">
        <f t="shared" si="1196"/>
        <v>0</v>
      </c>
      <c r="N1038" s="1"/>
    </row>
    <row r="1039" spans="2:14" x14ac:dyDescent="0.35">
      <c r="B1039" s="5" t="str">
        <f t="shared" si="1137"/>
        <v>SPS1</v>
      </c>
      <c r="C1039" s="5" t="str">
        <f t="shared" si="1138"/>
        <v>CH</v>
      </c>
      <c r="D1039" t="s">
        <v>1031</v>
      </c>
      <c r="E1039" t="s">
        <v>8</v>
      </c>
      <c r="F1039" s="1" cm="1">
        <f t="array" ref="F1039">SUMPRODUCT(([1]OUT_FinalEnergyCons!$B$4:$B$10000="Var_Fin")*1, ISNUMBER(SEARCH("RSH2",[1]OUT_FinalEnergyCons!$C$4:$C$10000))*1,(ISNUMBER(SEARCH("RH*-SHH2BR",[1]OUT_FinalEnergyCons!$A$4:$A$10000)))*1,[1]OUT_FinalEnergyCons!D$4:D$10000)</f>
        <v>0</v>
      </c>
      <c r="G1039" s="1" cm="1">
        <f t="array" ref="G1039">SUMPRODUCT(([1]OUT_FinalEnergyCons!$B$4:$B$10000="Var_Fin")*1, ISNUMBER(SEARCH("RSH2",[1]OUT_FinalEnergyCons!$C$4:$C$10000))*1,(ISNUMBER(SEARCH("RH*-SHH2BR",[1]OUT_FinalEnergyCons!$A$4:$A$10000)))*1,[1]OUT_FinalEnergyCons!E$4:E$10000)</f>
        <v>0</v>
      </c>
      <c r="H1039" s="1" cm="1">
        <f t="array" ref="H1039">SUMPRODUCT(([1]OUT_FinalEnergyCons!$B$4:$B$10000="Var_Fin")*1, ISNUMBER(SEARCH("RSH2",[1]OUT_FinalEnergyCons!$C$4:$C$10000))*1,(ISNUMBER(SEARCH("RH*-SHH2BR",[1]OUT_FinalEnergyCons!$A$4:$A$10000)))*1,[1]OUT_FinalEnergyCons!F$4:F$10000)</f>
        <v>0</v>
      </c>
      <c r="I1039" s="1" cm="1">
        <f t="array" ref="I1039">SUMPRODUCT(([1]OUT_FinalEnergyCons!$B$4:$B$10000="Var_Fin")*1, ISNUMBER(SEARCH("RSH2",[1]OUT_FinalEnergyCons!$C$4:$C$10000))*1,(ISNUMBER(SEARCH("RH*-SHH2BR",[1]OUT_FinalEnergyCons!$A$4:$A$10000)))*1,[1]OUT_FinalEnergyCons!G$4:G$10000)</f>
        <v>0</v>
      </c>
      <c r="J1039" s="1" cm="1">
        <f t="array" ref="J1039">SUMPRODUCT(([2]OUT_FinalEnergyCons!$B$4:$B$10000="Var_Fin")*1, ISNUMBER(SEARCH("RSH2",[2]OUT_FinalEnergyCons!$C$4:$C$10000))*1,(ISNUMBER(SEARCH("RH*-SHH2BR",[2]OUT_FinalEnergyCons!$A$4:$A$10000)))*1,[2]OUT_FinalEnergyCons!H$4:H$10000)</f>
        <v>0</v>
      </c>
      <c r="K1039" s="1" cm="1">
        <f t="array" ref="K1039">SUMPRODUCT(([2]OUT_FinalEnergyCons!$B$4:$B$10000="Var_Fin")*1, ISNUMBER(SEARCH("RSH2",[2]OUT_FinalEnergyCons!$C$4:$C$10000))*1,(ISNUMBER(SEARCH("RH*-SHH2BR",[2]OUT_FinalEnergyCons!$A$4:$A$10000)))*1,[2]OUT_FinalEnergyCons!I$4:I$10000)</f>
        <v>0</v>
      </c>
      <c r="L1039" s="1" cm="1">
        <f t="array" ref="L1039">SUMPRODUCT(([2]OUT_FinalEnergyCons!$B$4:$B$10000="Var_Fin")*1, ISNUMBER(SEARCH("RSH2",[2]OUT_FinalEnergyCons!$C$4:$C$10000))*1,(ISNUMBER(SEARCH("RH*-SHH2BR",[2]OUT_FinalEnergyCons!$A$4:$A$10000)))*1,[2]OUT_FinalEnergyCons!J$4:J$10000)</f>
        <v>0</v>
      </c>
      <c r="N1039" s="1"/>
    </row>
    <row r="1040" spans="2:14" x14ac:dyDescent="0.35">
      <c r="B1040" s="5" t="str">
        <f t="shared" si="1137"/>
        <v>SPS1</v>
      </c>
      <c r="C1040" s="5" t="str">
        <f t="shared" si="1138"/>
        <v>CH</v>
      </c>
      <c r="D1040" t="s">
        <v>1033</v>
      </c>
      <c r="E1040" t="s">
        <v>8</v>
      </c>
      <c r="F1040" s="1">
        <f>F1041</f>
        <v>0</v>
      </c>
      <c r="G1040" s="1">
        <f t="shared" ref="G1040:L1040" si="1197">G1041</f>
        <v>0</v>
      </c>
      <c r="H1040" s="1">
        <f t="shared" si="1197"/>
        <v>0</v>
      </c>
      <c r="I1040" s="1">
        <f t="shared" si="1197"/>
        <v>0</v>
      </c>
      <c r="J1040" s="1">
        <f t="shared" si="1197"/>
        <v>0</v>
      </c>
      <c r="K1040" s="1">
        <f t="shared" si="1197"/>
        <v>0</v>
      </c>
      <c r="L1040" s="1">
        <f t="shared" si="1197"/>
        <v>0</v>
      </c>
      <c r="N1040" s="1"/>
    </row>
    <row r="1041" spans="2:14" x14ac:dyDescent="0.35">
      <c r="B1041" s="5" t="str">
        <f t="shared" si="1137"/>
        <v>SPS1</v>
      </c>
      <c r="C1041" s="5" t="str">
        <f t="shared" si="1138"/>
        <v>CH</v>
      </c>
      <c r="D1041" t="s">
        <v>748</v>
      </c>
      <c r="E1041" t="s">
        <v>8</v>
      </c>
      <c r="F1041" s="1" cm="1">
        <f t="array" ref="F1041">SUMPRODUCT(([1]OUT_FinalEnergyCons!$B$4:$B$10000="Var_Fin")*1, ISNUMBER(SEARCH("RSH2",[1]OUT_FinalEnergyCons!$C$4:$C$10000))*1,(ISNUMBER(SEARCH("RH*-wHH2BR",[1]OUT_FinalEnergyCons!$A$4:$A$10000)))*1,[1]OUT_FinalEnergyCons!D$4:D$10000)</f>
        <v>0</v>
      </c>
      <c r="G1041" s="1" cm="1">
        <f t="array" ref="G1041">SUMPRODUCT(([1]OUT_FinalEnergyCons!$B$4:$B$10000="Var_Fin")*1, ISNUMBER(SEARCH("RSH2",[1]OUT_FinalEnergyCons!$C$4:$C$10000))*1,(ISNUMBER(SEARCH("RH*-wHH2BR",[1]OUT_FinalEnergyCons!$A$4:$A$10000)))*1,[1]OUT_FinalEnergyCons!E$4:E$10000)</f>
        <v>0</v>
      </c>
      <c r="H1041" s="1" cm="1">
        <f t="array" ref="H1041">SUMPRODUCT(([1]OUT_FinalEnergyCons!$B$4:$B$10000="Var_Fin")*1, ISNUMBER(SEARCH("RSH2",[1]OUT_FinalEnergyCons!$C$4:$C$10000))*1,(ISNUMBER(SEARCH("RH*-wHH2BR",[1]OUT_FinalEnergyCons!$A$4:$A$10000)))*1,[1]OUT_FinalEnergyCons!F$4:F$10000)</f>
        <v>0</v>
      </c>
      <c r="I1041" s="1" cm="1">
        <f t="array" ref="I1041">SUMPRODUCT(([1]OUT_FinalEnergyCons!$B$4:$B$10000="Var_Fin")*1, ISNUMBER(SEARCH("RSH2",[1]OUT_FinalEnergyCons!$C$4:$C$10000))*1,(ISNUMBER(SEARCH("RH*-wHH2BR",[1]OUT_FinalEnergyCons!$A$4:$A$10000)))*1,[1]OUT_FinalEnergyCons!G$4:G$10000)</f>
        <v>0</v>
      </c>
      <c r="J1041" s="1" cm="1">
        <f t="array" ref="J1041">SUMPRODUCT(([2]OUT_FinalEnergyCons!$B$4:$B$10000="Var_Fin")*1, ISNUMBER(SEARCH("RSH2",[2]OUT_FinalEnergyCons!$C$4:$C$10000))*1,(ISNUMBER(SEARCH("RH*-wHH2BR",[2]OUT_FinalEnergyCons!$A$4:$A$10000)))*1,[2]OUT_FinalEnergyCons!H$4:H$10000)</f>
        <v>0</v>
      </c>
      <c r="K1041" s="1" cm="1">
        <f t="array" ref="K1041">SUMPRODUCT(([2]OUT_FinalEnergyCons!$B$4:$B$10000="Var_Fin")*1, ISNUMBER(SEARCH("RSH2",[2]OUT_FinalEnergyCons!$C$4:$C$10000))*1,(ISNUMBER(SEARCH("RH*-wHH2BR",[2]OUT_FinalEnergyCons!$A$4:$A$10000)))*1,[2]OUT_FinalEnergyCons!I$4:I$10000)</f>
        <v>0</v>
      </c>
      <c r="L1041" s="1" cm="1">
        <f t="array" ref="L1041">SUMPRODUCT(([2]OUT_FinalEnergyCons!$B$4:$B$10000="Var_Fin")*1, ISNUMBER(SEARCH("RSH2",[2]OUT_FinalEnergyCons!$C$4:$C$10000))*1,(ISNUMBER(SEARCH("RH*-wHH2BR",[2]OUT_FinalEnergyCons!$A$4:$A$10000)))*1,[2]OUT_FinalEnergyCons!J$4:J$10000)</f>
        <v>0</v>
      </c>
      <c r="N1041" s="1"/>
    </row>
    <row r="1042" spans="2:14" x14ac:dyDescent="0.35">
      <c r="B1042" s="5" t="str">
        <f t="shared" si="1137"/>
        <v>SPS1</v>
      </c>
      <c r="C1042" s="5" t="str">
        <f t="shared" si="1138"/>
        <v>CH</v>
      </c>
      <c r="D1042" t="s">
        <v>1034</v>
      </c>
      <c r="E1042" t="s">
        <v>8</v>
      </c>
      <c r="F1042" s="1">
        <f>[1]Residential!B$21</f>
        <v>8.4154782471943737</v>
      </c>
      <c r="G1042" s="1">
        <f>[1]Residential!C$21</f>
        <v>9.67146109314284</v>
      </c>
      <c r="H1042" s="1">
        <f>[1]Residential!D$21</f>
        <v>8.3537854965563145</v>
      </c>
      <c r="I1042" s="1">
        <f>[1]Residential!E$21</f>
        <v>9.4662594568640426</v>
      </c>
      <c r="J1042" s="1">
        <f>[2]Residential!F$21</f>
        <v>9.8695688162039943</v>
      </c>
      <c r="K1042" s="1">
        <f>[2]Residential!G$21</f>
        <v>10.106259532585186</v>
      </c>
      <c r="L1042" s="1">
        <f>[2]Residential!H$21</f>
        <v>10.56670153954996</v>
      </c>
      <c r="N1042" s="1"/>
    </row>
    <row r="1043" spans="2:14" x14ac:dyDescent="0.35">
      <c r="B1043" s="5" t="str">
        <f t="shared" si="1137"/>
        <v>SPS1</v>
      </c>
      <c r="C1043" s="5" t="str">
        <f t="shared" si="1138"/>
        <v>CH</v>
      </c>
      <c r="D1043" t="s">
        <v>1035</v>
      </c>
      <c r="E1043" t="s">
        <v>8</v>
      </c>
      <c r="F1043" s="1">
        <f>SUM(F1044:F1046)</f>
        <v>9.1796039545729E-2</v>
      </c>
      <c r="G1043" s="1">
        <f t="shared" ref="G1043:K1043" si="1198">SUM(G1044:G1046)</f>
        <v>5.3023443126749142E-3</v>
      </c>
      <c r="H1043" s="1">
        <f t="shared" si="1198"/>
        <v>1.0113380102076752E-2</v>
      </c>
      <c r="I1043" s="1">
        <f t="shared" si="1198"/>
        <v>0</v>
      </c>
      <c r="J1043" s="1">
        <f t="shared" si="1198"/>
        <v>2.4714133286366375</v>
      </c>
      <c r="K1043" s="1">
        <f t="shared" si="1198"/>
        <v>7.8133075577322995</v>
      </c>
      <c r="L1043" s="1">
        <f t="shared" ref="L1043" si="1199">SUM(L1044:L1046)</f>
        <v>8.6851600391267763</v>
      </c>
      <c r="N1043" s="1"/>
    </row>
    <row r="1044" spans="2:14" x14ac:dyDescent="0.35">
      <c r="B1044" s="5" t="str">
        <f t="shared" si="1137"/>
        <v>SPS1</v>
      </c>
      <c r="C1044" s="5" t="str">
        <f t="shared" si="1138"/>
        <v>CH</v>
      </c>
      <c r="D1044" t="s">
        <v>749</v>
      </c>
      <c r="E1044" t="s">
        <v>8</v>
      </c>
      <c r="F1044" s="1">
        <f t="shared" ref="F1044:K1045" si="1200">SUM(F244,F246)</f>
        <v>9.1796039545729E-2</v>
      </c>
      <c r="G1044" s="1">
        <f t="shared" si="1200"/>
        <v>5.3023443126749142E-3</v>
      </c>
      <c r="H1044" s="1">
        <f t="shared" si="1200"/>
        <v>1.0113380102076752E-2</v>
      </c>
      <c r="I1044" s="1">
        <f t="shared" si="1200"/>
        <v>0</v>
      </c>
      <c r="J1044" s="1">
        <f t="shared" si="1200"/>
        <v>2.4621522627973067</v>
      </c>
      <c r="K1044" s="1">
        <f t="shared" si="1200"/>
        <v>7.8069573162493748</v>
      </c>
      <c r="L1044" s="1">
        <f t="shared" ref="L1044" si="1201">SUM(L244,L246)</f>
        <v>8.6811541327094837</v>
      </c>
      <c r="N1044" s="1"/>
    </row>
    <row r="1045" spans="2:14" x14ac:dyDescent="0.35">
      <c r="B1045" s="5" t="str">
        <f t="shared" si="1137"/>
        <v>SPS1</v>
      </c>
      <c r="C1045" s="5" t="str">
        <f t="shared" si="1138"/>
        <v>CH</v>
      </c>
      <c r="D1045" t="s">
        <v>750</v>
      </c>
      <c r="E1045" t="s">
        <v>8</v>
      </c>
      <c r="F1045" s="1">
        <f t="shared" si="1200"/>
        <v>0</v>
      </c>
      <c r="G1045" s="1">
        <f t="shared" si="1200"/>
        <v>0</v>
      </c>
      <c r="H1045" s="1">
        <f t="shared" si="1200"/>
        <v>0</v>
      </c>
      <c r="I1045" s="1">
        <f t="shared" si="1200"/>
        <v>0</v>
      </c>
      <c r="J1045" s="1">
        <f t="shared" si="1200"/>
        <v>0</v>
      </c>
      <c r="K1045" s="1">
        <f t="shared" si="1200"/>
        <v>0</v>
      </c>
      <c r="L1045" s="1">
        <f t="shared" ref="L1045" si="1202">SUM(L245,L247)</f>
        <v>0</v>
      </c>
      <c r="N1045" s="1"/>
    </row>
    <row r="1046" spans="2:14" x14ac:dyDescent="0.35">
      <c r="B1046" s="5" t="str">
        <f t="shared" si="1137"/>
        <v>SPS1</v>
      </c>
      <c r="C1046" s="5" t="str">
        <f t="shared" si="1138"/>
        <v>CH</v>
      </c>
      <c r="D1046" t="s">
        <v>751</v>
      </c>
      <c r="E1046" t="s">
        <v>8</v>
      </c>
      <c r="F1046" s="1">
        <f t="shared" ref="F1046:K1046" si="1203">SUM(F285,F286)</f>
        <v>0</v>
      </c>
      <c r="G1046" s="1">
        <f t="shared" si="1203"/>
        <v>0</v>
      </c>
      <c r="H1046" s="1">
        <f t="shared" si="1203"/>
        <v>0</v>
      </c>
      <c r="I1046" s="1">
        <f t="shared" si="1203"/>
        <v>0</v>
      </c>
      <c r="J1046" s="1">
        <f t="shared" si="1203"/>
        <v>9.2610658393306212E-3</v>
      </c>
      <c r="K1046" s="1">
        <f t="shared" si="1203"/>
        <v>6.3502414829242088E-3</v>
      </c>
      <c r="L1046" s="1">
        <f t="shared" ref="L1046" si="1204">SUM(L285,L286)</f>
        <v>4.0059064172921028E-3</v>
      </c>
      <c r="N1046" s="1"/>
    </row>
    <row r="1047" spans="2:14" x14ac:dyDescent="0.35">
      <c r="B1047" s="5" t="str">
        <f t="shared" si="1137"/>
        <v>SPS1</v>
      </c>
      <c r="C1047" s="5" t="str">
        <f t="shared" si="1138"/>
        <v>CH</v>
      </c>
      <c r="D1047" t="s">
        <v>1036</v>
      </c>
      <c r="E1047" t="s">
        <v>8</v>
      </c>
      <c r="F1047" s="1">
        <f>F1042-F1043</f>
        <v>8.3236822076486447</v>
      </c>
      <c r="G1047" s="1">
        <f t="shared" ref="G1047:K1047" si="1205">G1042-G1043</f>
        <v>9.6661587488301652</v>
      </c>
      <c r="H1047" s="1">
        <f t="shared" si="1205"/>
        <v>8.343672116454238</v>
      </c>
      <c r="I1047" s="1">
        <f t="shared" si="1205"/>
        <v>9.4662594568640426</v>
      </c>
      <c r="J1047" s="1">
        <f t="shared" si="1205"/>
        <v>7.3981554875673563</v>
      </c>
      <c r="K1047" s="1">
        <f t="shared" si="1205"/>
        <v>2.2929519748528868</v>
      </c>
      <c r="L1047" s="1">
        <f t="shared" ref="L1047" si="1206">L1042-L1043</f>
        <v>1.8815415004231841</v>
      </c>
      <c r="N1047" s="1"/>
    </row>
    <row r="1048" spans="2:14" x14ac:dyDescent="0.35">
      <c r="B1048" s="5" t="str">
        <f t="shared" si="1137"/>
        <v>SPS1</v>
      </c>
      <c r="C1048" s="5" t="str">
        <f t="shared" si="1138"/>
        <v>CH</v>
      </c>
      <c r="D1048" t="s">
        <v>1037</v>
      </c>
      <c r="E1048" t="s">
        <v>8</v>
      </c>
      <c r="F1048" s="1">
        <f>[1]Residential!B$25</f>
        <v>15.194984055049646</v>
      </c>
      <c r="G1048" s="1">
        <f>[1]Residential!C$25</f>
        <v>17.635318453189043</v>
      </c>
      <c r="H1048" s="1">
        <f>[1]Residential!D$25</f>
        <v>25.40511120661521</v>
      </c>
      <c r="I1048" s="1">
        <f>[1]Residential!E$25</f>
        <v>36.423324705367293</v>
      </c>
      <c r="J1048" s="1">
        <f>[2]Residential!F$25</f>
        <v>42.777287438951944</v>
      </c>
      <c r="K1048" s="1">
        <f>[2]Residential!G$25</f>
        <v>48.542084716898849</v>
      </c>
      <c r="L1048" s="1">
        <f>[2]Residential!H$25</f>
        <v>60.755280333878346</v>
      </c>
      <c r="N1048" s="1"/>
    </row>
    <row r="1049" spans="2:14" x14ac:dyDescent="0.35">
      <c r="B1049" s="5" t="str">
        <f t="shared" si="1137"/>
        <v>SPS1</v>
      </c>
      <c r="C1049" s="5" t="str">
        <f t="shared" si="1138"/>
        <v>CH</v>
      </c>
      <c r="D1049" t="s">
        <v>1038</v>
      </c>
      <c r="E1049" t="s">
        <v>8</v>
      </c>
      <c r="F1049" s="1">
        <f>F1048-F1052</f>
        <v>13.103985990075557</v>
      </c>
      <c r="G1049" s="1">
        <f t="shared" ref="G1049:K1049" si="1207">G1048-G1052</f>
        <v>15.286291776781001</v>
      </c>
      <c r="H1049" s="1">
        <f t="shared" si="1207"/>
        <v>22.738055347779913</v>
      </c>
      <c r="I1049" s="1">
        <f t="shared" si="1207"/>
        <v>31.682155482307</v>
      </c>
      <c r="J1049" s="1">
        <f t="shared" si="1207"/>
        <v>36.480042119123006</v>
      </c>
      <c r="K1049" s="1">
        <f t="shared" si="1207"/>
        <v>40.680650600640973</v>
      </c>
      <c r="L1049" s="1">
        <f t="shared" ref="L1049" si="1208">L1048-L1052</f>
        <v>49.328826371123093</v>
      </c>
      <c r="M1049" s="1"/>
      <c r="N1049" s="1"/>
    </row>
    <row r="1050" spans="2:14" x14ac:dyDescent="0.35">
      <c r="B1050" s="5" t="str">
        <f t="shared" si="1137"/>
        <v>SPS1</v>
      </c>
      <c r="C1050" s="5" t="str">
        <f t="shared" si="1138"/>
        <v>CH</v>
      </c>
      <c r="D1050" t="s">
        <v>752</v>
      </c>
      <c r="E1050" t="s">
        <v>8</v>
      </c>
      <c r="F1050" s="1">
        <f>F1049-F1051</f>
        <v>13.103985990075557</v>
      </c>
      <c r="G1050" s="1">
        <f t="shared" ref="G1050:K1050" si="1209">G1049-G1051</f>
        <v>15.286291776781001</v>
      </c>
      <c r="H1050" s="1">
        <f t="shared" si="1209"/>
        <v>20.710834698565797</v>
      </c>
      <c r="I1050" s="1">
        <f t="shared" si="1209"/>
        <v>27.229067213300585</v>
      </c>
      <c r="J1050" s="1">
        <f t="shared" si="1209"/>
        <v>30.725165677473626</v>
      </c>
      <c r="K1050" s="1">
        <f t="shared" si="1209"/>
        <v>33.676155551745197</v>
      </c>
      <c r="L1050" s="1">
        <f t="shared" ref="L1050" si="1210">L1049-L1051</f>
        <v>39.803325440409409</v>
      </c>
      <c r="N1050" s="1"/>
    </row>
    <row r="1051" spans="2:14" x14ac:dyDescent="0.35">
      <c r="B1051" s="5" t="str">
        <f t="shared" si="1137"/>
        <v>SPS1</v>
      </c>
      <c r="C1051" s="5" t="str">
        <f t="shared" si="1138"/>
        <v>CH</v>
      </c>
      <c r="D1051" t="s">
        <v>753</v>
      </c>
      <c r="E1051" t="s">
        <v>8</v>
      </c>
      <c r="F1051" s="1" cm="1">
        <f t="array" ref="F1051">SUMPRODUCT(([1]OUT_FinalEnergyCons!$B$4:$B$10000="Var_FOut")*1, ISNUMBER(SEARCH("RH*SHANGAH",[1]OUT_FinalEnergyCons!$C$4:$C$10000))*1,ISNUMBER(SEARCH("RH*-SHngahp",[1]OUT_FinalEnergyCons!$A$4:$A$10000))*1,[1]OUT_FinalEnergyCons!D$4:D$10000)-F999</f>
        <v>0</v>
      </c>
      <c r="G1051" s="1" cm="1">
        <f t="array" ref="G1051">SUMPRODUCT(([1]OUT_FinalEnergyCons!$B$4:$B$10000="Var_FOut")*1, ISNUMBER(SEARCH("RH*SHANGAH",[1]OUT_FinalEnergyCons!$C$4:$C$10000))*1,ISNUMBER(SEARCH("RH*-SHngahp",[1]OUT_FinalEnergyCons!$A$4:$A$10000))*1,[1]OUT_FinalEnergyCons!E$4:E$10000)-G999</f>
        <v>0</v>
      </c>
      <c r="H1051" s="1" cm="1">
        <f t="array" ref="H1051">SUMPRODUCT(([1]OUT_FinalEnergyCons!$B$4:$B$10000="Var_FOut")*1, ISNUMBER(SEARCH("RH*SHANGAH",[1]OUT_FinalEnergyCons!$C$4:$C$10000))*1,ISNUMBER(SEARCH("RH*-SHngahp",[1]OUT_FinalEnergyCons!$A$4:$A$10000))*1,[1]OUT_FinalEnergyCons!F$4:F$10000)-H999</f>
        <v>2.0272206492141134</v>
      </c>
      <c r="I1051" s="1" cm="1">
        <f t="array" ref="I1051">SUMPRODUCT(([1]OUT_FinalEnergyCons!$B$4:$B$10000="Var_FOut")*1, ISNUMBER(SEARCH("RH*SHANGAH",[1]OUT_FinalEnergyCons!$C$4:$C$10000))*1,ISNUMBER(SEARCH("RH*-SHngahp",[1]OUT_FinalEnergyCons!$A$4:$A$10000))*1,[1]OUT_FinalEnergyCons!G$4:G$10000)-I999</f>
        <v>4.4530882690064146</v>
      </c>
      <c r="J1051" s="1" cm="1">
        <f t="array" ref="J1051">SUMPRODUCT(([2]OUT_FinalEnergyCons!$B$4:$B$10000="Var_FOut")*1, ISNUMBER(SEARCH("RH*SHANGAH",[2]OUT_FinalEnergyCons!$C$4:$C$10000))*1,ISNUMBER(SEARCH("RH*-SHngahp",[2]OUT_FinalEnergyCons!$A$4:$A$10000))*1,[2]OUT_FinalEnergyCons!H$4:H$10000)-J999</f>
        <v>5.7548764416493778</v>
      </c>
      <c r="K1051" s="1" cm="1">
        <f t="array" ref="K1051">SUMPRODUCT(([2]OUT_FinalEnergyCons!$B$4:$B$10000="Var_FOut")*1, ISNUMBER(SEARCH("RH*SHANGAH",[2]OUT_FinalEnergyCons!$C$4:$C$10000))*1,ISNUMBER(SEARCH("RH*-SHngahp",[2]OUT_FinalEnergyCons!$A$4:$A$10000))*1,[2]OUT_FinalEnergyCons!I$4:I$10000)-K999</f>
        <v>7.0044950488957767</v>
      </c>
      <c r="L1051" s="1" cm="1">
        <f t="array" ref="L1051">SUMPRODUCT(([2]OUT_FinalEnergyCons!$B$4:$B$10000="Var_FOut")*1, ISNUMBER(SEARCH("RH*SHANGAH",[2]OUT_FinalEnergyCons!$C$4:$C$10000))*1,ISNUMBER(SEARCH("RH*-SHngahp",[2]OUT_FinalEnergyCons!$A$4:$A$10000))*1,[2]OUT_FinalEnergyCons!J$4:J$10000)-L999</f>
        <v>9.5255009307136813</v>
      </c>
      <c r="M1051" s="20"/>
      <c r="N1051" s="1"/>
    </row>
    <row r="1052" spans="2:14" x14ac:dyDescent="0.35">
      <c r="B1052" s="5" t="str">
        <f t="shared" si="1137"/>
        <v>SPS1</v>
      </c>
      <c r="C1052" s="5" t="str">
        <f t="shared" si="1138"/>
        <v>CH</v>
      </c>
      <c r="D1052" t="s">
        <v>1039</v>
      </c>
      <c r="E1052" t="s">
        <v>8</v>
      </c>
      <c r="F1052" s="1">
        <f>SUM(F1053:F1054)</f>
        <v>2.0909980649740887</v>
      </c>
      <c r="G1052" s="1">
        <f t="shared" ref="G1052:K1052" si="1211">SUM(G1053:G1054)</f>
        <v>2.3490266764080432</v>
      </c>
      <c r="H1052" s="1">
        <f t="shared" si="1211"/>
        <v>2.6670558588352957</v>
      </c>
      <c r="I1052" s="1">
        <f t="shared" si="1211"/>
        <v>4.741169223060294</v>
      </c>
      <c r="J1052" s="1">
        <f t="shared" si="1211"/>
        <v>6.2972453198289369</v>
      </c>
      <c r="K1052" s="1">
        <f t="shared" si="1211"/>
        <v>7.8614341162578736</v>
      </c>
      <c r="L1052" s="1">
        <f t="shared" ref="L1052" si="1212">SUM(L1053:L1054)</f>
        <v>11.426453962755252</v>
      </c>
      <c r="N1052" s="1"/>
    </row>
    <row r="1053" spans="2:14" x14ac:dyDescent="0.35">
      <c r="B1053" s="5" t="str">
        <f t="shared" si="1137"/>
        <v>SPS1</v>
      </c>
      <c r="C1053" s="5" t="str">
        <f t="shared" si="1138"/>
        <v>CH</v>
      </c>
      <c r="D1053" t="s">
        <v>754</v>
      </c>
      <c r="E1053" t="s">
        <v>8</v>
      </c>
      <c r="F1053" s="1" cm="1">
        <f t="array" ref="F1053">SUMPRODUCT(([1]OUT_FinalEnergyCons!$B$4:$B$10000="Var_FOut")*1, ISNUMBER(SEARCH("RHSA-WHAELCH",[1]OUT_FinalEnergyCons!$C$4:$C$10000))*1,(ISNUMBER(SEARCH("RHSA-WHELCHP",[1]OUT_FinalEnergyCons!$A$4:$A$10000)))*1,[1]OUT_FinalEnergyCons!D$4:D$10000)-F979</f>
        <v>2.0909980649740887</v>
      </c>
      <c r="G1053" s="1" cm="1">
        <f t="array" ref="G1053">SUMPRODUCT(([1]OUT_FinalEnergyCons!$B$4:$B$10000="Var_FOut")*1, ISNUMBER(SEARCH("RHSA-WHAELCH",[1]OUT_FinalEnergyCons!$C$4:$C$10000))*1,(ISNUMBER(SEARCH("RHSA-WHELCHP",[1]OUT_FinalEnergyCons!$A$4:$A$10000)))*1,[1]OUT_FinalEnergyCons!E$4:E$10000)-G979</f>
        <v>2.3490266764080432</v>
      </c>
      <c r="H1053" s="1" cm="1">
        <f t="array" ref="H1053">SUMPRODUCT(([1]OUT_FinalEnergyCons!$B$4:$B$10000="Var_FOut")*1, ISNUMBER(SEARCH("RHSA-WHAELCH",[1]OUT_FinalEnergyCons!$C$4:$C$10000))*1,(ISNUMBER(SEARCH("RHSA-WHELCHP",[1]OUT_FinalEnergyCons!$A$4:$A$10000)))*1,[1]OUT_FinalEnergyCons!F$4:F$10000)-H979</f>
        <v>2.2174495975166346</v>
      </c>
      <c r="I1053" s="1" cm="1">
        <f t="array" ref="I1053">SUMPRODUCT(([1]OUT_FinalEnergyCons!$B$4:$B$10000="Var_FOut")*1, ISNUMBER(SEARCH("RHSA-WHAELCH",[1]OUT_FinalEnergyCons!$C$4:$C$10000))*1,(ISNUMBER(SEARCH("RHSA-WHELCHP",[1]OUT_FinalEnergyCons!$A$4:$A$10000)))*1,[1]OUT_FinalEnergyCons!G$4:G$10000)-I979</f>
        <v>3.5605884171982383</v>
      </c>
      <c r="J1053" s="1" cm="1">
        <f t="array" ref="J1053">SUMPRODUCT(([2]OUT_FinalEnergyCons!$B$4:$B$10000="Var_FOut")*1, ISNUMBER(SEARCH("RHSA-WHAELCH",[2]OUT_FinalEnergyCons!$C$4:$C$10000))*1,(ISNUMBER(SEARCH("RHSA-WHELCHP",[2]OUT_FinalEnergyCons!$A$4:$A$10000)))*1,[2]OUT_FinalEnergyCons!H$4:H$10000)-J979</f>
        <v>4.5630305020462938</v>
      </c>
      <c r="K1053" s="1" cm="1">
        <f t="array" ref="K1053">SUMPRODUCT(([2]OUT_FinalEnergyCons!$B$4:$B$10000="Var_FOut")*1, ISNUMBER(SEARCH("RHSA-WHAELCH",[2]OUT_FinalEnergyCons!$C$4:$C$10000))*1,(ISNUMBER(SEARCH("RHSA-WHELCHP",[2]OUT_FinalEnergyCons!$A$4:$A$10000)))*1,[2]OUT_FinalEnergyCons!I$4:I$10000)-K979</f>
        <v>5.5682779095076009</v>
      </c>
      <c r="L1053" s="1" cm="1">
        <f t="array" ref="L1053">SUMPRODUCT(([2]OUT_FinalEnergyCons!$B$4:$B$10000="Var_FOut")*1, ISNUMBER(SEARCH("RHSA-WHAELCH",[2]OUT_FinalEnergyCons!$C$4:$C$10000))*1,(ISNUMBER(SEARCH("RHSA-WHELCHP",[2]OUT_FinalEnergyCons!$A$4:$A$10000)))*1,[2]OUT_FinalEnergyCons!J$4:J$10000)-L979</f>
        <v>7.8865528137980858</v>
      </c>
      <c r="N1053" s="1"/>
    </row>
    <row r="1054" spans="2:14" x14ac:dyDescent="0.35">
      <c r="B1054" s="5" t="str">
        <f t="shared" si="1137"/>
        <v>SPS1</v>
      </c>
      <c r="C1054" s="5" t="str">
        <f t="shared" si="1138"/>
        <v>CH</v>
      </c>
      <c r="D1054" t="s">
        <v>755</v>
      </c>
      <c r="E1054" t="s">
        <v>8</v>
      </c>
      <c r="F1054" s="1" cm="1">
        <f t="array" ref="F1054">SUMPRODUCT(([1]OUT_FinalEnergyCons!$B$4:$B$10000="Var_FOut")*1,ISNUMBER(SEARCH("RHSA-WHangah",[1]OUT_FinalEnergyCons!$C$4:$C$10000))*1,(ISNUMBER(SEARCH("RHSA-WHngahp",[1]OUT_FinalEnergyCons!$A$4:$A$10000)))*1,[1]OUT_FinalEnergyCons!D$4:D$10000)-F1008</f>
        <v>0</v>
      </c>
      <c r="G1054" s="1" cm="1">
        <f t="array" ref="G1054">SUMPRODUCT(([1]OUT_FinalEnergyCons!$B$4:$B$10000="Var_FOut")*1,ISNUMBER(SEARCH("RHSA-WHangah",[1]OUT_FinalEnergyCons!$C$4:$C$10000))*1,(ISNUMBER(SEARCH("RHSA-WHngahp",[1]OUT_FinalEnergyCons!$A$4:$A$10000)))*1,[1]OUT_FinalEnergyCons!E$4:E$10000)-G1008</f>
        <v>0</v>
      </c>
      <c r="H1054" s="1" cm="1">
        <f t="array" ref="H1054">SUMPRODUCT(([1]OUT_FinalEnergyCons!$B$4:$B$10000="Var_FOut")*1,ISNUMBER(SEARCH("RHSA-WHangah",[1]OUT_FinalEnergyCons!$C$4:$C$10000))*1,(ISNUMBER(SEARCH("RHSA-WHngahp",[1]OUT_FinalEnergyCons!$A$4:$A$10000)))*1,[1]OUT_FinalEnergyCons!F$4:F$10000)-H1008</f>
        <v>0.44960626131866099</v>
      </c>
      <c r="I1054" s="1" cm="1">
        <f t="array" ref="I1054">SUMPRODUCT(([1]OUT_FinalEnergyCons!$B$4:$B$10000="Var_FOut")*1,ISNUMBER(SEARCH("RHSA-WHangah",[1]OUT_FinalEnergyCons!$C$4:$C$10000))*1,(ISNUMBER(SEARCH("RHSA-WHngahp",[1]OUT_FinalEnergyCons!$A$4:$A$10000)))*1,[1]OUT_FinalEnergyCons!G$4:G$10000)-I1008</f>
        <v>1.1805808058620555</v>
      </c>
      <c r="J1054" s="1" cm="1">
        <f t="array" ref="J1054">SUMPRODUCT(([2]OUT_FinalEnergyCons!$B$4:$B$10000="Var_FOut")*1,ISNUMBER(SEARCH("RHSA-WHangah",[2]OUT_FinalEnergyCons!$C$4:$C$10000))*1,(ISNUMBER(SEARCH("RHSA-WHngahp",[2]OUT_FinalEnergyCons!$A$4:$A$10000)))*1,[2]OUT_FinalEnergyCons!H$4:H$10000)-J1008</f>
        <v>1.7342148177826429</v>
      </c>
      <c r="K1054" s="1" cm="1">
        <f t="array" ref="K1054">SUMPRODUCT(([2]OUT_FinalEnergyCons!$B$4:$B$10000="Var_FOut")*1,ISNUMBER(SEARCH("RHSA-WHangah",[2]OUT_FinalEnergyCons!$C$4:$C$10000))*1,(ISNUMBER(SEARCH("RHSA-WHngahp",[2]OUT_FinalEnergyCons!$A$4:$A$10000)))*1,[2]OUT_FinalEnergyCons!I$4:I$10000)-K1008</f>
        <v>2.2931562067502731</v>
      </c>
      <c r="L1054" s="1" cm="1">
        <f t="array" ref="L1054">SUMPRODUCT(([2]OUT_FinalEnergyCons!$B$4:$B$10000="Var_FOut")*1,ISNUMBER(SEARCH("RHSA-WHangah",[2]OUT_FinalEnergyCons!$C$4:$C$10000))*1,(ISNUMBER(SEARCH("RHSA-WHngahp",[2]OUT_FinalEnergyCons!$A$4:$A$10000)))*1,[2]OUT_FinalEnergyCons!J$4:J$10000)-L1008</f>
        <v>3.5399011489571666</v>
      </c>
      <c r="N1054" s="1"/>
    </row>
    <row r="1055" spans="2:14" x14ac:dyDescent="0.35">
      <c r="B1055" s="5" t="str">
        <f t="shared" si="1137"/>
        <v>SPS1</v>
      </c>
      <c r="C1055" s="5" t="str">
        <f t="shared" si="1138"/>
        <v>CH</v>
      </c>
      <c r="D1055" s="2" t="s">
        <v>756</v>
      </c>
      <c r="E1055" t="s">
        <v>8</v>
      </c>
      <c r="F1055" s="3">
        <f>[1]Residential!B$245</f>
        <v>156.00921184834434</v>
      </c>
      <c r="G1055" s="3">
        <f>[1]Residential!C$245</f>
        <v>162.33874605864591</v>
      </c>
      <c r="H1055" s="3">
        <f>[1]Residential!D$245</f>
        <v>147.85285937935279</v>
      </c>
      <c r="I1055" s="3">
        <f>[1]Residential!E$245</f>
        <v>149.31031840721053</v>
      </c>
      <c r="J1055" s="3">
        <f>[2]Residential!F$245</f>
        <v>150.08342806871448</v>
      </c>
      <c r="K1055" s="3">
        <f>[2]Residential!G$245</f>
        <v>151.17449279067301</v>
      </c>
      <c r="L1055" s="3">
        <f>[2]Residential!H$245</f>
        <v>154.31953407901176</v>
      </c>
      <c r="N1055" s="1"/>
    </row>
    <row r="1056" spans="2:14" x14ac:dyDescent="0.35">
      <c r="B1056" s="5" t="str">
        <f>B1055</f>
        <v>SPS1</v>
      </c>
      <c r="C1056" s="5" t="str">
        <f>C1055</f>
        <v>CH</v>
      </c>
      <c r="D1056" t="s">
        <v>770</v>
      </c>
      <c r="E1056" t="s">
        <v>8</v>
      </c>
      <c r="F1056" s="1">
        <f>[1]Residential!B$116</f>
        <v>129.03090391074656</v>
      </c>
      <c r="G1056" s="1">
        <f>[1]Residential!C$116</f>
        <v>136.40873933825935</v>
      </c>
      <c r="H1056" s="1">
        <f>[1]Residential!D$116</f>
        <v>126.19963494695105</v>
      </c>
      <c r="I1056" s="1">
        <f>[1]Residential!E$116</f>
        <v>126.72944623771281</v>
      </c>
      <c r="J1056" s="1">
        <f>[2]Residential!F$116</f>
        <v>126.33120883703162</v>
      </c>
      <c r="K1056" s="1">
        <f>[2]Residential!G$116</f>
        <v>125.91088519387284</v>
      </c>
      <c r="L1056" s="1">
        <f>[2]Residential!H$116</f>
        <v>125.49860736329011</v>
      </c>
      <c r="N1056" s="1"/>
    </row>
    <row r="1057" spans="2:14" x14ac:dyDescent="0.35">
      <c r="B1057" s="5" t="str">
        <f t="shared" ref="B1057:B1107" si="1213">B1056</f>
        <v>SPS1</v>
      </c>
      <c r="C1057" s="5" t="str">
        <f t="shared" ref="C1057:C1107" si="1214">C1056</f>
        <v>CH</v>
      </c>
      <c r="D1057" t="s">
        <v>1115</v>
      </c>
      <c r="E1057" t="s">
        <v>8</v>
      </c>
      <c r="F1057" s="1">
        <f>SUM(F1058:F1059)</f>
        <v>27.968356328647481</v>
      </c>
      <c r="G1057" s="1">
        <f t="shared" ref="G1057:K1057" si="1215">SUM(G1058:G1059)</f>
        <v>29.953311444836913</v>
      </c>
      <c r="H1057" s="1">
        <f t="shared" si="1215"/>
        <v>32.024478707360913</v>
      </c>
      <c r="I1057" s="1">
        <f t="shared" si="1215"/>
        <v>39.903588980922308</v>
      </c>
      <c r="J1057" s="1">
        <f t="shared" si="1215"/>
        <v>44.068731973037025</v>
      </c>
      <c r="K1057" s="1">
        <f t="shared" si="1215"/>
        <v>47.525681738950489</v>
      </c>
      <c r="L1057" s="1">
        <f t="shared" ref="L1057" si="1216">SUM(L1058:L1059)</f>
        <v>54.455148832459109</v>
      </c>
      <c r="N1057" s="1"/>
    </row>
    <row r="1058" spans="2:14" x14ac:dyDescent="0.35">
      <c r="B1058" s="5" t="str">
        <f t="shared" si="1213"/>
        <v>SPS1</v>
      </c>
      <c r="C1058" s="5" t="str">
        <f t="shared" si="1214"/>
        <v>CH</v>
      </c>
      <c r="D1058" t="s">
        <v>1116</v>
      </c>
      <c r="E1058" t="s">
        <v>8</v>
      </c>
      <c r="F1058" s="1">
        <f>[1]Residential!B$102</f>
        <v>8.9080130703557643</v>
      </c>
      <c r="G1058" s="1">
        <f>[1]Residential!C$102</f>
        <v>7.8831623706678933</v>
      </c>
      <c r="H1058" s="1">
        <f>[1]Residential!D$102</f>
        <v>0.83392771630437856</v>
      </c>
      <c r="I1058" s="1">
        <f>[1]Residential!E$102</f>
        <v>0.22621841137272364</v>
      </c>
      <c r="J1058" s="1">
        <f>[2]Residential!F$102</f>
        <v>6.5040664452220495E-2</v>
      </c>
      <c r="K1058" s="1">
        <f>[2]Residential!G$102</f>
        <v>4.2472886306451241E-2</v>
      </c>
      <c r="L1058" s="1">
        <f>[2]Residential!H$102</f>
        <v>4.5998869079878706E-2</v>
      </c>
      <c r="N1058" s="1"/>
    </row>
    <row r="1059" spans="2:14" x14ac:dyDescent="0.35">
      <c r="B1059" s="5" t="str">
        <f t="shared" si="1213"/>
        <v>SPS1</v>
      </c>
      <c r="C1059" s="5" t="str">
        <f t="shared" si="1214"/>
        <v>CH</v>
      </c>
      <c r="D1059" t="s">
        <v>1117</v>
      </c>
      <c r="E1059" t="s">
        <v>8</v>
      </c>
      <c r="F1059" s="1">
        <f>[1]Residential!B$104</f>
        <v>19.060343258291716</v>
      </c>
      <c r="G1059" s="1">
        <f>[1]Residential!C$104</f>
        <v>22.07014907416902</v>
      </c>
      <c r="H1059" s="1">
        <f>[1]Residential!D$104</f>
        <v>31.190550991056536</v>
      </c>
      <c r="I1059" s="1">
        <f>[1]Residential!E$104</f>
        <v>39.677370569549588</v>
      </c>
      <c r="J1059" s="1">
        <f>[2]Residential!F$104</f>
        <v>44.003691308584806</v>
      </c>
      <c r="K1059" s="1">
        <f>[2]Residential!G$104</f>
        <v>47.48320885264404</v>
      </c>
      <c r="L1059" s="1">
        <f>[2]Residential!H$104</f>
        <v>54.409149963379228</v>
      </c>
      <c r="N1059" s="1"/>
    </row>
    <row r="1060" spans="2:14" x14ac:dyDescent="0.35">
      <c r="B1060" s="5" t="str">
        <f t="shared" si="1213"/>
        <v>SPS1</v>
      </c>
      <c r="C1060" s="5" t="str">
        <f t="shared" si="1214"/>
        <v>CH</v>
      </c>
      <c r="D1060" t="s">
        <v>1046</v>
      </c>
      <c r="E1060" t="s">
        <v>8</v>
      </c>
      <c r="F1060" s="1">
        <f>F1061</f>
        <v>45.124394631453718</v>
      </c>
      <c r="G1060" s="1">
        <f t="shared" ref="G1060:L1060" si="1217">G1061</f>
        <v>38.53718010888177</v>
      </c>
      <c r="H1060" s="1">
        <f t="shared" si="1217"/>
        <v>35.664179462760892</v>
      </c>
      <c r="I1060" s="1">
        <f t="shared" si="1217"/>
        <v>23.874396835014501</v>
      </c>
      <c r="J1060" s="1">
        <f t="shared" si="1217"/>
        <v>17.729996098093622</v>
      </c>
      <c r="K1060" s="1">
        <f t="shared" si="1217"/>
        <v>13.371899598987572</v>
      </c>
      <c r="L1060" s="1">
        <f t="shared" si="1217"/>
        <v>4.743389799177022</v>
      </c>
      <c r="N1060" s="1"/>
    </row>
    <row r="1061" spans="2:14" x14ac:dyDescent="0.35">
      <c r="B1061" s="5" t="str">
        <f t="shared" si="1213"/>
        <v>SPS1</v>
      </c>
      <c r="C1061" s="5" t="str">
        <f t="shared" si="1214"/>
        <v>CH</v>
      </c>
      <c r="D1061" t="s">
        <v>1047</v>
      </c>
      <c r="E1061" t="s">
        <v>8</v>
      </c>
      <c r="F1061" s="1">
        <f>[1]Residential!B$105</f>
        <v>45.124394631453718</v>
      </c>
      <c r="G1061" s="1">
        <f>[1]Residential!C$105</f>
        <v>38.53718010888177</v>
      </c>
      <c r="H1061" s="1">
        <f>[1]Residential!D$105</f>
        <v>35.664179462760892</v>
      </c>
      <c r="I1061" s="1">
        <f>[1]Residential!E$105</f>
        <v>23.874396835014501</v>
      </c>
      <c r="J1061" s="1">
        <f>[2]Residential!F$105</f>
        <v>17.729996098093622</v>
      </c>
      <c r="K1061" s="1">
        <f>[2]Residential!G$105</f>
        <v>13.371899598987572</v>
      </c>
      <c r="L1061" s="1">
        <f>[2]Residential!H$105</f>
        <v>4.743389799177022</v>
      </c>
      <c r="N1061" s="1"/>
    </row>
    <row r="1062" spans="2:14" x14ac:dyDescent="0.35">
      <c r="B1062" s="5" t="str">
        <f t="shared" si="1213"/>
        <v>SPS1</v>
      </c>
      <c r="C1062" s="5" t="str">
        <f t="shared" si="1214"/>
        <v>CH</v>
      </c>
      <c r="D1062" t="s">
        <v>1048</v>
      </c>
      <c r="E1062" t="s">
        <v>8</v>
      </c>
      <c r="F1062" s="1">
        <f>SUM(F1063:F1064)</f>
        <v>36.569918490616288</v>
      </c>
      <c r="G1062" s="1">
        <f t="shared" ref="G1062:K1062" si="1218">SUM(G1063:G1064)</f>
        <v>38.724976350030296</v>
      </c>
      <c r="H1062" s="1">
        <f t="shared" si="1218"/>
        <v>37.233940930102399</v>
      </c>
      <c r="I1062" s="1">
        <f t="shared" si="1218"/>
        <v>37.207237965539456</v>
      </c>
      <c r="J1062" s="1">
        <f t="shared" si="1218"/>
        <v>34.702844355012388</v>
      </c>
      <c r="K1062" s="1">
        <f t="shared" si="1218"/>
        <v>32.142954046623764</v>
      </c>
      <c r="L1062" s="1">
        <f t="shared" ref="L1062" si="1219">SUM(L1063:L1064)</f>
        <v>27.72533430993537</v>
      </c>
      <c r="N1062" s="1"/>
    </row>
    <row r="1063" spans="2:14" x14ac:dyDescent="0.35">
      <c r="B1063" s="5" t="str">
        <f t="shared" si="1213"/>
        <v>SPS1</v>
      </c>
      <c r="C1063" s="5" t="str">
        <f t="shared" si="1214"/>
        <v>CH</v>
      </c>
      <c r="D1063" t="s">
        <v>1049</v>
      </c>
      <c r="E1063" t="s">
        <v>8</v>
      </c>
      <c r="F1063" s="1">
        <f>[1]Residential!B$106</f>
        <v>36.569918490616288</v>
      </c>
      <c r="G1063" s="1">
        <f>[1]Residential!C$106</f>
        <v>38.724976350030296</v>
      </c>
      <c r="H1063" s="1">
        <f>[1]Residential!D$106</f>
        <v>32.834148891139904</v>
      </c>
      <c r="I1063" s="1">
        <f>[1]Residential!E$106</f>
        <v>27.849842249207754</v>
      </c>
      <c r="J1063" s="1">
        <f>[2]Residential!F$106</f>
        <v>22.796733045422332</v>
      </c>
      <c r="K1063" s="1">
        <f>[2]Residential!G$106</f>
        <v>17.841604990951101</v>
      </c>
      <c r="L1063" s="1">
        <f>[2]Residential!H$106</f>
        <v>8.7315261227032845</v>
      </c>
      <c r="N1063" s="1"/>
    </row>
    <row r="1064" spans="2:14" x14ac:dyDescent="0.35">
      <c r="B1064" s="5" t="str">
        <f t="shared" si="1213"/>
        <v>SPS1</v>
      </c>
      <c r="C1064" s="5" t="str">
        <f t="shared" si="1214"/>
        <v>CH</v>
      </c>
      <c r="D1064" t="s">
        <v>1050</v>
      </c>
      <c r="E1064" t="s">
        <v>8</v>
      </c>
      <c r="F1064" s="1">
        <f>[1]Residential!B$107</f>
        <v>0</v>
      </c>
      <c r="G1064" s="1">
        <f>[1]Residential!C$107</f>
        <v>0</v>
      </c>
      <c r="H1064" s="1">
        <f>[1]Residential!D$107</f>
        <v>4.399792038962496</v>
      </c>
      <c r="I1064" s="1">
        <f>[1]Residential!E$107</f>
        <v>9.3573957163317019</v>
      </c>
      <c r="J1064" s="1">
        <f>[2]Residential!F$107</f>
        <v>11.906111309590056</v>
      </c>
      <c r="K1064" s="1">
        <f>[2]Residential!G$107</f>
        <v>14.301349055672663</v>
      </c>
      <c r="L1064" s="1">
        <f>[2]Residential!H$107</f>
        <v>18.993808187232087</v>
      </c>
      <c r="N1064" s="1"/>
    </row>
    <row r="1065" spans="2:14" x14ac:dyDescent="0.35">
      <c r="B1065" s="5" t="str">
        <f t="shared" si="1213"/>
        <v>SPS1</v>
      </c>
      <c r="C1065" s="5" t="str">
        <f t="shared" si="1214"/>
        <v>CH</v>
      </c>
      <c r="D1065" t="s">
        <v>1051</v>
      </c>
      <c r="E1065" t="s">
        <v>8</v>
      </c>
      <c r="F1065" s="1">
        <f>F1066</f>
        <v>7.2000629868411645E-2</v>
      </c>
      <c r="G1065" s="1">
        <f t="shared" ref="G1065:L1065" si="1220">G1066</f>
        <v>7.2000461864137069E-2</v>
      </c>
      <c r="H1065" s="1">
        <f t="shared" si="1220"/>
        <v>2.1543782378820975E-2</v>
      </c>
      <c r="I1065" s="1">
        <f t="shared" si="1220"/>
        <v>4.8487062290993458E-3</v>
      </c>
      <c r="J1065" s="1">
        <f t="shared" si="1220"/>
        <v>1.0422555178348E-3</v>
      </c>
      <c r="K1065" s="1">
        <f t="shared" si="1220"/>
        <v>0</v>
      </c>
      <c r="L1065" s="1">
        <f t="shared" si="1220"/>
        <v>0</v>
      </c>
      <c r="N1065" s="1"/>
    </row>
    <row r="1066" spans="2:14" x14ac:dyDescent="0.35">
      <c r="B1066" s="5" t="str">
        <f t="shared" si="1213"/>
        <v>SPS1</v>
      </c>
      <c r="C1066" s="5" t="str">
        <f t="shared" si="1214"/>
        <v>CH</v>
      </c>
      <c r="D1066" t="s">
        <v>1052</v>
      </c>
      <c r="E1066" t="s">
        <v>8</v>
      </c>
      <c r="F1066" s="1">
        <f>[1]Residential!B$108</f>
        <v>7.2000629868411645E-2</v>
      </c>
      <c r="G1066" s="1">
        <f>[1]Residential!C$108</f>
        <v>7.2000461864137069E-2</v>
      </c>
      <c r="H1066" s="1">
        <f>[1]Residential!D$108</f>
        <v>2.1543782378820975E-2</v>
      </c>
      <c r="I1066" s="1">
        <f>[1]Residential!E$108</f>
        <v>4.8487062290993458E-3</v>
      </c>
      <c r="J1066" s="1">
        <f>[2]Residential!F$108</f>
        <v>1.0422555178348E-3</v>
      </c>
      <c r="K1066" s="1">
        <f>[2]Residential!G$108</f>
        <v>0</v>
      </c>
      <c r="L1066" s="1">
        <f>[2]Residential!H$108</f>
        <v>0</v>
      </c>
      <c r="N1066" s="1"/>
    </row>
    <row r="1067" spans="2:14" x14ac:dyDescent="0.35">
      <c r="B1067" s="5" t="str">
        <f t="shared" si="1213"/>
        <v>SPS1</v>
      </c>
      <c r="C1067" s="5" t="str">
        <f t="shared" si="1214"/>
        <v>CH</v>
      </c>
      <c r="D1067" t="s">
        <v>1053</v>
      </c>
      <c r="E1067" t="s">
        <v>8</v>
      </c>
      <c r="F1067" s="1">
        <f>SUM([1]Residential!B$109:B$110)</f>
        <v>6.6379813427877181</v>
      </c>
      <c r="G1067" s="1">
        <f>SUM([1]Residential!C$109:C$110)</f>
        <v>7.6981372501980285</v>
      </c>
      <c r="H1067" s="1">
        <f>SUM([1]Residential!D$109:D$110)</f>
        <v>5.8862265040764612</v>
      </c>
      <c r="I1067" s="1">
        <f>SUM([1]Residential!E$109:E$110)</f>
        <v>6.6017962709459468</v>
      </c>
      <c r="J1067" s="1">
        <f>SUM([2]Residential!F$109:F$110)</f>
        <v>6.8041245792689544</v>
      </c>
      <c r="K1067" s="1">
        <f>SUM([2]Residential!G$109:G$110)</f>
        <v>6.8863041840815846</v>
      </c>
      <c r="L1067" s="1">
        <f>SUM([2]Residential!H$109:H$110)</f>
        <v>7.0595805615993186</v>
      </c>
      <c r="N1067" s="1"/>
    </row>
    <row r="1068" spans="2:14" x14ac:dyDescent="0.35">
      <c r="B1068" s="5" t="str">
        <f t="shared" si="1213"/>
        <v>SPS1</v>
      </c>
      <c r="C1068" s="5" t="str">
        <f t="shared" si="1214"/>
        <v>CH</v>
      </c>
      <c r="D1068" t="s">
        <v>1054</v>
      </c>
      <c r="E1068" t="s">
        <v>8</v>
      </c>
      <c r="F1068" s="1">
        <f>[1]Residential!B$109</f>
        <v>7.850397182183963E-2</v>
      </c>
      <c r="G1068" s="1">
        <f>[1]Residential!C$109</f>
        <v>5.085287618143251E-3</v>
      </c>
      <c r="H1068" s="1">
        <f>[1]Residential!D$109</f>
        <v>0</v>
      </c>
      <c r="I1068" s="1">
        <f>[1]Residential!E$109</f>
        <v>0</v>
      </c>
      <c r="J1068" s="1">
        <f>[2]Residential!F$109</f>
        <v>0</v>
      </c>
      <c r="K1068" s="1">
        <f>[2]Residential!G$109</f>
        <v>0</v>
      </c>
      <c r="L1068" s="1">
        <f>[2]Residential!H$109</f>
        <v>0</v>
      </c>
      <c r="N1068" s="1"/>
    </row>
    <row r="1069" spans="2:14" x14ac:dyDescent="0.35">
      <c r="B1069" s="5" t="str">
        <f t="shared" si="1213"/>
        <v>SPS1</v>
      </c>
      <c r="C1069" s="5" t="str">
        <f t="shared" si="1214"/>
        <v>CH</v>
      </c>
      <c r="D1069" t="s">
        <v>1055</v>
      </c>
      <c r="E1069" t="s">
        <v>8</v>
      </c>
      <c r="F1069" s="1">
        <f>IFERROR(F$1068/F$1043,0)*F1044</f>
        <v>7.850397182183963E-2</v>
      </c>
      <c r="G1069" s="1">
        <f t="shared" ref="G1069:K1069" si="1221">IFERROR(G$1068/G$1043,0)*G1044</f>
        <v>5.085287618143251E-3</v>
      </c>
      <c r="H1069" s="1">
        <f t="shared" si="1221"/>
        <v>0</v>
      </c>
      <c r="I1069" s="1">
        <f t="shared" si="1221"/>
        <v>0</v>
      </c>
      <c r="J1069" s="1">
        <f t="shared" si="1221"/>
        <v>0</v>
      </c>
      <c r="K1069" s="1">
        <f t="shared" si="1221"/>
        <v>0</v>
      </c>
      <c r="L1069" s="1">
        <f t="shared" ref="L1069" si="1222">IFERROR(L$1068/L$1043,0)*L1044</f>
        <v>0</v>
      </c>
      <c r="N1069" s="1"/>
    </row>
    <row r="1070" spans="2:14" x14ac:dyDescent="0.35">
      <c r="B1070" s="5" t="str">
        <f t="shared" si="1213"/>
        <v>SPS1</v>
      </c>
      <c r="C1070" s="5" t="str">
        <f t="shared" si="1214"/>
        <v>CH</v>
      </c>
      <c r="D1070" t="s">
        <v>1056</v>
      </c>
      <c r="E1070" t="s">
        <v>8</v>
      </c>
      <c r="F1070" s="1">
        <f t="shared" ref="F1070:K1070" si="1223">IFERROR(F$1068/F$1043,0)*F1045</f>
        <v>0</v>
      </c>
      <c r="G1070" s="1">
        <f t="shared" si="1223"/>
        <v>0</v>
      </c>
      <c r="H1070" s="1">
        <f t="shared" si="1223"/>
        <v>0</v>
      </c>
      <c r="I1070" s="1">
        <f t="shared" si="1223"/>
        <v>0</v>
      </c>
      <c r="J1070" s="1">
        <f t="shared" si="1223"/>
        <v>0</v>
      </c>
      <c r="K1070" s="1">
        <f t="shared" si="1223"/>
        <v>0</v>
      </c>
      <c r="L1070" s="1">
        <f t="shared" ref="L1070" si="1224">IFERROR(L$1068/L$1043,0)*L1045</f>
        <v>0</v>
      </c>
      <c r="N1070" s="1"/>
    </row>
    <row r="1071" spans="2:14" x14ac:dyDescent="0.35">
      <c r="B1071" s="5" t="str">
        <f t="shared" si="1213"/>
        <v>SPS1</v>
      </c>
      <c r="C1071" s="5" t="str">
        <f t="shared" si="1214"/>
        <v>CH</v>
      </c>
      <c r="D1071" t="s">
        <v>1057</v>
      </c>
      <c r="E1071" t="s">
        <v>8</v>
      </c>
      <c r="F1071" s="1">
        <f t="shared" ref="F1071:K1071" si="1225">IFERROR(F$1068/F$1043,0)*F1046</f>
        <v>0</v>
      </c>
      <c r="G1071" s="1">
        <f t="shared" si="1225"/>
        <v>0</v>
      </c>
      <c r="H1071" s="1">
        <f t="shared" si="1225"/>
        <v>0</v>
      </c>
      <c r="I1071" s="1">
        <f t="shared" si="1225"/>
        <v>0</v>
      </c>
      <c r="J1071" s="1">
        <f t="shared" si="1225"/>
        <v>0</v>
      </c>
      <c r="K1071" s="1">
        <f t="shared" si="1225"/>
        <v>0</v>
      </c>
      <c r="L1071" s="1">
        <f t="shared" ref="L1071" si="1226">IFERROR(L$1068/L$1043,0)*L1046</f>
        <v>0</v>
      </c>
      <c r="N1071" s="1"/>
    </row>
    <row r="1072" spans="2:14" x14ac:dyDescent="0.35">
      <c r="B1072" s="5" t="str">
        <f t="shared" si="1213"/>
        <v>SPS1</v>
      </c>
      <c r="C1072" s="5" t="str">
        <f t="shared" si="1214"/>
        <v>CH</v>
      </c>
      <c r="D1072" t="s">
        <v>1058</v>
      </c>
      <c r="E1072" t="s">
        <v>8</v>
      </c>
      <c r="F1072" s="1">
        <f>F1067-F1068</f>
        <v>6.5594773709658787</v>
      </c>
      <c r="G1072" s="1">
        <f t="shared" ref="G1072:K1072" si="1227">G1067-G1068</f>
        <v>7.6930519625798857</v>
      </c>
      <c r="H1072" s="1">
        <f t="shared" si="1227"/>
        <v>5.8862265040764612</v>
      </c>
      <c r="I1072" s="1">
        <f t="shared" si="1227"/>
        <v>6.6017962709459468</v>
      </c>
      <c r="J1072" s="1">
        <f t="shared" si="1227"/>
        <v>6.8041245792689544</v>
      </c>
      <c r="K1072" s="1">
        <f t="shared" si="1227"/>
        <v>6.8863041840815846</v>
      </c>
      <c r="L1072" s="1">
        <f t="shared" ref="L1072" si="1228">L1067-L1068</f>
        <v>7.0595805615993186</v>
      </c>
      <c r="N1072" s="1"/>
    </row>
    <row r="1073" spans="2:14" x14ac:dyDescent="0.35">
      <c r="B1073" s="5" t="str">
        <f t="shared" si="1213"/>
        <v>SPS1</v>
      </c>
      <c r="C1073" s="5" t="str">
        <f t="shared" si="1214"/>
        <v>CH</v>
      </c>
      <c r="D1073" t="s">
        <v>1059</v>
      </c>
      <c r="E1073" t="s">
        <v>8</v>
      </c>
      <c r="F1073" s="1">
        <f>F1074</f>
        <v>9.1310770474944682</v>
      </c>
      <c r="G1073" s="1">
        <f t="shared" ref="G1073:L1073" si="1229">G1074</f>
        <v>9.1352576792618922</v>
      </c>
      <c r="H1073" s="1">
        <f t="shared" si="1229"/>
        <v>9.8809311262269262</v>
      </c>
      <c r="I1073" s="1">
        <f t="shared" si="1229"/>
        <v>9.3222701913975055</v>
      </c>
      <c r="J1073" s="1">
        <f t="shared" si="1229"/>
        <v>9.1155379113376558</v>
      </c>
      <c r="K1073" s="1">
        <f t="shared" si="1229"/>
        <v>8.2050706314121502</v>
      </c>
      <c r="L1073" s="1">
        <f t="shared" si="1229"/>
        <v>6.3524719158552312</v>
      </c>
      <c r="N1073" s="1"/>
    </row>
    <row r="1074" spans="2:14" x14ac:dyDescent="0.35">
      <c r="B1074" s="5" t="str">
        <f t="shared" si="1213"/>
        <v>SPS1</v>
      </c>
      <c r="C1074" s="5" t="str">
        <f t="shared" si="1214"/>
        <v>CH</v>
      </c>
      <c r="D1074" t="s">
        <v>1060</v>
      </c>
      <c r="E1074" t="s">
        <v>8</v>
      </c>
      <c r="F1074" s="1">
        <f>[1]Residential!B$111</f>
        <v>9.1310770474944682</v>
      </c>
      <c r="G1074" s="1">
        <f>[1]Residential!C$111</f>
        <v>9.1352576792618922</v>
      </c>
      <c r="H1074" s="1">
        <f>[1]Residential!D$111</f>
        <v>9.8809311262269262</v>
      </c>
      <c r="I1074" s="1">
        <f>[1]Residential!E$111</f>
        <v>9.3222701913975055</v>
      </c>
      <c r="J1074" s="1">
        <f>[2]Residential!F$111</f>
        <v>9.1155379113376558</v>
      </c>
      <c r="K1074" s="1">
        <f>[2]Residential!G$111</f>
        <v>8.2050706314121502</v>
      </c>
      <c r="L1074" s="1">
        <f>[2]Residential!H$111</f>
        <v>6.3524719158552312</v>
      </c>
      <c r="N1074" s="1"/>
    </row>
    <row r="1075" spans="2:14" x14ac:dyDescent="0.35">
      <c r="B1075" s="5" t="str">
        <f t="shared" si="1213"/>
        <v>SPS1</v>
      </c>
      <c r="C1075" s="5" t="str">
        <f t="shared" si="1214"/>
        <v>CH</v>
      </c>
      <c r="D1075" t="s">
        <v>1061</v>
      </c>
      <c r="E1075" t="s">
        <v>8</v>
      </c>
      <c r="F1075" s="1">
        <f>F1076</f>
        <v>2.6968886507046301</v>
      </c>
      <c r="G1075" s="1">
        <f t="shared" ref="G1075:L1075" si="1230">G1076</f>
        <v>3.1682220538640093</v>
      </c>
      <c r="H1075" s="1">
        <f t="shared" si="1230"/>
        <v>0.33866507657896777</v>
      </c>
      <c r="I1075" s="1">
        <f t="shared" si="1230"/>
        <v>0.53529597735031631</v>
      </c>
      <c r="J1075" s="1">
        <f t="shared" si="1230"/>
        <v>0.68820171635550664</v>
      </c>
      <c r="K1075" s="1">
        <f t="shared" si="1230"/>
        <v>0.7831067828281042</v>
      </c>
      <c r="L1075" s="1">
        <f t="shared" si="1230"/>
        <v>0.94581778371850245</v>
      </c>
      <c r="N1075" s="1"/>
    </row>
    <row r="1076" spans="2:14" x14ac:dyDescent="0.35">
      <c r="B1076" s="5" t="str">
        <f t="shared" si="1213"/>
        <v>SPS1</v>
      </c>
      <c r="C1076" s="5" t="str">
        <f t="shared" si="1214"/>
        <v>CH</v>
      </c>
      <c r="D1076" t="s">
        <v>1062</v>
      </c>
      <c r="E1076" t="s">
        <v>8</v>
      </c>
      <c r="F1076" s="1">
        <f>[1]Residential!B$112</f>
        <v>2.6968886507046301</v>
      </c>
      <c r="G1076" s="1">
        <f>[1]Residential!C$112</f>
        <v>3.1682220538640093</v>
      </c>
      <c r="H1076" s="1">
        <f>[1]Residential!D$112</f>
        <v>0.33866507657896777</v>
      </c>
      <c r="I1076" s="1">
        <f>[1]Residential!E$112</f>
        <v>0.53529597735031631</v>
      </c>
      <c r="J1076" s="1">
        <f>[2]Residential!F$112</f>
        <v>0.68820171635550664</v>
      </c>
      <c r="K1076" s="1">
        <f>[2]Residential!G$112</f>
        <v>0.7831067828281042</v>
      </c>
      <c r="L1076" s="1">
        <f>[2]Residential!H$112</f>
        <v>0.94581778371850245</v>
      </c>
      <c r="N1076" s="1"/>
    </row>
    <row r="1077" spans="2:14" x14ac:dyDescent="0.35">
      <c r="B1077" s="5" t="str">
        <f t="shared" si="1213"/>
        <v>SPS1</v>
      </c>
      <c r="C1077" s="5" t="str">
        <f t="shared" si="1214"/>
        <v>CH</v>
      </c>
      <c r="D1077" t="s">
        <v>1063</v>
      </c>
      <c r="E1077" t="s">
        <v>8</v>
      </c>
      <c r="F1077" s="1">
        <f>F1078</f>
        <v>0.78533941542298669</v>
      </c>
      <c r="G1077" s="1">
        <f t="shared" ref="G1077:L1077" si="1231">G1078</f>
        <v>0.94128629309483069</v>
      </c>
      <c r="H1077" s="1">
        <f t="shared" si="1231"/>
        <v>3.0776095350368664E-2</v>
      </c>
      <c r="I1077" s="1">
        <f t="shared" si="1231"/>
        <v>3.5919727013563503E-2</v>
      </c>
      <c r="J1077" s="1">
        <f t="shared" si="1231"/>
        <v>3.8106589989307306E-2</v>
      </c>
      <c r="K1077" s="1">
        <f t="shared" si="1231"/>
        <v>3.9282212729925915E-2</v>
      </c>
      <c r="L1077" s="1">
        <f t="shared" si="1231"/>
        <v>4.0788064534296842E-2</v>
      </c>
      <c r="N1077" s="1"/>
    </row>
    <row r="1078" spans="2:14" x14ac:dyDescent="0.35">
      <c r="B1078" s="5" t="str">
        <f t="shared" si="1213"/>
        <v>SPS1</v>
      </c>
      <c r="C1078" s="5" t="str">
        <f t="shared" si="1214"/>
        <v>CH</v>
      </c>
      <c r="D1078" t="s">
        <v>1064</v>
      </c>
      <c r="E1078" t="s">
        <v>8</v>
      </c>
      <c r="F1078" s="1">
        <f>[1]Residential!B$113</f>
        <v>0.78533941542298669</v>
      </c>
      <c r="G1078" s="1">
        <f>[1]Residential!C$113</f>
        <v>0.94128629309483069</v>
      </c>
      <c r="H1078" s="1">
        <f>[1]Residential!D$113</f>
        <v>3.0776095350368664E-2</v>
      </c>
      <c r="I1078" s="1">
        <f>[1]Residential!E$113</f>
        <v>3.5919727013563503E-2</v>
      </c>
      <c r="J1078" s="1">
        <f>[2]Residential!F$113</f>
        <v>3.8106589989307306E-2</v>
      </c>
      <c r="K1078" s="1">
        <f>[2]Residential!G$113</f>
        <v>3.9282212729925915E-2</v>
      </c>
      <c r="L1078" s="1">
        <f>[2]Residential!H$113</f>
        <v>4.0788064534296842E-2</v>
      </c>
      <c r="N1078" s="1"/>
    </row>
    <row r="1079" spans="2:14" x14ac:dyDescent="0.35">
      <c r="B1079" s="5" t="str">
        <f t="shared" si="1213"/>
        <v>SPS1</v>
      </c>
      <c r="C1079" s="5" t="str">
        <f t="shared" si="1214"/>
        <v>CH</v>
      </c>
      <c r="D1079" t="s">
        <v>1065</v>
      </c>
      <c r="E1079" t="s">
        <v>8</v>
      </c>
      <c r="F1079" s="1">
        <f>F1080</f>
        <v>0</v>
      </c>
      <c r="G1079" s="1">
        <f t="shared" ref="G1079:L1079" si="1232">G1080</f>
        <v>0</v>
      </c>
      <c r="H1079" s="1">
        <f t="shared" si="1232"/>
        <v>0</v>
      </c>
      <c r="I1079" s="1">
        <f t="shared" si="1232"/>
        <v>0</v>
      </c>
      <c r="J1079" s="1">
        <f t="shared" si="1232"/>
        <v>0</v>
      </c>
      <c r="K1079" s="1">
        <f t="shared" si="1232"/>
        <v>0</v>
      </c>
      <c r="L1079" s="1">
        <f t="shared" si="1232"/>
        <v>0</v>
      </c>
      <c r="N1079" s="1"/>
    </row>
    <row r="1080" spans="2:14" x14ac:dyDescent="0.35">
      <c r="B1080" s="5" t="str">
        <f t="shared" si="1213"/>
        <v>SPS1</v>
      </c>
      <c r="C1080" s="5" t="str">
        <f t="shared" si="1214"/>
        <v>CH</v>
      </c>
      <c r="D1080" t="s">
        <v>1066</v>
      </c>
      <c r="E1080" t="s">
        <v>8</v>
      </c>
      <c r="F1080" s="1">
        <f>[1]Residential!B$114</f>
        <v>0</v>
      </c>
      <c r="G1080" s="1">
        <f>[1]Residential!C$114</f>
        <v>0</v>
      </c>
      <c r="H1080" s="1">
        <f>[1]Residential!D$114</f>
        <v>0</v>
      </c>
      <c r="I1080" s="1">
        <f>[1]Residential!E$114</f>
        <v>0</v>
      </c>
      <c r="J1080" s="1">
        <f>[2]Residential!F$114</f>
        <v>0</v>
      </c>
      <c r="K1080" s="1">
        <f>[2]Residential!G$114</f>
        <v>0</v>
      </c>
      <c r="L1080" s="1">
        <f>[2]Residential!H$114</f>
        <v>0</v>
      </c>
      <c r="N1080" s="1"/>
    </row>
    <row r="1081" spans="2:14" x14ac:dyDescent="0.35">
      <c r="B1081" s="5" t="str">
        <f t="shared" si="1213"/>
        <v>SPS1</v>
      </c>
      <c r="C1081" s="5" t="str">
        <f t="shared" si="1214"/>
        <v>CH</v>
      </c>
      <c r="D1081" t="s">
        <v>1067</v>
      </c>
      <c r="E1081" t="s">
        <v>8</v>
      </c>
      <c r="F1081" s="1">
        <f>[1]Residential!B$10-[1]Residential!B$223</f>
        <v>4.4947373750853725E-2</v>
      </c>
      <c r="G1081" s="1">
        <f>[1]Residential!C$10-[1]Residential!C$223</f>
        <v>8.1783676962274736</v>
      </c>
      <c r="H1081" s="1">
        <f>[1]Residential!D$10-[1]Residential!D$223</f>
        <v>5.1188932621152974</v>
      </c>
      <c r="I1081" s="1">
        <f>[1]Residential!E$10-[1]Residential!E$223</f>
        <v>9.2440915833001114</v>
      </c>
      <c r="J1081" s="1">
        <f>[2]Residential!F$10-[2]Residential!F$223</f>
        <v>13.182623358419324</v>
      </c>
      <c r="K1081" s="1">
        <f>[2]Residential!G$10-[2]Residential!G$223</f>
        <v>16.956585998259254</v>
      </c>
      <c r="L1081" s="1">
        <f>[2]Residential!H$10-[2]Residential!H$223</f>
        <v>24.176076096011258</v>
      </c>
      <c r="N1081" s="1"/>
    </row>
    <row r="1082" spans="2:14" x14ac:dyDescent="0.35">
      <c r="B1082" s="5" t="str">
        <f t="shared" si="1213"/>
        <v>SPS1</v>
      </c>
      <c r="C1082" s="5" t="str">
        <f t="shared" si="1214"/>
        <v>CH</v>
      </c>
      <c r="D1082" t="s">
        <v>1068</v>
      </c>
      <c r="E1082" t="s">
        <v>8</v>
      </c>
      <c r="F1082" s="1">
        <f>[1]Residential!B$224</f>
        <v>26.978307937597791</v>
      </c>
      <c r="G1082" s="1">
        <f>[1]Residential!C$224</f>
        <v>25.930006720386537</v>
      </c>
      <c r="H1082" s="1">
        <f>[1]Residential!D$224</f>
        <v>21.653224432401725</v>
      </c>
      <c r="I1082" s="1">
        <f>[1]Residential!E$224</f>
        <v>22.580872169497709</v>
      </c>
      <c r="J1082" s="1">
        <f>[2]Residential!F$224</f>
        <v>23.752219231682858</v>
      </c>
      <c r="K1082" s="1">
        <f>[2]Residential!G$224</f>
        <v>25.26360759680021</v>
      </c>
      <c r="L1082" s="1">
        <f>[2]Residential!H$224</f>
        <v>28.820926715721658</v>
      </c>
      <c r="N1082" s="1"/>
    </row>
    <row r="1083" spans="2:14" x14ac:dyDescent="0.35">
      <c r="B1083" s="5" t="str">
        <f t="shared" si="1213"/>
        <v>SPS1</v>
      </c>
      <c r="C1083" s="5" t="str">
        <f t="shared" si="1214"/>
        <v>CH</v>
      </c>
      <c r="D1083" t="s">
        <v>1118</v>
      </c>
      <c r="E1083" t="s">
        <v>8</v>
      </c>
      <c r="F1083" s="1">
        <f>SUM(F1084:F1085)</f>
        <v>9.8845999576436352</v>
      </c>
      <c r="G1083" s="1">
        <f t="shared" ref="G1083:K1083" si="1233">SUM(G1084:G1085)</f>
        <v>10.604168765772272</v>
      </c>
      <c r="H1083" s="1">
        <f t="shared" si="1233"/>
        <v>7.56106297638207</v>
      </c>
      <c r="I1083" s="1">
        <f t="shared" si="1233"/>
        <v>9.2163144174142442</v>
      </c>
      <c r="J1083" s="1">
        <f t="shared" si="1233"/>
        <v>10.607018074696265</v>
      </c>
      <c r="K1083" s="1">
        <f t="shared" si="1233"/>
        <v>12.045399574608705</v>
      </c>
      <c r="L1083" s="1">
        <f t="shared" ref="L1083" si="1234">SUM(L1084:L1085)</f>
        <v>15.186119275934702</v>
      </c>
      <c r="N1083" s="1"/>
    </row>
    <row r="1084" spans="2:14" x14ac:dyDescent="0.35">
      <c r="B1084" s="5" t="str">
        <f t="shared" si="1213"/>
        <v>SPS1</v>
      </c>
      <c r="C1084" s="5" t="str">
        <f t="shared" si="1214"/>
        <v>CH</v>
      </c>
      <c r="D1084" t="s">
        <v>1119</v>
      </c>
      <c r="E1084" t="s">
        <v>8</v>
      </c>
      <c r="F1084" s="1">
        <f>[1]Residential!B$231-F1058</f>
        <v>6.6447018569694993</v>
      </c>
      <c r="G1084" s="1">
        <f>[1]Residential!C$231-G1058</f>
        <v>6.9687090792831548</v>
      </c>
      <c r="H1084" s="1">
        <f>[1]Residential!D$231-H1058</f>
        <v>2.8217478715063447</v>
      </c>
      <c r="I1084" s="1">
        <f>[1]Residential!E$231-I1058</f>
        <v>2.2283576208579903</v>
      </c>
      <c r="J1084" s="1">
        <f>[2]Residential!F$231-J1058</f>
        <v>2.0272878600573154</v>
      </c>
      <c r="K1084" s="1">
        <f>[2]Residential!G$231-K1058</f>
        <v>1.9351118228169322</v>
      </c>
      <c r="L1084" s="1">
        <f>[2]Residential!H$231-L1058</f>
        <v>1.769036900653441</v>
      </c>
      <c r="N1084" s="1"/>
    </row>
    <row r="1085" spans="2:14" x14ac:dyDescent="0.35">
      <c r="B1085" s="5" t="str">
        <f t="shared" si="1213"/>
        <v>SPS1</v>
      </c>
      <c r="C1085" s="5" t="str">
        <f t="shared" si="1214"/>
        <v>CH</v>
      </c>
      <c r="D1085" t="s">
        <v>1120</v>
      </c>
      <c r="E1085" t="s">
        <v>8</v>
      </c>
      <c r="F1085" s="1">
        <f>[1]Residential!B$233-F1059</f>
        <v>3.2398981006741359</v>
      </c>
      <c r="G1085" s="1">
        <f>[1]Residential!C$233-G1059</f>
        <v>3.6354596864891171</v>
      </c>
      <c r="H1085" s="1">
        <f>[1]Residential!D$233-H1059</f>
        <v>4.7393151048757254</v>
      </c>
      <c r="I1085" s="1">
        <f>[1]Residential!E$233-I1059</f>
        <v>6.9879567965562543</v>
      </c>
      <c r="J1085" s="1">
        <f>[2]Residential!F$233-J1059</f>
        <v>8.5797302146389498</v>
      </c>
      <c r="K1085" s="1">
        <f>[2]Residential!G$233-K1059</f>
        <v>10.110287751791773</v>
      </c>
      <c r="L1085" s="1">
        <f>[2]Residential!H$233-L1059</f>
        <v>13.417082375281261</v>
      </c>
      <c r="N1085" s="1"/>
    </row>
    <row r="1086" spans="2:14" x14ac:dyDescent="0.35">
      <c r="B1086" s="5" t="str">
        <f t="shared" si="1213"/>
        <v>SPS1</v>
      </c>
      <c r="C1086" s="5" t="str">
        <f t="shared" si="1214"/>
        <v>CH</v>
      </c>
      <c r="D1086" t="s">
        <v>1069</v>
      </c>
      <c r="E1086" t="s">
        <v>8</v>
      </c>
      <c r="F1086" s="1">
        <f>F1087</f>
        <v>6.984458254042174</v>
      </c>
      <c r="G1086" s="1">
        <f t="shared" ref="G1086:L1086" si="1235">G1087</f>
        <v>5.9323000865782305</v>
      </c>
      <c r="H1086" s="1">
        <f t="shared" si="1235"/>
        <v>4.6761390939225862</v>
      </c>
      <c r="I1086" s="1">
        <f t="shared" si="1235"/>
        <v>3.1017927696240974</v>
      </c>
      <c r="J1086" s="1">
        <f t="shared" si="1235"/>
        <v>2.2986001273323566</v>
      </c>
      <c r="K1086" s="1">
        <f t="shared" si="1235"/>
        <v>1.8177032208486175</v>
      </c>
      <c r="L1086" s="1">
        <f t="shared" si="1235"/>
        <v>0.91631449586415847</v>
      </c>
      <c r="N1086" s="1"/>
    </row>
    <row r="1087" spans="2:14" x14ac:dyDescent="0.35">
      <c r="B1087" s="5" t="str">
        <f t="shared" si="1213"/>
        <v>SPS1</v>
      </c>
      <c r="C1087" s="5" t="str">
        <f t="shared" si="1214"/>
        <v>CH</v>
      </c>
      <c r="D1087" t="s">
        <v>1070</v>
      </c>
      <c r="E1087" t="s">
        <v>8</v>
      </c>
      <c r="F1087" s="1">
        <f>[1]Residential!B$234-F1061</f>
        <v>6.984458254042174</v>
      </c>
      <c r="G1087" s="1">
        <f>[1]Residential!C$234-G1061</f>
        <v>5.9323000865782305</v>
      </c>
      <c r="H1087" s="1">
        <f>[1]Residential!D$234-H1061</f>
        <v>4.6761390939225862</v>
      </c>
      <c r="I1087" s="1">
        <f>[1]Residential!E$234-I1061</f>
        <v>3.1017927696240974</v>
      </c>
      <c r="J1087" s="1">
        <f>[2]Residential!F$234-J1061</f>
        <v>2.2986001273323566</v>
      </c>
      <c r="K1087" s="1">
        <f>[2]Residential!G$234-K1061</f>
        <v>1.8177032208486175</v>
      </c>
      <c r="L1087" s="1">
        <f>[2]Residential!H$234-L1061</f>
        <v>0.91631449586415847</v>
      </c>
      <c r="N1087" s="1"/>
    </row>
    <row r="1088" spans="2:14" x14ac:dyDescent="0.35">
      <c r="B1088" s="5" t="str">
        <f t="shared" si="1213"/>
        <v>SPS1</v>
      </c>
      <c r="C1088" s="5" t="str">
        <f t="shared" si="1214"/>
        <v>CH</v>
      </c>
      <c r="D1088" t="s">
        <v>1071</v>
      </c>
      <c r="E1088" t="s">
        <v>8</v>
      </c>
      <c r="F1088" s="1">
        <f>SUM(F1089:F1090)</f>
        <v>6.3804513018395852</v>
      </c>
      <c r="G1088" s="1">
        <f t="shared" ref="G1088:K1088" si="1236">SUM(G1089:G1090)</f>
        <v>5.1513552970312944</v>
      </c>
      <c r="H1088" s="1">
        <f t="shared" si="1236"/>
        <v>6.3172137072179728</v>
      </c>
      <c r="I1088" s="1">
        <f t="shared" si="1236"/>
        <v>6.6365835034163183</v>
      </c>
      <c r="J1088" s="1">
        <f t="shared" si="1236"/>
        <v>6.8163914718074938</v>
      </c>
      <c r="K1088" s="1">
        <f t="shared" si="1236"/>
        <v>7.1202125579448108</v>
      </c>
      <c r="L1088" s="1">
        <f t="shared" ref="L1088" si="1237">SUM(L1089:L1090)</f>
        <v>7.9486173265015765</v>
      </c>
      <c r="N1088" s="1"/>
    </row>
    <row r="1089" spans="2:14" x14ac:dyDescent="0.35">
      <c r="B1089" s="5" t="str">
        <f t="shared" si="1213"/>
        <v>SPS1</v>
      </c>
      <c r="C1089" s="5" t="str">
        <f t="shared" si="1214"/>
        <v>CH</v>
      </c>
      <c r="D1089" t="s">
        <v>1072</v>
      </c>
      <c r="E1089" t="s">
        <v>8</v>
      </c>
      <c r="F1089" s="1">
        <f>[1]Residential!B$235-F1063</f>
        <v>6.3804513018395852</v>
      </c>
      <c r="G1089" s="1">
        <f>[1]Residential!C$235-G1063</f>
        <v>5.1513552970312944</v>
      </c>
      <c r="H1089" s="1">
        <f>[1]Residential!D$235-H1063</f>
        <v>5.4192366743082161</v>
      </c>
      <c r="I1089" s="1">
        <f>[1]Residential!E$235-I1063</f>
        <v>4.4448850076039506</v>
      </c>
      <c r="J1089" s="1">
        <f>[2]Residential!F$235-J1063</f>
        <v>3.7093481125449443</v>
      </c>
      <c r="K1089" s="1">
        <f>[2]Residential!G$235-K1063</f>
        <v>3.1239124877524453</v>
      </c>
      <c r="L1089" s="1">
        <f>[2]Residential!H$235-L1063</f>
        <v>2.0786853573196034</v>
      </c>
      <c r="N1089" s="1"/>
    </row>
    <row r="1090" spans="2:14" x14ac:dyDescent="0.35">
      <c r="B1090" s="5" t="str">
        <f t="shared" si="1213"/>
        <v>SPS1</v>
      </c>
      <c r="C1090" s="5" t="str">
        <f t="shared" si="1214"/>
        <v>CH</v>
      </c>
      <c r="D1090" t="s">
        <v>1073</v>
      </c>
      <c r="E1090" t="s">
        <v>8</v>
      </c>
      <c r="F1090" s="1">
        <f>[1]Residential!B$236-F1064</f>
        <v>0</v>
      </c>
      <c r="G1090" s="1">
        <f>[1]Residential!C$236-G1064</f>
        <v>0</v>
      </c>
      <c r="H1090" s="1">
        <f>[1]Residential!D$236-H1064</f>
        <v>0.89797703290975672</v>
      </c>
      <c r="I1090" s="1">
        <f>[1]Residential!E$236-I1064</f>
        <v>2.1916984958123678</v>
      </c>
      <c r="J1090" s="1">
        <f>[2]Residential!F$236-J1064</f>
        <v>3.1070433592625495</v>
      </c>
      <c r="K1090" s="1">
        <f>[2]Residential!G$236-K1064</f>
        <v>3.9963000701923654</v>
      </c>
      <c r="L1090" s="1">
        <f>[2]Residential!H$236-L1064</f>
        <v>5.8699319691819731</v>
      </c>
      <c r="N1090" s="1"/>
    </row>
    <row r="1091" spans="2:14" x14ac:dyDescent="0.35">
      <c r="B1091" s="5" t="str">
        <f t="shared" si="1213"/>
        <v>SPS1</v>
      </c>
      <c r="C1091" s="5" t="str">
        <f t="shared" si="1214"/>
        <v>CH</v>
      </c>
      <c r="D1091" t="s">
        <v>1074</v>
      </c>
      <c r="E1091" t="s">
        <v>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N1091" s="1"/>
    </row>
    <row r="1092" spans="2:14" x14ac:dyDescent="0.35">
      <c r="B1092" s="5" t="str">
        <f t="shared" si="1213"/>
        <v>SPS1</v>
      </c>
      <c r="C1092" s="5" t="str">
        <f t="shared" si="1214"/>
        <v>CH</v>
      </c>
      <c r="D1092" t="s">
        <v>1075</v>
      </c>
      <c r="E1092" t="s">
        <v>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N1092" s="1"/>
    </row>
    <row r="1093" spans="2:14" x14ac:dyDescent="0.35">
      <c r="B1093" s="5" t="str">
        <f t="shared" si="1213"/>
        <v>SPS1</v>
      </c>
      <c r="C1093" s="5" t="str">
        <f t="shared" si="1214"/>
        <v>CH</v>
      </c>
      <c r="D1093" t="s">
        <v>1076</v>
      </c>
      <c r="E1093" t="s">
        <v>8</v>
      </c>
      <c r="F1093" s="1">
        <f>SUM(F1094,F1098)</f>
        <v>1.3170438726158862</v>
      </c>
      <c r="G1093" s="1">
        <f t="shared" ref="G1093:K1093" si="1238">SUM(G1094,G1098)</f>
        <v>1.4633760879942761</v>
      </c>
      <c r="H1093" s="1">
        <f t="shared" si="1238"/>
        <v>0.95324676538258757</v>
      </c>
      <c r="I1093" s="1">
        <f t="shared" si="1238"/>
        <v>1.1752061558608062</v>
      </c>
      <c r="J1093" s="1">
        <f t="shared" si="1238"/>
        <v>1.3067806801330093</v>
      </c>
      <c r="K1093" s="1">
        <f t="shared" si="1238"/>
        <v>1.4175640195823203</v>
      </c>
      <c r="L1093" s="1">
        <f t="shared" ref="L1093" si="1239">SUM(L1094,L1098)</f>
        <v>1.6477627306311842</v>
      </c>
      <c r="N1093" s="1"/>
    </row>
    <row r="1094" spans="2:14" x14ac:dyDescent="0.35">
      <c r="B1094" s="5" t="str">
        <f t="shared" si="1213"/>
        <v>SPS1</v>
      </c>
      <c r="C1094" s="5" t="str">
        <f t="shared" si="1214"/>
        <v>CH</v>
      </c>
      <c r="D1094" t="s">
        <v>1077</v>
      </c>
      <c r="E1094" t="s">
        <v>8</v>
      </c>
      <c r="F1094" s="1">
        <f>[1]Residential!B$238-F1068</f>
        <v>1.5575996635830036E-2</v>
      </c>
      <c r="G1094" s="1">
        <f>[1]Residential!C$238-G1068</f>
        <v>9.666868826965604E-4</v>
      </c>
      <c r="H1094" s="1">
        <f>[1]Residential!D$238-H1068</f>
        <v>0</v>
      </c>
      <c r="I1094" s="1">
        <f>[1]Residential!E$238-I1068</f>
        <v>0</v>
      </c>
      <c r="J1094" s="1">
        <f>[2]Residential!F$238-J1068</f>
        <v>0</v>
      </c>
      <c r="K1094" s="1">
        <f>[2]Residential!G$238-K1068</f>
        <v>0</v>
      </c>
      <c r="L1094" s="1">
        <f>[2]Residential!H$238-L1068</f>
        <v>0</v>
      </c>
      <c r="N1094" s="1"/>
    </row>
    <row r="1095" spans="2:14" x14ac:dyDescent="0.35">
      <c r="B1095" s="5" t="str">
        <f t="shared" si="1213"/>
        <v>SPS1</v>
      </c>
      <c r="C1095" s="5" t="str">
        <f t="shared" si="1214"/>
        <v>CH</v>
      </c>
      <c r="D1095" t="s">
        <v>1078</v>
      </c>
      <c r="E1095" t="s">
        <v>8</v>
      </c>
      <c r="F1095" s="1">
        <f>IFERROR(F$1094/F$1043,0)*F1044</f>
        <v>1.5575996635830036E-2</v>
      </c>
      <c r="G1095" s="1">
        <f t="shared" ref="G1095:K1097" si="1240">IFERROR(G$1094/G$1043,0)*G1044</f>
        <v>9.666868826965604E-4</v>
      </c>
      <c r="H1095" s="1">
        <f t="shared" si="1240"/>
        <v>0</v>
      </c>
      <c r="I1095" s="1">
        <f t="shared" si="1240"/>
        <v>0</v>
      </c>
      <c r="J1095" s="1">
        <f t="shared" si="1240"/>
        <v>0</v>
      </c>
      <c r="K1095" s="1">
        <f t="shared" si="1240"/>
        <v>0</v>
      </c>
      <c r="L1095" s="1">
        <f t="shared" ref="L1095" si="1241">IFERROR(L$1094/L$1043,0)*L1044</f>
        <v>0</v>
      </c>
      <c r="N1095" s="1"/>
    </row>
    <row r="1096" spans="2:14" x14ac:dyDescent="0.35">
      <c r="B1096" s="5" t="str">
        <f t="shared" si="1213"/>
        <v>SPS1</v>
      </c>
      <c r="C1096" s="5" t="str">
        <f t="shared" si="1214"/>
        <v>CH</v>
      </c>
      <c r="D1096" t="s">
        <v>1079</v>
      </c>
      <c r="E1096" t="s">
        <v>8</v>
      </c>
      <c r="F1096" s="1">
        <f>IFERROR(F$1094/F$1043,0)*F1045</f>
        <v>0</v>
      </c>
      <c r="G1096" s="1">
        <f t="shared" si="1240"/>
        <v>0</v>
      </c>
      <c r="H1096" s="1">
        <f t="shared" si="1240"/>
        <v>0</v>
      </c>
      <c r="I1096" s="1">
        <f t="shared" si="1240"/>
        <v>0</v>
      </c>
      <c r="J1096" s="1">
        <f t="shared" si="1240"/>
        <v>0</v>
      </c>
      <c r="K1096" s="1">
        <f t="shared" si="1240"/>
        <v>0</v>
      </c>
      <c r="L1096" s="1">
        <f t="shared" ref="L1096" si="1242">IFERROR(L$1094/L$1043,0)*L1045</f>
        <v>0</v>
      </c>
      <c r="N1096" s="1"/>
    </row>
    <row r="1097" spans="2:14" x14ac:dyDescent="0.35">
      <c r="B1097" s="5" t="str">
        <f t="shared" si="1213"/>
        <v>SPS1</v>
      </c>
      <c r="C1097" s="5" t="str">
        <f t="shared" si="1214"/>
        <v>CH</v>
      </c>
      <c r="D1097" t="s">
        <v>1080</v>
      </c>
      <c r="E1097" t="s">
        <v>8</v>
      </c>
      <c r="F1097" s="1">
        <f>IFERROR(F$1094/F$1043,0)*F1046</f>
        <v>0</v>
      </c>
      <c r="G1097" s="1">
        <f t="shared" si="1240"/>
        <v>0</v>
      </c>
      <c r="H1097" s="1">
        <f t="shared" si="1240"/>
        <v>0</v>
      </c>
      <c r="I1097" s="1">
        <f t="shared" si="1240"/>
        <v>0</v>
      </c>
      <c r="J1097" s="1">
        <f t="shared" si="1240"/>
        <v>0</v>
      </c>
      <c r="K1097" s="1">
        <f t="shared" si="1240"/>
        <v>0</v>
      </c>
      <c r="L1097" s="1">
        <f t="shared" ref="L1097" si="1243">IFERROR(L$1094/L$1043,0)*L1046</f>
        <v>0</v>
      </c>
      <c r="N1097" s="1"/>
    </row>
    <row r="1098" spans="2:14" x14ac:dyDescent="0.35">
      <c r="B1098" s="5" t="str">
        <f t="shared" si="1213"/>
        <v>SPS1</v>
      </c>
      <c r="C1098" s="5" t="str">
        <f t="shared" si="1214"/>
        <v>CH</v>
      </c>
      <c r="D1098" t="s">
        <v>1081</v>
      </c>
      <c r="E1098" t="s">
        <v>8</v>
      </c>
      <c r="F1098" s="1">
        <f>[1]Residential!B$239-F1072</f>
        <v>1.3014678759800562</v>
      </c>
      <c r="G1098" s="1">
        <f>[1]Residential!C$239-G1072</f>
        <v>1.4624094011115796</v>
      </c>
      <c r="H1098" s="1">
        <f>[1]Residential!D$239-H1072</f>
        <v>0.95324676538258757</v>
      </c>
      <c r="I1098" s="1">
        <f>[1]Residential!E$239-I1072</f>
        <v>1.1752061558608062</v>
      </c>
      <c r="J1098" s="1">
        <f>[2]Residential!F$239-J1072</f>
        <v>1.3067806801330093</v>
      </c>
      <c r="K1098" s="1">
        <f>[2]Residential!G$239-K1072</f>
        <v>1.4175640195823203</v>
      </c>
      <c r="L1098" s="1">
        <f>[2]Residential!H$239-L1072</f>
        <v>1.6477627306311842</v>
      </c>
      <c r="N1098" s="1"/>
    </row>
    <row r="1099" spans="2:14" x14ac:dyDescent="0.35">
      <c r="B1099" s="5" t="str">
        <f t="shared" si="1213"/>
        <v>SPS1</v>
      </c>
      <c r="C1099" s="5" t="str">
        <f t="shared" si="1214"/>
        <v>CH</v>
      </c>
      <c r="D1099" t="s">
        <v>1082</v>
      </c>
      <c r="E1099" t="s">
        <v>8</v>
      </c>
      <c r="F1099" s="1">
        <f>F1100</f>
        <v>0.52047236388696483</v>
      </c>
      <c r="G1099" s="1">
        <f t="shared" ref="G1099:L1099" si="1244">G1100</f>
        <v>0.59724161463805991</v>
      </c>
      <c r="H1099" s="1">
        <f t="shared" si="1244"/>
        <v>1.1580832203962341</v>
      </c>
      <c r="I1099" s="1">
        <f t="shared" si="1244"/>
        <v>1.2375042662603146</v>
      </c>
      <c r="J1099" s="1">
        <f t="shared" si="1244"/>
        <v>1.36773480290951</v>
      </c>
      <c r="K1099" s="1">
        <f t="shared" si="1244"/>
        <v>1.3807075933103583</v>
      </c>
      <c r="L1099" s="1">
        <f t="shared" si="1244"/>
        <v>1.3662565798002113</v>
      </c>
      <c r="N1099" s="1"/>
    </row>
    <row r="1100" spans="2:14" x14ac:dyDescent="0.35">
      <c r="B1100" s="5" t="str">
        <f t="shared" si="1213"/>
        <v>SPS1</v>
      </c>
      <c r="C1100" s="5" t="str">
        <f t="shared" si="1214"/>
        <v>CH</v>
      </c>
      <c r="D1100" t="s">
        <v>1083</v>
      </c>
      <c r="E1100" t="s">
        <v>8</v>
      </c>
      <c r="F1100" s="1">
        <f>[1]Residential!B$240-F1074</f>
        <v>0.52047236388696483</v>
      </c>
      <c r="G1100" s="1">
        <f>[1]Residential!C$240-G1074</f>
        <v>0.59724161463805991</v>
      </c>
      <c r="H1100" s="1">
        <f>[1]Residential!D$240-H1074</f>
        <v>1.1580832203962341</v>
      </c>
      <c r="I1100" s="1">
        <f>[1]Residential!E$240-I1074</f>
        <v>1.2375042662603146</v>
      </c>
      <c r="J1100" s="1">
        <f>[2]Residential!F$240-J1074</f>
        <v>1.36773480290951</v>
      </c>
      <c r="K1100" s="1">
        <f>[2]Residential!G$240-K1074</f>
        <v>1.3807075933103583</v>
      </c>
      <c r="L1100" s="1">
        <f>[2]Residential!H$240-L1074</f>
        <v>1.3662565798002113</v>
      </c>
      <c r="N1100" s="1"/>
    </row>
    <row r="1101" spans="2:14" x14ac:dyDescent="0.35">
      <c r="B1101" s="5" t="str">
        <f t="shared" si="1213"/>
        <v>SPS1</v>
      </c>
      <c r="C1101" s="5" t="str">
        <f t="shared" si="1214"/>
        <v>CH</v>
      </c>
      <c r="D1101" t="s">
        <v>1084</v>
      </c>
      <c r="E1101" t="s">
        <v>8</v>
      </c>
      <c r="F1101" s="1">
        <f>F1102</f>
        <v>0.16979416290968885</v>
      </c>
      <c r="G1101" s="1">
        <f t="shared" ref="G1101" si="1245">G1102</f>
        <v>0.19483722509220414</v>
      </c>
      <c r="H1101" s="1">
        <f t="shared" ref="H1101" si="1246">H1102</f>
        <v>8.2930886575537544E-2</v>
      </c>
      <c r="I1101" s="1">
        <f t="shared" ref="I1101" si="1247">I1102</f>
        <v>0.1392502500647268</v>
      </c>
      <c r="J1101" s="1">
        <f t="shared" ref="J1101" si="1248">J1102</f>
        <v>0.19683917213217328</v>
      </c>
      <c r="K1101" s="1">
        <f t="shared" ref="K1101:L1101" si="1249">K1102</f>
        <v>0.23882829147840767</v>
      </c>
      <c r="L1101" s="1">
        <f t="shared" si="1249"/>
        <v>0.32388857193487741</v>
      </c>
      <c r="N1101" s="1"/>
    </row>
    <row r="1102" spans="2:14" x14ac:dyDescent="0.35">
      <c r="B1102" s="5" t="str">
        <f t="shared" si="1213"/>
        <v>SPS1</v>
      </c>
      <c r="C1102" s="5" t="str">
        <f t="shared" si="1214"/>
        <v>CH</v>
      </c>
      <c r="D1102" t="s">
        <v>1085</v>
      </c>
      <c r="E1102" t="s">
        <v>8</v>
      </c>
      <c r="F1102" s="1">
        <f>[1]Residential!B$241-F1076</f>
        <v>0.16979416290968885</v>
      </c>
      <c r="G1102" s="1">
        <f>[1]Residential!C$241-G1076</f>
        <v>0.19483722509220414</v>
      </c>
      <c r="H1102" s="1">
        <f>[1]Residential!D$241-H1076</f>
        <v>8.2930886575537544E-2</v>
      </c>
      <c r="I1102" s="1">
        <f>[1]Residential!E$241-I1076</f>
        <v>0.1392502500647268</v>
      </c>
      <c r="J1102" s="1">
        <f>[2]Residential!F$241-J1076</f>
        <v>0.19683917213217328</v>
      </c>
      <c r="K1102" s="1">
        <f>[2]Residential!G$241-K1076</f>
        <v>0.23882829147840767</v>
      </c>
      <c r="L1102" s="1">
        <f>[2]Residential!H$241-L1076</f>
        <v>0.32388857193487741</v>
      </c>
      <c r="N1102" s="1"/>
    </row>
    <row r="1103" spans="2:14" x14ac:dyDescent="0.35">
      <c r="B1103" s="5" t="str">
        <f t="shared" si="1213"/>
        <v>SPS1</v>
      </c>
      <c r="C1103" s="5" t="str">
        <f t="shared" si="1214"/>
        <v>CH</v>
      </c>
      <c r="D1103" t="s">
        <v>1086</v>
      </c>
      <c r="E1103" t="s">
        <v>8</v>
      </c>
      <c r="F1103" s="1">
        <f>F1104</f>
        <v>1.721488024659851</v>
      </c>
      <c r="G1103" s="1">
        <f t="shared" ref="G1103" si="1250">G1104</f>
        <v>1.9867276432802019</v>
      </c>
      <c r="H1103" s="1">
        <f t="shared" ref="H1103" si="1251">H1104</f>
        <v>0.904547782524736</v>
      </c>
      <c r="I1103" s="1">
        <f t="shared" ref="I1103" si="1252">I1104</f>
        <v>1.0742208068571992</v>
      </c>
      <c r="J1103" s="1">
        <f t="shared" ref="J1103" si="1253">J1104</f>
        <v>1.1588549026720483</v>
      </c>
      <c r="K1103" s="1">
        <f t="shared" ref="K1103:L1103" si="1254">K1104</f>
        <v>1.2431923390269859</v>
      </c>
      <c r="L1103" s="1">
        <f t="shared" si="1254"/>
        <v>1.431967735054956</v>
      </c>
      <c r="N1103" s="1"/>
    </row>
    <row r="1104" spans="2:14" x14ac:dyDescent="0.35">
      <c r="B1104" s="5" t="str">
        <f t="shared" si="1213"/>
        <v>SPS1</v>
      </c>
      <c r="C1104" s="5" t="str">
        <f t="shared" si="1214"/>
        <v>CH</v>
      </c>
      <c r="D1104" t="s">
        <v>1087</v>
      </c>
      <c r="E1104" t="s">
        <v>8</v>
      </c>
      <c r="F1104" s="1">
        <f>[1]Residential!B$242-F1078</f>
        <v>1.721488024659851</v>
      </c>
      <c r="G1104" s="1">
        <f>[1]Residential!C$242-G1078</f>
        <v>1.9867276432802019</v>
      </c>
      <c r="H1104" s="1">
        <f>[1]Residential!D$242-H1078</f>
        <v>0.904547782524736</v>
      </c>
      <c r="I1104" s="1">
        <f>[1]Residential!E$242-I1078</f>
        <v>1.0742208068571992</v>
      </c>
      <c r="J1104" s="1">
        <f>[2]Residential!F$242-J1078</f>
        <v>1.1588549026720483</v>
      </c>
      <c r="K1104" s="1">
        <f>[2]Residential!G$242-K1078</f>
        <v>1.2431923390269859</v>
      </c>
      <c r="L1104" s="1">
        <f>[2]Residential!H$242-L1078</f>
        <v>1.431967735054956</v>
      </c>
      <c r="N1104" s="1"/>
    </row>
    <row r="1105" spans="2:14" x14ac:dyDescent="0.35">
      <c r="B1105" s="5" t="str">
        <f t="shared" si="1213"/>
        <v>SPS1</v>
      </c>
      <c r="C1105" s="5" t="str">
        <f t="shared" si="1214"/>
        <v>CH</v>
      </c>
      <c r="D1105" t="s">
        <v>1088</v>
      </c>
      <c r="E1105" t="s">
        <v>8</v>
      </c>
      <c r="F1105" s="1">
        <f>F1106</f>
        <v>0</v>
      </c>
      <c r="G1105" s="1">
        <f t="shared" ref="G1105" si="1255">G1106</f>
        <v>0</v>
      </c>
      <c r="H1105" s="1">
        <f t="shared" ref="H1105" si="1256">H1106</f>
        <v>0</v>
      </c>
      <c r="I1105" s="1">
        <f t="shared" ref="I1105" si="1257">I1106</f>
        <v>0</v>
      </c>
      <c r="J1105" s="1">
        <f t="shared" ref="J1105" si="1258">J1106</f>
        <v>0</v>
      </c>
      <c r="K1105" s="1">
        <f t="shared" ref="K1105:L1105" si="1259">K1106</f>
        <v>0</v>
      </c>
      <c r="L1105" s="1">
        <f t="shared" si="1259"/>
        <v>0</v>
      </c>
      <c r="N1105" s="1"/>
    </row>
    <row r="1106" spans="2:14" x14ac:dyDescent="0.35">
      <c r="B1106" s="5" t="str">
        <f t="shared" si="1213"/>
        <v>SPS1</v>
      </c>
      <c r="C1106" s="5" t="str">
        <f t="shared" si="1214"/>
        <v>CH</v>
      </c>
      <c r="D1106" t="s">
        <v>1089</v>
      </c>
      <c r="E1106" t="s">
        <v>8</v>
      </c>
      <c r="F1106" s="1">
        <f>[1]Residential!B$243-F1080</f>
        <v>0</v>
      </c>
      <c r="G1106" s="1">
        <f>[1]Residential!C$243-G1080</f>
        <v>0</v>
      </c>
      <c r="H1106" s="1">
        <f>[1]Residential!D$243-H1080</f>
        <v>0</v>
      </c>
      <c r="I1106" s="1">
        <f>[1]Residential!E$243-I1080</f>
        <v>0</v>
      </c>
      <c r="J1106" s="1">
        <f>[2]Residential!F$243-J1080</f>
        <v>0</v>
      </c>
      <c r="K1106" s="1">
        <f>[2]Residential!G$243-K1080</f>
        <v>0</v>
      </c>
      <c r="L1106" s="1">
        <f>[2]Residential!H$243-L1080</f>
        <v>0</v>
      </c>
      <c r="N1106" s="1"/>
    </row>
    <row r="1107" spans="2:14" x14ac:dyDescent="0.35">
      <c r="B1107" s="5" t="str">
        <f t="shared" si="1213"/>
        <v>SPS1</v>
      </c>
      <c r="C1107" s="5" t="str">
        <f t="shared" si="1214"/>
        <v>CH</v>
      </c>
      <c r="D1107" t="s">
        <v>1090</v>
      </c>
      <c r="E1107" t="s">
        <v>8</v>
      </c>
      <c r="F1107" s="1">
        <f>[1]Residential!B$244-F1081</f>
        <v>0</v>
      </c>
      <c r="G1107" s="1">
        <f>[1]Residential!C$244-G1081</f>
        <v>0</v>
      </c>
      <c r="H1107" s="1">
        <f>[1]Residential!D$244-H1081</f>
        <v>0</v>
      </c>
      <c r="I1107" s="1">
        <f>[1]Residential!E$244-I1081</f>
        <v>0</v>
      </c>
      <c r="J1107" s="1">
        <f>[2]Residential!F$244-J1081</f>
        <v>0</v>
      </c>
      <c r="K1107" s="1">
        <f>[2]Residential!G$244-K1081</f>
        <v>0</v>
      </c>
      <c r="L1107" s="1">
        <f>[2]Residential!H$244-L1081</f>
        <v>0</v>
      </c>
      <c r="N1107" s="1"/>
    </row>
    <row r="1108" spans="2:14" x14ac:dyDescent="0.35">
      <c r="B1108" s="5" t="str">
        <f t="shared" ref="B1108:B1135" si="1260">B1107</f>
        <v>SPS1</v>
      </c>
      <c r="C1108" s="5" t="str">
        <f t="shared" ref="C1108:C1135" si="1261">C1107</f>
        <v>CH</v>
      </c>
      <c r="D1108" s="2" t="s">
        <v>1091</v>
      </c>
      <c r="E1108" s="2" t="s">
        <v>240</v>
      </c>
      <c r="F1108" t="s">
        <v>292</v>
      </c>
      <c r="G1108" t="s">
        <v>292</v>
      </c>
      <c r="H1108" t="s">
        <v>292</v>
      </c>
      <c r="I1108" t="s">
        <v>292</v>
      </c>
      <c r="J1108" t="s">
        <v>292</v>
      </c>
      <c r="K1108" t="s">
        <v>292</v>
      </c>
      <c r="L1108" t="s">
        <v>292</v>
      </c>
      <c r="N1108" s="1"/>
    </row>
    <row r="1109" spans="2:14" x14ac:dyDescent="0.35">
      <c r="B1109" s="5" t="str">
        <f>B1108</f>
        <v>SPS1</v>
      </c>
      <c r="C1109" s="5" t="str">
        <f>C1108</f>
        <v>CH</v>
      </c>
      <c r="D1109" t="s">
        <v>1121</v>
      </c>
      <c r="E1109" t="s">
        <v>240</v>
      </c>
      <c r="F1109" s="4">
        <f>IFERROR(F1058/F975,"-")</f>
        <v>0.94999999999999951</v>
      </c>
      <c r="G1109" s="4">
        <f t="shared" ref="G1109:K1110" si="1262">IFERROR(G1058/G975,"-")</f>
        <v>0.95</v>
      </c>
      <c r="H1109" s="4">
        <f t="shared" si="1262"/>
        <v>0.91795474375879282</v>
      </c>
      <c r="I1109" s="4">
        <f t="shared" si="1262"/>
        <v>0.92350425157563854</v>
      </c>
      <c r="J1109" s="4">
        <f t="shared" si="1262"/>
        <v>0.9372232175405566</v>
      </c>
      <c r="K1109" s="4">
        <f t="shared" si="1262"/>
        <v>0.94808751049728124</v>
      </c>
      <c r="L1109" s="4">
        <f t="shared" ref="L1109" si="1263">IFERROR(L1058/L975,"-")</f>
        <v>0.94916658806098186</v>
      </c>
      <c r="N1109" s="1"/>
    </row>
    <row r="1110" spans="2:14" x14ac:dyDescent="0.35">
      <c r="B1110" s="5" t="str">
        <f t="shared" si="1260"/>
        <v>SPS1</v>
      </c>
      <c r="C1110" s="5" t="str">
        <f t="shared" si="1261"/>
        <v>CH</v>
      </c>
      <c r="D1110" t="s">
        <v>1122</v>
      </c>
      <c r="E1110" t="s">
        <v>240</v>
      </c>
      <c r="F1110" s="4">
        <f>IFERROR(F1059/F976,"-")</f>
        <v>3.200000000000002</v>
      </c>
      <c r="G1110" s="4">
        <f t="shared" si="1262"/>
        <v>3.2533333333333307</v>
      </c>
      <c r="H1110" s="4">
        <f t="shared" si="1262"/>
        <v>2.9762781854510902</v>
      </c>
      <c r="I1110" s="4">
        <f t="shared" si="1262"/>
        <v>3.1873717593515818</v>
      </c>
      <c r="J1110" s="4">
        <f t="shared" si="1262"/>
        <v>3.31389888689792</v>
      </c>
      <c r="K1110" s="4">
        <f t="shared" si="1262"/>
        <v>3.4390545048126144</v>
      </c>
      <c r="L1110" s="4">
        <f t="shared" ref="L1110" si="1264">IFERROR(L1059/L976,"-")</f>
        <v>3.7251679888261577</v>
      </c>
      <c r="N1110" s="1"/>
    </row>
    <row r="1111" spans="2:14" x14ac:dyDescent="0.35">
      <c r="B1111" s="5" t="str">
        <f t="shared" si="1260"/>
        <v>SPS1</v>
      </c>
      <c r="C1111" s="5" t="str">
        <f t="shared" si="1261"/>
        <v>CH</v>
      </c>
      <c r="D1111" t="s">
        <v>1092</v>
      </c>
      <c r="E1111" t="s">
        <v>240</v>
      </c>
      <c r="F1111" s="4">
        <f>IFERROR(F1061/F985,"-")</f>
        <v>0.89583333333333415</v>
      </c>
      <c r="G1111" s="4">
        <f t="shared" ref="G1111:K1111" si="1265">IFERROR(G1061/G985,"-")</f>
        <v>0.89583333333333348</v>
      </c>
      <c r="H1111" s="4">
        <f t="shared" si="1265"/>
        <v>0.8550040905670977</v>
      </c>
      <c r="I1111" s="4">
        <f t="shared" si="1265"/>
        <v>0.87021795226944632</v>
      </c>
      <c r="J1111" s="4">
        <f t="shared" si="1265"/>
        <v>0.87847664818056259</v>
      </c>
      <c r="K1111" s="4">
        <f t="shared" si="1265"/>
        <v>0.88313774530821532</v>
      </c>
      <c r="L1111" s="4">
        <f t="shared" ref="L1111" si="1266">IFERROR(L1061/L985,"-")</f>
        <v>0.88576033352154293</v>
      </c>
      <c r="N1111" s="1"/>
    </row>
    <row r="1112" spans="2:14" x14ac:dyDescent="0.35">
      <c r="B1112" s="5" t="str">
        <f t="shared" si="1260"/>
        <v>SPS1</v>
      </c>
      <c r="C1112" s="5" t="str">
        <f t="shared" si="1261"/>
        <v>CH</v>
      </c>
      <c r="D1112" t="s">
        <v>1093</v>
      </c>
      <c r="E1112" t="s">
        <v>240</v>
      </c>
      <c r="F1112" s="4">
        <f>IFERROR(F1063/F998,"-")</f>
        <v>0.9500000000000004</v>
      </c>
      <c r="G1112" s="4">
        <f t="shared" ref="G1112:K1112" si="1267">IFERROR(G1063/G998,"-")</f>
        <v>0.94999999999999962</v>
      </c>
      <c r="H1112" s="4">
        <f t="shared" si="1267"/>
        <v>0.93514218669219351</v>
      </c>
      <c r="I1112" s="4">
        <f t="shared" si="1267"/>
        <v>0.94139796480781412</v>
      </c>
      <c r="J1112" s="4">
        <f t="shared" si="1267"/>
        <v>0.94454380722867148</v>
      </c>
      <c r="K1112" s="4">
        <f t="shared" si="1267"/>
        <v>0.94632440847360721</v>
      </c>
      <c r="L1112" s="4">
        <f t="shared" ref="L1112" si="1268">IFERROR(L1063/L998,"-")</f>
        <v>0.95014288574734818</v>
      </c>
      <c r="N1112" s="1"/>
    </row>
    <row r="1113" spans="2:14" x14ac:dyDescent="0.35">
      <c r="B1113" s="5" t="str">
        <f t="shared" si="1260"/>
        <v>SPS1</v>
      </c>
      <c r="C1113" s="5" t="str">
        <f t="shared" si="1261"/>
        <v>CH</v>
      </c>
      <c r="D1113" t="s">
        <v>1094</v>
      </c>
      <c r="E1113" t="s">
        <v>240</v>
      </c>
      <c r="F1113" s="4" t="str">
        <f>IFERROR(F1064/F999,"-")</f>
        <v>-</v>
      </c>
      <c r="G1113" s="4" t="str">
        <f t="shared" ref="G1113:K1113" si="1269">IFERROR(G1064/G999,"-")</f>
        <v>-</v>
      </c>
      <c r="H1113" s="4">
        <f t="shared" si="1269"/>
        <v>1.8544403165162948</v>
      </c>
      <c r="I1113" s="4">
        <f t="shared" si="1269"/>
        <v>1.9079953320289986</v>
      </c>
      <c r="J1113" s="4">
        <f t="shared" si="1269"/>
        <v>1.9355644135201115</v>
      </c>
      <c r="K1113" s="4">
        <f t="shared" si="1269"/>
        <v>1.9599335607359578</v>
      </c>
      <c r="L1113" s="4">
        <f t="shared" ref="L1113" si="1270">IFERROR(L1064/L999,"-")</f>
        <v>2.0060405384664621</v>
      </c>
      <c r="N1113" s="1"/>
    </row>
    <row r="1114" spans="2:14" x14ac:dyDescent="0.35">
      <c r="B1114" s="5" t="str">
        <f t="shared" si="1260"/>
        <v>SPS1</v>
      </c>
      <c r="C1114" s="5" t="str">
        <f t="shared" si="1261"/>
        <v>CH</v>
      </c>
      <c r="D1114" t="s">
        <v>1095</v>
      </c>
      <c r="E1114" t="s">
        <v>240</v>
      </c>
      <c r="F1114" s="4">
        <f>IFERROR(F1066/F1017,"-")</f>
        <v>0.72000000000000008</v>
      </c>
      <c r="G1114" s="4">
        <f t="shared" ref="G1114:K1114" si="1271">IFERROR(G1066/G1017,"-")</f>
        <v>0.72000000000000053</v>
      </c>
      <c r="H1114" s="4">
        <f t="shared" si="1271"/>
        <v>0.79930067458572684</v>
      </c>
      <c r="I1114" s="4">
        <f t="shared" si="1271"/>
        <v>0.79991113432360383</v>
      </c>
      <c r="J1114" s="4">
        <f t="shared" si="1271"/>
        <v>0.80000000000000038</v>
      </c>
      <c r="K1114" s="4" t="str">
        <f t="shared" si="1271"/>
        <v>-</v>
      </c>
      <c r="L1114" s="4" t="str">
        <f t="shared" ref="L1114" si="1272">IFERROR(L1066/L1017,"-")</f>
        <v>-</v>
      </c>
      <c r="N1114" s="1"/>
    </row>
    <row r="1115" spans="2:14" x14ac:dyDescent="0.35">
      <c r="B1115" s="5" t="str">
        <f t="shared" si="1260"/>
        <v>SPS1</v>
      </c>
      <c r="C1115" s="5" t="str">
        <f t="shared" si="1261"/>
        <v>CH</v>
      </c>
      <c r="D1115" t="s">
        <v>1096</v>
      </c>
      <c r="E1115" t="s">
        <v>240</v>
      </c>
      <c r="F1115" s="4">
        <v>0.99</v>
      </c>
      <c r="G1115" s="4">
        <v>0.99</v>
      </c>
      <c r="H1115" s="4">
        <v>0.99</v>
      </c>
      <c r="I1115" s="4">
        <v>0.99</v>
      </c>
      <c r="J1115" s="4">
        <v>0.99</v>
      </c>
      <c r="K1115" s="4">
        <v>0.99</v>
      </c>
      <c r="L1115" s="4">
        <v>0.99</v>
      </c>
      <c r="N1115" s="1"/>
    </row>
    <row r="1116" spans="2:14" x14ac:dyDescent="0.35">
      <c r="B1116" s="5" t="str">
        <f t="shared" si="1260"/>
        <v>SPS1</v>
      </c>
      <c r="C1116" s="5" t="str">
        <f t="shared" si="1261"/>
        <v>CH</v>
      </c>
      <c r="D1116" t="s">
        <v>1097</v>
      </c>
      <c r="E1116" t="s">
        <v>240</v>
      </c>
      <c r="F1116" s="4">
        <v>0.99</v>
      </c>
      <c r="G1116" s="4">
        <v>0.99</v>
      </c>
      <c r="H1116" s="4">
        <v>0.99</v>
      </c>
      <c r="I1116" s="4">
        <v>0.99</v>
      </c>
      <c r="J1116" s="4">
        <v>0.99</v>
      </c>
      <c r="K1116" s="4">
        <v>0.99</v>
      </c>
      <c r="L1116" s="4">
        <v>0.99</v>
      </c>
      <c r="N1116" s="1"/>
    </row>
    <row r="1117" spans="2:14" x14ac:dyDescent="0.35">
      <c r="B1117" s="5" t="str">
        <f t="shared" si="1260"/>
        <v>SPS1</v>
      </c>
      <c r="C1117" s="5" t="str">
        <f t="shared" si="1261"/>
        <v>CH</v>
      </c>
      <c r="D1117" t="s">
        <v>1098</v>
      </c>
      <c r="E1117" t="s">
        <v>240</v>
      </c>
      <c r="F1117" s="4">
        <v>0.99</v>
      </c>
      <c r="G1117" s="4">
        <v>0.99</v>
      </c>
      <c r="H1117" s="4">
        <v>0.99</v>
      </c>
      <c r="I1117" s="4">
        <v>0.99</v>
      </c>
      <c r="J1117" s="4">
        <v>0.99</v>
      </c>
      <c r="K1117" s="4">
        <v>0.99</v>
      </c>
      <c r="L1117" s="4">
        <v>0.99</v>
      </c>
      <c r="N1117" s="1"/>
    </row>
    <row r="1118" spans="2:14" x14ac:dyDescent="0.35">
      <c r="B1118" s="5" t="str">
        <f t="shared" si="1260"/>
        <v>SPS1</v>
      </c>
      <c r="C1118" s="5" t="str">
        <f t="shared" si="1261"/>
        <v>CH</v>
      </c>
      <c r="D1118" t="s">
        <v>1099</v>
      </c>
      <c r="E1118" t="s">
        <v>240</v>
      </c>
      <c r="F1118" s="4">
        <v>0.99</v>
      </c>
      <c r="G1118" s="4">
        <v>0.99</v>
      </c>
      <c r="H1118" s="4">
        <v>0.99</v>
      </c>
      <c r="I1118" s="4">
        <v>0.99</v>
      </c>
      <c r="J1118" s="4">
        <v>0.99</v>
      </c>
      <c r="K1118" s="4">
        <v>0.99</v>
      </c>
      <c r="L1118" s="4">
        <v>0.99</v>
      </c>
      <c r="N1118" s="1"/>
    </row>
    <row r="1119" spans="2:14" x14ac:dyDescent="0.35">
      <c r="B1119" s="5" t="str">
        <f t="shared" si="1260"/>
        <v>SPS1</v>
      </c>
      <c r="C1119" s="5" t="str">
        <f t="shared" si="1261"/>
        <v>CH</v>
      </c>
      <c r="D1119" t="s">
        <v>1100</v>
      </c>
      <c r="E1119" t="s">
        <v>240</v>
      </c>
      <c r="F1119" s="4">
        <f>IFERROR(F1074/F1022,"-")</f>
        <v>0.7200000000000002</v>
      </c>
      <c r="G1119" s="4">
        <f t="shared" ref="G1119:K1119" si="1273">IFERROR(G1074/G1022,"-")</f>
        <v>0.7200000000000002</v>
      </c>
      <c r="H1119" s="4">
        <f t="shared" si="1273"/>
        <v>0.71989072035802282</v>
      </c>
      <c r="I1119" s="4">
        <f t="shared" si="1273"/>
        <v>0.73075278453957515</v>
      </c>
      <c r="J1119" s="4">
        <f t="shared" si="1273"/>
        <v>0.735328835896358</v>
      </c>
      <c r="K1119" s="4">
        <f t="shared" si="1273"/>
        <v>0.73854081908320934</v>
      </c>
      <c r="L1119" s="4">
        <f t="shared" ref="L1119" si="1274">IFERROR(L1074/L1022,"-")</f>
        <v>0.74715313410766004</v>
      </c>
      <c r="N1119" s="1"/>
    </row>
    <row r="1120" spans="2:14" x14ac:dyDescent="0.35">
      <c r="B1120" s="5" t="str">
        <f t="shared" si="1260"/>
        <v>SPS1</v>
      </c>
      <c r="C1120" s="5" t="str">
        <f t="shared" si="1261"/>
        <v>CH</v>
      </c>
      <c r="D1120" t="s">
        <v>1101</v>
      </c>
      <c r="E1120" t="s">
        <v>240</v>
      </c>
      <c r="F1120" s="4">
        <f>IFERROR(F1076/F1027,"-")</f>
        <v>0.8999999999999998</v>
      </c>
      <c r="G1120" s="4">
        <f t="shared" ref="G1120:K1120" si="1275">IFERROR(G1076/G1027,"-")</f>
        <v>0.89999999999999991</v>
      </c>
      <c r="H1120" s="4">
        <f t="shared" si="1275"/>
        <v>0.73711653334527294</v>
      </c>
      <c r="I1120" s="4">
        <f t="shared" si="1275"/>
        <v>0.74227413687160559</v>
      </c>
      <c r="J1120" s="4">
        <f t="shared" si="1275"/>
        <v>0.74281515427559497</v>
      </c>
      <c r="K1120" s="4">
        <f t="shared" si="1275"/>
        <v>0.7435237769621843</v>
      </c>
      <c r="L1120" s="4">
        <f t="shared" ref="L1120" si="1276">IFERROR(L1076/L1027,"-")</f>
        <v>0.74922550784654052</v>
      </c>
      <c r="N1120" s="1"/>
    </row>
    <row r="1121" spans="2:14" x14ac:dyDescent="0.35">
      <c r="B1121" s="5" t="str">
        <f t="shared" si="1260"/>
        <v>SPS1</v>
      </c>
      <c r="C1121" s="5" t="str">
        <f t="shared" si="1261"/>
        <v>CH</v>
      </c>
      <c r="D1121" t="s">
        <v>1102</v>
      </c>
      <c r="E1121" t="s">
        <v>240</v>
      </c>
      <c r="F1121" s="4">
        <v>1</v>
      </c>
      <c r="G1121" s="4">
        <v>1</v>
      </c>
      <c r="H1121" s="4">
        <v>1</v>
      </c>
      <c r="I1121" s="4">
        <v>1</v>
      </c>
      <c r="J1121" s="4">
        <v>1</v>
      </c>
      <c r="K1121" s="4">
        <v>1</v>
      </c>
      <c r="L1121" s="4">
        <v>1</v>
      </c>
      <c r="N1121" s="1"/>
    </row>
    <row r="1122" spans="2:14" x14ac:dyDescent="0.35">
      <c r="B1122" s="5" t="str">
        <f t="shared" si="1260"/>
        <v>SPS1</v>
      </c>
      <c r="C1122" s="5" t="str">
        <f t="shared" si="1261"/>
        <v>CH</v>
      </c>
      <c r="D1122" t="s">
        <v>1103</v>
      </c>
      <c r="E1122" t="s">
        <v>240</v>
      </c>
      <c r="F1122" s="4" t="str">
        <f>IFERROR(F1080/F1039,"-")</f>
        <v>-</v>
      </c>
      <c r="G1122" s="4" t="str">
        <f t="shared" ref="G1122:K1122" si="1277">IFERROR(G1080/G1039,"-")</f>
        <v>-</v>
      </c>
      <c r="H1122" s="4" t="str">
        <f t="shared" si="1277"/>
        <v>-</v>
      </c>
      <c r="I1122" s="4" t="str">
        <f t="shared" si="1277"/>
        <v>-</v>
      </c>
      <c r="J1122" s="4" t="str">
        <f t="shared" si="1277"/>
        <v>-</v>
      </c>
      <c r="K1122" s="4" t="str">
        <f t="shared" si="1277"/>
        <v>-</v>
      </c>
      <c r="L1122" s="4" t="str">
        <f t="shared" ref="L1122" si="1278">IFERROR(L1080/L1039,"-")</f>
        <v>-</v>
      </c>
      <c r="N1122" s="1"/>
    </row>
    <row r="1123" spans="2:14" x14ac:dyDescent="0.35">
      <c r="B1123" s="5" t="str">
        <f t="shared" si="1260"/>
        <v>SPS1</v>
      </c>
      <c r="C1123" s="5" t="str">
        <f t="shared" si="1261"/>
        <v>CH</v>
      </c>
      <c r="D1123" t="s">
        <v>1123</v>
      </c>
      <c r="E1123" t="s">
        <v>240</v>
      </c>
      <c r="F1123" s="4">
        <f>IFERROR(F1084/F978,"-")</f>
        <v>0.79000000000000015</v>
      </c>
      <c r="G1123" s="4">
        <f t="shared" ref="G1123:K1124" si="1279">IFERROR(G1084/G978,"-")</f>
        <v>0.79200000000000004</v>
      </c>
      <c r="H1123" s="4">
        <f t="shared" si="1279"/>
        <v>0.46575184468021613</v>
      </c>
      <c r="I1123" s="4">
        <f t="shared" si="1279"/>
        <v>0.48202809825242665</v>
      </c>
      <c r="J1123" s="4">
        <f t="shared" si="1279"/>
        <v>0.49314634762941295</v>
      </c>
      <c r="K1123" s="4">
        <f t="shared" si="1279"/>
        <v>0.50139543658534969</v>
      </c>
      <c r="L1123" s="4">
        <f t="shared" ref="L1123" si="1280">IFERROR(L1084/L978,"-")</f>
        <v>0.51502275884118487</v>
      </c>
      <c r="N1123" s="1"/>
    </row>
    <row r="1124" spans="2:14" x14ac:dyDescent="0.35">
      <c r="B1124" s="5" t="str">
        <f t="shared" si="1260"/>
        <v>SPS1</v>
      </c>
      <c r="C1124" s="5" t="str">
        <f t="shared" si="1261"/>
        <v>CH</v>
      </c>
      <c r="D1124" t="s">
        <v>1124</v>
      </c>
      <c r="E1124" t="s">
        <v>240</v>
      </c>
      <c r="F1124" s="4">
        <f>IFERROR(F1085/F979,"-")</f>
        <v>2.8200000000000003</v>
      </c>
      <c r="G1124" s="4">
        <f t="shared" si="1279"/>
        <v>2.8259999999999987</v>
      </c>
      <c r="H1124" s="4">
        <f t="shared" si="1279"/>
        <v>1.87928939550736</v>
      </c>
      <c r="I1124" s="4">
        <f t="shared" si="1279"/>
        <v>2.0388694832579315</v>
      </c>
      <c r="J1124" s="4">
        <f t="shared" si="1279"/>
        <v>2.1360148451577912</v>
      </c>
      <c r="K1124" s="4">
        <f t="shared" si="1279"/>
        <v>2.225950207696449</v>
      </c>
      <c r="L1124" s="4">
        <f t="shared" ref="L1124" si="1281">IFERROR(L1085/L979,"-")</f>
        <v>2.426003193025712</v>
      </c>
      <c r="N1124" s="1"/>
    </row>
    <row r="1125" spans="2:14" x14ac:dyDescent="0.35">
      <c r="B1125" s="5" t="str">
        <f t="shared" si="1260"/>
        <v>SPS1</v>
      </c>
      <c r="C1125" s="5" t="str">
        <f t="shared" si="1261"/>
        <v>CH</v>
      </c>
      <c r="D1125" t="s">
        <v>1104</v>
      </c>
      <c r="E1125" t="s">
        <v>240</v>
      </c>
      <c r="F1125" s="4">
        <f>IFERROR(F1087/F991,"-")</f>
        <v>0.70833333333333337</v>
      </c>
      <c r="G1125" s="4">
        <f t="shared" ref="G1125:K1125" si="1282">IFERROR(G1087/G991,"-")</f>
        <v>0.71458333333333246</v>
      </c>
      <c r="H1125" s="4">
        <f t="shared" si="1282"/>
        <v>0.50394896440992032</v>
      </c>
      <c r="I1125" s="4">
        <f t="shared" si="1282"/>
        <v>0.52592965097518607</v>
      </c>
      <c r="J1125" s="4">
        <f t="shared" si="1282"/>
        <v>0.54044382700555049</v>
      </c>
      <c r="K1125" s="4">
        <f t="shared" si="1282"/>
        <v>0.55068960725367933</v>
      </c>
      <c r="L1125" s="4">
        <f t="shared" ref="L1125" si="1283">IFERROR(L1087/L991,"-")</f>
        <v>0.56476383585584311</v>
      </c>
      <c r="N1125" s="1"/>
    </row>
    <row r="1126" spans="2:14" x14ac:dyDescent="0.35">
      <c r="B1126" s="5" t="str">
        <f t="shared" si="1260"/>
        <v>SPS1</v>
      </c>
      <c r="C1126" s="5" t="str">
        <f t="shared" si="1261"/>
        <v>CH</v>
      </c>
      <c r="D1126" t="s">
        <v>1105</v>
      </c>
      <c r="E1126" t="s">
        <v>240</v>
      </c>
      <c r="F1126" s="4">
        <f>IFERROR(F1089/F1007,"-")</f>
        <v>0.75000000000000067</v>
      </c>
      <c r="G1126" s="4">
        <f t="shared" ref="G1126:K1126" si="1284">IFERROR(G1089/G1007,"-")</f>
        <v>0.75400000000000034</v>
      </c>
      <c r="H1126" s="4">
        <f t="shared" si="1284"/>
        <v>0.53089859113380322</v>
      </c>
      <c r="I1126" s="4">
        <f t="shared" si="1284"/>
        <v>0.55107153056370461</v>
      </c>
      <c r="J1126" s="4">
        <f t="shared" si="1284"/>
        <v>0.56136311683515971</v>
      </c>
      <c r="K1126" s="4">
        <f t="shared" si="1284"/>
        <v>0.56859991750580885</v>
      </c>
      <c r="L1126" s="4">
        <f t="shared" ref="L1126" si="1285">IFERROR(L1089/L1007,"-")</f>
        <v>0.58577845588534638</v>
      </c>
      <c r="N1126" s="1"/>
    </row>
    <row r="1127" spans="2:14" x14ac:dyDescent="0.35">
      <c r="B1127" s="5" t="str">
        <f t="shared" si="1260"/>
        <v>SPS1</v>
      </c>
      <c r="C1127" s="5" t="str">
        <f t="shared" si="1261"/>
        <v>CH</v>
      </c>
      <c r="D1127" t="s">
        <v>1106</v>
      </c>
      <c r="E1127" t="s">
        <v>240</v>
      </c>
      <c r="F1127" s="4" t="str">
        <f>IFERROR(F1090/F1008,"-")</f>
        <v>-</v>
      </c>
      <c r="G1127" s="4" t="str">
        <f t="shared" ref="G1127:K1127" si="1286">IFERROR(G1090/G1008,"-")</f>
        <v>-</v>
      </c>
      <c r="H1127" s="4">
        <f t="shared" si="1286"/>
        <v>2.0027555090693809</v>
      </c>
      <c r="I1127" s="4">
        <f t="shared" si="1286"/>
        <v>2.1675997933732827</v>
      </c>
      <c r="J1127" s="4">
        <f t="shared" si="1286"/>
        <v>2.26324210590287</v>
      </c>
      <c r="K1127" s="4">
        <f t="shared" si="1286"/>
        <v>2.3464254288629203</v>
      </c>
      <c r="L1127" s="4">
        <f t="shared" ref="L1127" si="1287">IFERROR(L1090/L1008,"-")</f>
        <v>2.5192507833933422</v>
      </c>
      <c r="N1127" s="1"/>
    </row>
    <row r="1128" spans="2:14" x14ac:dyDescent="0.35">
      <c r="B1128" s="5" t="str">
        <f t="shared" si="1260"/>
        <v>SPS1</v>
      </c>
      <c r="C1128" s="5" t="str">
        <f t="shared" si="1261"/>
        <v>CH</v>
      </c>
      <c r="D1128" t="s">
        <v>1107</v>
      </c>
      <c r="E1128" t="s">
        <v>240</v>
      </c>
      <c r="F1128" s="4">
        <v>0.77</v>
      </c>
      <c r="G1128" s="4">
        <f>AVERAGE(F1128,H1128)</f>
        <v>0.77500000000000002</v>
      </c>
      <c r="H1128" s="4">
        <v>0.78</v>
      </c>
      <c r="I1128" s="4">
        <v>0.79</v>
      </c>
      <c r="J1128" s="4">
        <v>0.79</v>
      </c>
      <c r="K1128" s="4">
        <v>0.79</v>
      </c>
      <c r="L1128" s="4">
        <v>0.79</v>
      </c>
      <c r="N1128" s="1"/>
    </row>
    <row r="1129" spans="2:14" x14ac:dyDescent="0.35">
      <c r="B1129" s="5" t="str">
        <f t="shared" si="1260"/>
        <v>SPS1</v>
      </c>
      <c r="C1129" s="5" t="str">
        <f t="shared" si="1261"/>
        <v>CH</v>
      </c>
      <c r="D1129" t="s">
        <v>1108</v>
      </c>
      <c r="E1129" t="s">
        <v>240</v>
      </c>
      <c r="F1129" s="4">
        <v>0.77</v>
      </c>
      <c r="G1129" s="4">
        <f>AVERAGE(F1129,H1129)</f>
        <v>0.77500000000000002</v>
      </c>
      <c r="H1129" s="4">
        <v>0.78</v>
      </c>
      <c r="I1129" s="4">
        <v>0.79</v>
      </c>
      <c r="J1129" s="4">
        <v>0.79</v>
      </c>
      <c r="K1129" s="4">
        <v>0.79</v>
      </c>
      <c r="L1129" s="4">
        <v>0.79</v>
      </c>
      <c r="N1129" s="1"/>
    </row>
    <row r="1130" spans="2:14" x14ac:dyDescent="0.35">
      <c r="B1130" s="5" t="str">
        <f t="shared" si="1260"/>
        <v>SPS1</v>
      </c>
      <c r="C1130" s="5" t="str">
        <f t="shared" si="1261"/>
        <v>CH</v>
      </c>
      <c r="D1130" t="s">
        <v>1109</v>
      </c>
      <c r="E1130" t="s">
        <v>240</v>
      </c>
      <c r="F1130" s="4">
        <v>0.77</v>
      </c>
      <c r="G1130" s="4">
        <f>AVERAGE(F1130,H1130)</f>
        <v>0.77500000000000002</v>
      </c>
      <c r="H1130" s="4">
        <v>0.78</v>
      </c>
      <c r="I1130" s="4">
        <v>0.79</v>
      </c>
      <c r="J1130" s="4">
        <v>0.79</v>
      </c>
      <c r="K1130" s="4">
        <v>0.79</v>
      </c>
      <c r="L1130" s="4">
        <v>0.79</v>
      </c>
      <c r="N1130" s="1"/>
    </row>
    <row r="1131" spans="2:14" x14ac:dyDescent="0.35">
      <c r="B1131" s="5" t="str">
        <f t="shared" si="1260"/>
        <v>SPS1</v>
      </c>
      <c r="C1131" s="5" t="str">
        <f t="shared" si="1261"/>
        <v>CH</v>
      </c>
      <c r="D1131" t="s">
        <v>1110</v>
      </c>
      <c r="E1131" t="s">
        <v>240</v>
      </c>
      <c r="F1131" s="4">
        <v>0.77</v>
      </c>
      <c r="G1131" s="4">
        <f>AVERAGE(F1131,H1131)</f>
        <v>0.77500000000000002</v>
      </c>
      <c r="H1131" s="4">
        <v>0.78</v>
      </c>
      <c r="I1131" s="4">
        <v>0.79</v>
      </c>
      <c r="J1131" s="4">
        <v>0.79</v>
      </c>
      <c r="K1131" s="4">
        <v>0.79</v>
      </c>
      <c r="L1131" s="4">
        <v>0.79</v>
      </c>
      <c r="N1131" s="1"/>
    </row>
    <row r="1132" spans="2:14" x14ac:dyDescent="0.35">
      <c r="B1132" s="5" t="str">
        <f t="shared" si="1260"/>
        <v>SPS1</v>
      </c>
      <c r="C1132" s="5" t="str">
        <f t="shared" si="1261"/>
        <v>CH</v>
      </c>
      <c r="D1132" t="s">
        <v>1111</v>
      </c>
      <c r="E1132" t="s">
        <v>240</v>
      </c>
      <c r="F1132" s="4">
        <f>IFERROR(F1100/F1024,"-")</f>
        <v>0.50000000000000044</v>
      </c>
      <c r="G1132" s="4">
        <f t="shared" ref="G1132:K1132" si="1288">IFERROR(G1100/G1024,"-")</f>
        <v>0.49999999999999989</v>
      </c>
      <c r="H1132" s="4">
        <f t="shared" si="1288"/>
        <v>0.4383411362313881</v>
      </c>
      <c r="I1132" s="4">
        <f t="shared" si="1288"/>
        <v>0.45156203521541599</v>
      </c>
      <c r="J1132" s="4">
        <f t="shared" si="1288"/>
        <v>0.45898305767843911</v>
      </c>
      <c r="K1132" s="4">
        <f t="shared" si="1288"/>
        <v>0.46695605433985754</v>
      </c>
      <c r="L1132" s="4">
        <f t="shared" ref="L1132" si="1289">IFERROR(L1100/L1024,"-")</f>
        <v>0.48388773916071087</v>
      </c>
      <c r="N1132" s="1"/>
    </row>
    <row r="1133" spans="2:14" x14ac:dyDescent="0.35">
      <c r="B1133" s="5" t="str">
        <f t="shared" si="1260"/>
        <v>SPS1</v>
      </c>
      <c r="C1133" s="5" t="str">
        <f t="shared" si="1261"/>
        <v>CH</v>
      </c>
      <c r="D1133" t="s">
        <v>1112</v>
      </c>
      <c r="E1133" t="s">
        <v>240</v>
      </c>
      <c r="F1133" s="4">
        <f>IFERROR(F1102/F1029,"-")</f>
        <v>0.62499999999999967</v>
      </c>
      <c r="G1133" s="4">
        <f t="shared" ref="G1133:K1133" si="1290">IFERROR(G1102/G1029,"-")</f>
        <v>0.62500000000000111</v>
      </c>
      <c r="H1133" s="4">
        <f t="shared" si="1290"/>
        <v>0.45621468890354144</v>
      </c>
      <c r="I1133" s="4">
        <f t="shared" si="1290"/>
        <v>0.4639075216303139</v>
      </c>
      <c r="J1133" s="4">
        <f t="shared" si="1290"/>
        <v>0.46859780452574995</v>
      </c>
      <c r="K1133" s="4">
        <f t="shared" si="1290"/>
        <v>0.47421787557317896</v>
      </c>
      <c r="L1133" s="4">
        <f t="shared" ref="L1133" si="1291">IFERROR(L1102/L1029,"-")</f>
        <v>0.48589774554571108</v>
      </c>
      <c r="N1133" s="1"/>
    </row>
    <row r="1134" spans="2:14" x14ac:dyDescent="0.35">
      <c r="B1134" s="5" t="str">
        <f t="shared" si="1260"/>
        <v>SPS1</v>
      </c>
      <c r="C1134" s="5" t="str">
        <f t="shared" si="1261"/>
        <v>CH</v>
      </c>
      <c r="D1134" t="s">
        <v>1113</v>
      </c>
      <c r="E1134" t="s">
        <v>240</v>
      </c>
      <c r="F1134" s="4">
        <v>1</v>
      </c>
      <c r="G1134" s="4">
        <v>1</v>
      </c>
      <c r="H1134" s="4">
        <v>1</v>
      </c>
      <c r="I1134" s="4">
        <v>1</v>
      </c>
      <c r="J1134" s="4">
        <v>1</v>
      </c>
      <c r="K1134" s="4">
        <v>1</v>
      </c>
      <c r="L1134" s="4">
        <v>1</v>
      </c>
      <c r="N1134" s="1"/>
    </row>
    <row r="1135" spans="2:14" x14ac:dyDescent="0.35">
      <c r="B1135" s="5" t="str">
        <f t="shared" si="1260"/>
        <v>SPS1</v>
      </c>
      <c r="C1135" s="5" t="str">
        <f t="shared" si="1261"/>
        <v>CH</v>
      </c>
      <c r="D1135" t="s">
        <v>1114</v>
      </c>
      <c r="E1135" t="s">
        <v>240</v>
      </c>
      <c r="F1135" s="4" t="str">
        <f>IFERROR(F1106/F1041,"-")</f>
        <v>-</v>
      </c>
      <c r="G1135" s="4" t="str">
        <f t="shared" ref="G1135:K1135" si="1292">IFERROR(G1106/G1041,"-")</f>
        <v>-</v>
      </c>
      <c r="H1135" s="4" t="str">
        <f t="shared" si="1292"/>
        <v>-</v>
      </c>
      <c r="I1135" s="4" t="str">
        <f t="shared" si="1292"/>
        <v>-</v>
      </c>
      <c r="J1135" s="4" t="str">
        <f t="shared" si="1292"/>
        <v>-</v>
      </c>
      <c r="K1135" s="4" t="str">
        <f t="shared" si="1292"/>
        <v>-</v>
      </c>
      <c r="L1135" s="4" t="str">
        <f t="shared" ref="L1135" si="1293">IFERROR(L1106/L1041,"-")</f>
        <v>-</v>
      </c>
      <c r="N1135" s="1"/>
    </row>
    <row r="1136" spans="2:14" x14ac:dyDescent="0.35">
      <c r="B1136" s="9" t="str">
        <f>B1135</f>
        <v>SPS1</v>
      </c>
      <c r="C1136" s="9" t="str">
        <f>C1135</f>
        <v>CH</v>
      </c>
      <c r="D1136" s="2" t="s">
        <v>1236</v>
      </c>
      <c r="E1136" s="2" t="s">
        <v>8</v>
      </c>
      <c r="F1136" s="3">
        <f t="shared" ref="F1136:K1136" si="1294">F1137+F1152+F1157+F1180+F1203</f>
        <v>138.99839162778409</v>
      </c>
      <c r="G1136" s="3">
        <f t="shared" si="1294"/>
        <v>133.28535546529415</v>
      </c>
      <c r="H1136" s="3">
        <f t="shared" si="1294"/>
        <v>121.34705430351116</v>
      </c>
      <c r="I1136" s="3">
        <f t="shared" si="1294"/>
        <v>88.208407996674268</v>
      </c>
      <c r="J1136" s="3">
        <f t="shared" si="1294"/>
        <v>65.160307445969011</v>
      </c>
      <c r="K1136" s="3">
        <f t="shared" si="1294"/>
        <v>63.60537791969687</v>
      </c>
      <c r="L1136" s="3">
        <f t="shared" ref="L1136" si="1295">L1137+L1152+L1157+L1180+L1203</f>
        <v>53.1508740714319</v>
      </c>
      <c r="N1136" s="1"/>
    </row>
    <row r="1137" spans="2:14" x14ac:dyDescent="0.35">
      <c r="B1137" s="5" t="str">
        <f>B1136</f>
        <v>SPS1</v>
      </c>
      <c r="C1137" s="5" t="str">
        <f>C1136</f>
        <v>CH</v>
      </c>
      <c r="D1137" t="s">
        <v>1237</v>
      </c>
      <c r="E1137" t="s">
        <v>8</v>
      </c>
      <c r="F1137" s="1">
        <f>SUM(F1138:F1151)</f>
        <v>0.74113242894747999</v>
      </c>
      <c r="G1137" s="1">
        <f t="shared" ref="G1137:K1137" si="1296">SUM(G1138:G1151)</f>
        <v>1.7850803866974245</v>
      </c>
      <c r="H1137" s="1">
        <f t="shared" si="1296"/>
        <v>4.4344638350533776</v>
      </c>
      <c r="I1137" s="1">
        <f t="shared" si="1296"/>
        <v>18.150841258348329</v>
      </c>
      <c r="J1137" s="1">
        <f t="shared" si="1296"/>
        <v>28.629997839444808</v>
      </c>
      <c r="K1137" s="1">
        <f t="shared" si="1296"/>
        <v>28.829179003876021</v>
      </c>
      <c r="L1137" s="1">
        <f t="shared" ref="L1137" si="1297">SUM(L1138:L1151)</f>
        <v>27.257077428084628</v>
      </c>
      <c r="N1137" s="1"/>
    </row>
    <row r="1138" spans="2:14" x14ac:dyDescent="0.35">
      <c r="B1138" s="5" t="str">
        <f t="shared" ref="B1138:B1217" si="1298">B1137</f>
        <v>SPS1</v>
      </c>
      <c r="C1138" s="5" t="str">
        <f t="shared" ref="C1138:C1217" si="1299">C1137</f>
        <v>CH</v>
      </c>
      <c r="D1138" t="s">
        <v>1238</v>
      </c>
      <c r="E1138" t="s">
        <v>8</v>
      </c>
      <c r="F1138" s="1" cm="1">
        <f t="array" ref="F1138">SUMPRODUCT(("T_C-BATELCEXT"=[1]OUT_TransportEnergyCons!$A$3:$A$1000)*1,("Var_Fin"=[1]OUT_TransportEnergyCons!$B$3:$B$1000)*1,ISNUMBER(SEARCH("ELC",[1]OUT_TransportEnergyCons!$C$3:$C$1000))*1,[1]OUT_TransportEnergyCons!D$3:D$1000)</f>
        <v>0.46789252167355011</v>
      </c>
      <c r="G1138" s="1" cm="1">
        <f t="array" ref="G1138">SUMPRODUCT(("T_C-BATELCEXT"=[1]OUT_TransportEnergyCons!$A$3:$A$1000)*1,("Var_Fin"=[1]OUT_TransportEnergyCons!$B$3:$B$1000)*1,ISNUMBER(SEARCH("ELC",[1]OUT_TransportEnergyCons!$C$3:$C$1000))*1,[1]OUT_TransportEnergyCons!E$3:E$1000)</f>
        <v>0.37693227610266727</v>
      </c>
      <c r="H1138" s="1" cm="1">
        <f t="array" ref="H1138">SUMPRODUCT(("T_C-BATELCEXT"=[1]OUT_TransportEnergyCons!$A$3:$A$1000)*1,("Var_Fin"=[1]OUT_TransportEnergyCons!$B$3:$B$1000)*1,ISNUMBER(SEARCH("ELC",[1]OUT_TransportEnergyCons!$C$3:$C$1000))*1,[1]OUT_TransportEnergyCons!F$3:F$1000)</f>
        <v>0.2622297014713173</v>
      </c>
      <c r="I1138" s="1" cm="1">
        <f t="array" ref="I1138">SUMPRODUCT(("T_C-BATELCEXT"=[1]OUT_TransportEnergyCons!$A$3:$A$1000)*1,("Var_Fin"=[1]OUT_TransportEnergyCons!$B$3:$B$1000)*1,ISNUMBER(SEARCH("ELC",[1]OUT_TransportEnergyCons!$C$3:$C$1000))*1,[1]OUT_TransportEnergyCons!G$3:G$1000)</f>
        <v>0.11309566491793999</v>
      </c>
      <c r="J1138" s="1" cm="1">
        <f t="array" ref="J1138">SUMPRODUCT(("T_C-BATELCEXT"=[2]OUT_TransportEnergyCons!$A$3:$A$1000)*1,("Var_Fin"=[2]OUT_TransportEnergyCons!$B$3:$B$1000)*1,ISNUMBER(SEARCH("ELC",[2]OUT_TransportEnergyCons!$C$3:$C$1000))*1,[2]OUT_TransportEnergyCons!H$3:H$1000)</f>
        <v>0</v>
      </c>
      <c r="K1138" s="1" cm="1">
        <f t="array" ref="K1138">SUMPRODUCT(("T_C-BATELCEXT"=[2]OUT_TransportEnergyCons!$A$3:$A$1000)*1,("Var_Fin"=[2]OUT_TransportEnergyCons!$B$3:$B$1000)*1,ISNUMBER(SEARCH("ELC",[2]OUT_TransportEnergyCons!$C$3:$C$1000))*1,[2]OUT_TransportEnergyCons!I$3:I$1000)</f>
        <v>0</v>
      </c>
      <c r="L1138" s="1" cm="1">
        <f t="array" ref="L1138">SUMPRODUCT(("T_C-BATELCEXT"=[2]OUT_TransportEnergyCons!$A$3:$A$1000)*1,("Var_Fin"=[2]OUT_TransportEnergyCons!$B$3:$B$1000)*1,ISNUMBER(SEARCH("ELC",[2]OUT_TransportEnergyCons!$C$3:$C$1000))*1,[2]OUT_TransportEnergyCons!J$3:J$1000)</f>
        <v>0</v>
      </c>
      <c r="N1138" s="1"/>
    </row>
    <row r="1139" spans="2:14" x14ac:dyDescent="0.35">
      <c r="B1139" s="5" t="str">
        <f t="shared" si="1298"/>
        <v>SPS1</v>
      </c>
      <c r="C1139" s="5" t="str">
        <f t="shared" si="1299"/>
        <v>CH</v>
      </c>
      <c r="D1139" t="s">
        <v>1239</v>
      </c>
      <c r="E1139" t="s">
        <v>8</v>
      </c>
      <c r="F1139" s="1" cm="1">
        <f t="array" ref="F1139">SUMPRODUCT(("T_C-BAT-ELC-S1"=[1]OUT_TransportEnergyCons!$A$3:$A$1000)*1,("Var_Fin"=[1]OUT_TransportEnergyCons!$B$3:$B$1000)*1,ISNUMBER(SEARCH("ELC",[1]OUT_TransportEnergyCons!$C$3:$C$1000))*1,[1]OUT_TransportEnergyCons!D$3:D$1000)</f>
        <v>7.7184738716292983E-3</v>
      </c>
      <c r="G1139" s="1" cm="1">
        <f t="array" ref="G1139">SUMPRODUCT(("T_C-BAT-ELC-S1"=[1]OUT_TransportEnergyCons!$A$3:$A$1000)*1,("Var_Fin"=[1]OUT_TransportEnergyCons!$B$3:$B$1000)*1,ISNUMBER(SEARCH("ELC",[1]OUT_TransportEnergyCons!$C$3:$C$1000))*1,[1]OUT_TransportEnergyCons!E$3:E$1000)</f>
        <v>1.2332499596810409E-2</v>
      </c>
      <c r="H1139" s="1" cm="1">
        <f t="array" ref="H1139">SUMPRODUCT(("T_C-BAT-ELC-S1"=[1]OUT_TransportEnergyCons!$A$3:$A$1000)*1,("Var_Fin"=[1]OUT_TransportEnergyCons!$B$3:$B$1000)*1,ISNUMBER(SEARCH("ELC",[1]OUT_TransportEnergyCons!$C$3:$C$1000))*1,[1]OUT_TransportEnergyCons!F$3:F$1000)</f>
        <v>8.8081851176702759E-3</v>
      </c>
      <c r="I1139" s="1" cm="1">
        <f t="array" ref="I1139">SUMPRODUCT(("T_C-BAT-ELC-S1"=[1]OUT_TransportEnergyCons!$A$3:$A$1000)*1,("Var_Fin"=[1]OUT_TransportEnergyCons!$B$3:$B$1000)*1,ISNUMBER(SEARCH("ELC",[1]OUT_TransportEnergyCons!$C$3:$C$1000))*1,[1]OUT_TransportEnergyCons!G$3:G$1000)</f>
        <v>8.0895489219414852E-3</v>
      </c>
      <c r="J1139" s="1" cm="1">
        <f t="array" ref="J1139">SUMPRODUCT(("T_C-BAT-ELC-S1"=[2]OUT_TransportEnergyCons!$A$3:$A$1000)*1,("Var_Fin"=[2]OUT_TransportEnergyCons!$B$3:$B$1000)*1,ISNUMBER(SEARCH("ELC",[2]OUT_TransportEnergyCons!$C$3:$C$1000))*1,[2]OUT_TransportEnergyCons!H$3:H$1000)</f>
        <v>4.488466754363268E-3</v>
      </c>
      <c r="K1139" s="1" cm="1">
        <f t="array" ref="K1139">SUMPRODUCT(("T_C-BAT-ELC-S1"=[2]OUT_TransportEnergyCons!$A$3:$A$1000)*1,("Var_Fin"=[2]OUT_TransportEnergyCons!$B$3:$B$1000)*1,ISNUMBER(SEARCH("ELC",[2]OUT_TransportEnergyCons!$C$3:$C$1000))*1,[2]OUT_TransportEnergyCons!I$3:I$1000)</f>
        <v>5.1101718487359442E-2</v>
      </c>
      <c r="L1139" s="1" cm="1">
        <f t="array" ref="L1139">SUMPRODUCT(("T_C-BAT-ELC-S1"=[2]OUT_TransportEnergyCons!$A$3:$A$1000)*1,("Var_Fin"=[2]OUT_TransportEnergyCons!$B$3:$B$1000)*1,ISNUMBER(SEARCH("ELC",[2]OUT_TransportEnergyCons!$C$3:$C$1000))*1,[2]OUT_TransportEnergyCons!J$3:J$1000)</f>
        <v>0.78010376694508965</v>
      </c>
      <c r="N1139" s="1"/>
    </row>
    <row r="1140" spans="2:14" x14ac:dyDescent="0.35">
      <c r="B1140" s="5" t="str">
        <f t="shared" si="1298"/>
        <v>SPS1</v>
      </c>
      <c r="C1140" s="5" t="str">
        <f t="shared" si="1299"/>
        <v>CH</v>
      </c>
      <c r="D1140" t="s">
        <v>1240</v>
      </c>
      <c r="E1140" t="s">
        <v>8</v>
      </c>
      <c r="F1140" s="1" cm="1">
        <f t="array" ref="F1140">SUMPRODUCT(("T_C-BAT-ELC-S2"=[1]OUT_TransportEnergyCons!$A$3:$A$1000)*1,("Var_Fin"=[1]OUT_TransportEnergyCons!$B$3:$B$1000)*1,ISNUMBER(SEARCH("ELC",[1]OUT_TransportEnergyCons!$C$3:$C$1000))*1,[1]OUT_TransportEnergyCons!D$3:D$1000)</f>
        <v>6.620307103599167E-2</v>
      </c>
      <c r="G1140" s="1" cm="1">
        <f t="array" ref="G1140">SUMPRODUCT(("T_C-BAT-ELC-S2"=[1]OUT_TransportEnergyCons!$A$3:$A$1000)*1,("Var_Fin"=[1]OUT_TransportEnergyCons!$B$3:$B$1000)*1,ISNUMBER(SEARCH("ELC",[1]OUT_TransportEnergyCons!$C$3:$C$1000))*1,[1]OUT_TransportEnergyCons!E$3:E$1000)</f>
        <v>0.10244303760823706</v>
      </c>
      <c r="H1140" s="1" cm="1">
        <f t="array" ref="H1140">SUMPRODUCT(("T_C-BAT-ELC-S2"=[1]OUT_TransportEnergyCons!$A$3:$A$1000)*1,("Var_Fin"=[1]OUT_TransportEnergyCons!$B$3:$B$1000)*1,ISNUMBER(SEARCH("ELC",[1]OUT_TransportEnergyCons!$C$3:$C$1000))*1,[1]OUT_TransportEnergyCons!F$3:F$1000)</f>
        <v>0.12739245272037039</v>
      </c>
      <c r="I1140" s="1" cm="1">
        <f t="array" ref="I1140">SUMPRODUCT(("T_C-BAT-ELC-S2"=[1]OUT_TransportEnergyCons!$A$3:$A$1000)*1,("Var_Fin"=[1]OUT_TransportEnergyCons!$B$3:$B$1000)*1,ISNUMBER(SEARCH("ELC",[1]OUT_TransportEnergyCons!$C$3:$C$1000))*1,[1]OUT_TransportEnergyCons!G$3:G$1000)</f>
        <v>5.2107980955175224</v>
      </c>
      <c r="J1140" s="1" cm="1">
        <f t="array" ref="J1140">SUMPRODUCT(("T_C-BAT-ELC-S2"=[2]OUT_TransportEnergyCons!$A$3:$A$1000)*1,("Var_Fin"=[2]OUT_TransportEnergyCons!$B$3:$B$1000)*1,ISNUMBER(SEARCH("ELC",[2]OUT_TransportEnergyCons!$C$3:$C$1000))*1,[2]OUT_TransportEnergyCons!H$3:H$1000)</f>
        <v>9.958898078466591</v>
      </c>
      <c r="K1140" s="1" cm="1">
        <f t="array" ref="K1140">SUMPRODUCT(("T_C-BAT-ELC-S2"=[2]OUT_TransportEnergyCons!$A$3:$A$1000)*1,("Var_Fin"=[2]OUT_TransportEnergyCons!$B$3:$B$1000)*1,ISNUMBER(SEARCH("ELC",[2]OUT_TransportEnergyCons!$C$3:$C$1000))*1,[2]OUT_TransportEnergyCons!I$3:I$1000)</f>
        <v>10.676449582702126</v>
      </c>
      <c r="L1140" s="1" cm="1">
        <f t="array" ref="L1140">SUMPRODUCT(("T_C-BAT-ELC-S2"=[2]OUT_TransportEnergyCons!$A$3:$A$1000)*1,("Var_Fin"=[2]OUT_TransportEnergyCons!$B$3:$B$1000)*1,ISNUMBER(SEARCH("ELC",[2]OUT_TransportEnergyCons!$C$3:$C$1000))*1,[2]OUT_TransportEnergyCons!J$3:J$1000)</f>
        <v>8.6852287588578942</v>
      </c>
      <c r="N1140" s="1"/>
    </row>
    <row r="1141" spans="2:14" x14ac:dyDescent="0.35">
      <c r="B1141" s="5" t="str">
        <f t="shared" si="1298"/>
        <v>SPS1</v>
      </c>
      <c r="C1141" s="5" t="str">
        <f t="shared" si="1299"/>
        <v>CH</v>
      </c>
      <c r="D1141" t="s">
        <v>1241</v>
      </c>
      <c r="E1141" t="s">
        <v>8</v>
      </c>
      <c r="F1141" s="1" cm="1">
        <f t="array" ref="F1141">SUMPRODUCT(("T_C-BAT-ELC-S3"=[1]OUT_TransportEnergyCons!$A$3:$A$1000)*1,("Var_Fin"=[1]OUT_TransportEnergyCons!$B$3:$B$1000)*1,ISNUMBER(SEARCH("ELC",[1]OUT_TransportEnergyCons!$C$3:$C$1000))*1,[1]OUT_TransportEnergyCons!D$3:D$1000)</f>
        <v>4.6262405836559432E-2</v>
      </c>
      <c r="G1141" s="1" cm="1">
        <f t="array" ref="G1141">SUMPRODUCT(("T_C-BAT-ELC-S3"=[1]OUT_TransportEnergyCons!$A$3:$A$1000)*1,("Var_Fin"=[1]OUT_TransportEnergyCons!$B$3:$B$1000)*1,ISNUMBER(SEARCH("ELC",[1]OUT_TransportEnergyCons!$C$3:$C$1000))*1,[1]OUT_TransportEnergyCons!E$3:E$1000)</f>
        <v>0.11723542279966412</v>
      </c>
      <c r="H1141" s="1" cm="1">
        <f t="array" ref="H1141">SUMPRODUCT(("T_C-BAT-ELC-S3"=[1]OUT_TransportEnergyCons!$A$3:$A$1000)*1,("Var_Fin"=[1]OUT_TransportEnergyCons!$B$3:$B$1000)*1,ISNUMBER(SEARCH("ELC",[1]OUT_TransportEnergyCons!$C$3:$C$1000))*1,[1]OUT_TransportEnergyCons!F$3:F$1000)</f>
        <v>0.12393515354525129</v>
      </c>
      <c r="I1141" s="1" cm="1">
        <f t="array" ref="I1141">SUMPRODUCT(("T_C-BAT-ELC-S3"=[1]OUT_TransportEnergyCons!$A$3:$A$1000)*1,("Var_Fin"=[1]OUT_TransportEnergyCons!$B$3:$B$1000)*1,ISNUMBER(SEARCH("ELC",[1]OUT_TransportEnergyCons!$C$3:$C$1000))*1,[1]OUT_TransportEnergyCons!G$3:G$1000)</f>
        <v>0.3499146292839368</v>
      </c>
      <c r="J1141" s="1" cm="1">
        <f t="array" ref="J1141">SUMPRODUCT(("T_C-BAT-ELC-S3"=[2]OUT_TransportEnergyCons!$A$3:$A$1000)*1,("Var_Fin"=[2]OUT_TransportEnergyCons!$B$3:$B$1000)*1,ISNUMBER(SEARCH("ELC",[2]OUT_TransportEnergyCons!$C$3:$C$1000))*1,[2]OUT_TransportEnergyCons!H$3:H$1000)</f>
        <v>3.044694979028034</v>
      </c>
      <c r="K1141" s="1" cm="1">
        <f t="array" ref="K1141">SUMPRODUCT(("T_C-BAT-ELC-S3"=[2]OUT_TransportEnergyCons!$A$3:$A$1000)*1,("Var_Fin"=[2]OUT_TransportEnergyCons!$B$3:$B$1000)*1,ISNUMBER(SEARCH("ELC",[2]OUT_TransportEnergyCons!$C$3:$C$1000))*1,[2]OUT_TransportEnergyCons!I$3:I$1000)</f>
        <v>3.4139162737614086</v>
      </c>
      <c r="L1141" s="1" cm="1">
        <f t="array" ref="L1141">SUMPRODUCT(("T_C-BAT-ELC-S3"=[2]OUT_TransportEnergyCons!$A$3:$A$1000)*1,("Var_Fin"=[2]OUT_TransportEnergyCons!$B$3:$B$1000)*1,ISNUMBER(SEARCH("ELC",[2]OUT_TransportEnergyCons!$C$3:$C$1000))*1,[2]OUT_TransportEnergyCons!J$3:J$1000)</f>
        <v>3.0024613998263656</v>
      </c>
      <c r="N1141" s="1"/>
    </row>
    <row r="1142" spans="2:14" x14ac:dyDescent="0.35">
      <c r="B1142" s="5" t="str">
        <f t="shared" si="1298"/>
        <v>SPS1</v>
      </c>
      <c r="C1142" s="5" t="str">
        <f t="shared" si="1299"/>
        <v>CH</v>
      </c>
      <c r="D1142" t="s">
        <v>1242</v>
      </c>
      <c r="E1142" t="s">
        <v>8</v>
      </c>
      <c r="F1142" s="1" cm="1">
        <f t="array" ref="F1142">SUMPRODUCT(("T_C-BAT-ELC-S4"=[1]OUT_TransportEnergyCons!$A$3:$A$1000)*1,("Var_Fin"=[1]OUT_TransportEnergyCons!$B$3:$B$1000)*1,ISNUMBER(SEARCH("ELC",[1]OUT_TransportEnergyCons!$C$3:$C$1000))*1,[1]OUT_TransportEnergyCons!D$3:D$1000)</f>
        <v>0.15037452498288956</v>
      </c>
      <c r="G1142" s="1" cm="1">
        <f t="array" ref="G1142">SUMPRODUCT(("T_C-BAT-ELC-S4"=[1]OUT_TransportEnergyCons!$A$3:$A$1000)*1,("Var_Fin"=[1]OUT_TransportEnergyCons!$B$3:$B$1000)*1,ISNUMBER(SEARCH("ELC",[1]OUT_TransportEnergyCons!$C$3:$C$1000))*1,[1]OUT_TransportEnergyCons!E$3:E$1000)</f>
        <v>1.0701997791297504</v>
      </c>
      <c r="H1142" s="1" cm="1">
        <f t="array" ref="H1142">SUMPRODUCT(("T_C-BAT-ELC-S4"=[1]OUT_TransportEnergyCons!$A$3:$A$1000)*1,("Var_Fin"=[1]OUT_TransportEnergyCons!$B$3:$B$1000)*1,ISNUMBER(SEARCH("ELC",[1]OUT_TransportEnergyCons!$C$3:$C$1000))*1,[1]OUT_TransportEnergyCons!F$3:F$1000)</f>
        <v>3.5810069951078796</v>
      </c>
      <c r="I1142" s="1" cm="1">
        <f t="array" ref="I1142">SUMPRODUCT(("T_C-BAT-ELC-S4"=[1]OUT_TransportEnergyCons!$A$3:$A$1000)*1,("Var_Fin"=[1]OUT_TransportEnergyCons!$B$3:$B$1000)*1,ISNUMBER(SEARCH("ELC",[1]OUT_TransportEnergyCons!$C$3:$C$1000))*1,[1]OUT_TransportEnergyCons!G$3:G$1000)</f>
        <v>10.610219769171758</v>
      </c>
      <c r="J1142" s="1" cm="1">
        <f t="array" ref="J1142">SUMPRODUCT(("T_C-BAT-ELC-S4"=[2]OUT_TransportEnergyCons!$A$3:$A$1000)*1,("Var_Fin"=[2]OUT_TransportEnergyCons!$B$3:$B$1000)*1,ISNUMBER(SEARCH("ELC",[2]OUT_TransportEnergyCons!$C$3:$C$1000))*1,[2]OUT_TransportEnergyCons!H$3:H$1000)</f>
        <v>12.15655912880165</v>
      </c>
      <c r="K1142" s="1" cm="1">
        <f t="array" ref="K1142">SUMPRODUCT(("T_C-BAT-ELC-S4"=[2]OUT_TransportEnergyCons!$A$3:$A$1000)*1,("Var_Fin"=[2]OUT_TransportEnergyCons!$B$3:$B$1000)*1,ISNUMBER(SEARCH("ELC",[2]OUT_TransportEnergyCons!$C$3:$C$1000))*1,[2]OUT_TransportEnergyCons!I$3:I$1000)</f>
        <v>10.361976377579017</v>
      </c>
      <c r="L1142" s="1" cm="1">
        <f t="array" ref="L1142">SUMPRODUCT(("T_C-BAT-ELC-S4"=[2]OUT_TransportEnergyCons!$A$3:$A$1000)*1,("Var_Fin"=[2]OUT_TransportEnergyCons!$B$3:$B$1000)*1,ISNUMBER(SEARCH("ELC",[2]OUT_TransportEnergyCons!$C$3:$C$1000))*1,[2]OUT_TransportEnergyCons!J$3:J$1000)</f>
        <v>9.8725510542963306</v>
      </c>
      <c r="N1142" s="1"/>
    </row>
    <row r="1143" spans="2:14" x14ac:dyDescent="0.35">
      <c r="B1143" s="5" t="str">
        <f t="shared" si="1298"/>
        <v>SPS1</v>
      </c>
      <c r="C1143" s="5" t="str">
        <f t="shared" si="1299"/>
        <v>CH</v>
      </c>
      <c r="D1143" t="s">
        <v>1243</v>
      </c>
      <c r="E1143" t="s">
        <v>8</v>
      </c>
      <c r="F1143" s="1" cm="1">
        <f t="array" ref="F1143">SUMPRODUCT(("T-Plg-elc-gsl_S1"=[1]OUT_TransportEnergyCons!$A$3:$A$1000)*1,("Var_Fin"=[1]OUT_TransportEnergyCons!$B$3:$B$1000)*1,ISNUMBER(SEARCH("ELC",[1]OUT_TransportEnergyCons!$C$3:$C$1000))*1,[1]OUT_TransportEnergyCons!D$3:D$1000)</f>
        <v>0</v>
      </c>
      <c r="G1143" s="1" cm="1">
        <f t="array" ref="G1143">SUMPRODUCT(("T-Plg-elc-gsl_S1"=[1]OUT_TransportEnergyCons!$A$3:$A$1000)*1,("Var_Fin"=[1]OUT_TransportEnergyCons!$B$3:$B$1000)*1,ISNUMBER(SEARCH("ELC",[1]OUT_TransportEnergyCons!$C$3:$C$1000))*1,[1]OUT_TransportEnergyCons!E$3:E$1000)</f>
        <v>2.7166740742910807E-5</v>
      </c>
      <c r="H1143" s="1" cm="1">
        <f t="array" ref="H1143">SUMPRODUCT(("T-Plg-elc-gsl_S1"=[1]OUT_TransportEnergyCons!$A$3:$A$1000)*1,("Var_Fin"=[1]OUT_TransportEnergyCons!$B$3:$B$1000)*1,ISNUMBER(SEARCH("ELC",[1]OUT_TransportEnergyCons!$C$3:$C$1000))*1,[1]OUT_TransportEnergyCons!F$3:F$1000)</f>
        <v>3.3310515280820994E-5</v>
      </c>
      <c r="I1143" s="1" cm="1">
        <f t="array" ref="I1143">SUMPRODUCT(("T-Plg-elc-gsl_S1"=[1]OUT_TransportEnergyCons!$A$3:$A$1000)*1,("Var_Fin"=[1]OUT_TransportEnergyCons!$B$3:$B$1000)*1,ISNUMBER(SEARCH("ELC",[1]OUT_TransportEnergyCons!$C$3:$C$1000))*1,[1]OUT_TransportEnergyCons!G$3:G$1000)</f>
        <v>5.6722368716421432E-5</v>
      </c>
      <c r="J1143" s="1" cm="1">
        <f t="array" ref="J1143">SUMPRODUCT(("T-Plg-elc-gsl_S1"=[2]OUT_TransportEnergyCons!$A$3:$A$1000)*1,("Var_Fin"=[2]OUT_TransportEnergyCons!$B$3:$B$1000)*1,ISNUMBER(SEARCH("ELC",[2]OUT_TransportEnergyCons!$C$3:$C$1000))*1,[2]OUT_TransportEnergyCons!H$3:H$1000)</f>
        <v>1.4125569905367808E-4</v>
      </c>
      <c r="K1143" s="1" cm="1">
        <f t="array" ref="K1143">SUMPRODUCT(("T-Plg-elc-gsl_S1"=[2]OUT_TransportEnergyCons!$A$3:$A$1000)*1,("Var_Fin"=[2]OUT_TransportEnergyCons!$B$3:$B$1000)*1,ISNUMBER(SEARCH("ELC",[2]OUT_TransportEnergyCons!$C$3:$C$1000))*1,[2]OUT_TransportEnergyCons!I$3:I$1000)</f>
        <v>1.6793083381689563E-4</v>
      </c>
      <c r="L1143" s="1" cm="1">
        <f t="array" ref="L1143">SUMPRODUCT(("T-Plg-elc-gsl_S1"=[2]OUT_TransportEnergyCons!$A$3:$A$1000)*1,("Var_Fin"=[2]OUT_TransportEnergyCons!$B$3:$B$1000)*1,ISNUMBER(SEARCH("ELC",[2]OUT_TransportEnergyCons!$C$3:$C$1000))*1,[2]OUT_TransportEnergyCons!J$3:J$1000)</f>
        <v>1.4646095709232871E-4</v>
      </c>
      <c r="N1143" s="1"/>
    </row>
    <row r="1144" spans="2:14" x14ac:dyDescent="0.35">
      <c r="B1144" s="5" t="str">
        <f t="shared" si="1298"/>
        <v>SPS1</v>
      </c>
      <c r="C1144" s="5" t="str">
        <f t="shared" si="1299"/>
        <v>CH</v>
      </c>
      <c r="D1144" t="s">
        <v>1244</v>
      </c>
      <c r="E1144" t="s">
        <v>8</v>
      </c>
      <c r="F1144" s="1" cm="1">
        <f t="array" ref="F1144">SUMPRODUCT(("T-Plg-elc-gsl_S2"=[1]OUT_TransportEnergyCons!$A$3:$A$1000)*1,("Var_Fin"=[1]OUT_TransportEnergyCons!$B$3:$B$1000)*1,ISNUMBER(SEARCH("ELC",[1]OUT_TransportEnergyCons!$C$3:$C$1000))*1,[1]OUT_TransportEnergyCons!D$3:D$1000)</f>
        <v>2.6814315468601142E-3</v>
      </c>
      <c r="G1144" s="1" cm="1">
        <f t="array" ref="G1144">SUMPRODUCT(("T-Plg-elc-gsl_S2"=[1]OUT_TransportEnergyCons!$A$3:$A$1000)*1,("Var_Fin"=[1]OUT_TransportEnergyCons!$B$3:$B$1000)*1,ISNUMBER(SEARCH("ELC",[1]OUT_TransportEnergyCons!$C$3:$C$1000))*1,[1]OUT_TransportEnergyCons!E$3:E$1000)</f>
        <v>7.9483341195045101E-3</v>
      </c>
      <c r="H1144" s="1" cm="1">
        <f t="array" ref="H1144">SUMPRODUCT(("T-Plg-elc-gsl_S2"=[1]OUT_TransportEnergyCons!$A$3:$A$1000)*1,("Var_Fin"=[1]OUT_TransportEnergyCons!$B$3:$B$1000)*1,ISNUMBER(SEARCH("ELC",[1]OUT_TransportEnergyCons!$C$3:$C$1000))*1,[1]OUT_TransportEnergyCons!F$3:F$1000)</f>
        <v>9.2740415631481256E-3</v>
      </c>
      <c r="I1144" s="1" cm="1">
        <f t="array" ref="I1144">SUMPRODUCT(("T-Plg-elc-gsl_S2"=[1]OUT_TransportEnergyCons!$A$3:$A$1000)*1,("Var_Fin"=[1]OUT_TransportEnergyCons!$B$3:$B$1000)*1,ISNUMBER(SEARCH("ELC",[1]OUT_TransportEnergyCons!$C$3:$C$1000))*1,[1]OUT_TransportEnergyCons!G$3:G$1000)</f>
        <v>1.211229370109383E-2</v>
      </c>
      <c r="J1144" s="1" cm="1">
        <f t="array" ref="J1144">SUMPRODUCT(("T-Plg-elc-gsl_S2"=[2]OUT_TransportEnergyCons!$A$3:$A$1000)*1,("Var_Fin"=[2]OUT_TransportEnergyCons!$B$3:$B$1000)*1,ISNUMBER(SEARCH("ELC",[2]OUT_TransportEnergyCons!$C$3:$C$1000))*1,[2]OUT_TransportEnergyCons!H$3:H$1000)</f>
        <v>2.3141799847281263E-3</v>
      </c>
      <c r="K1144" s="1" cm="1">
        <f t="array" ref="K1144">SUMPRODUCT(("T-Plg-elc-gsl_S2"=[2]OUT_TransportEnergyCons!$A$3:$A$1000)*1,("Var_Fin"=[2]OUT_TransportEnergyCons!$B$3:$B$1000)*1,ISNUMBER(SEARCH("ELC",[2]OUT_TransportEnergyCons!$C$3:$C$1000))*1,[2]OUT_TransportEnergyCons!I$3:I$1000)</f>
        <v>9.4970597639225916E-4</v>
      </c>
      <c r="L1144" s="1" cm="1">
        <f t="array" ref="L1144">SUMPRODUCT(("T-Plg-elc-gsl_S2"=[2]OUT_TransportEnergyCons!$A$3:$A$1000)*1,("Var_Fin"=[2]OUT_TransportEnergyCons!$B$3:$B$1000)*1,ISNUMBER(SEARCH("ELC",[2]OUT_TransportEnergyCons!$C$3:$C$1000))*1,[2]OUT_TransportEnergyCons!J$3:J$1000)</f>
        <v>7.3925074384832983E-4</v>
      </c>
      <c r="N1144" s="1"/>
    </row>
    <row r="1145" spans="2:14" x14ac:dyDescent="0.35">
      <c r="B1145" s="5" t="str">
        <f t="shared" si="1298"/>
        <v>SPS1</v>
      </c>
      <c r="C1145" s="5" t="str">
        <f t="shared" si="1299"/>
        <v>CH</v>
      </c>
      <c r="D1145" t="s">
        <v>1245</v>
      </c>
      <c r="E1145" t="s">
        <v>8</v>
      </c>
      <c r="F1145" s="1" cm="1">
        <f t="array" ref="F1145">SUMPRODUCT(("T-Plg-elc-gsl_S3"=[1]OUT_TransportEnergyCons!$A$3:$A$1000)*1,("Var_Fin"=[1]OUT_TransportEnergyCons!$B$3:$B$1000)*1,ISNUMBER(SEARCH("ELC",[1]OUT_TransportEnergyCons!$C$3:$C$1000))*1,[1]OUT_TransportEnergyCons!D$3:D$1000)</f>
        <v>0</v>
      </c>
      <c r="G1145" s="1" cm="1">
        <f t="array" ref="G1145">SUMPRODUCT(("T-Plg-elc-gsl_S3"=[1]OUT_TransportEnergyCons!$A$3:$A$1000)*1,("Var_Fin"=[1]OUT_TransportEnergyCons!$B$3:$B$1000)*1,ISNUMBER(SEARCH("ELC",[1]OUT_TransportEnergyCons!$C$3:$C$1000))*1,[1]OUT_TransportEnergyCons!E$3:E$1000)</f>
        <v>6.8961262081119357E-2</v>
      </c>
      <c r="H1145" s="1" cm="1">
        <f t="array" ref="H1145">SUMPRODUCT(("T-Plg-elc-gsl_S3"=[1]OUT_TransportEnergyCons!$A$3:$A$1000)*1,("Var_Fin"=[1]OUT_TransportEnergyCons!$B$3:$B$1000)*1,ISNUMBER(SEARCH("ELC",[1]OUT_TransportEnergyCons!$C$3:$C$1000))*1,[1]OUT_TransportEnergyCons!F$3:F$1000)</f>
        <v>0.16388389330326433</v>
      </c>
      <c r="I1145" s="1" cm="1">
        <f t="array" ref="I1145">SUMPRODUCT(("T-Plg-elc-gsl_S3"=[1]OUT_TransportEnergyCons!$A$3:$A$1000)*1,("Var_Fin"=[1]OUT_TransportEnergyCons!$B$3:$B$1000)*1,ISNUMBER(SEARCH("ELC",[1]OUT_TransportEnergyCons!$C$3:$C$1000))*1,[1]OUT_TransportEnergyCons!G$3:G$1000)</f>
        <v>1.0528681986291055</v>
      </c>
      <c r="J1145" s="1" cm="1">
        <f t="array" ref="J1145">SUMPRODUCT(("T-Plg-elc-gsl_S3"=[2]OUT_TransportEnergyCons!$A$3:$A$1000)*1,("Var_Fin"=[2]OUT_TransportEnergyCons!$B$3:$B$1000)*1,ISNUMBER(SEARCH("ELC",[2]OUT_TransportEnergyCons!$C$3:$C$1000))*1,[2]OUT_TransportEnergyCons!H$3:H$1000)</f>
        <v>1.261683687276016</v>
      </c>
      <c r="K1145" s="1" cm="1">
        <f t="array" ref="K1145">SUMPRODUCT(("T-Plg-elc-gsl_S3"=[2]OUT_TransportEnergyCons!$A$3:$A$1000)*1,("Var_Fin"=[2]OUT_TransportEnergyCons!$B$3:$B$1000)*1,ISNUMBER(SEARCH("ELC",[2]OUT_TransportEnergyCons!$C$3:$C$1000))*1,[2]OUT_TransportEnergyCons!I$3:I$1000)</f>
        <v>1.4076019159571773</v>
      </c>
      <c r="L1145" s="1" cm="1">
        <f t="array" ref="L1145">SUMPRODUCT(("T-Plg-elc-gsl_S3"=[2]OUT_TransportEnergyCons!$A$3:$A$1000)*1,("Var_Fin"=[2]OUT_TransportEnergyCons!$B$3:$B$1000)*1,ISNUMBER(SEARCH("ELC",[2]OUT_TransportEnergyCons!$C$3:$C$1000))*1,[2]OUT_TransportEnergyCons!J$3:J$1000)</f>
        <v>1.4947116956150386</v>
      </c>
      <c r="N1145" s="1"/>
    </row>
    <row r="1146" spans="2:14" x14ac:dyDescent="0.35">
      <c r="B1146" s="5" t="str">
        <f t="shared" si="1298"/>
        <v>SPS1</v>
      </c>
      <c r="C1146" s="5" t="str">
        <f t="shared" si="1299"/>
        <v>CH</v>
      </c>
      <c r="D1146" t="s">
        <v>1246</v>
      </c>
      <c r="E1146" t="s">
        <v>8</v>
      </c>
      <c r="F1146" s="1" cm="1">
        <f t="array" ref="F1146">SUMPRODUCT(("T-Plg-elc-gsl_S4"=[1]OUT_TransportEnergyCons!$A$3:$A$1000)*1,("Var_Fin"=[1]OUT_TransportEnergyCons!$B$3:$B$1000)*1,ISNUMBER(SEARCH("ELC",[1]OUT_TransportEnergyCons!$C$3:$C$1000))*1,[1]OUT_TransportEnergyCons!D$3:D$1000)</f>
        <v>0</v>
      </c>
      <c r="G1146" s="1" cm="1">
        <f t="array" ref="G1146">SUMPRODUCT(("T-Plg-elc-gsl_S4"=[1]OUT_TransportEnergyCons!$A$3:$A$1000)*1,("Var_Fin"=[1]OUT_TransportEnergyCons!$B$3:$B$1000)*1,ISNUMBER(SEARCH("ELC",[1]OUT_TransportEnergyCons!$C$3:$C$1000))*1,[1]OUT_TransportEnergyCons!E$3:E$1000)</f>
        <v>1.7553211807625483E-2</v>
      </c>
      <c r="H1146" s="1" cm="1">
        <f t="array" ref="H1146">SUMPRODUCT(("T-Plg-elc-gsl_S4"=[1]OUT_TransportEnergyCons!$A$3:$A$1000)*1,("Var_Fin"=[1]OUT_TransportEnergyCons!$B$3:$B$1000)*1,ISNUMBER(SEARCH("ELC",[1]OUT_TransportEnergyCons!$C$3:$C$1000))*1,[1]OUT_TransportEnergyCons!F$3:F$1000)</f>
        <v>2.0449031390961055E-2</v>
      </c>
      <c r="I1146" s="1" cm="1">
        <f t="array" ref="I1146">SUMPRODUCT(("T-Plg-elc-gsl_S4"=[1]OUT_TransportEnergyCons!$A$3:$A$1000)*1,("Var_Fin"=[1]OUT_TransportEnergyCons!$B$3:$B$1000)*1,ISNUMBER(SEARCH("ELC",[1]OUT_TransportEnergyCons!$C$3:$C$1000))*1,[1]OUT_TransportEnergyCons!G$3:G$1000)</f>
        <v>2.5357339760772007E-2</v>
      </c>
      <c r="J1146" s="1" cm="1">
        <f t="array" ref="J1146">SUMPRODUCT(("T-Plg-elc-gsl_S4"=[2]OUT_TransportEnergyCons!$A$3:$A$1000)*1,("Var_Fin"=[2]OUT_TransportEnergyCons!$B$3:$B$1000)*1,ISNUMBER(SEARCH("ELC",[2]OUT_TransportEnergyCons!$C$3:$C$1000))*1,[2]OUT_TransportEnergyCons!H$3:H$1000)</f>
        <v>5.2551802547852414E-3</v>
      </c>
      <c r="K1146" s="1" cm="1">
        <f t="array" ref="K1146">SUMPRODUCT(("T-Plg-elc-gsl_S4"=[2]OUT_TransportEnergyCons!$A$3:$A$1000)*1,("Var_Fin"=[2]OUT_TransportEnergyCons!$B$3:$B$1000)*1,ISNUMBER(SEARCH("ELC",[2]OUT_TransportEnergyCons!$C$3:$C$1000))*1,[2]OUT_TransportEnergyCons!I$3:I$1000)</f>
        <v>1.3318621998000199E-3</v>
      </c>
      <c r="L1146" s="1" cm="1">
        <f t="array" ref="L1146">SUMPRODUCT(("T-Plg-elc-gsl_S4"=[2]OUT_TransportEnergyCons!$A$3:$A$1000)*1,("Var_Fin"=[2]OUT_TransportEnergyCons!$B$3:$B$1000)*1,ISNUMBER(SEARCH("ELC",[2]OUT_TransportEnergyCons!$C$3:$C$1000))*1,[2]OUT_TransportEnergyCons!J$3:J$1000)</f>
        <v>9.8602968963732514E-4</v>
      </c>
      <c r="N1146" s="1"/>
    </row>
    <row r="1147" spans="2:14" x14ac:dyDescent="0.35">
      <c r="B1147" s="5" t="str">
        <f t="shared" ref="B1147:B1151" si="1300">B1146</f>
        <v>SPS1</v>
      </c>
      <c r="C1147" s="5" t="str">
        <f t="shared" ref="C1147:C1151" si="1301">C1146</f>
        <v>CH</v>
      </c>
      <c r="D1147" t="s">
        <v>1247</v>
      </c>
      <c r="E1147" t="s">
        <v>8</v>
      </c>
      <c r="F1147" s="1" cm="1">
        <f t="array" ref="F1147">SUMPRODUCT(("T-Plg-elc-dsl_S1"=[1]OUT_TransportEnergyCons!$A$3:$A$1000)*1,("Var_Fin"=[1]OUT_TransportEnergyCons!$B$3:$B$1000)*1,ISNUMBER(SEARCH("ELC",[1]OUT_TransportEnergyCons!$C$3:$C$1000))*1,[1]OUT_TransportEnergyCons!D$3:D$1000)</f>
        <v>0</v>
      </c>
      <c r="G1147" s="1" cm="1">
        <f t="array" ref="G1147">SUMPRODUCT(("T-Plg-elc-dsl_S1"=[1]OUT_TransportEnergyCons!$A$3:$A$1000)*1,("Var_Fin"=[1]OUT_TransportEnergyCons!$B$3:$B$1000)*1,ISNUMBER(SEARCH("ELC",[1]OUT_TransportEnergyCons!$C$3:$C$1000))*1,[1]OUT_TransportEnergyCons!E$3:E$1000)</f>
        <v>1.6987529496601948E-5</v>
      </c>
      <c r="H1147" s="1" cm="1">
        <f t="array" ref="H1147">SUMPRODUCT(("T-Plg-elc-dsl_S1"=[1]OUT_TransportEnergyCons!$A$3:$A$1000)*1,("Var_Fin"=[1]OUT_TransportEnergyCons!$B$3:$B$1000)*1,ISNUMBER(SEARCH("ELC",[1]OUT_TransportEnergyCons!$C$3:$C$1000))*1,[1]OUT_TransportEnergyCons!F$3:F$1000)</f>
        <v>2.4133820371971826E-5</v>
      </c>
      <c r="I1147" s="1" cm="1">
        <f t="array" ref="I1147">SUMPRODUCT(("T-Plg-elc-dsl_S1"=[1]OUT_TransportEnergyCons!$A$3:$A$1000)*1,("Var_Fin"=[1]OUT_TransportEnergyCons!$B$3:$B$1000)*1,ISNUMBER(SEARCH("ELC",[1]OUT_TransportEnergyCons!$C$3:$C$1000))*1,[1]OUT_TransportEnergyCons!G$3:G$1000)</f>
        <v>4.702595845467464E-5</v>
      </c>
      <c r="J1147" s="1" cm="1">
        <f t="array" ref="J1147">SUMPRODUCT(("T-Plg-elc-dsl_S1"=[2]OUT_TransportEnergyCons!$A$3:$A$1000)*1,("Var_Fin"=[2]OUT_TransportEnergyCons!$B$3:$B$1000)*1,ISNUMBER(SEARCH("ELC",[2]OUT_TransportEnergyCons!$C$3:$C$1000))*1,[2]OUT_TransportEnergyCons!H$3:H$1000)</f>
        <v>1.472190598356355E-4</v>
      </c>
      <c r="K1147" s="1" cm="1">
        <f t="array" ref="K1147">SUMPRODUCT(("T-Plg-elc-dsl_S1"=[2]OUT_TransportEnergyCons!$A$3:$A$1000)*1,("Var_Fin"=[2]OUT_TransportEnergyCons!$B$3:$B$1000)*1,ISNUMBER(SEARCH("ELC",[2]OUT_TransportEnergyCons!$C$3:$C$1000))*1,[2]OUT_TransportEnergyCons!I$3:I$1000)</f>
        <v>1.6851925577766582E-4</v>
      </c>
      <c r="L1147" s="1" cm="1">
        <f t="array" ref="L1147">SUMPRODUCT(("T-Plg-elc-dsl_S1"=[2]OUT_TransportEnergyCons!$A$3:$A$1000)*1,("Var_Fin"=[2]OUT_TransportEnergyCons!$B$3:$B$1000)*1,ISNUMBER(SEARCH("ELC",[2]OUT_TransportEnergyCons!$C$3:$C$1000))*1,[2]OUT_TransportEnergyCons!J$3:J$1000)</f>
        <v>1.4378201911391598E-4</v>
      </c>
      <c r="N1147" s="1"/>
    </row>
    <row r="1148" spans="2:14" x14ac:dyDescent="0.35">
      <c r="B1148" s="5" t="str">
        <f t="shared" si="1300"/>
        <v>SPS1</v>
      </c>
      <c r="C1148" s="5" t="str">
        <f t="shared" si="1301"/>
        <v>CH</v>
      </c>
      <c r="D1148" t="s">
        <v>1248</v>
      </c>
      <c r="E1148" t="s">
        <v>8</v>
      </c>
      <c r="F1148" s="1" cm="1">
        <f t="array" ref="F1148">SUMPRODUCT(("T-Plg-elc-dsl_S2"=[1]OUT_TransportEnergyCons!$A$3:$A$1000)*1,("Var_Fin"=[1]OUT_TransportEnergyCons!$B$3:$B$1000)*1,ISNUMBER(SEARCH("ELC",[1]OUT_TransportEnergyCons!$C$3:$C$1000))*1,[1]OUT_TransportEnergyCons!D$3:D$1000)</f>
        <v>0</v>
      </c>
      <c r="G1148" s="1" cm="1">
        <f t="array" ref="G1148">SUMPRODUCT(("T-Plg-elc-dsl_S2"=[1]OUT_TransportEnergyCons!$A$3:$A$1000)*1,("Var_Fin"=[1]OUT_TransportEnergyCons!$B$3:$B$1000)*1,ISNUMBER(SEARCH("ELC",[1]OUT_TransportEnergyCons!$C$3:$C$1000))*1,[1]OUT_TransportEnergyCons!E$3:E$1000)</f>
        <v>1.5039389810593712E-5</v>
      </c>
      <c r="H1148" s="1" cm="1">
        <f t="array" ref="H1148">SUMPRODUCT(("T-Plg-elc-dsl_S2"=[1]OUT_TransportEnergyCons!$A$3:$A$1000)*1,("Var_Fin"=[1]OUT_TransportEnergyCons!$B$3:$B$1000)*1,ISNUMBER(SEARCH("ELC",[1]OUT_TransportEnergyCons!$C$3:$C$1000))*1,[1]OUT_TransportEnergyCons!F$3:F$1000)</f>
        <v>5.787730304971146E-5</v>
      </c>
      <c r="I1148" s="1" cm="1">
        <f t="array" ref="I1148">SUMPRODUCT(("T-Plg-elc-dsl_S2"=[1]OUT_TransportEnergyCons!$A$3:$A$1000)*1,("Var_Fin"=[1]OUT_TransportEnergyCons!$B$3:$B$1000)*1,ISNUMBER(SEARCH("ELC",[1]OUT_TransportEnergyCons!$C$3:$C$1000))*1,[1]OUT_TransportEnergyCons!G$3:G$1000)</f>
        <v>1.5195952181434918E-4</v>
      </c>
      <c r="J1148" s="1" cm="1">
        <f t="array" ref="J1148">SUMPRODUCT(("T-Plg-elc-dsl_S2"=[2]OUT_TransportEnergyCons!$A$3:$A$1000)*1,("Var_Fin"=[2]OUT_TransportEnergyCons!$B$3:$B$1000)*1,ISNUMBER(SEARCH("ELC",[2]OUT_TransportEnergyCons!$C$3:$C$1000))*1,[2]OUT_TransportEnergyCons!H$3:H$1000)</f>
        <v>7.8618899079746529E-4</v>
      </c>
      <c r="K1148" s="1" cm="1">
        <f t="array" ref="K1148">SUMPRODUCT(("T-Plg-elc-dsl_S2"=[2]OUT_TransportEnergyCons!$A$3:$A$1000)*1,("Var_Fin"=[2]OUT_TransportEnergyCons!$B$3:$B$1000)*1,ISNUMBER(SEARCH("ELC",[2]OUT_TransportEnergyCons!$C$3:$C$1000))*1,[2]OUT_TransportEnergyCons!I$3:I$1000)</f>
        <v>1.0498112643614211E-3</v>
      </c>
      <c r="L1148" s="1" cm="1">
        <f t="array" ref="L1148">SUMPRODUCT(("T-Plg-elc-dsl_S2"=[2]OUT_TransportEnergyCons!$A$3:$A$1000)*1,("Var_Fin"=[2]OUT_TransportEnergyCons!$B$3:$B$1000)*1,ISNUMBER(SEARCH("ELC",[2]OUT_TransportEnergyCons!$C$3:$C$1000))*1,[2]OUT_TransportEnergyCons!J$3:J$1000)</f>
        <v>7.296837142093418E-4</v>
      </c>
      <c r="N1148" s="1"/>
    </row>
    <row r="1149" spans="2:14" x14ac:dyDescent="0.35">
      <c r="B1149" s="5" t="str">
        <f t="shared" si="1300"/>
        <v>SPS1</v>
      </c>
      <c r="C1149" s="5" t="str">
        <f t="shared" si="1301"/>
        <v>CH</v>
      </c>
      <c r="D1149" t="s">
        <v>1249</v>
      </c>
      <c r="E1149" t="s">
        <v>8</v>
      </c>
      <c r="F1149" s="1" cm="1">
        <f t="array" ref="F1149">SUMPRODUCT(("T-Plg-elc-dsl_S3"=[1]OUT_TransportEnergyCons!$A$3:$A$1000)*1,("Var_Fin"=[1]OUT_TransportEnergyCons!$B$3:$B$1000)*1,ISNUMBER(SEARCH("ELC",[1]OUT_TransportEnergyCons!$C$3:$C$1000))*1,[1]OUT_TransportEnergyCons!D$3:D$1000)</f>
        <v>0</v>
      </c>
      <c r="G1149" s="1" cm="1">
        <f t="array" ref="G1149">SUMPRODUCT(("T-Plg-elc-dsl_S3"=[1]OUT_TransportEnergyCons!$A$3:$A$1000)*1,("Var_Fin"=[1]OUT_TransportEnergyCons!$B$3:$B$1000)*1,ISNUMBER(SEARCH("ELC",[1]OUT_TransportEnergyCons!$C$3:$C$1000))*1,[1]OUT_TransportEnergyCons!E$3:E$1000)</f>
        <v>1.0363295057919525E-2</v>
      </c>
      <c r="H1149" s="1" cm="1">
        <f t="array" ref="H1149">SUMPRODUCT(("T-Plg-elc-dsl_S3"=[1]OUT_TransportEnergyCons!$A$3:$A$1000)*1,("Var_Fin"=[1]OUT_TransportEnergyCons!$B$3:$B$1000)*1,ISNUMBER(SEARCH("ELC",[1]OUT_TransportEnergyCons!$C$3:$C$1000))*1,[1]OUT_TransportEnergyCons!F$3:F$1000)</f>
        <v>0.13665267146579357</v>
      </c>
      <c r="I1149" s="1" cm="1">
        <f t="array" ref="I1149">SUMPRODUCT(("T-Plg-elc-dsl_S3"=[1]OUT_TransportEnergyCons!$A$3:$A$1000)*1,("Var_Fin"=[1]OUT_TransportEnergyCons!$B$3:$B$1000)*1,ISNUMBER(SEARCH("ELC",[1]OUT_TransportEnergyCons!$C$3:$C$1000))*1,[1]OUT_TransportEnergyCons!G$3:G$1000)</f>
        <v>0.76228421009880165</v>
      </c>
      <c r="J1149" s="1" cm="1">
        <f t="array" ref="J1149">SUMPRODUCT(("T-Plg-elc-dsl_S3"=[2]OUT_TransportEnergyCons!$A$3:$A$1000)*1,("Var_Fin"=[2]OUT_TransportEnergyCons!$B$3:$B$1000)*1,ISNUMBER(SEARCH("ELC",[2]OUT_TransportEnergyCons!$C$3:$C$1000))*1,[2]OUT_TransportEnergyCons!H$3:H$1000)</f>
        <v>2.1723233851580108</v>
      </c>
      <c r="K1149" s="1" cm="1">
        <f t="array" ref="K1149">SUMPRODUCT(("T-Plg-elc-dsl_S3"=[2]OUT_TransportEnergyCons!$A$3:$A$1000)*1,("Var_Fin"=[2]OUT_TransportEnergyCons!$B$3:$B$1000)*1,ISNUMBER(SEARCH("ELC",[2]OUT_TransportEnergyCons!$C$3:$C$1000))*1,[2]OUT_TransportEnergyCons!I$3:I$1000)</f>
        <v>2.8585037613458977</v>
      </c>
      <c r="L1149" s="1" cm="1">
        <f t="array" ref="L1149">SUMPRODUCT(("T-Plg-elc-dsl_S3"=[2]OUT_TransportEnergyCons!$A$3:$A$1000)*1,("Var_Fin"=[2]OUT_TransportEnergyCons!$B$3:$B$1000)*1,ISNUMBER(SEARCH("ELC",[2]OUT_TransportEnergyCons!$C$3:$C$1000))*1,[2]OUT_TransportEnergyCons!J$3:J$1000)</f>
        <v>3.2315802410617045</v>
      </c>
      <c r="N1149" s="1"/>
    </row>
    <row r="1150" spans="2:14" x14ac:dyDescent="0.35">
      <c r="B1150" s="5" t="str">
        <f t="shared" si="1300"/>
        <v>SPS1</v>
      </c>
      <c r="C1150" s="5" t="str">
        <f t="shared" si="1301"/>
        <v>CH</v>
      </c>
      <c r="D1150" t="s">
        <v>1250</v>
      </c>
      <c r="E1150" t="s">
        <v>8</v>
      </c>
      <c r="F1150" s="1" cm="1">
        <f t="array" ref="F1150">SUMPRODUCT(("T-Plg-elc-dsl_S4"=[1]OUT_TransportEnergyCons!$A$3:$A$1000)*1,("Var_Fin"=[1]OUT_TransportEnergyCons!$B$3:$B$1000)*1,ISNUMBER(SEARCH("ELC",[1]OUT_TransportEnergyCons!$C$3:$C$1000))*1,[1]OUT_TransportEnergyCons!D$3:D$1000)</f>
        <v>0</v>
      </c>
      <c r="G1150" s="1" cm="1">
        <f t="array" ref="G1150">SUMPRODUCT(("T-Plg-elc-dsl_S4"=[1]OUT_TransportEnergyCons!$A$3:$A$1000)*1,("Var_Fin"=[1]OUT_TransportEnergyCons!$B$3:$B$1000)*1,ISNUMBER(SEARCH("ELC",[1]OUT_TransportEnergyCons!$C$3:$C$1000))*1,[1]OUT_TransportEnergyCons!E$3:E$1000)</f>
        <v>1.0520747340759919E-3</v>
      </c>
      <c r="H1150" s="1" cm="1">
        <f t="array" ref="H1150">SUMPRODUCT(("T-Plg-elc-dsl_S4"=[1]OUT_TransportEnergyCons!$A$3:$A$1000)*1,("Var_Fin"=[1]OUT_TransportEnergyCons!$B$3:$B$1000)*1,ISNUMBER(SEARCH("ELC",[1]OUT_TransportEnergyCons!$C$3:$C$1000))*1,[1]OUT_TransportEnergyCons!F$3:F$1000)</f>
        <v>7.1638772901813142E-4</v>
      </c>
      <c r="I1150" s="1" cm="1">
        <f t="array" ref="I1150">SUMPRODUCT(("T-Plg-elc-dsl_S4"=[1]OUT_TransportEnergyCons!$A$3:$A$1000)*1,("Var_Fin"=[1]OUT_TransportEnergyCons!$B$3:$B$1000)*1,ISNUMBER(SEARCH("ELC",[1]OUT_TransportEnergyCons!$C$3:$C$1000))*1,[1]OUT_TransportEnergyCons!G$3:G$1000)</f>
        <v>1.789823036327112E-3</v>
      </c>
      <c r="J1150" s="1" cm="1">
        <f t="array" ref="J1150">SUMPRODUCT(("T-Plg-elc-dsl_S4"=[2]OUT_TransportEnergyCons!$A$3:$A$1000)*1,("Var_Fin"=[2]OUT_TransportEnergyCons!$B$3:$B$1000)*1,ISNUMBER(SEARCH("ELC",[2]OUT_TransportEnergyCons!$C$3:$C$1000))*1,[2]OUT_TransportEnergyCons!H$3:H$1000)</f>
        <v>1.5011793930021905E-3</v>
      </c>
      <c r="K1150" s="1" cm="1">
        <f t="array" ref="K1150">SUMPRODUCT(("T-Plg-elc-dsl_S4"=[2]OUT_TransportEnergyCons!$A$3:$A$1000)*1,("Var_Fin"=[2]OUT_TransportEnergyCons!$B$3:$B$1000)*1,ISNUMBER(SEARCH("ELC",[2]OUT_TransportEnergyCons!$C$3:$C$1000))*1,[2]OUT_TransportEnergyCons!I$3:I$1000)</f>
        <v>1.4310699004296443E-3</v>
      </c>
      <c r="L1150" s="1" cm="1">
        <f t="array" ref="L1150">SUMPRODUCT(("T-Plg-elc-dsl_S4"=[2]OUT_TransportEnergyCons!$A$3:$A$1000)*1,("Var_Fin"=[2]OUT_TransportEnergyCons!$B$3:$B$1000)*1,ISNUMBER(SEARCH("ELC",[2]OUT_TransportEnergyCons!$C$3:$C$1000))*1,[2]OUT_TransportEnergyCons!J$3:J$1000)</f>
        <v>9.9458621258153375E-4</v>
      </c>
      <c r="N1150" s="1"/>
    </row>
    <row r="1151" spans="2:14" x14ac:dyDescent="0.35">
      <c r="B1151" s="5" t="str">
        <f t="shared" si="1300"/>
        <v>SPS1</v>
      </c>
      <c r="C1151" s="5" t="str">
        <f t="shared" si="1301"/>
        <v>CH</v>
      </c>
      <c r="D1151" t="s">
        <v>1251</v>
      </c>
      <c r="E1151" t="s">
        <v>8</v>
      </c>
      <c r="F1151" s="1">
        <f>[1]Transport!B$32</f>
        <v>0</v>
      </c>
      <c r="G1151" s="1">
        <f>[1]Transport!C$32</f>
        <v>0</v>
      </c>
      <c r="H1151" s="1">
        <f>[1]Transport!D$32</f>
        <v>0</v>
      </c>
      <c r="I1151" s="1">
        <f>[1]Transport!E$32</f>
        <v>4.0559774601468066E-3</v>
      </c>
      <c r="J1151" s="1">
        <f>[2]Transport!F$32</f>
        <v>2.1204910577938663E-2</v>
      </c>
      <c r="K1151" s="1">
        <f>[2]Transport!G$32</f>
        <v>5.4530474612452626E-2</v>
      </c>
      <c r="L1151" s="1">
        <f>[2]Transport!H$32</f>
        <v>0.18670071814571756</v>
      </c>
      <c r="N1151" s="1"/>
    </row>
    <row r="1152" spans="2:14" x14ac:dyDescent="0.35">
      <c r="B1152" s="5" t="str">
        <f>B1146</f>
        <v>SPS1</v>
      </c>
      <c r="C1152" s="5" t="str">
        <f>C1146</f>
        <v>CH</v>
      </c>
      <c r="D1152" t="s">
        <v>1252</v>
      </c>
      <c r="E1152" t="s">
        <v>8</v>
      </c>
      <c r="F1152" s="1">
        <f>SUM(F1153:F1156)</f>
        <v>4.1354261509203571E-4</v>
      </c>
      <c r="G1152" s="1">
        <f t="shared" ref="G1152:K1152" si="1302">SUM(G1153:G1156)</f>
        <v>1.5503754335489299E-3</v>
      </c>
      <c r="H1152" s="1">
        <f t="shared" si="1302"/>
        <v>1.4681990109577901E-3</v>
      </c>
      <c r="I1152" s="1">
        <f t="shared" si="1302"/>
        <v>3.4913251898102762E-5</v>
      </c>
      <c r="J1152" s="1">
        <f t="shared" si="1302"/>
        <v>2.8700570631093162E-5</v>
      </c>
      <c r="K1152" s="1">
        <f t="shared" si="1302"/>
        <v>2.6817779916890467E-5</v>
      </c>
      <c r="L1152" s="1">
        <f t="shared" ref="L1152" si="1303">SUM(L1153:L1156)</f>
        <v>2.5965299036693261E-5</v>
      </c>
      <c r="N1152" s="1"/>
    </row>
    <row r="1153" spans="2:14" x14ac:dyDescent="0.35">
      <c r="B1153" s="5" t="str">
        <f t="shared" si="1298"/>
        <v>SPS1</v>
      </c>
      <c r="C1153" s="5" t="str">
        <f t="shared" si="1299"/>
        <v>CH</v>
      </c>
      <c r="D1153" t="s">
        <v>1253</v>
      </c>
      <c r="E1153" t="s">
        <v>8</v>
      </c>
      <c r="F1153" s="1" cm="1">
        <f t="array" ref="F1153">SUMPRODUCT(("T_C-FC-H2O-S1"=[1]OUT_TransportEnergyCons!$A$3:$A$1000)*1,("Var_Fin"=[1]OUT_TransportEnergyCons!$B$3:$B$1000)*1,ISNUMBER(SEARCH("H2",[1]OUT_TransportEnergyCons!$C$3:$C$1000))*1,[1]OUT_TransportEnergyCons!D$3:D$1000)</f>
        <v>0</v>
      </c>
      <c r="G1153" s="1" cm="1">
        <f t="array" ref="G1153">SUMPRODUCT(("T_C-FC-H2O-S1"=[1]OUT_TransportEnergyCons!$A$3:$A$1000)*1,("Var_Fin"=[1]OUT_TransportEnergyCons!$B$3:$B$1000)*1,ISNUMBER(SEARCH("H2",[1]OUT_TransportEnergyCons!$C$3:$C$1000))*1,[1]OUT_TransportEnergyCons!E$3:E$1000)</f>
        <v>5.8549628154083497E-6</v>
      </c>
      <c r="H1153" s="1" cm="1">
        <f t="array" ref="H1153">SUMPRODUCT(("T_C-FC-H2O-S1"=[1]OUT_TransportEnergyCons!$A$3:$A$1000)*1,("Var_Fin"=[1]OUT_TransportEnergyCons!$B$3:$B$1000)*1,ISNUMBER(SEARCH("H2",[1]OUT_TransportEnergyCons!$C$3:$C$1000))*1,[1]OUT_TransportEnergyCons!F$3:F$1000)</f>
        <v>7.741618998068781E-6</v>
      </c>
      <c r="I1153" s="1" cm="1">
        <f t="array" ref="I1153">SUMPRODUCT(("T_C-FC-H2O-S1"=[1]OUT_TransportEnergyCons!$A$3:$A$1000)*1,("Var_Fin"=[1]OUT_TransportEnergyCons!$B$3:$B$1000)*1,ISNUMBER(SEARCH("H2",[1]OUT_TransportEnergyCons!$C$3:$C$1000))*1,[1]OUT_TransportEnergyCons!G$3:G$1000)</f>
        <v>1.5068939849869208E-6</v>
      </c>
      <c r="J1153" s="1" cm="1">
        <f t="array" ref="J1153">SUMPRODUCT(("T_C-FC-H2O-S1"=[2]OUT_TransportEnergyCons!$A$3:$A$1000)*1,("Var_Fin"=[2]OUT_TransportEnergyCons!$B$3:$B$1000)*1,ISNUMBER(SEARCH("H2",[2]OUT_TransportEnergyCons!$C$3:$C$1000))*1,[2]OUT_TransportEnergyCons!H$3:H$1000)</f>
        <v>3.6017189038291506E-6</v>
      </c>
      <c r="K1153" s="1" cm="1">
        <f t="array" ref="K1153">SUMPRODUCT(("T_C-FC-H2O-S1"=[2]OUT_TransportEnergyCons!$A$3:$A$1000)*1,("Var_Fin"=[2]OUT_TransportEnergyCons!$B$3:$B$1000)*1,ISNUMBER(SEARCH("H2",[2]OUT_TransportEnergyCons!$C$3:$C$1000))*1,[2]OUT_TransportEnergyCons!I$3:I$1000)</f>
        <v>3.8449080415340984E-6</v>
      </c>
      <c r="L1153" s="1" cm="1">
        <f t="array" ref="L1153">SUMPRODUCT(("T_C-FC-H2O-S1"=[2]OUT_TransportEnergyCons!$A$3:$A$1000)*1,("Var_Fin"=[2]OUT_TransportEnergyCons!$B$3:$B$1000)*1,ISNUMBER(SEARCH("H2",[2]OUT_TransportEnergyCons!$C$3:$C$1000))*1,[2]OUT_TransportEnergyCons!J$3:J$1000)</f>
        <v>3.2688649668834972E-6</v>
      </c>
      <c r="N1153" s="1"/>
    </row>
    <row r="1154" spans="2:14" x14ac:dyDescent="0.35">
      <c r="B1154" s="5" t="str">
        <f t="shared" si="1298"/>
        <v>SPS1</v>
      </c>
      <c r="C1154" s="5" t="str">
        <f t="shared" si="1299"/>
        <v>CH</v>
      </c>
      <c r="D1154" t="s">
        <v>1254</v>
      </c>
      <c r="E1154" t="s">
        <v>8</v>
      </c>
      <c r="F1154" s="1" cm="1">
        <f t="array" ref="F1154">SUMPRODUCT(("T_C-FC-H2O-S2"=[1]OUT_TransportEnergyCons!$A$3:$A$1000)*1,("Var_Fin"=[1]OUT_TransportEnergyCons!$B$3:$B$1000)*1,ISNUMBER(SEARCH("H2",[1]OUT_TransportEnergyCons!$C$3:$C$1000))*1,[1]OUT_TransportEnergyCons!D$3:D$1000)</f>
        <v>1.4460400849233071E-5</v>
      </c>
      <c r="G1154" s="1" cm="1">
        <f t="array" ref="G1154">SUMPRODUCT(("T_C-FC-H2O-S2"=[1]OUT_TransportEnergyCons!$A$3:$A$1000)*1,("Var_Fin"=[1]OUT_TransportEnergyCons!$B$3:$B$1000)*1,ISNUMBER(SEARCH("H2",[1]OUT_TransportEnergyCons!$C$3:$C$1000))*1,[1]OUT_TransportEnergyCons!E$3:E$1000)</f>
        <v>2.508753722802475E-5</v>
      </c>
      <c r="H1154" s="1" cm="1">
        <f t="array" ref="H1154">SUMPRODUCT(("T_C-FC-H2O-S2"=[1]OUT_TransportEnergyCons!$A$3:$A$1000)*1,("Var_Fin"=[1]OUT_TransportEnergyCons!$B$3:$B$1000)*1,ISNUMBER(SEARCH("H2",[1]OUT_TransportEnergyCons!$C$3:$C$1000))*1,[1]OUT_TransportEnergyCons!F$3:F$1000)</f>
        <v>3.0641229157106756E-5</v>
      </c>
      <c r="I1154" s="1" cm="1">
        <f t="array" ref="I1154">SUMPRODUCT(("T_C-FC-H2O-S2"=[1]OUT_TransportEnergyCons!$A$3:$A$1000)*1,("Var_Fin"=[1]OUT_TransportEnergyCons!$B$3:$B$1000)*1,ISNUMBER(SEARCH("H2",[1]OUT_TransportEnergyCons!$C$3:$C$1000))*1,[1]OUT_TransportEnergyCons!G$3:G$1000)</f>
        <v>6.8935996963156808E-6</v>
      </c>
      <c r="J1154" s="1" cm="1">
        <f t="array" ref="J1154">SUMPRODUCT(("T_C-FC-H2O-S2"=[2]OUT_TransportEnergyCons!$A$3:$A$1000)*1,("Var_Fin"=[2]OUT_TransportEnergyCons!$B$3:$B$1000)*1,ISNUMBER(SEARCH("H2",[2]OUT_TransportEnergyCons!$C$3:$C$1000))*1,[2]OUT_TransportEnergyCons!H$3:H$1000)</f>
        <v>7.8551300860648925E-6</v>
      </c>
      <c r="K1154" s="1" cm="1">
        <f t="array" ref="K1154">SUMPRODUCT(("T_C-FC-H2O-S2"=[2]OUT_TransportEnergyCons!$A$3:$A$1000)*1,("Var_Fin"=[2]OUT_TransportEnergyCons!$B$3:$B$1000)*1,ISNUMBER(SEARCH("H2",[2]OUT_TransportEnergyCons!$C$3:$C$1000))*1,[2]OUT_TransportEnergyCons!I$3:I$1000)</f>
        <v>7.3920494748302755E-6</v>
      </c>
      <c r="L1154" s="1" cm="1">
        <f t="array" ref="L1154">SUMPRODUCT(("T_C-FC-H2O-S2"=[2]OUT_TransportEnergyCons!$A$3:$A$1000)*1,("Var_Fin"=[2]OUT_TransportEnergyCons!$B$3:$B$1000)*1,ISNUMBER(SEARCH("H2",[2]OUT_TransportEnergyCons!$C$3:$C$1000))*1,[2]OUT_TransportEnergyCons!J$3:J$1000)</f>
        <v>7.0396313941111956E-6</v>
      </c>
      <c r="N1154" s="1"/>
    </row>
    <row r="1155" spans="2:14" x14ac:dyDescent="0.35">
      <c r="B1155" s="5" t="str">
        <f t="shared" si="1298"/>
        <v>SPS1</v>
      </c>
      <c r="C1155" s="5" t="str">
        <f t="shared" si="1299"/>
        <v>CH</v>
      </c>
      <c r="D1155" t="s">
        <v>1255</v>
      </c>
      <c r="E1155" t="s">
        <v>8</v>
      </c>
      <c r="F1155" s="1" cm="1">
        <f t="array" ref="F1155">SUMPRODUCT(("T_C-FC-H2O-S3"=[1]OUT_TransportEnergyCons!$A$3:$A$1000)*1,("Var_Fin"=[1]OUT_TransportEnergyCons!$B$3:$B$1000)*1,ISNUMBER(SEARCH("H2",[1]OUT_TransportEnergyCons!$C$3:$C$1000))*1,[1]OUT_TransportEnergyCons!D$3:D$1000)</f>
        <v>3.9908221424280263E-4</v>
      </c>
      <c r="G1155" s="1" cm="1">
        <f t="array" ref="G1155">SUMPRODUCT(("T_C-FC-H2O-S3"=[1]OUT_TransportEnergyCons!$A$3:$A$1000)*1,("Var_Fin"=[1]OUT_TransportEnergyCons!$B$3:$B$1000)*1,ISNUMBER(SEARCH("H2",[1]OUT_TransportEnergyCons!$C$3:$C$1000))*1,[1]OUT_TransportEnergyCons!E$3:E$1000)</f>
        <v>1.5141159413761605E-3</v>
      </c>
      <c r="H1155" s="1" cm="1">
        <f t="array" ref="H1155">SUMPRODUCT(("T_C-FC-H2O-S3"=[1]OUT_TransportEnergyCons!$A$3:$A$1000)*1,("Var_Fin"=[1]OUT_TransportEnergyCons!$B$3:$B$1000)*1,ISNUMBER(SEARCH("H2",[1]OUT_TransportEnergyCons!$C$3:$C$1000))*1,[1]OUT_TransportEnergyCons!F$3:F$1000)</f>
        <v>1.4206088457061126E-3</v>
      </c>
      <c r="I1155" s="1" cm="1">
        <f t="array" ref="I1155">SUMPRODUCT(("T_C-FC-H2O-S3"=[1]OUT_TransportEnergyCons!$A$3:$A$1000)*1,("Var_Fin"=[1]OUT_TransportEnergyCons!$B$3:$B$1000)*1,ISNUMBER(SEARCH("H2",[1]OUT_TransportEnergyCons!$C$3:$C$1000))*1,[1]OUT_TransportEnergyCons!G$3:G$1000)</f>
        <v>2.1256629844862746E-5</v>
      </c>
      <c r="J1155" s="1" cm="1">
        <f t="array" ref="J1155">SUMPRODUCT(("T_C-FC-H2O-S3"=[2]OUT_TransportEnergyCons!$A$3:$A$1000)*1,("Var_Fin"=[2]OUT_TransportEnergyCons!$B$3:$B$1000)*1,ISNUMBER(SEARCH("H2",[2]OUT_TransportEnergyCons!$C$3:$C$1000))*1,[2]OUT_TransportEnergyCons!H$3:H$1000)</f>
        <v>9.7209533117629686E-6</v>
      </c>
      <c r="K1155" s="1" cm="1">
        <f t="array" ref="K1155">SUMPRODUCT(("T_C-FC-H2O-S3"=[2]OUT_TransportEnergyCons!$A$3:$A$1000)*1,("Var_Fin"=[2]OUT_TransportEnergyCons!$B$3:$B$1000)*1,ISNUMBER(SEARCH("H2",[2]OUT_TransportEnergyCons!$C$3:$C$1000))*1,[2]OUT_TransportEnergyCons!I$3:I$1000)</f>
        <v>8.3849331585057822E-6</v>
      </c>
      <c r="L1155" s="1" cm="1">
        <f t="array" ref="L1155">SUMPRODUCT(("T_C-FC-H2O-S3"=[2]OUT_TransportEnergyCons!$A$3:$A$1000)*1,("Var_Fin"=[2]OUT_TransportEnergyCons!$B$3:$B$1000)*1,ISNUMBER(SEARCH("H2",[2]OUT_TransportEnergyCons!$C$3:$C$1000))*1,[2]OUT_TransportEnergyCons!J$3:J$1000)</f>
        <v>8.3931014185227642E-6</v>
      </c>
      <c r="N1155" s="1"/>
    </row>
    <row r="1156" spans="2:14" x14ac:dyDescent="0.35">
      <c r="B1156" s="5" t="str">
        <f t="shared" si="1298"/>
        <v>SPS1</v>
      </c>
      <c r="C1156" s="5" t="str">
        <f t="shared" si="1299"/>
        <v>CH</v>
      </c>
      <c r="D1156" t="s">
        <v>1256</v>
      </c>
      <c r="E1156" t="s">
        <v>8</v>
      </c>
      <c r="F1156" s="1" cm="1">
        <f t="array" ref="F1156">SUMPRODUCT(("T_C-FC-H2O-S4"=[1]OUT_TransportEnergyCons!$A$3:$A$1000)*1,("Var_Fin"=[1]OUT_TransportEnergyCons!$B$3:$B$1000)*1,ISNUMBER(SEARCH("H2",[1]OUT_TransportEnergyCons!$C$3:$C$1000))*1,[1]OUT_TransportEnergyCons!D$3:D$1000)</f>
        <v>0</v>
      </c>
      <c r="G1156" s="1" cm="1">
        <f t="array" ref="G1156">SUMPRODUCT(("T_C-FC-H2O-S4"=[1]OUT_TransportEnergyCons!$A$3:$A$1000)*1,("Var_Fin"=[1]OUT_TransportEnergyCons!$B$3:$B$1000)*1,ISNUMBER(SEARCH("H2",[1]OUT_TransportEnergyCons!$C$3:$C$1000))*1,[1]OUT_TransportEnergyCons!E$3:E$1000)</f>
        <v>5.3169921293364752E-6</v>
      </c>
      <c r="H1156" s="1" cm="1">
        <f t="array" ref="H1156">SUMPRODUCT(("T_C-FC-H2O-S4"=[1]OUT_TransportEnergyCons!$A$3:$A$1000)*1,("Var_Fin"=[1]OUT_TransportEnergyCons!$B$3:$B$1000)*1,ISNUMBER(SEARCH("H2",[1]OUT_TransportEnergyCons!$C$3:$C$1000))*1,[1]OUT_TransportEnergyCons!F$3:F$1000)</f>
        <v>9.2073170965021441E-6</v>
      </c>
      <c r="I1156" s="1" cm="1">
        <f t="array" ref="I1156">SUMPRODUCT(("T_C-FC-H2O-S4"=[1]OUT_TransportEnergyCons!$A$3:$A$1000)*1,("Var_Fin"=[1]OUT_TransportEnergyCons!$B$3:$B$1000)*1,ISNUMBER(SEARCH("H2",[1]OUT_TransportEnergyCons!$C$3:$C$1000))*1,[1]OUT_TransportEnergyCons!G$3:G$1000)</f>
        <v>5.2561283719374131E-6</v>
      </c>
      <c r="J1156" s="1" cm="1">
        <f t="array" ref="J1156">SUMPRODUCT(("T_C-FC-H2O-S4"=[2]OUT_TransportEnergyCons!$A$3:$A$1000)*1,("Var_Fin"=[2]OUT_TransportEnergyCons!$B$3:$B$1000)*1,ISNUMBER(SEARCH("H2",[2]OUT_TransportEnergyCons!$C$3:$C$1000))*1,[2]OUT_TransportEnergyCons!H$3:H$1000)</f>
        <v>7.5227683294361491E-6</v>
      </c>
      <c r="K1156" s="1" cm="1">
        <f t="array" ref="K1156">SUMPRODUCT(("T_C-FC-H2O-S4"=[2]OUT_TransportEnergyCons!$A$3:$A$1000)*1,("Var_Fin"=[2]OUT_TransportEnergyCons!$B$3:$B$1000)*1,ISNUMBER(SEARCH("H2",[2]OUT_TransportEnergyCons!$C$3:$C$1000))*1,[2]OUT_TransportEnergyCons!I$3:I$1000)</f>
        <v>7.1958892420203099E-6</v>
      </c>
      <c r="L1156" s="1" cm="1">
        <f t="array" ref="L1156">SUMPRODUCT(("T_C-FC-H2O-S4"=[2]OUT_TransportEnergyCons!$A$3:$A$1000)*1,("Var_Fin"=[2]OUT_TransportEnergyCons!$B$3:$B$1000)*1,ISNUMBER(SEARCH("H2",[2]OUT_TransportEnergyCons!$C$3:$C$1000))*1,[2]OUT_TransportEnergyCons!J$3:J$1000)</f>
        <v>7.2637012571758045E-6</v>
      </c>
      <c r="N1156" s="1"/>
    </row>
    <row r="1157" spans="2:14" x14ac:dyDescent="0.35">
      <c r="B1157" s="5" t="str">
        <f t="shared" si="1298"/>
        <v>SPS1</v>
      </c>
      <c r="C1157" s="5" t="str">
        <f t="shared" si="1299"/>
        <v>CH</v>
      </c>
      <c r="D1157" t="s">
        <v>1257</v>
      </c>
      <c r="E1157" t="s">
        <v>8</v>
      </c>
      <c r="F1157" s="1">
        <f>SUM(F1162:F1179)</f>
        <v>78.351060768218559</v>
      </c>
      <c r="G1157" s="1">
        <f t="shared" ref="G1157:K1157" si="1304">SUM(G1162:G1179)</f>
        <v>72.742965435905731</v>
      </c>
      <c r="H1157" s="1">
        <f t="shared" si="1304"/>
        <v>70.721365937041909</v>
      </c>
      <c r="I1157" s="1">
        <f t="shared" si="1304"/>
        <v>41.538225456930554</v>
      </c>
      <c r="J1157" s="1">
        <f t="shared" si="1304"/>
        <v>24.458002711782086</v>
      </c>
      <c r="K1157" s="1">
        <f t="shared" si="1304"/>
        <v>24.569270449876473</v>
      </c>
      <c r="L1157" s="1">
        <f t="shared" ref="L1157" si="1305">SUM(L1162:L1179)</f>
        <v>19.590870591812216</v>
      </c>
      <c r="N1157" s="1"/>
    </row>
    <row r="1158" spans="2:14" x14ac:dyDescent="0.35">
      <c r="B1158" s="5" t="str">
        <f>B1157</f>
        <v>SPS1</v>
      </c>
      <c r="C1158" s="5" t="str">
        <f t="shared" si="1299"/>
        <v>CH</v>
      </c>
      <c r="D1158" t="s">
        <v>1258</v>
      </c>
      <c r="E1158" t="str">
        <f>E1157</f>
        <v>PJ/yr.</v>
      </c>
      <c r="F1158" s="1">
        <f t="shared" ref="F1158:J1158" si="1306">IF(F1157-F1159&lt;0,0,F1157-F1159)</f>
        <v>74.062091539776475</v>
      </c>
      <c r="G1158" s="1">
        <f t="shared" si="1306"/>
        <v>68.760976733131983</v>
      </c>
      <c r="H1158" s="1">
        <f t="shared" si="1306"/>
        <v>66.850053706127454</v>
      </c>
      <c r="I1158" s="1">
        <f t="shared" si="1306"/>
        <v>39.263592253829515</v>
      </c>
      <c r="J1158" s="1">
        <f t="shared" si="1306"/>
        <v>23.118308063864763</v>
      </c>
      <c r="K1158" s="1">
        <f>IF(K1157-K1159&lt;0,0,K1157-K1159)</f>
        <v>23.223877115810438</v>
      </c>
      <c r="L1158" s="1">
        <f>IF(L1157-L1159&lt;0,0,L1157-L1159)</f>
        <v>18.518018332896251</v>
      </c>
      <c r="N1158" s="1"/>
    </row>
    <row r="1159" spans="2:14" x14ac:dyDescent="0.35">
      <c r="B1159" s="5" t="str">
        <f t="shared" ref="B1159:B1161" si="1307">B1158</f>
        <v>SPS1</v>
      </c>
      <c r="C1159" s="5" t="str">
        <f t="shared" si="1299"/>
        <v>CH</v>
      </c>
      <c r="D1159" t="s">
        <v>1259</v>
      </c>
      <c r="E1159" t="str">
        <f>E1158</f>
        <v>PJ/yr.</v>
      </c>
      <c r="F1159" s="1">
        <f>SUM(F1160:F1161)</f>
        <v>4.2889692284420864</v>
      </c>
      <c r="G1159" s="1">
        <f t="shared" ref="G1159" si="1308">SUM(G1160:G1161)</f>
        <v>3.9819887027737462</v>
      </c>
      <c r="H1159" s="1">
        <f t="shared" ref="H1159" si="1309">SUM(H1160:H1161)</f>
        <v>3.871312230914453</v>
      </c>
      <c r="I1159" s="1">
        <f t="shared" ref="I1159" si="1310">SUM(I1160:I1161)</f>
        <v>2.2746332031010361</v>
      </c>
      <c r="J1159" s="1">
        <f t="shared" ref="J1159" si="1311">SUM(J1160:J1161)</f>
        <v>1.339694647917324</v>
      </c>
      <c r="K1159" s="1">
        <f t="shared" ref="K1159:L1159" si="1312">SUM(K1160:K1161)</f>
        <v>1.3453933340660358</v>
      </c>
      <c r="L1159" s="1">
        <f t="shared" si="1312"/>
        <v>1.0728522589159648</v>
      </c>
      <c r="N1159" s="1"/>
    </row>
    <row r="1160" spans="2:14" x14ac:dyDescent="0.35">
      <c r="B1160" s="5" t="str">
        <f t="shared" si="1307"/>
        <v>SPS1</v>
      </c>
      <c r="C1160" s="5" t="str">
        <f t="shared" si="1299"/>
        <v>CH</v>
      </c>
      <c r="D1160" t="s">
        <v>1260</v>
      </c>
      <c r="E1160" t="str">
        <f>E1159</f>
        <v>PJ/yr.</v>
      </c>
      <c r="F1160" s="1">
        <f>[1]Transport!B$25/SUM([1]Transport!B$21,[1]Transport!B$25)*F1157*(F$35+F$600)/(F$35+F$600+F$39)</f>
        <v>4.2889692284420864</v>
      </c>
      <c r="G1160" s="1">
        <f>[1]Transport!C$25/SUM([1]Transport!C$21,[1]Transport!C$25)*G1157*(G$35+G$600)/(G$35+G$600+G$39)</f>
        <v>3.9819887027737462</v>
      </c>
      <c r="H1160" s="1">
        <f>[1]Transport!D$25/SUM([1]Transport!D$21,[1]Transport!D$25)*H1157*(H$35+H$600)/(H$35+H$600+H$39)</f>
        <v>3.871312230914453</v>
      </c>
      <c r="I1160" s="1">
        <f>[1]Transport!E$25/SUM([1]Transport!E$21,[1]Transport!E$25)*I1157*(I$35+I$600)/(I$35+I$600+I$39)</f>
        <v>2.2746332031010361</v>
      </c>
      <c r="J1160" s="1">
        <f>[2]Transport!F$25/SUM([2]Transport!F$21,[2]Transport!F$25)*J1157*(J$35+J$600)/(J$35+J$600+J$39)</f>
        <v>1.339694647917324</v>
      </c>
      <c r="K1160" s="1">
        <f>[2]Transport!G$25/SUM([2]Transport!G$21,[2]Transport!G$25)*K1157*(K$35+K$600)/(K$35+K$600+K$39)</f>
        <v>1.3453933340660358</v>
      </c>
      <c r="L1160" s="1">
        <f>[2]Transport!H$25/SUM([2]Transport!H$21,[2]Transport!H$25)*L1157*(L$35+L$600)/(L$35+L$600+L$39)</f>
        <v>1.0728522589159648</v>
      </c>
      <c r="N1160" s="1"/>
    </row>
    <row r="1161" spans="2:14" x14ac:dyDescent="0.35">
      <c r="B1161" s="5" t="str">
        <f t="shared" si="1307"/>
        <v>SPS1</v>
      </c>
      <c r="C1161" s="5" t="str">
        <f t="shared" si="1299"/>
        <v>CH</v>
      </c>
      <c r="D1161" t="s">
        <v>1261</v>
      </c>
      <c r="E1161" t="str">
        <f>E1160</f>
        <v>PJ/yr.</v>
      </c>
      <c r="F1161" s="1">
        <f>(F$39+F$719)/([1]Transport!B$21+[1]Transport!B$25)*F1157</f>
        <v>0</v>
      </c>
      <c r="G1161" s="1">
        <f>(G$39+G$719)/([1]Transport!C$21+[1]Transport!C$25)*G1157</f>
        <v>0</v>
      </c>
      <c r="H1161" s="1">
        <f>(H$39+H$719)/([1]Transport!D$21+[1]Transport!D$25)*H1157</f>
        <v>0</v>
      </c>
      <c r="I1161" s="1">
        <f>(I$39+I$719)/([1]Transport!E$21+[1]Transport!E$25)*I1157</f>
        <v>0</v>
      </c>
      <c r="J1161" s="1">
        <f>(J$39+J$719)/([2]Transport!F$21+[2]Transport!F$25)*J1157</f>
        <v>0</v>
      </c>
      <c r="K1161" s="1">
        <f>(K$39+K$719)/([2]Transport!G$21+[2]Transport!G$25)*K1157</f>
        <v>0</v>
      </c>
      <c r="L1161" s="1">
        <f>(L$39+L$719)/([2]Transport!H$21+[2]Transport!H$25)*L1157</f>
        <v>0</v>
      </c>
      <c r="N1161" s="1"/>
    </row>
    <row r="1162" spans="2:14" x14ac:dyDescent="0.35">
      <c r="B1162" s="5" t="str">
        <f>B1157</f>
        <v>SPS1</v>
      </c>
      <c r="C1162" s="5" t="str">
        <f>C1157</f>
        <v>CH</v>
      </c>
      <c r="D1162" t="s">
        <v>1262</v>
      </c>
      <c r="E1162" t="s">
        <v>8</v>
      </c>
      <c r="F1162" s="1" cm="1">
        <f t="array" ref="F1162">SUMPRODUCT(("T_C-HYBGSLEXT"=[1]OUT_TransportEnergyCons!$A$3:$A$1000)*1,("Var_Fin"=[1]OUT_TransportEnergyCons!$B$3:$B$1000)*1,ISNUMBER(SEARCH("GSL",[1]OUT_TransportEnergyCons!$C$3:$C$1000))*1,[1]OUT_TransportEnergyCons!D$3:D$1000)</f>
        <v>1.2540572176050819</v>
      </c>
      <c r="G1162" s="1" cm="1">
        <f t="array" ref="G1162">SUMPRODUCT(("T_C-HYBGSLEXT"=[1]OUT_TransportEnergyCons!$A$3:$A$1000)*1,("Var_Fin"=[1]OUT_TransportEnergyCons!$B$3:$B$1000)*1,ISNUMBER(SEARCH("GSL",[1]OUT_TransportEnergyCons!$C$3:$C$1000))*1,[1]OUT_TransportEnergyCons!E$3:E$1000)</f>
        <v>1.2428792058405518</v>
      </c>
      <c r="H1162" s="1" cm="1">
        <f t="array" ref="H1162">SUMPRODUCT(("T_C-HYBGSLEXT"=[1]OUT_TransportEnergyCons!$A$3:$A$1000)*1,("Var_Fin"=[1]OUT_TransportEnergyCons!$B$3:$B$1000)*1,ISNUMBER(SEARCH("GSL",[1]OUT_TransportEnergyCons!$C$3:$C$1000))*1,[1]OUT_TransportEnergyCons!F$3:F$1000)</f>
        <v>0.92518436169114793</v>
      </c>
      <c r="I1162" s="1" cm="1">
        <f t="array" ref="I1162">SUMPRODUCT(("T_C-HYBGSLEXT"=[1]OUT_TransportEnergyCons!$A$3:$A$1000)*1,("Var_Fin"=[1]OUT_TransportEnergyCons!$B$3:$B$1000)*1,ISNUMBER(SEARCH("GSL",[1]OUT_TransportEnergyCons!$C$3:$C$1000))*1,[1]OUT_TransportEnergyCons!G$3:G$1000)</f>
        <v>0.43896555657222525</v>
      </c>
      <c r="J1162" s="1" cm="1">
        <f t="array" ref="J1162">SUMPRODUCT(("T_C-HYBGSLEXT"=[2]OUT_TransportEnergyCons!$A$3:$A$1000)*1,("Var_Fin"=[2]OUT_TransportEnergyCons!$B$3:$B$1000)*1,ISNUMBER(SEARCH("GSL",[2]OUT_TransportEnergyCons!$C$3:$C$1000))*1,[2]OUT_TransportEnergyCons!H$3:H$1000)</f>
        <v>0</v>
      </c>
      <c r="K1162" s="1" cm="1">
        <f t="array" ref="K1162">SUMPRODUCT(("T_C-HYBGSLEXT"=[2]OUT_TransportEnergyCons!$A$3:$A$1000)*1,("Var_Fin"=[2]OUT_TransportEnergyCons!$B$3:$B$1000)*1,ISNUMBER(SEARCH("GSL",[2]OUT_TransportEnergyCons!$C$3:$C$1000))*1,[2]OUT_TransportEnergyCons!I$3:I$1000)</f>
        <v>0</v>
      </c>
      <c r="L1162" s="1" cm="1">
        <f t="array" ref="L1162">SUMPRODUCT(("T_C-HYBGSLEXT"=[2]OUT_TransportEnergyCons!$A$3:$A$1000)*1,("Var_Fin"=[2]OUT_TransportEnergyCons!$B$3:$B$1000)*1,ISNUMBER(SEARCH("GSL",[2]OUT_TransportEnergyCons!$C$3:$C$1000))*1,[2]OUT_TransportEnergyCons!J$3:J$1000)</f>
        <v>0</v>
      </c>
      <c r="N1162" s="1"/>
    </row>
    <row r="1163" spans="2:14" x14ac:dyDescent="0.35">
      <c r="B1163" s="5" t="str">
        <f t="shared" si="1298"/>
        <v>SPS1</v>
      </c>
      <c r="C1163" s="5" t="str">
        <f t="shared" si="1299"/>
        <v>CH</v>
      </c>
      <c r="D1163" t="s">
        <v>1263</v>
      </c>
      <c r="E1163" t="s">
        <v>8</v>
      </c>
      <c r="F1163" s="1" cm="1">
        <f t="array" ref="F1163">SUMPRODUCT(("T_C-HY-GSL-S1"=[1]OUT_TransportEnergyCons!$A$3:$A$1000)*1,("Var_Fin"=[1]OUT_TransportEnergyCons!$B$3:$B$1000)*1,ISNUMBER(SEARCH("GSL",[1]OUT_TransportEnergyCons!$C$3:$C$1000))*1,[1]OUT_TransportEnergyCons!D$3:D$1000)</f>
        <v>4.6457602887153629E-2</v>
      </c>
      <c r="G1163" s="1" cm="1">
        <f t="array" ref="G1163">SUMPRODUCT(("T_C-HY-GSL-S1"=[1]OUT_TransportEnergyCons!$A$3:$A$1000)*1,("Var_Fin"=[1]OUT_TransportEnergyCons!$B$3:$B$1000)*1,ISNUMBER(SEARCH("GSL",[1]OUT_TransportEnergyCons!$C$3:$C$1000))*1,[1]OUT_TransportEnergyCons!E$3:E$1000)</f>
        <v>5.337415439577594E-2</v>
      </c>
      <c r="H1163" s="1" cm="1">
        <f t="array" ref="H1163">SUMPRODUCT(("T_C-HY-GSL-S1"=[1]OUT_TransportEnergyCons!$A$3:$A$1000)*1,("Var_Fin"=[1]OUT_TransportEnergyCons!$B$3:$B$1000)*1,ISNUMBER(SEARCH("GSL",[1]OUT_TransportEnergyCons!$C$3:$C$1000))*1,[1]OUT_TransportEnergyCons!F$3:F$1000)</f>
        <v>3.721094244327338E-2</v>
      </c>
      <c r="I1163" s="1" cm="1">
        <f t="array" ref="I1163">SUMPRODUCT(("T_C-HY-GSL-S1"=[1]OUT_TransportEnergyCons!$A$3:$A$1000)*1,("Var_Fin"=[1]OUT_TransportEnergyCons!$B$3:$B$1000)*1,ISNUMBER(SEARCH("GSL",[1]OUT_TransportEnergyCons!$C$3:$C$1000))*1,[1]OUT_TransportEnergyCons!G$3:G$1000)</f>
        <v>2.8768816133097477E-2</v>
      </c>
      <c r="J1163" s="1" cm="1">
        <f t="array" ref="J1163">SUMPRODUCT(("T_C-HY-GSL-S1"=[2]OUT_TransportEnergyCons!$A$3:$A$1000)*1,("Var_Fin"=[2]OUT_TransportEnergyCons!$B$3:$B$1000)*1,ISNUMBER(SEARCH("GSL",[2]OUT_TransportEnergyCons!$C$3:$C$1000))*1,[2]OUT_TransportEnergyCons!H$3:H$1000)</f>
        <v>0.94023535690430271</v>
      </c>
      <c r="K1163" s="1" cm="1">
        <f t="array" ref="K1163">SUMPRODUCT(("T_C-HY-GSL-S1"=[2]OUT_TransportEnergyCons!$A$3:$A$1000)*1,("Var_Fin"=[2]OUT_TransportEnergyCons!$B$3:$B$1000)*1,ISNUMBER(SEARCH("GSL",[2]OUT_TransportEnergyCons!$C$3:$C$1000))*1,[2]OUT_TransportEnergyCons!I$3:I$1000)</f>
        <v>1.6451286112439916</v>
      </c>
      <c r="L1163" s="1" cm="1">
        <f t="array" ref="L1163">SUMPRODUCT(("T_C-HY-GSL-S1"=[2]OUT_TransportEnergyCons!$A$3:$A$1000)*1,("Var_Fin"=[2]OUT_TransportEnergyCons!$B$3:$B$1000)*1,ISNUMBER(SEARCH("GSL",[2]OUT_TransportEnergyCons!$C$3:$C$1000))*1,[2]OUT_TransportEnergyCons!J$3:J$1000)</f>
        <v>0.67629471516320316</v>
      </c>
      <c r="N1163" s="1"/>
    </row>
    <row r="1164" spans="2:14" x14ac:dyDescent="0.35">
      <c r="B1164" s="5" t="str">
        <f t="shared" si="1298"/>
        <v>SPS1</v>
      </c>
      <c r="C1164" s="5" t="str">
        <f t="shared" si="1299"/>
        <v>CH</v>
      </c>
      <c r="D1164" t="s">
        <v>1264</v>
      </c>
      <c r="E1164" t="s">
        <v>8</v>
      </c>
      <c r="F1164" s="1" cm="1">
        <f t="array" ref="F1164">SUMPRODUCT(("T_C-HY-GSL-S2"=[1]OUT_TransportEnergyCons!$A$3:$A$1000)*1,("Var_Fin"=[1]OUT_TransportEnergyCons!$B$3:$B$1000)*1,ISNUMBER(SEARCH("GSL",[1]OUT_TransportEnergyCons!$C$3:$C$1000))*1,[1]OUT_TransportEnergyCons!D$3:D$1000)</f>
        <v>0.13645882422107061</v>
      </c>
      <c r="G1164" s="1" cm="1">
        <f t="array" ref="G1164">SUMPRODUCT(("T_C-HY-GSL-S2"=[1]OUT_TransportEnergyCons!$A$3:$A$1000)*1,("Var_Fin"=[1]OUT_TransportEnergyCons!$B$3:$B$1000)*1,ISNUMBER(SEARCH("GSL",[1]OUT_TransportEnergyCons!$C$3:$C$1000))*1,[1]OUT_TransportEnergyCons!E$3:E$1000)</f>
        <v>0.20504931456361494</v>
      </c>
      <c r="H1164" s="1" cm="1">
        <f t="array" ref="H1164">SUMPRODUCT(("T_C-HY-GSL-S2"=[1]OUT_TransportEnergyCons!$A$3:$A$1000)*1,("Var_Fin"=[1]OUT_TransportEnergyCons!$B$3:$B$1000)*1,ISNUMBER(SEARCH("GSL",[1]OUT_TransportEnergyCons!$C$3:$C$1000))*1,[1]OUT_TransportEnergyCons!F$3:F$1000)</f>
        <v>0.74355762633183964</v>
      </c>
      <c r="I1164" s="1" cm="1">
        <f t="array" ref="I1164">SUMPRODUCT(("T_C-HY-GSL-S2"=[1]OUT_TransportEnergyCons!$A$3:$A$1000)*1,("Var_Fin"=[1]OUT_TransportEnergyCons!$B$3:$B$1000)*1,ISNUMBER(SEARCH("GSL",[1]OUT_TransportEnergyCons!$C$3:$C$1000))*1,[1]OUT_TransportEnergyCons!G$3:G$1000)</f>
        <v>0.64371817330538417</v>
      </c>
      <c r="J1164" s="1" cm="1">
        <f t="array" ref="J1164">SUMPRODUCT(("T_C-HY-GSL-S2"=[2]OUT_TransportEnergyCons!$A$3:$A$1000)*1,("Var_Fin"=[2]OUT_TransportEnergyCons!$B$3:$B$1000)*1,ISNUMBER(SEARCH("GSL",[2]OUT_TransportEnergyCons!$C$3:$C$1000))*1,[2]OUT_TransportEnergyCons!H$3:H$1000)</f>
        <v>0.82575281176871629</v>
      </c>
      <c r="K1164" s="1" cm="1">
        <f t="array" ref="K1164">SUMPRODUCT(("T_C-HY-GSL-S2"=[2]OUT_TransportEnergyCons!$A$3:$A$1000)*1,("Var_Fin"=[2]OUT_TransportEnergyCons!$B$3:$B$1000)*1,ISNUMBER(SEARCH("GSL",[2]OUT_TransportEnergyCons!$C$3:$C$1000))*1,[2]OUT_TransportEnergyCons!I$3:I$1000)</f>
        <v>0.44704551951636068</v>
      </c>
      <c r="L1164" s="1" cm="1">
        <f t="array" ref="L1164">SUMPRODUCT(("T_C-HY-GSL-S2"=[2]OUT_TransportEnergyCons!$A$3:$A$1000)*1,("Var_Fin"=[2]OUT_TransportEnergyCons!$B$3:$B$1000)*1,ISNUMBER(SEARCH("GSL",[2]OUT_TransportEnergyCons!$C$3:$C$1000))*1,[2]OUT_TransportEnergyCons!J$3:J$1000)</f>
        <v>1.8699232037875628</v>
      </c>
      <c r="N1164" s="1"/>
    </row>
    <row r="1165" spans="2:14" x14ac:dyDescent="0.35">
      <c r="B1165" s="5" t="str">
        <f t="shared" si="1298"/>
        <v>SPS1</v>
      </c>
      <c r="C1165" s="5" t="str">
        <f t="shared" si="1299"/>
        <v>CH</v>
      </c>
      <c r="D1165" t="s">
        <v>1265</v>
      </c>
      <c r="E1165" t="s">
        <v>8</v>
      </c>
      <c r="F1165" s="1" cm="1">
        <f t="array" ref="F1165">SUMPRODUCT(("T_C-HY-GSL-S3"=[1]OUT_TransportEnergyCons!$A$3:$A$1000)*1,("Var_Fin"=[1]OUT_TransportEnergyCons!$B$3:$B$1000)*1,ISNUMBER(SEARCH("GSL",[1]OUT_TransportEnergyCons!$C$3:$C$1000))*1,[1]OUT_TransportEnergyCons!D$3:D$1000)</f>
        <v>0.10189929652311322</v>
      </c>
      <c r="G1165" s="1" cm="1">
        <f t="array" ref="G1165">SUMPRODUCT(("T_C-HY-GSL-S3"=[1]OUT_TransportEnergyCons!$A$3:$A$1000)*1,("Var_Fin"=[1]OUT_TransportEnergyCons!$B$3:$B$1000)*1,ISNUMBER(SEARCH("GSL",[1]OUT_TransportEnergyCons!$C$3:$C$1000))*1,[1]OUT_TransportEnergyCons!E$3:E$1000)</f>
        <v>1.2390935637263356</v>
      </c>
      <c r="H1165" s="1" cm="1">
        <f t="array" ref="H1165">SUMPRODUCT(("T_C-HY-GSL-S3"=[1]OUT_TransportEnergyCons!$A$3:$A$1000)*1,("Var_Fin"=[1]OUT_TransportEnergyCons!$B$3:$B$1000)*1,ISNUMBER(SEARCH("GSL",[1]OUT_TransportEnergyCons!$C$3:$C$1000))*1,[1]OUT_TransportEnergyCons!F$3:F$1000)</f>
        <v>1.1718013449375044</v>
      </c>
      <c r="I1165" s="1" cm="1">
        <f t="array" ref="I1165">SUMPRODUCT(("T_C-HY-GSL-S3"=[1]OUT_TransportEnergyCons!$A$3:$A$1000)*1,("Var_Fin"=[1]OUT_TransportEnergyCons!$B$3:$B$1000)*1,ISNUMBER(SEARCH("GSL",[1]OUT_TransportEnergyCons!$C$3:$C$1000))*1,[1]OUT_TransportEnergyCons!G$3:G$1000)</f>
        <v>0.93709773276537323</v>
      </c>
      <c r="J1165" s="1" cm="1">
        <f t="array" ref="J1165">SUMPRODUCT(("T_C-HY-GSL-S3"=[2]OUT_TransportEnergyCons!$A$3:$A$1000)*1,("Var_Fin"=[2]OUT_TransportEnergyCons!$B$3:$B$1000)*1,ISNUMBER(SEARCH("GSL",[2]OUT_TransportEnergyCons!$C$3:$C$1000))*1,[2]OUT_TransportEnergyCons!H$3:H$1000)</f>
        <v>0.30183715683571477</v>
      </c>
      <c r="K1165" s="1" cm="1">
        <f t="array" ref="K1165">SUMPRODUCT(("T_C-HY-GSL-S3"=[2]OUT_TransportEnergyCons!$A$3:$A$1000)*1,("Var_Fin"=[2]OUT_TransportEnergyCons!$B$3:$B$1000)*1,ISNUMBER(SEARCH("GSL",[2]OUT_TransportEnergyCons!$C$3:$C$1000))*1,[2]OUT_TransportEnergyCons!I$3:I$1000)</f>
        <v>1.3067402688053942E-3</v>
      </c>
      <c r="L1165" s="1" cm="1">
        <f t="array" ref="L1165">SUMPRODUCT(("T_C-HY-GSL-S3"=[2]OUT_TransportEnergyCons!$A$3:$A$1000)*1,("Var_Fin"=[2]OUT_TransportEnergyCons!$B$3:$B$1000)*1,ISNUMBER(SEARCH("GSL",[2]OUT_TransportEnergyCons!$C$3:$C$1000))*1,[2]OUT_TransportEnergyCons!J$3:J$1000)</f>
        <v>7.9025224150603487E-4</v>
      </c>
      <c r="N1165" s="1"/>
    </row>
    <row r="1166" spans="2:14" x14ac:dyDescent="0.35">
      <c r="B1166" s="5" t="str">
        <f t="shared" si="1298"/>
        <v>SPS1</v>
      </c>
      <c r="C1166" s="5" t="str">
        <f t="shared" si="1299"/>
        <v>CH</v>
      </c>
      <c r="D1166" t="s">
        <v>1266</v>
      </c>
      <c r="E1166" t="s">
        <v>8</v>
      </c>
      <c r="F1166" s="1" cm="1">
        <f t="array" ref="F1166">SUMPRODUCT(("T_C-HY-GSL-S4"=[1]OUT_TransportEnergyCons!$A$3:$A$1000)*1,("Var_Fin"=[1]OUT_TransportEnergyCons!$B$3:$B$1000)*1,ISNUMBER(SEARCH("GSL",[1]OUT_TransportEnergyCons!$C$3:$C$1000))*1,[1]OUT_TransportEnergyCons!D$3:D$1000)</f>
        <v>9.0752397354446956E-2</v>
      </c>
      <c r="G1166" s="1" cm="1">
        <f t="array" ref="G1166">SUMPRODUCT(("T_C-HY-GSL-S4"=[1]OUT_TransportEnergyCons!$A$3:$A$1000)*1,("Var_Fin"=[1]OUT_TransportEnergyCons!$B$3:$B$1000)*1,ISNUMBER(SEARCH("GSL",[1]OUT_TransportEnergyCons!$C$3:$C$1000))*1,[1]OUT_TransportEnergyCons!E$3:E$1000)</f>
        <v>0.13513881224056962</v>
      </c>
      <c r="H1166" s="1" cm="1">
        <f t="array" ref="H1166">SUMPRODUCT(("T_C-HY-GSL-S4"=[1]OUT_TransportEnergyCons!$A$3:$A$1000)*1,("Var_Fin"=[1]OUT_TransportEnergyCons!$B$3:$B$1000)*1,ISNUMBER(SEARCH("GSL",[1]OUT_TransportEnergyCons!$C$3:$C$1000))*1,[1]OUT_TransportEnergyCons!F$3:F$1000)</f>
        <v>0.12748547794457218</v>
      </c>
      <c r="I1166" s="1" cm="1">
        <f t="array" ref="I1166">SUMPRODUCT(("T_C-HY-GSL-S4"=[1]OUT_TransportEnergyCons!$A$3:$A$1000)*1,("Var_Fin"=[1]OUT_TransportEnergyCons!$B$3:$B$1000)*1,ISNUMBER(SEARCH("GSL",[1]OUT_TransportEnergyCons!$C$3:$C$1000))*1,[1]OUT_TransportEnergyCons!G$3:G$1000)</f>
        <v>0.10767943777409372</v>
      </c>
      <c r="J1166" s="1" cm="1">
        <f t="array" ref="J1166">SUMPRODUCT(("T_C-HY-GSL-S4"=[2]OUT_TransportEnergyCons!$A$3:$A$1000)*1,("Var_Fin"=[2]OUT_TransportEnergyCons!$B$3:$B$1000)*1,ISNUMBER(SEARCH("GSL",[2]OUT_TransportEnergyCons!$C$3:$C$1000))*1,[2]OUT_TransportEnergyCons!H$3:H$1000)</f>
        <v>1.6743904544247536E-2</v>
      </c>
      <c r="K1166" s="1" cm="1">
        <f t="array" ref="K1166">SUMPRODUCT(("T_C-HY-GSL-S4"=[2]OUT_TransportEnergyCons!$A$3:$A$1000)*1,("Var_Fin"=[2]OUT_TransportEnergyCons!$B$3:$B$1000)*1,ISNUMBER(SEARCH("GSL",[2]OUT_TransportEnergyCons!$C$3:$C$1000))*1,[2]OUT_TransportEnergyCons!I$3:I$1000)</f>
        <v>1.726950104808628E-3</v>
      </c>
      <c r="L1166" s="1" cm="1">
        <f t="array" ref="L1166">SUMPRODUCT(("T_C-HY-GSL-S4"=[2]OUT_TransportEnergyCons!$A$3:$A$1000)*1,("Var_Fin"=[2]OUT_TransportEnergyCons!$B$3:$B$1000)*1,ISNUMBER(SEARCH("GSL",[2]OUT_TransportEnergyCons!$C$3:$C$1000))*1,[2]OUT_TransportEnergyCons!J$3:J$1000)</f>
        <v>2.4357332541771024E-3</v>
      </c>
      <c r="N1166" s="1"/>
    </row>
    <row r="1167" spans="2:14" x14ac:dyDescent="0.35">
      <c r="B1167" s="5" t="str">
        <f t="shared" si="1298"/>
        <v>SPS1</v>
      </c>
      <c r="C1167" s="5" t="str">
        <f t="shared" si="1299"/>
        <v>CH</v>
      </c>
      <c r="D1167" t="s">
        <v>1267</v>
      </c>
      <c r="E1167" t="s">
        <v>8</v>
      </c>
      <c r="F1167" s="1" cm="1">
        <f t="array" ref="F1167">SUMPRODUCT(("T_C-ICEGSLEXT"=[1]OUT_TransportEnergyCons!$A$3:$A$1000)*1,("Var_Fin"=[1]OUT_TransportEnergyCons!$B$3:$B$1000)*1,ISNUMBER(SEARCH("GSL",[1]OUT_TransportEnergyCons!$C$3:$C$1000))*1,[1]OUT_TransportEnergyCons!D$3:D$1000)</f>
        <v>63.987645228615996</v>
      </c>
      <c r="G1167" s="1" cm="1">
        <f t="array" ref="G1167">SUMPRODUCT(("T_C-ICEGSLEXT"=[1]OUT_TransportEnergyCons!$A$3:$A$1000)*1,("Var_Fin"=[1]OUT_TransportEnergyCons!$B$3:$B$1000)*1,ISNUMBER(SEARCH("GSL",[1]OUT_TransportEnergyCons!$C$3:$C$1000))*1,[1]OUT_TransportEnergyCons!E$3:E$1000)</f>
        <v>51.666576415714154</v>
      </c>
      <c r="H1167" s="1" cm="1">
        <f t="array" ref="H1167">SUMPRODUCT(("T_C-ICEGSLEXT"=[1]OUT_TransportEnergyCons!$A$3:$A$1000)*1,("Var_Fin"=[1]OUT_TransportEnergyCons!$B$3:$B$1000)*1,ISNUMBER(SEARCH("GSL",[1]OUT_TransportEnergyCons!$C$3:$C$1000))*1,[1]OUT_TransportEnergyCons!F$3:F$1000)</f>
        <v>41.931846772595065</v>
      </c>
      <c r="I1167" s="1" cm="1">
        <f t="array" ref="I1167">SUMPRODUCT(("T_C-ICEGSLEXT"=[1]OUT_TransportEnergyCons!$A$3:$A$1000)*1,("Var_Fin"=[1]OUT_TransportEnergyCons!$B$3:$B$1000)*1,ISNUMBER(SEARCH("GSL",[1]OUT_TransportEnergyCons!$C$3:$C$1000))*1,[1]OUT_TransportEnergyCons!G$3:G$1000)</f>
        <v>11.92298118021338</v>
      </c>
      <c r="J1167" s="1" cm="1">
        <f t="array" ref="J1167">SUMPRODUCT(("T_C-ICEGSLEXT"=[2]OUT_TransportEnergyCons!$A$3:$A$1000)*1,("Var_Fin"=[2]OUT_TransportEnergyCons!$B$3:$B$1000)*1,ISNUMBER(SEARCH("GSL",[2]OUT_TransportEnergyCons!$C$3:$C$1000))*1,[2]OUT_TransportEnergyCons!H$3:H$1000)</f>
        <v>0</v>
      </c>
      <c r="K1167" s="1" cm="1">
        <f t="array" ref="K1167">SUMPRODUCT(("T_C-ICEGSLEXT"=[2]OUT_TransportEnergyCons!$A$3:$A$1000)*1,("Var_Fin"=[2]OUT_TransportEnergyCons!$B$3:$B$1000)*1,ISNUMBER(SEARCH("GSL",[2]OUT_TransportEnergyCons!$C$3:$C$1000))*1,[2]OUT_TransportEnergyCons!I$3:I$1000)</f>
        <v>0</v>
      </c>
      <c r="L1167" s="1" cm="1">
        <f t="array" ref="L1167">SUMPRODUCT(("T_C-ICEGSLEXT"=[2]OUT_TransportEnergyCons!$A$3:$A$1000)*1,("Var_Fin"=[2]OUT_TransportEnergyCons!$B$3:$B$1000)*1,ISNUMBER(SEARCH("GSL",[2]OUT_TransportEnergyCons!$C$3:$C$1000))*1,[2]OUT_TransportEnergyCons!J$3:J$1000)</f>
        <v>0</v>
      </c>
      <c r="N1167" s="1"/>
    </row>
    <row r="1168" spans="2:14" x14ac:dyDescent="0.35">
      <c r="B1168" s="5" t="str">
        <f t="shared" si="1298"/>
        <v>SPS1</v>
      </c>
      <c r="C1168" s="5" t="str">
        <f t="shared" si="1299"/>
        <v>CH</v>
      </c>
      <c r="D1168" t="s">
        <v>1268</v>
      </c>
      <c r="E1168" t="s">
        <v>8</v>
      </c>
      <c r="F1168" s="1" cm="1">
        <f t="array" ref="F1168">SUMPRODUCT(("T_C-ICE-GSL-S1"=[1]OUT_TransportEnergyCons!$A$3:$A$1000)*1,("Var_Fin"=[1]OUT_TransportEnergyCons!$B$3:$B$1000)*1,ISNUMBER(SEARCH("GSL",[1]OUT_TransportEnergyCons!$C$3:$C$1000))*1,[1]OUT_TransportEnergyCons!D$3:D$1000)</f>
        <v>0.49519684636195571</v>
      </c>
      <c r="G1168" s="1" cm="1">
        <f t="array" ref="G1168">SUMPRODUCT(("T_C-ICE-GSL-S1"=[1]OUT_TransportEnergyCons!$A$3:$A$1000)*1,("Var_Fin"=[1]OUT_TransportEnergyCons!$B$3:$B$1000)*1,ISNUMBER(SEARCH("GSL",[1]OUT_TransportEnergyCons!$C$3:$C$1000))*1,[1]OUT_TransportEnergyCons!E$3:E$1000)</f>
        <v>0.55053886190529056</v>
      </c>
      <c r="H1168" s="1" cm="1">
        <f t="array" ref="H1168">SUMPRODUCT(("T_C-ICE-GSL-S1"=[1]OUT_TransportEnergyCons!$A$3:$A$1000)*1,("Var_Fin"=[1]OUT_TransportEnergyCons!$B$3:$B$1000)*1,ISNUMBER(SEARCH("GSL",[1]OUT_TransportEnergyCons!$C$3:$C$1000))*1,[1]OUT_TransportEnergyCons!F$3:F$1000)</f>
        <v>1.3776724447970712</v>
      </c>
      <c r="I1168" s="1" cm="1">
        <f t="array" ref="I1168">SUMPRODUCT(("T_C-ICE-GSL-S1"=[1]OUT_TransportEnergyCons!$A$3:$A$1000)*1,("Var_Fin"=[1]OUT_TransportEnergyCons!$B$3:$B$1000)*1,ISNUMBER(SEARCH("GSL",[1]OUT_TransportEnergyCons!$C$3:$C$1000))*1,[1]OUT_TransportEnergyCons!G$3:G$1000)</f>
        <v>2.2155796213984935</v>
      </c>
      <c r="J1168" s="1" cm="1">
        <f t="array" ref="J1168">SUMPRODUCT(("T_C-ICE-GSL-S1"=[2]OUT_TransportEnergyCons!$A$3:$A$1000)*1,("Var_Fin"=[2]OUT_TransportEnergyCons!$B$3:$B$1000)*1,ISNUMBER(SEARCH("GSL",[2]OUT_TransportEnergyCons!$C$3:$C$1000))*1,[2]OUT_TransportEnergyCons!H$3:H$1000)</f>
        <v>1.3818763580585138</v>
      </c>
      <c r="K1168" s="1" cm="1">
        <f t="array" ref="K1168">SUMPRODUCT(("T_C-ICE-GSL-S1"=[2]OUT_TransportEnergyCons!$A$3:$A$1000)*1,("Var_Fin"=[2]OUT_TransportEnergyCons!$B$3:$B$1000)*1,ISNUMBER(SEARCH("GSL",[2]OUT_TransportEnergyCons!$C$3:$C$1000))*1,[2]OUT_TransportEnergyCons!I$3:I$1000)</f>
        <v>0.45445263736455338</v>
      </c>
      <c r="L1168" s="1" cm="1">
        <f t="array" ref="L1168">SUMPRODUCT(("T_C-ICE-GSL-S1"=[2]OUT_TransportEnergyCons!$A$3:$A$1000)*1,("Var_Fin"=[2]OUT_TransportEnergyCons!$B$3:$B$1000)*1,ISNUMBER(SEARCH("GSL",[2]OUT_TransportEnergyCons!$C$3:$C$1000))*1,[2]OUT_TransportEnergyCons!J$3:J$1000)</f>
        <v>4.8258273648659681E-4</v>
      </c>
      <c r="N1168" s="1"/>
    </row>
    <row r="1169" spans="2:18" x14ac:dyDescent="0.35">
      <c r="B1169" s="5" t="str">
        <f t="shared" si="1298"/>
        <v>SPS1</v>
      </c>
      <c r="C1169" s="5" t="str">
        <f t="shared" si="1299"/>
        <v>CH</v>
      </c>
      <c r="D1169" t="s">
        <v>1269</v>
      </c>
      <c r="E1169" t="s">
        <v>8</v>
      </c>
      <c r="F1169" s="1" cm="1">
        <f t="array" ref="F1169">SUMPRODUCT(("T_C-ICE-GSL-S2"=[1]OUT_TransportEnergyCons!$A$3:$A$1000)*1,("Var_Fin"=[1]OUT_TransportEnergyCons!$B$3:$B$1000)*1,ISNUMBER(SEARCH("GSL",[1]OUT_TransportEnergyCons!$C$3:$C$1000))*1,[1]OUT_TransportEnergyCons!D$3:D$1000)</f>
        <v>3.8850496028726145</v>
      </c>
      <c r="G1169" s="1" cm="1">
        <f t="array" ref="G1169">SUMPRODUCT(("T_C-ICE-GSL-S2"=[1]OUT_TransportEnergyCons!$A$3:$A$1000)*1,("Var_Fin"=[1]OUT_TransportEnergyCons!$B$3:$B$1000)*1,ISNUMBER(SEARCH("GSL",[1]OUT_TransportEnergyCons!$C$3:$C$1000))*1,[1]OUT_TransportEnergyCons!E$3:E$1000)</f>
        <v>5.3067602899405211</v>
      </c>
      <c r="H1169" s="1" cm="1">
        <f t="array" ref="H1169">SUMPRODUCT(("T_C-ICE-GSL-S2"=[1]OUT_TransportEnergyCons!$A$3:$A$1000)*1,("Var_Fin"=[1]OUT_TransportEnergyCons!$B$3:$B$1000)*1,ISNUMBER(SEARCH("GSL",[1]OUT_TransportEnergyCons!$C$3:$C$1000))*1,[1]OUT_TransportEnergyCons!F$3:F$1000)</f>
        <v>6.9288037608806778</v>
      </c>
      <c r="I1169" s="1" cm="1">
        <f t="array" ref="I1169">SUMPRODUCT(("T_C-ICE-GSL-S2"=[1]OUT_TransportEnergyCons!$A$3:$A$1000)*1,("Var_Fin"=[1]OUT_TransportEnergyCons!$B$3:$B$1000)*1,ISNUMBER(SEARCH("GSL",[1]OUT_TransportEnergyCons!$C$3:$C$1000))*1,[1]OUT_TransportEnergyCons!G$3:G$1000)</f>
        <v>5.5923315272388674</v>
      </c>
      <c r="J1169" s="1" cm="1">
        <f t="array" ref="J1169">SUMPRODUCT(("T_C-ICE-GSL-S2"=[2]OUT_TransportEnergyCons!$A$3:$A$1000)*1,("Var_Fin"=[2]OUT_TransportEnergyCons!$B$3:$B$1000)*1,ISNUMBER(SEARCH("GSL",[2]OUT_TransportEnergyCons!$C$3:$C$1000))*1,[2]OUT_TransportEnergyCons!H$3:H$1000)</f>
        <v>0.75380149308207434</v>
      </c>
      <c r="K1169" s="1" cm="1">
        <f t="array" ref="K1169">SUMPRODUCT(("T_C-ICE-GSL-S2"=[2]OUT_TransportEnergyCons!$A$3:$A$1000)*1,("Var_Fin"=[2]OUT_TransportEnergyCons!$B$3:$B$1000)*1,ISNUMBER(SEARCH("GSL",[2]OUT_TransportEnergyCons!$C$3:$C$1000))*1,[2]OUT_TransportEnergyCons!I$3:I$1000)</f>
        <v>8.3225075827000353E-2</v>
      </c>
      <c r="L1169" s="1" cm="1">
        <f t="array" ref="L1169">SUMPRODUCT(("T_C-ICE-GSL-S2"=[2]OUT_TransportEnergyCons!$A$3:$A$1000)*1,("Var_Fin"=[2]OUT_TransportEnergyCons!$B$3:$B$1000)*1,ISNUMBER(SEARCH("GSL",[2]OUT_TransportEnergyCons!$C$3:$C$1000))*1,[2]OUT_TransportEnergyCons!J$3:J$1000)</f>
        <v>1.0407224871203464E-3</v>
      </c>
      <c r="N1169" s="1"/>
    </row>
    <row r="1170" spans="2:18" x14ac:dyDescent="0.35">
      <c r="B1170" s="5" t="str">
        <f t="shared" si="1298"/>
        <v>SPS1</v>
      </c>
      <c r="C1170" s="5" t="str">
        <f t="shared" si="1299"/>
        <v>CH</v>
      </c>
      <c r="D1170" t="s">
        <v>1270</v>
      </c>
      <c r="E1170" t="s">
        <v>8</v>
      </c>
      <c r="F1170" s="1" cm="1">
        <f t="array" ref="F1170">SUMPRODUCT(("T_C-ICE-GSL-S3"=[1]OUT_TransportEnergyCons!$A$3:$A$1000)*1,("Var_Fin"=[1]OUT_TransportEnergyCons!$B$3:$B$1000)*1,ISNUMBER(SEARCH("GSL",[1]OUT_TransportEnergyCons!$C$3:$C$1000))*1,[1]OUT_TransportEnergyCons!D$3:D$1000)</f>
        <v>4.1170474334444584</v>
      </c>
      <c r="G1170" s="1" cm="1">
        <f t="array" ref="G1170">SUMPRODUCT(("T_C-ICE-GSL-S3"=[1]OUT_TransportEnergyCons!$A$3:$A$1000)*1,("Var_Fin"=[1]OUT_TransportEnergyCons!$B$3:$B$1000)*1,ISNUMBER(SEARCH("GSL",[1]OUT_TransportEnergyCons!$C$3:$C$1000))*1,[1]OUT_TransportEnergyCons!E$3:E$1000)</f>
        <v>5.7400776743374511</v>
      </c>
      <c r="H1170" s="1" cm="1">
        <f t="array" ref="H1170">SUMPRODUCT(("T_C-ICE-GSL-S3"=[1]OUT_TransportEnergyCons!$A$3:$A$1000)*1,("Var_Fin"=[1]OUT_TransportEnergyCons!$B$3:$B$1000)*1,ISNUMBER(SEARCH("GSL",[1]OUT_TransportEnergyCons!$C$3:$C$1000))*1,[1]OUT_TransportEnergyCons!F$3:F$1000)</f>
        <v>6.8154557656796779</v>
      </c>
      <c r="I1170" s="1" cm="1">
        <f t="array" ref="I1170">SUMPRODUCT(("T_C-ICE-GSL-S3"=[1]OUT_TransportEnergyCons!$A$3:$A$1000)*1,("Var_Fin"=[1]OUT_TransportEnergyCons!$B$3:$B$1000)*1,ISNUMBER(SEARCH("GSL",[1]OUT_TransportEnergyCons!$C$3:$C$1000))*1,[1]OUT_TransportEnergyCons!G$3:G$1000)</f>
        <v>5.5748919093266105</v>
      </c>
      <c r="J1170" s="1" cm="1">
        <f t="array" ref="J1170">SUMPRODUCT(("T_C-ICE-GSL-S3"=[2]OUT_TransportEnergyCons!$A$3:$A$1000)*1,("Var_Fin"=[2]OUT_TransportEnergyCons!$B$3:$B$1000)*1,ISNUMBER(SEARCH("GSL",[2]OUT_TransportEnergyCons!$C$3:$C$1000))*1,[2]OUT_TransportEnergyCons!H$3:H$1000)</f>
        <v>0.98645868962173255</v>
      </c>
      <c r="K1170" s="1" cm="1">
        <f t="array" ref="K1170">SUMPRODUCT(("T_C-ICE-GSL-S3"=[2]OUT_TransportEnergyCons!$A$3:$A$1000)*1,("Var_Fin"=[2]OUT_TransportEnergyCons!$B$3:$B$1000)*1,ISNUMBER(SEARCH("GSL",[2]OUT_TransportEnergyCons!$C$3:$C$1000))*1,[2]OUT_TransportEnergyCons!I$3:I$1000)</f>
        <v>0.10187276199940136</v>
      </c>
      <c r="L1170" s="1" cm="1">
        <f t="array" ref="L1170">SUMPRODUCT(("T_C-ICE-GSL-S3"=[2]OUT_TransportEnergyCons!$A$3:$A$1000)*1,("Var_Fin"=[2]OUT_TransportEnergyCons!$B$3:$B$1000)*1,ISNUMBER(SEARCH("GSL",[2]OUT_TransportEnergyCons!$C$3:$C$1000))*1,[2]OUT_TransportEnergyCons!J$3:J$1000)</f>
        <v>1.4456303749689698E-3</v>
      </c>
      <c r="N1170" s="1"/>
    </row>
    <row r="1171" spans="2:18" x14ac:dyDescent="0.35">
      <c r="B1171" s="5" t="str">
        <f t="shared" si="1298"/>
        <v>SPS1</v>
      </c>
      <c r="C1171" s="5" t="str">
        <f t="shared" si="1299"/>
        <v>CH</v>
      </c>
      <c r="D1171" t="s">
        <v>1271</v>
      </c>
      <c r="E1171" t="s">
        <v>8</v>
      </c>
      <c r="F1171" s="1" cm="1">
        <f t="array" ref="F1171">SUMPRODUCT(("T_C-ICE-GSL-S4"=[1]OUT_TransportEnergyCons!$A$3:$A$1000)*1,("Var_Fin"=[1]OUT_TransportEnergyCons!$B$3:$B$1000)*1,ISNUMBER(SEARCH("GSL",[1]OUT_TransportEnergyCons!$C$3:$C$1000))*1,[1]OUT_TransportEnergyCons!D$3:D$1000)</f>
        <v>3.8863903601131979</v>
      </c>
      <c r="G1171" s="1" cm="1">
        <f t="array" ref="G1171">SUMPRODUCT(("T_C-ICE-GSL-S4"=[1]OUT_TransportEnergyCons!$A$3:$A$1000)*1,("Var_Fin"=[1]OUT_TransportEnergyCons!$B$3:$B$1000)*1,ISNUMBER(SEARCH("GSL",[1]OUT_TransportEnergyCons!$C$3:$C$1000))*1,[1]OUT_TransportEnergyCons!E$3:E$1000)</f>
        <v>5.2543697508011382</v>
      </c>
      <c r="H1171" s="1" cm="1">
        <f t="array" ref="H1171">SUMPRODUCT(("T_C-ICE-GSL-S4"=[1]OUT_TransportEnergyCons!$A$3:$A$1000)*1,("Var_Fin"=[1]OUT_TransportEnergyCons!$B$3:$B$1000)*1,ISNUMBER(SEARCH("GSL",[1]OUT_TransportEnergyCons!$C$3:$C$1000))*1,[1]OUT_TransportEnergyCons!F$3:F$1000)</f>
        <v>8.5062612225570771</v>
      </c>
      <c r="I1171" s="1" cm="1">
        <f t="array" ref="I1171">SUMPRODUCT(("T_C-ICE-GSL-S4"=[1]OUT_TransportEnergyCons!$A$3:$A$1000)*1,("Var_Fin"=[1]OUT_TransportEnergyCons!$B$3:$B$1000)*1,ISNUMBER(SEARCH("GSL",[1]OUT_TransportEnergyCons!$C$3:$C$1000))*1,[1]OUT_TransportEnergyCons!G$3:G$1000)</f>
        <v>7.0300104110690667</v>
      </c>
      <c r="J1171" s="1" cm="1">
        <f t="array" ref="J1171">SUMPRODUCT(("T_C-ICE-GSL-S4"=[2]OUT_TransportEnergyCons!$A$3:$A$1000)*1,("Var_Fin"=[2]OUT_TransportEnergyCons!$B$3:$B$1000)*1,ISNUMBER(SEARCH("GSL",[2]OUT_TransportEnergyCons!$C$3:$C$1000))*1,[2]OUT_TransportEnergyCons!H$3:H$1000)</f>
        <v>13.212080749764494</v>
      </c>
      <c r="K1171" s="1" cm="1">
        <f t="array" ref="K1171">SUMPRODUCT(("T_C-ICE-GSL-S4"=[2]OUT_TransportEnergyCons!$A$3:$A$1000)*1,("Var_Fin"=[2]OUT_TransportEnergyCons!$B$3:$B$1000)*1,ISNUMBER(SEARCH("GSL",[2]OUT_TransportEnergyCons!$C$3:$C$1000))*1,[2]OUT_TransportEnergyCons!I$3:I$1000)</f>
        <v>17.442165638529755</v>
      </c>
      <c r="L1171" s="1" cm="1">
        <f t="array" ref="L1171">SUMPRODUCT(("T_C-ICE-GSL-S4"=[2]OUT_TransportEnergyCons!$A$3:$A$1000)*1,("Var_Fin"=[2]OUT_TransportEnergyCons!$B$3:$B$1000)*1,ISNUMBER(SEARCH("GSL",[2]OUT_TransportEnergyCons!$C$3:$C$1000))*1,[2]OUT_TransportEnergyCons!J$3:J$1000)</f>
        <v>14.583969062062092</v>
      </c>
      <c r="N1171" s="1"/>
    </row>
    <row r="1172" spans="2:18" x14ac:dyDescent="0.35">
      <c r="B1172" s="5" t="str">
        <f t="shared" si="1298"/>
        <v>SPS1</v>
      </c>
      <c r="C1172" s="5" t="str">
        <f t="shared" si="1299"/>
        <v>CH</v>
      </c>
      <c r="D1172" t="s">
        <v>1272</v>
      </c>
      <c r="E1172" t="s">
        <v>8</v>
      </c>
      <c r="F1172" s="1" cm="1">
        <f t="array" ref="F1172">SUMPRODUCT(("T_C-MHY-GSL-S1"=[1]OUT_TransportEnergyCons!$A$3:$A$1000)*1,("Var_Fin"=[1]OUT_TransportEnergyCons!$B$3:$B$1000)*1,ISNUMBER(SEARCH("GSL",[1]OUT_TransportEnergyCons!$C$3:$C$1000))*1,[1]OUT_TransportEnergyCons!D$3:D$1000)</f>
        <v>0</v>
      </c>
      <c r="G1172" s="1" cm="1">
        <f t="array" ref="G1172">SUMPRODUCT(("T_C-MHY-GSL-S1"=[1]OUT_TransportEnergyCons!$A$3:$A$1000)*1,("Var_Fin"=[1]OUT_TransportEnergyCons!$B$3:$B$1000)*1,ISNUMBER(SEARCH("GSL",[1]OUT_TransportEnergyCons!$C$3:$C$1000))*1,[1]OUT_TransportEnergyCons!E$3:E$1000)</f>
        <v>1.3385334503272992E-4</v>
      </c>
      <c r="H1172" s="1" cm="1">
        <f t="array" ref="H1172">SUMPRODUCT(("T_C-MHY-GSL-S1"=[1]OUT_TransportEnergyCons!$A$3:$A$1000)*1,("Var_Fin"=[1]OUT_TransportEnergyCons!$B$3:$B$1000)*1,ISNUMBER(SEARCH("GSL",[1]OUT_TransportEnergyCons!$C$3:$C$1000))*1,[1]OUT_TransportEnergyCons!F$3:F$1000)</f>
        <v>4.7325013681256625E-4</v>
      </c>
      <c r="I1172" s="1" cm="1">
        <f t="array" ref="I1172">SUMPRODUCT(("T_C-MHY-GSL-S1"=[1]OUT_TransportEnergyCons!$A$3:$A$1000)*1,("Var_Fin"=[1]OUT_TransportEnergyCons!$B$3:$B$1000)*1,ISNUMBER(SEARCH("GSL",[1]OUT_TransportEnergyCons!$C$3:$C$1000))*1,[1]OUT_TransportEnergyCons!G$3:G$1000)</f>
        <v>0.30189226084943216</v>
      </c>
      <c r="J1172" s="1" cm="1">
        <f t="array" ref="J1172">SUMPRODUCT(("T_C-MHY-GSL-S1"=[2]OUT_TransportEnergyCons!$A$3:$A$1000)*1,("Var_Fin"=[2]OUT_TransportEnergyCons!$B$3:$B$1000)*1,ISNUMBER(SEARCH("GSL",[2]OUT_TransportEnergyCons!$C$3:$C$1000))*1,[2]OUT_TransportEnergyCons!H$3:H$1000)</f>
        <v>0.31014484555163957</v>
      </c>
      <c r="K1172" s="1" cm="1">
        <f t="array" ref="K1172">SUMPRODUCT(("T_C-MHY-GSL-S1"=[2]OUT_TransportEnergyCons!$A$3:$A$1000)*1,("Var_Fin"=[2]OUT_TransportEnergyCons!$B$3:$B$1000)*1,ISNUMBER(SEARCH("GSL",[2]OUT_TransportEnergyCons!$C$3:$C$1000))*1,[2]OUT_TransportEnergyCons!I$3:I$1000)</f>
        <v>0.1542421665990294</v>
      </c>
      <c r="L1172" s="1" cm="1">
        <f t="array" ref="L1172">SUMPRODUCT(("T_C-MHY-GSL-S1"=[2]OUT_TransportEnergyCons!$A$3:$A$1000)*1,("Var_Fin"=[2]OUT_TransportEnergyCons!$B$3:$B$1000)*1,ISNUMBER(SEARCH("GSL",[2]OUT_TransportEnergyCons!$C$3:$C$1000))*1,[2]OUT_TransportEnergyCons!J$3:J$1000)</f>
        <v>5.2668366514305404E-4</v>
      </c>
      <c r="N1172" s="1"/>
    </row>
    <row r="1173" spans="2:18" x14ac:dyDescent="0.35">
      <c r="B1173" s="5" t="str">
        <f t="shared" si="1298"/>
        <v>SPS1</v>
      </c>
      <c r="C1173" s="5" t="str">
        <f t="shared" si="1299"/>
        <v>CH</v>
      </c>
      <c r="D1173" t="s">
        <v>1273</v>
      </c>
      <c r="E1173" t="s">
        <v>8</v>
      </c>
      <c r="F1173" s="1" cm="1">
        <f t="array" ref="F1173">SUMPRODUCT(("T_C-MHY-GSL-S2"=[1]OUT_TransportEnergyCons!$A$3:$A$1000)*1,("Var_Fin"=[1]OUT_TransportEnergyCons!$B$3:$B$1000)*1,ISNUMBER(SEARCH("GSL",[1]OUT_TransportEnergyCons!$C$3:$C$1000))*1,[1]OUT_TransportEnergyCons!D$3:D$1000)</f>
        <v>0</v>
      </c>
      <c r="G1173" s="1" cm="1">
        <f t="array" ref="G1173">SUMPRODUCT(("T_C-MHY-GSL-S2"=[1]OUT_TransportEnergyCons!$A$3:$A$1000)*1,("Var_Fin"=[1]OUT_TransportEnergyCons!$B$3:$B$1000)*1,ISNUMBER(SEARCH("GSL",[1]OUT_TransportEnergyCons!$C$3:$C$1000))*1,[1]OUT_TransportEnergyCons!E$3:E$1000)</f>
        <v>9.4251056430945545E-5</v>
      </c>
      <c r="H1173" s="1" cm="1">
        <f t="array" ref="H1173">SUMPRODUCT(("T_C-MHY-GSL-S2"=[1]OUT_TransportEnergyCons!$A$3:$A$1000)*1,("Var_Fin"=[1]OUT_TransportEnergyCons!$B$3:$B$1000)*1,ISNUMBER(SEARCH("GSL",[1]OUT_TransportEnergyCons!$C$3:$C$1000))*1,[1]OUT_TransportEnergyCons!F$3:F$1000)</f>
        <v>4.1799651423540547E-4</v>
      </c>
      <c r="I1173" s="1" cm="1">
        <f t="array" ref="I1173">SUMPRODUCT(("T_C-MHY-GSL-S2"=[1]OUT_TransportEnergyCons!$A$3:$A$1000)*1,("Var_Fin"=[1]OUT_TransportEnergyCons!$B$3:$B$1000)*1,ISNUMBER(SEARCH("GSL",[1]OUT_TransportEnergyCons!$C$3:$C$1000))*1,[1]OUT_TransportEnergyCons!G$3:G$1000)</f>
        <v>6.93867482800147E-4</v>
      </c>
      <c r="J1173" s="1" cm="1">
        <f t="array" ref="J1173">SUMPRODUCT(("T_C-MHY-GSL-S2"=[2]OUT_TransportEnergyCons!$A$3:$A$1000)*1,("Var_Fin"=[2]OUT_TransportEnergyCons!$B$3:$B$1000)*1,ISNUMBER(SEARCH("GSL",[2]OUT_TransportEnergyCons!$C$3:$C$1000))*1,[2]OUT_TransportEnergyCons!H$3:H$1000)</f>
        <v>3.1252334239983306E-3</v>
      </c>
      <c r="K1173" s="1" cm="1">
        <f t="array" ref="K1173">SUMPRODUCT(("T_C-MHY-GSL-S2"=[2]OUT_TransportEnergyCons!$A$3:$A$1000)*1,("Var_Fin"=[2]OUT_TransportEnergyCons!$B$3:$B$1000)*1,ISNUMBER(SEARCH("GSL",[2]OUT_TransportEnergyCons!$C$3:$C$1000))*1,[2]OUT_TransportEnergyCons!I$3:I$1000)</f>
        <v>2.454748551753106E-3</v>
      </c>
      <c r="L1173" s="1" cm="1">
        <f t="array" ref="L1173">SUMPRODUCT(("T_C-MHY-GSL-S2"=[2]OUT_TransportEnergyCons!$A$3:$A$1000)*1,("Var_Fin"=[2]OUT_TransportEnergyCons!$B$3:$B$1000)*1,ISNUMBER(SEARCH("GSL",[2]OUT_TransportEnergyCons!$C$3:$C$1000))*1,[2]OUT_TransportEnergyCons!J$3:J$1000)</f>
        <v>8.0546286183273415E-4</v>
      </c>
      <c r="N1173" s="1"/>
    </row>
    <row r="1174" spans="2:18" x14ac:dyDescent="0.35">
      <c r="B1174" s="5" t="str">
        <f t="shared" si="1298"/>
        <v>SPS1</v>
      </c>
      <c r="C1174" s="5" t="str">
        <f t="shared" si="1299"/>
        <v>CH</v>
      </c>
      <c r="D1174" t="s">
        <v>1274</v>
      </c>
      <c r="E1174" t="s">
        <v>8</v>
      </c>
      <c r="F1174" s="1" cm="1">
        <f t="array" ref="F1174">SUMPRODUCT(("T_C-MHY-GSL-S3"=[1]OUT_TransportEnergyCons!$A$3:$A$1000)*1,("Var_Fin"=[1]OUT_TransportEnergyCons!$B$3:$B$1000)*1,ISNUMBER(SEARCH("GSL",[1]OUT_TransportEnergyCons!$C$3:$C$1000))*1,[1]OUT_TransportEnergyCons!D$3:D$1000)</f>
        <v>0</v>
      </c>
      <c r="G1174" s="1" cm="1">
        <f t="array" ref="G1174">SUMPRODUCT(("T_C-MHY-GSL-S3"=[1]OUT_TransportEnergyCons!$A$3:$A$1000)*1,("Var_Fin"=[1]OUT_TransportEnergyCons!$B$3:$B$1000)*1,ISNUMBER(SEARCH("GSL",[1]OUT_TransportEnergyCons!$C$3:$C$1000))*1,[1]OUT_TransportEnergyCons!E$3:E$1000)</f>
        <v>1.2040164578724127E-4</v>
      </c>
      <c r="H1174" s="1" cm="1">
        <f t="array" ref="H1174">SUMPRODUCT(("T_C-MHY-GSL-S3"=[1]OUT_TransportEnergyCons!$A$3:$A$1000)*1,("Var_Fin"=[1]OUT_TransportEnergyCons!$B$3:$B$1000)*1,ISNUMBER(SEARCH("GSL",[1]OUT_TransportEnergyCons!$C$3:$C$1000))*1,[1]OUT_TransportEnergyCons!F$3:F$1000)</f>
        <v>4.6144208189127014E-4</v>
      </c>
      <c r="I1174" s="1" cm="1">
        <f t="array" ref="I1174">SUMPRODUCT(("T_C-MHY-GSL-S3"=[1]OUT_TransportEnergyCons!$A$3:$A$1000)*1,("Var_Fin"=[1]OUT_TransportEnergyCons!$B$3:$B$1000)*1,ISNUMBER(SEARCH("GSL",[1]OUT_TransportEnergyCons!$C$3:$C$1000))*1,[1]OUT_TransportEnergyCons!G$3:G$1000)</f>
        <v>7.1622069523069349E-4</v>
      </c>
      <c r="J1174" s="1" cm="1">
        <f t="array" ref="J1174">SUMPRODUCT(("T_C-MHY-GSL-S3"=[2]OUT_TransportEnergyCons!$A$3:$A$1000)*1,("Var_Fin"=[2]OUT_TransportEnergyCons!$B$3:$B$1000)*1,ISNUMBER(SEARCH("GSL",[2]OUT_TransportEnergyCons!$C$3:$C$1000))*1,[2]OUT_TransportEnergyCons!H$3:H$1000)</f>
        <v>3.053738189659642E-3</v>
      </c>
      <c r="K1174" s="1" cm="1">
        <f t="array" ref="K1174">SUMPRODUCT(("T_C-MHY-GSL-S3"=[2]OUT_TransportEnergyCons!$A$3:$A$1000)*1,("Var_Fin"=[2]OUT_TransportEnergyCons!$B$3:$B$1000)*1,ISNUMBER(SEARCH("GSL",[2]OUT_TransportEnergyCons!$C$3:$C$1000))*1,[2]OUT_TransportEnergyCons!I$3:I$1000)</f>
        <v>2.5973276079485933E-3</v>
      </c>
      <c r="L1174" s="1" cm="1">
        <f t="array" ref="L1174">SUMPRODUCT(("T_C-MHY-GSL-S3"=[2]OUT_TransportEnergyCons!$A$3:$A$1000)*1,("Var_Fin"=[2]OUT_TransportEnergyCons!$B$3:$B$1000)*1,ISNUMBER(SEARCH("GSL",[2]OUT_TransportEnergyCons!$C$3:$C$1000))*1,[2]OUT_TransportEnergyCons!J$3:J$1000)</f>
        <v>9.6192451423046308E-4</v>
      </c>
      <c r="N1174" s="1"/>
    </row>
    <row r="1175" spans="2:18" x14ac:dyDescent="0.35">
      <c r="B1175" s="5" t="str">
        <f t="shared" si="1298"/>
        <v>SPS1</v>
      </c>
      <c r="C1175" s="5" t="str">
        <f t="shared" si="1299"/>
        <v>CH</v>
      </c>
      <c r="D1175" t="s">
        <v>1275</v>
      </c>
      <c r="E1175" t="s">
        <v>8</v>
      </c>
      <c r="F1175" s="1" cm="1">
        <f t="array" ref="F1175">SUMPRODUCT(("T_C-MHY-GSL-S4"=[1]OUT_TransportEnergyCons!$A$3:$A$1000)*1,("Var_Fin"=[1]OUT_TransportEnergyCons!$B$3:$B$1000)*1,ISNUMBER(SEARCH("GSL",[1]OUT_TransportEnergyCons!$C$3:$C$1000))*1,[1]OUT_TransportEnergyCons!D$3:D$1000)</f>
        <v>0</v>
      </c>
      <c r="G1175" s="1" cm="1">
        <f t="array" ref="G1175">SUMPRODUCT(("T_C-MHY-GSL-S4"=[1]OUT_TransportEnergyCons!$A$3:$A$1000)*1,("Var_Fin"=[1]OUT_TransportEnergyCons!$B$3:$B$1000)*1,ISNUMBER(SEARCH("GSL",[1]OUT_TransportEnergyCons!$C$3:$C$1000))*1,[1]OUT_TransportEnergyCons!E$3:E$1000)</f>
        <v>1.4605192922223105E-4</v>
      </c>
      <c r="H1175" s="1" cm="1">
        <f t="array" ref="H1175">SUMPRODUCT(("T_C-MHY-GSL-S4"=[1]OUT_TransportEnergyCons!$A$3:$A$1000)*1,("Var_Fin"=[1]OUT_TransportEnergyCons!$B$3:$B$1000)*1,ISNUMBER(SEARCH("GSL",[1]OUT_TransportEnergyCons!$C$3:$C$1000))*1,[1]OUT_TransportEnergyCons!F$3:F$1000)</f>
        <v>6.5238712657888175E-4</v>
      </c>
      <c r="I1175" s="1" cm="1">
        <f t="array" ref="I1175">SUMPRODUCT(("T_C-MHY-GSL-S4"=[1]OUT_TransportEnergyCons!$A$3:$A$1000)*1,("Var_Fin"=[1]OUT_TransportEnergyCons!$B$3:$B$1000)*1,ISNUMBER(SEARCH("GSL",[1]OUT_TransportEnergyCons!$C$3:$C$1000))*1,[1]OUT_TransportEnergyCons!G$3:G$1000)</f>
        <v>1.102497445170409E-3</v>
      </c>
      <c r="J1175" s="1" cm="1">
        <f t="array" ref="J1175">SUMPRODUCT(("T_C-MHY-GSL-S4"=[2]OUT_TransportEnergyCons!$A$3:$A$1000)*1,("Var_Fin"=[2]OUT_TransportEnergyCons!$B$3:$B$1000)*1,ISNUMBER(SEARCH("GSL",[2]OUT_TransportEnergyCons!$C$3:$C$1000))*1,[2]OUT_TransportEnergyCons!H$3:H$1000)</f>
        <v>0.10064581790255939</v>
      </c>
      <c r="K1175" s="1" cm="1">
        <f t="array" ref="K1175">SUMPRODUCT(("T_C-MHY-GSL-S4"=[2]OUT_TransportEnergyCons!$A$3:$A$1000)*1,("Var_Fin"=[2]OUT_TransportEnergyCons!$B$3:$B$1000)*1,ISNUMBER(SEARCH("GSL",[2]OUT_TransportEnergyCons!$C$3:$C$1000))*1,[2]OUT_TransportEnergyCons!I$3:I$1000)</f>
        <v>0.37057299226075119</v>
      </c>
      <c r="L1175" s="1" cm="1">
        <f t="array" ref="L1175">SUMPRODUCT(("T_C-MHY-GSL-S4"=[2]OUT_TransportEnergyCons!$A$3:$A$1000)*1,("Var_Fin"=[2]OUT_TransportEnergyCons!$B$3:$B$1000)*1,ISNUMBER(SEARCH("GSL",[2]OUT_TransportEnergyCons!$C$3:$C$1000))*1,[2]OUT_TransportEnergyCons!J$3:J$1000)</f>
        <v>0.55443761168647654</v>
      </c>
      <c r="N1175" s="1"/>
    </row>
    <row r="1176" spans="2:18" x14ac:dyDescent="0.35">
      <c r="B1176" s="5" t="str">
        <f t="shared" si="1298"/>
        <v>SPS1</v>
      </c>
      <c r="C1176" s="5" t="str">
        <f t="shared" si="1299"/>
        <v>CH</v>
      </c>
      <c r="D1176" t="s">
        <v>1276</v>
      </c>
      <c r="E1176" t="s">
        <v>8</v>
      </c>
      <c r="F1176" s="1" cm="1">
        <f t="array" ref="F1176">SUMPRODUCT(("T-Plg-GSL-mix_S1"=[1]OUT_TransportEnergyCons!$A$3:$A$1000)*1,("Var_Fin"=[1]OUT_TransportEnergyCons!$B$3:$B$1000)*1,ISNUMBER(SEARCH("GSL",[1]OUT_TransportEnergyCons!$C$3:$C$1000))*1,[1]OUT_TransportEnergyCons!D$3:D$1000)</f>
        <v>2.975536572250612E-4</v>
      </c>
      <c r="G1176" s="1" cm="1">
        <f t="array" ref="G1176">SUMPRODUCT(("T-Plg-GSL-mix_S1"=[1]OUT_TransportEnergyCons!$A$3:$A$1000)*1,("Var_Fin"=[1]OUT_TransportEnergyCons!$B$3:$B$1000)*1,ISNUMBER(SEARCH("GSL",[1]OUT_TransportEnergyCons!$C$3:$C$1000))*1,[1]OUT_TransportEnergyCons!E$3:E$1000)</f>
        <v>6.1135297841069026E-4</v>
      </c>
      <c r="H1176" s="1" cm="1">
        <f t="array" ref="H1176">SUMPRODUCT(("T-Plg-GSL-mix_S1"=[1]OUT_TransportEnergyCons!$A$3:$A$1000)*1,("Var_Fin"=[1]OUT_TransportEnergyCons!$B$3:$B$1000)*1,ISNUMBER(SEARCH("GSL",[1]OUT_TransportEnergyCons!$C$3:$C$1000))*1,[1]OUT_TransportEnergyCons!F$3:F$1000)</f>
        <v>5.9557727707001691E-4</v>
      </c>
      <c r="I1176" s="1" cm="1">
        <f t="array" ref="I1176">SUMPRODUCT(("T-Plg-GSL-mix_S1"=[1]OUT_TransportEnergyCons!$A$3:$A$1000)*1,("Var_Fin"=[1]OUT_TransportEnergyCons!$B$3:$B$1000)*1,ISNUMBER(SEARCH("GSL",[1]OUT_TransportEnergyCons!$C$3:$C$1000))*1,[1]OUT_TransportEnergyCons!G$3:G$1000)</f>
        <v>5.7786488246151931E-4</v>
      </c>
      <c r="J1176" s="1" cm="1">
        <f t="array" ref="J1176">SUMPRODUCT(("T-Plg-GSL-mix_S1"=[2]OUT_TransportEnergyCons!$A$3:$A$1000)*1,("Var_Fin"=[2]OUT_TransportEnergyCons!$B$3:$B$1000)*1,ISNUMBER(SEARCH("GSL",[2]OUT_TransportEnergyCons!$C$3:$C$1000))*1,[2]OUT_TransportEnergyCons!H$3:H$1000)</f>
        <v>1.0549042447969891E-3</v>
      </c>
      <c r="K1176" s="1" cm="1">
        <f t="array" ref="K1176">SUMPRODUCT(("T-Plg-GSL-mix_S1"=[2]OUT_TransportEnergyCons!$A$3:$A$1000)*1,("Var_Fin"=[2]OUT_TransportEnergyCons!$B$3:$B$1000)*1,ISNUMBER(SEARCH("GSL",[2]OUT_TransportEnergyCons!$C$3:$C$1000))*1,[2]OUT_TransportEnergyCons!I$3:I$1000)</f>
        <v>7.9167143706633286E-4</v>
      </c>
      <c r="L1176" s="1" cm="1">
        <f t="array" ref="L1176">SUMPRODUCT(("T-Plg-GSL-mix_S1"=[2]OUT_TransportEnergyCons!$A$3:$A$1000)*1,("Var_Fin"=[2]OUT_TransportEnergyCons!$B$3:$B$1000)*1,ISNUMBER(SEARCH("GSL",[2]OUT_TransportEnergyCons!$C$3:$C$1000))*1,[2]OUT_TransportEnergyCons!J$3:J$1000)</f>
        <v>3.4085728208205359E-4</v>
      </c>
      <c r="N1176" s="1"/>
    </row>
    <row r="1177" spans="2:18" x14ac:dyDescent="0.35">
      <c r="B1177" s="5" t="str">
        <f t="shared" si="1298"/>
        <v>SPS1</v>
      </c>
      <c r="C1177" s="5" t="str">
        <f t="shared" si="1299"/>
        <v>CH</v>
      </c>
      <c r="D1177" t="s">
        <v>1277</v>
      </c>
      <c r="E1177" t="s">
        <v>8</v>
      </c>
      <c r="F1177" s="1" cm="1">
        <f t="array" ref="F1177">SUMPRODUCT(("T-Plg-GSL-mix_S2"=[1]OUT_TransportEnergyCons!$A$3:$A$1000)*1,("Var_Fin"=[1]OUT_TransportEnergyCons!$B$3:$B$1000)*1,ISNUMBER(SEARCH("GSL",[1]OUT_TransportEnergyCons!$C$3:$C$1000))*1,[1]OUT_TransportEnergyCons!D$3:D$1000)</f>
        <v>7.5627325526141903E-2</v>
      </c>
      <c r="G1177" s="1" cm="1">
        <f t="array" ref="G1177">SUMPRODUCT(("T-Plg-GSL-mix_S2"=[1]OUT_TransportEnergyCons!$A$3:$A$1000)*1,("Var_Fin"=[1]OUT_TransportEnergyCons!$B$3:$B$1000)*1,ISNUMBER(SEARCH("GSL",[1]OUT_TransportEnergyCons!$C$3:$C$1000))*1,[1]OUT_TransportEnergyCons!E$3:E$1000)</f>
        <v>0.14782583683370604</v>
      </c>
      <c r="H1177" s="1" cm="1">
        <f t="array" ref="H1177">SUMPRODUCT(("T-Plg-GSL-mix_S2"=[1]OUT_TransportEnergyCons!$A$3:$A$1000)*1,("Var_Fin"=[1]OUT_TransportEnergyCons!$B$3:$B$1000)*1,ISNUMBER(SEARCH("GSL",[1]OUT_TransportEnergyCons!$C$3:$C$1000))*1,[1]OUT_TransportEnergyCons!F$3:F$1000)</f>
        <v>0.13870903308323393</v>
      </c>
      <c r="I1177" s="1" cm="1">
        <f t="array" ref="I1177">SUMPRODUCT(("T-Plg-GSL-mix_S2"=[1]OUT_TransportEnergyCons!$A$3:$A$1000)*1,("Var_Fin"=[1]OUT_TransportEnergyCons!$B$3:$B$1000)*1,ISNUMBER(SEARCH("GSL",[1]OUT_TransportEnergyCons!$C$3:$C$1000))*1,[1]OUT_TransportEnergyCons!G$3:G$1000)</f>
        <v>0.10169726492084229</v>
      </c>
      <c r="J1177" s="1" cm="1">
        <f t="array" ref="J1177">SUMPRODUCT(("T-Plg-GSL-mix_S2"=[2]OUT_TransportEnergyCons!$A$3:$A$1000)*1,("Var_Fin"=[2]OUT_TransportEnergyCons!$B$3:$B$1000)*1,ISNUMBER(SEARCH("GSL",[2]OUT_TransportEnergyCons!$C$3:$C$1000))*1,[2]OUT_TransportEnergyCons!H$3:H$1000)</f>
        <v>1.4183379037424195E-2</v>
      </c>
      <c r="K1177" s="1" cm="1">
        <f t="array" ref="K1177">SUMPRODUCT(("T-Plg-GSL-mix_S2"=[2]OUT_TransportEnergyCons!$A$3:$A$1000)*1,("Var_Fin"=[2]OUT_TransportEnergyCons!$B$3:$B$1000)*1,ISNUMBER(SEARCH("GSL",[2]OUT_TransportEnergyCons!$C$3:$C$1000))*1,[2]OUT_TransportEnergyCons!I$3:I$1000)</f>
        <v>3.6354254900242246E-3</v>
      </c>
      <c r="L1177" s="1" cm="1">
        <f t="array" ref="L1177">SUMPRODUCT(("T-Plg-GSL-mix_S2"=[2]OUT_TransportEnergyCons!$A$3:$A$1000)*1,("Var_Fin"=[2]OUT_TransportEnergyCons!$B$3:$B$1000)*1,ISNUMBER(SEARCH("GSL",[2]OUT_TransportEnergyCons!$C$3:$C$1000))*1,[2]OUT_TransportEnergyCons!J$3:J$1000)</f>
        <v>1.3496930654020467E-3</v>
      </c>
      <c r="N1177" s="1"/>
    </row>
    <row r="1178" spans="2:18" x14ac:dyDescent="0.35">
      <c r="B1178" s="5" t="str">
        <f t="shared" si="1298"/>
        <v>SPS1</v>
      </c>
      <c r="C1178" s="5" t="str">
        <f t="shared" si="1299"/>
        <v>CH</v>
      </c>
      <c r="D1178" t="s">
        <v>1278</v>
      </c>
      <c r="E1178" t="s">
        <v>8</v>
      </c>
      <c r="F1178" s="1" cm="1">
        <f t="array" ref="F1178">SUMPRODUCT(("T-Plg-GSL-mix_S3"=[1]OUT_TransportEnergyCons!$A$3:$A$1000)*1,("Var_Fin"=[1]OUT_TransportEnergyCons!$B$3:$B$1000)*1,ISNUMBER(SEARCH("GSL",[1]OUT_TransportEnergyCons!$C$3:$C$1000))*1,[1]OUT_TransportEnergyCons!D$3:D$1000)</f>
        <v>9.9131136151605112E-2</v>
      </c>
      <c r="G1178" s="1" cm="1">
        <f t="array" ref="G1178">SUMPRODUCT(("T-Plg-GSL-mix_S3"=[1]OUT_TransportEnergyCons!$A$3:$A$1000)*1,("Var_Fin"=[1]OUT_TransportEnergyCons!$B$3:$B$1000)*1,ISNUMBER(SEARCH("GSL",[1]OUT_TransportEnergyCons!$C$3:$C$1000))*1,[1]OUT_TransportEnergyCons!E$3:E$1000)</f>
        <v>0.9395625094887563</v>
      </c>
      <c r="H1178" s="1" cm="1">
        <f t="array" ref="H1178">SUMPRODUCT(("T-Plg-GSL-mix_S3"=[1]OUT_TransportEnergyCons!$A$3:$A$1000)*1,("Var_Fin"=[1]OUT_TransportEnergyCons!$B$3:$B$1000)*1,ISNUMBER(SEARCH("GSL",[1]OUT_TransportEnergyCons!$C$3:$C$1000))*1,[1]OUT_TransportEnergyCons!F$3:F$1000)</f>
        <v>1.773069180731268</v>
      </c>
      <c r="I1178" s="1" cm="1">
        <f t="array" ref="I1178">SUMPRODUCT(("T-Plg-GSL-mix_S3"=[1]OUT_TransportEnergyCons!$A$3:$A$1000)*1,("Var_Fin"=[1]OUT_TransportEnergyCons!$B$3:$B$1000)*1,ISNUMBER(SEARCH("GSL",[1]OUT_TransportEnergyCons!$C$3:$C$1000))*1,[1]OUT_TransportEnergyCons!G$3:G$1000)</f>
        <v>6.4680193227871108</v>
      </c>
      <c r="J1178" s="1" cm="1">
        <f t="array" ref="J1178">SUMPRODUCT(("T-Plg-GSL-mix_S3"=[2]OUT_TransportEnergyCons!$A$3:$A$1000)*1,("Var_Fin"=[2]OUT_TransportEnergyCons!$B$3:$B$1000)*1,ISNUMBER(SEARCH("GSL",[2]OUT_TransportEnergyCons!$C$3:$C$1000))*1,[2]OUT_TransportEnergyCons!H$3:H$1000)</f>
        <v>5.5807943007691199</v>
      </c>
      <c r="K1178" s="1" cm="1">
        <f t="array" ref="K1178">SUMPRODUCT(("T-Plg-GSL-mix_S3"=[2]OUT_TransportEnergyCons!$A$3:$A$1000)*1,("Var_Fin"=[2]OUT_TransportEnergyCons!$B$3:$B$1000)*1,ISNUMBER(SEARCH("GSL",[2]OUT_TransportEnergyCons!$C$3:$C$1000))*1,[2]OUT_TransportEnergyCons!I$3:I$1000)</f>
        <v>3.8539345210716069</v>
      </c>
      <c r="L1178" s="1" cm="1">
        <f t="array" ref="L1178">SUMPRODUCT(("T-Plg-GSL-mix_S3"=[2]OUT_TransportEnergyCons!$A$3:$A$1000)*1,("Var_Fin"=[2]OUT_TransportEnergyCons!$B$3:$B$1000)*1,ISNUMBER(SEARCH("GSL",[2]OUT_TransportEnergyCons!$C$3:$C$1000))*1,[2]OUT_TransportEnergyCons!J$3:J$1000)</f>
        <v>1.8946219157690349</v>
      </c>
      <c r="N1178" s="1"/>
    </row>
    <row r="1179" spans="2:18" x14ac:dyDescent="0.35">
      <c r="B1179" s="5" t="str">
        <f t="shared" si="1298"/>
        <v>SPS1</v>
      </c>
      <c r="C1179" s="5" t="str">
        <f t="shared" si="1299"/>
        <v>CH</v>
      </c>
      <c r="D1179" t="s">
        <v>1279</v>
      </c>
      <c r="E1179" t="s">
        <v>8</v>
      </c>
      <c r="F1179" s="1" cm="1">
        <f t="array" ref="F1179">SUMPRODUCT(("T-Plg-GSL-mix_S4"=[1]OUT_TransportEnergyCons!$A$3:$A$1000)*1,("Var_Fin"=[1]OUT_TransportEnergyCons!$B$3:$B$1000)*1,ISNUMBER(SEARCH("GSL",[1]OUT_TransportEnergyCons!$C$3:$C$1000))*1,[1]OUT_TransportEnergyCons!D$3:D$1000)</f>
        <v>0.17504994288453174</v>
      </c>
      <c r="G1179" s="1" cm="1">
        <f t="array" ref="G1179">SUMPRODUCT(("T-Plg-GSL-mix_S4"=[1]OUT_TransportEnergyCons!$A$3:$A$1000)*1,("Var_Fin"=[1]OUT_TransportEnergyCons!$B$3:$B$1000)*1,ISNUMBER(SEARCH("GSL",[1]OUT_TransportEnergyCons!$C$3:$C$1000))*1,[1]OUT_TransportEnergyCons!E$3:E$1000)</f>
        <v>0.26061313516300372</v>
      </c>
      <c r="H1179" s="1" cm="1">
        <f t="array" ref="H1179">SUMPRODUCT(("T-Plg-GSL-mix_S4"=[1]OUT_TransportEnergyCons!$A$3:$A$1000)*1,("Var_Fin"=[1]OUT_TransportEnergyCons!$B$3:$B$1000)*1,ISNUMBER(SEARCH("GSL",[1]OUT_TransportEnergyCons!$C$3:$C$1000))*1,[1]OUT_TransportEnergyCons!F$3:F$1000)</f>
        <v>0.24170735023294365</v>
      </c>
      <c r="I1179" s="1" cm="1">
        <f t="array" ref="I1179">SUMPRODUCT(("T-Plg-GSL-mix_S4"=[1]OUT_TransportEnergyCons!$A$3:$A$1000)*1,("Var_Fin"=[1]OUT_TransportEnergyCons!$B$3:$B$1000)*1,ISNUMBER(SEARCH("GSL",[1]OUT_TransportEnergyCons!$C$3:$C$1000))*1,[1]OUT_TransportEnergyCons!G$3:G$1000)</f>
        <v>0.1715017920709207</v>
      </c>
      <c r="J1179" s="1" cm="1">
        <f t="array" ref="J1179">SUMPRODUCT(("T-Plg-GSL-mix_S4"=[2]OUT_TransportEnergyCons!$A$3:$A$1000)*1,("Var_Fin"=[2]OUT_TransportEnergyCons!$B$3:$B$1000)*1,ISNUMBER(SEARCH("GSL",[2]OUT_TransportEnergyCons!$C$3:$C$1000))*1,[2]OUT_TransportEnergyCons!H$3:H$1000)</f>
        <v>2.6213972083092844E-2</v>
      </c>
      <c r="K1179" s="1" cm="1">
        <f t="array" ref="K1179">SUMPRODUCT(("T-Plg-GSL-mix_S4"=[2]OUT_TransportEnergyCons!$A$3:$A$1000)*1,("Var_Fin"=[2]OUT_TransportEnergyCons!$B$3:$B$1000)*1,ISNUMBER(SEARCH("GSL",[2]OUT_TransportEnergyCons!$C$3:$C$1000))*1,[2]OUT_TransportEnergyCons!I$3:I$1000)</f>
        <v>4.1176620036145299E-3</v>
      </c>
      <c r="L1179" s="1" cm="1">
        <f t="array" ref="L1179">SUMPRODUCT(("T-Plg-GSL-mix_S4"=[2]OUT_TransportEnergyCons!$A$3:$A$1000)*1,("Var_Fin"=[2]OUT_TransportEnergyCons!$B$3:$B$1000)*1,ISNUMBER(SEARCH("GSL",[2]OUT_TransportEnergyCons!$C$3:$C$1000))*1,[2]OUT_TransportEnergyCons!J$3:J$1000)</f>
        <v>1.4445408608928991E-3</v>
      </c>
      <c r="N1179" s="1"/>
    </row>
    <row r="1180" spans="2:18" x14ac:dyDescent="0.35">
      <c r="B1180" s="5" t="str">
        <f t="shared" si="1298"/>
        <v>SPS1</v>
      </c>
      <c r="C1180" s="5" t="str">
        <f t="shared" si="1299"/>
        <v>CH</v>
      </c>
      <c r="D1180" t="s">
        <v>1280</v>
      </c>
      <c r="E1180" t="s">
        <v>8</v>
      </c>
      <c r="F1180" s="1">
        <f>SUM(F1185:F1202)</f>
        <v>59.793059513582662</v>
      </c>
      <c r="G1180" s="1">
        <f t="shared" ref="G1180:K1180" si="1313">SUM(G1185:G1202)</f>
        <v>58.658686326304327</v>
      </c>
      <c r="H1180" s="1">
        <f t="shared" si="1313"/>
        <v>46.09562306336548</v>
      </c>
      <c r="I1180" s="1">
        <f t="shared" si="1313"/>
        <v>28.518252824767934</v>
      </c>
      <c r="J1180" s="1">
        <f t="shared" si="1313"/>
        <v>12.071463951611564</v>
      </c>
      <c r="K1180" s="1">
        <f t="shared" si="1313"/>
        <v>10.206146025472506</v>
      </c>
      <c r="L1180" s="1">
        <f t="shared" ref="L1180" si="1314">SUM(L1185:L1202)</f>
        <v>6.3023250488487417</v>
      </c>
      <c r="N1180" s="1"/>
    </row>
    <row r="1181" spans="2:18" x14ac:dyDescent="0.35">
      <c r="B1181" s="5" t="str">
        <f>B1180</f>
        <v>SPS1</v>
      </c>
      <c r="C1181" s="5" t="str">
        <f>C1180</f>
        <v>CH</v>
      </c>
      <c r="D1181" t="s">
        <v>1281</v>
      </c>
      <c r="E1181" t="str">
        <f>E1180</f>
        <v>PJ/yr.</v>
      </c>
      <c r="F1181" s="1">
        <f>IF(F1180-F1182&lt;0,0,F1180-F1182)</f>
        <v>58.297181263195768</v>
      </c>
      <c r="G1181" s="1">
        <f t="shared" ref="G1181:L1181" si="1315">IF(G1180-G1182&lt;0,0,G1180-G1182)</f>
        <v>57.129998745852646</v>
      </c>
      <c r="H1181" s="1">
        <f t="shared" si="1315"/>
        <v>44.026931165934855</v>
      </c>
      <c r="I1181" s="1">
        <f t="shared" si="1315"/>
        <v>27.24455841459292</v>
      </c>
      <c r="J1181" s="1">
        <f t="shared" si="1315"/>
        <v>11.573082388824425</v>
      </c>
      <c r="K1181" s="1">
        <f t="shared" si="1315"/>
        <v>9.7858197191733751</v>
      </c>
      <c r="L1181" s="1">
        <f t="shared" si="1315"/>
        <v>6.038614969917969</v>
      </c>
      <c r="N1181" s="1"/>
    </row>
    <row r="1182" spans="2:18" x14ac:dyDescent="0.35">
      <c r="B1182" s="5" t="str">
        <f t="shared" ref="B1182:B1184" si="1316">B1181</f>
        <v>SPS1</v>
      </c>
      <c r="C1182" s="5" t="str">
        <f t="shared" ref="C1182:C1184" si="1317">C1181</f>
        <v>CH</v>
      </c>
      <c r="D1182" t="s">
        <v>1282</v>
      </c>
      <c r="E1182" t="str">
        <f t="shared" ref="E1182:E1184" si="1318">E1181</f>
        <v>PJ/yr.</v>
      </c>
      <c r="F1182" s="1">
        <f>SUM(F1183:F1184)</f>
        <v>1.495878250386897</v>
      </c>
      <c r="G1182" s="1">
        <f t="shared" ref="G1182" si="1319">SUM(G1183:G1184)</f>
        <v>1.528687580451682</v>
      </c>
      <c r="H1182" s="1">
        <f t="shared" ref="H1182" si="1320">SUM(H1183:H1184)</f>
        <v>2.0686918974306274</v>
      </c>
      <c r="I1182" s="1">
        <f t="shared" ref="I1182" si="1321">SUM(I1183:I1184)</f>
        <v>1.2736944101750152</v>
      </c>
      <c r="J1182" s="1">
        <f t="shared" ref="J1182" si="1322">SUM(J1183:J1184)</f>
        <v>0.49838156278713891</v>
      </c>
      <c r="K1182" s="1">
        <f t="shared" ref="K1182:L1182" si="1323">SUM(K1183:K1184)</f>
        <v>0.42032630629913181</v>
      </c>
      <c r="L1182" s="1">
        <f t="shared" si="1323"/>
        <v>0.26371007893077225</v>
      </c>
      <c r="N1182" s="1"/>
    </row>
    <row r="1183" spans="2:18" x14ac:dyDescent="0.35">
      <c r="B1183" s="5" t="str">
        <f t="shared" si="1316"/>
        <v>SPS1</v>
      </c>
      <c r="C1183" s="5" t="str">
        <f t="shared" si="1317"/>
        <v>CH</v>
      </c>
      <c r="D1183" t="s">
        <v>1283</v>
      </c>
      <c r="E1183" t="str">
        <f t="shared" si="1318"/>
        <v>PJ/yr.</v>
      </c>
      <c r="F1183" s="1">
        <f>[1]Transport!B$26/SUM([1]Transport!B$22,[1]Transport!B$26)*F1180*(F$34+F$582)/(F$34+F$582+F$38)</f>
        <v>1.495878250386897</v>
      </c>
      <c r="G1183" s="1">
        <f>[1]Transport!C$26/SUM([1]Transport!C$22,[1]Transport!C$26)*G1180*(G$34+G$582)/(G$34+G$582+G$38)</f>
        <v>1.528687580451682</v>
      </c>
      <c r="H1183" s="1">
        <f>[1]Transport!D$26/SUM([1]Transport!D$22,[1]Transport!D$26)*H1180*(H$34+H$582)/(H$34+H$582+H$38)</f>
        <v>2.0686918974306274</v>
      </c>
      <c r="I1183" s="1">
        <f>[1]Transport!E$26/SUM([1]Transport!E$22,[1]Transport!E$26)*I1180*(I$34+I$582)/(I$34+I$582+I$38)</f>
        <v>1.2736944101750152</v>
      </c>
      <c r="J1183" s="1">
        <f>[2]Transport!F$26/SUM([2]Transport!F$22,[2]Transport!F$26)*J1180*(J$34+J$582)/(J$34+J$582+J$38)</f>
        <v>0.49838156278713891</v>
      </c>
      <c r="K1183" s="1">
        <f>[2]Transport!G$26/SUM([2]Transport!G$22,[2]Transport!G$26)*K1180*(K$34+K$582)/(K$34+K$582+K$38)</f>
        <v>0.42032630629913181</v>
      </c>
      <c r="L1183" s="1">
        <f>[2]Transport!H$26/SUM([2]Transport!H$22,[2]Transport!H$26)*L1180*(L$34+L$582)/(L$34+L$582+L$38)</f>
        <v>0.26371007893077225</v>
      </c>
      <c r="N1183" s="1"/>
    </row>
    <row r="1184" spans="2:18" x14ac:dyDescent="0.35">
      <c r="B1184" s="5" t="str">
        <f t="shared" si="1316"/>
        <v>SPS1</v>
      </c>
      <c r="C1184" s="5" t="str">
        <f t="shared" si="1317"/>
        <v>CH</v>
      </c>
      <c r="D1184" t="s">
        <v>1284</v>
      </c>
      <c r="E1184" t="str">
        <f t="shared" si="1318"/>
        <v>PJ/yr.</v>
      </c>
      <c r="F1184" s="1">
        <f>(F$38+F$718)/([1]Transport!B$22+[1]Transport!B$26)*F1180</f>
        <v>0</v>
      </c>
      <c r="G1184" s="1">
        <f>(G$38+G$718)/([1]Transport!C$22+[1]Transport!C$26)*G1180</f>
        <v>0</v>
      </c>
      <c r="H1184" s="1">
        <f>(H$38+H$718)/([1]Transport!D$22+[1]Transport!D$26)*H1180</f>
        <v>0</v>
      </c>
      <c r="I1184" s="1">
        <f>(I$38+I$718)/([1]Transport!E$22+[1]Transport!E$26)*I1180</f>
        <v>0</v>
      </c>
      <c r="J1184" s="1">
        <f>(J$38+J$718)/([2]Transport!F$22+[2]Transport!F$26)*J1180</f>
        <v>0</v>
      </c>
      <c r="K1184" s="1">
        <f>(K$38+K$718)/([2]Transport!G$22+[2]Transport!G$26)*K1180</f>
        <v>0</v>
      </c>
      <c r="L1184" s="1">
        <f>(L$38+L$718)/([2]Transport!H$22+[2]Transport!H$26)*L1180</f>
        <v>0</v>
      </c>
      <c r="M1184" s="1"/>
      <c r="N1184" s="1"/>
      <c r="O1184" s="1"/>
      <c r="P1184" s="1"/>
      <c r="Q1184" s="1"/>
      <c r="R1184" s="1"/>
    </row>
    <row r="1185" spans="2:18" x14ac:dyDescent="0.35">
      <c r="B1185" s="5" t="str">
        <f>B1180</f>
        <v>SPS1</v>
      </c>
      <c r="C1185" s="5" t="str">
        <f>C1180</f>
        <v>CH</v>
      </c>
      <c r="D1185" t="s">
        <v>1285</v>
      </c>
      <c r="E1185" t="s">
        <v>8</v>
      </c>
      <c r="F1185" s="1" cm="1">
        <f t="array" ref="F1185">SUMPRODUCT(("T_C-HYBDSLEXT"=[1]OUT_TransportEnergyCons!$A$3:$A$1000)*1,("Var_Fin"=[1]OUT_TransportEnergyCons!$B$3:$B$1000)*1,ISNUMBER(SEARCH("DSL",[1]OUT_TransportEnergyCons!$C$3:$C$1000))*1,[1]OUT_TransportEnergyCons!D$3:D$1000)</f>
        <v>0</v>
      </c>
      <c r="G1185" s="1" cm="1">
        <f t="array" ref="G1185">SUMPRODUCT(("T_C-HYBDSLEXT"=[1]OUT_TransportEnergyCons!$A$3:$A$1000)*1,("Var_Fin"=[1]OUT_TransportEnergyCons!$B$3:$B$1000)*1,ISNUMBER(SEARCH("DSL",[1]OUT_TransportEnergyCons!$C$3:$C$1000))*1,[1]OUT_TransportEnergyCons!E$3:E$1000)</f>
        <v>0</v>
      </c>
      <c r="H1185" s="1" cm="1">
        <f t="array" ref="H1185">SUMPRODUCT(("T_C-HYBDSLEXT"=[1]OUT_TransportEnergyCons!$A$3:$A$1000)*1,("Var_Fin"=[1]OUT_TransportEnergyCons!$B$3:$B$1000)*1,ISNUMBER(SEARCH("DSL",[1]OUT_TransportEnergyCons!$C$3:$C$1000))*1,[1]OUT_TransportEnergyCons!F$3:F$1000)</f>
        <v>0</v>
      </c>
      <c r="I1185" s="1" cm="1">
        <f t="array" ref="I1185">SUMPRODUCT(("T_C-HYBDSLEXT"=[1]OUT_TransportEnergyCons!$A$3:$A$1000)*1,("Var_Fin"=[1]OUT_TransportEnergyCons!$B$3:$B$1000)*1,ISNUMBER(SEARCH("DSL",[1]OUT_TransportEnergyCons!$C$3:$C$1000))*1,[1]OUT_TransportEnergyCons!G$3:G$1000)</f>
        <v>0</v>
      </c>
      <c r="J1185" s="1" cm="1">
        <f t="array" ref="J1185">SUMPRODUCT(("T_C-HYBDSLEXT"=[2]OUT_TransportEnergyCons!$A$3:$A$1000)*1,("Var_Fin"=[2]OUT_TransportEnergyCons!$B$3:$B$1000)*1,ISNUMBER(SEARCH("DSL",[2]OUT_TransportEnergyCons!$C$3:$C$1000))*1,[2]OUT_TransportEnergyCons!H$3:H$1000)</f>
        <v>0</v>
      </c>
      <c r="K1185" s="1" cm="1">
        <f t="array" ref="K1185">SUMPRODUCT(("T_C-HYBDSLEXT"=[2]OUT_TransportEnergyCons!$A$3:$A$1000)*1,("Var_Fin"=[2]OUT_TransportEnergyCons!$B$3:$B$1000)*1,ISNUMBER(SEARCH("DSL",[2]OUT_TransportEnergyCons!$C$3:$C$1000))*1,[2]OUT_TransportEnergyCons!I$3:I$1000)</f>
        <v>0</v>
      </c>
      <c r="L1185" s="1" cm="1">
        <f t="array" ref="L1185">SUMPRODUCT(("T_C-HYBDSLEXT"=[2]OUT_TransportEnergyCons!$A$3:$A$1000)*1,("Var_Fin"=[2]OUT_TransportEnergyCons!$B$3:$B$1000)*1,ISNUMBER(SEARCH("DSL",[2]OUT_TransportEnergyCons!$C$3:$C$1000))*1,[2]OUT_TransportEnergyCons!J$3:J$1000)</f>
        <v>0</v>
      </c>
      <c r="N1185" s="1"/>
    </row>
    <row r="1186" spans="2:18" x14ac:dyDescent="0.35">
      <c r="B1186" s="5" t="str">
        <f t="shared" si="1298"/>
        <v>SPS1</v>
      </c>
      <c r="C1186" s="5" t="str">
        <f t="shared" si="1299"/>
        <v>CH</v>
      </c>
      <c r="D1186" t="s">
        <v>1286</v>
      </c>
      <c r="E1186" t="s">
        <v>8</v>
      </c>
      <c r="F1186" s="1" cm="1">
        <f t="array" ref="F1186">SUMPRODUCT(("T_C-HY-DSL-S1"=[1]OUT_TransportEnergyCons!$A$3:$A$1000)*1,("Var_Fin"=[1]OUT_TransportEnergyCons!$B$3:$B$1000)*1,ISNUMBER(SEARCH("DSL",[1]OUT_TransportEnergyCons!$C$3:$C$1000))*1,[1]OUT_TransportEnergyCons!D$3:D$1000)</f>
        <v>3.0929552862976809E-5</v>
      </c>
      <c r="G1186" s="1" cm="1">
        <f t="array" ref="G1186">SUMPRODUCT(("T_C-HY-DSL-S1"=[1]OUT_TransportEnergyCons!$A$3:$A$1000)*1,("Var_Fin"=[1]OUT_TransportEnergyCons!$B$3:$B$1000)*1,ISNUMBER(SEARCH("DSL",[1]OUT_TransportEnergyCons!$C$3:$C$1000))*1,[1]OUT_TransportEnergyCons!E$3:E$1000)</f>
        <v>0.18333449905606444</v>
      </c>
      <c r="H1186" s="1" cm="1">
        <f t="array" ref="H1186">SUMPRODUCT(("T_C-HY-DSL-S1"=[1]OUT_TransportEnergyCons!$A$3:$A$1000)*1,("Var_Fin"=[1]OUT_TransportEnergyCons!$B$3:$B$1000)*1,ISNUMBER(SEARCH("DSL",[1]OUT_TransportEnergyCons!$C$3:$C$1000))*1,[1]OUT_TransportEnergyCons!F$3:F$1000)</f>
        <v>0.12170567045696891</v>
      </c>
      <c r="I1186" s="1" cm="1">
        <f t="array" ref="I1186">SUMPRODUCT(("T_C-HY-DSL-S1"=[1]OUT_TransportEnergyCons!$A$3:$A$1000)*1,("Var_Fin"=[1]OUT_TransportEnergyCons!$B$3:$B$1000)*1,ISNUMBER(SEARCH("DSL",[1]OUT_TransportEnergyCons!$C$3:$C$1000))*1,[1]OUT_TransportEnergyCons!G$3:G$1000)</f>
        <v>9.7870380571043081E-2</v>
      </c>
      <c r="J1186" s="1" cm="1">
        <f t="array" ref="J1186">SUMPRODUCT(("T_C-HY-DSL-S1"=[2]OUT_TransportEnergyCons!$A$3:$A$1000)*1,("Var_Fin"=[2]OUT_TransportEnergyCons!$B$3:$B$1000)*1,ISNUMBER(SEARCH("DSL",[2]OUT_TransportEnergyCons!$C$3:$C$1000))*1,[2]OUT_TransportEnergyCons!H$3:H$1000)</f>
        <v>0.29444607458093713</v>
      </c>
      <c r="K1186" s="1" cm="1">
        <f t="array" ref="K1186">SUMPRODUCT(("T_C-HY-DSL-S1"=[2]OUT_TransportEnergyCons!$A$3:$A$1000)*1,("Var_Fin"=[2]OUT_TransportEnergyCons!$B$3:$B$1000)*1,ISNUMBER(SEARCH("DSL",[2]OUT_TransportEnergyCons!$C$3:$C$1000))*1,[2]OUT_TransportEnergyCons!I$3:I$1000)</f>
        <v>0.27437580670449813</v>
      </c>
      <c r="L1186" s="1" cm="1">
        <f t="array" ref="L1186">SUMPRODUCT(("T_C-HY-DSL-S1"=[2]OUT_TransportEnergyCons!$A$3:$A$1000)*1,("Var_Fin"=[2]OUT_TransportEnergyCons!$B$3:$B$1000)*1,ISNUMBER(SEARCH("DSL",[2]OUT_TransportEnergyCons!$C$3:$C$1000))*1,[2]OUT_TransportEnergyCons!J$3:J$1000)</f>
        <v>8.5218578911840828E-2</v>
      </c>
      <c r="N1186" s="1"/>
      <c r="R1186" s="1"/>
    </row>
    <row r="1187" spans="2:18" x14ac:dyDescent="0.35">
      <c r="B1187" s="5" t="str">
        <f t="shared" si="1298"/>
        <v>SPS1</v>
      </c>
      <c r="C1187" s="5" t="str">
        <f t="shared" si="1299"/>
        <v>CH</v>
      </c>
      <c r="D1187" t="s">
        <v>1287</v>
      </c>
      <c r="E1187" t="s">
        <v>8</v>
      </c>
      <c r="F1187" s="1" cm="1">
        <f t="array" ref="F1187">SUMPRODUCT(("T_C-HY-DSL-S2"=[1]OUT_TransportEnergyCons!$A$3:$A$1000)*1,("Var_Fin"=[1]OUT_TransportEnergyCons!$B$3:$B$1000)*1,ISNUMBER(SEARCH("DSL",[1]OUT_TransportEnergyCons!$C$3:$C$1000))*1,[1]OUT_TransportEnergyCons!D$3:D$1000)</f>
        <v>2.8746692986811387E-3</v>
      </c>
      <c r="G1187" s="1" cm="1">
        <f t="array" ref="G1187">SUMPRODUCT(("T_C-HY-DSL-S2"=[1]OUT_TransportEnergyCons!$A$3:$A$1000)*1,("Var_Fin"=[1]OUT_TransportEnergyCons!$B$3:$B$1000)*1,ISNUMBER(SEARCH("DSL",[1]OUT_TransportEnergyCons!$C$3:$C$1000))*1,[1]OUT_TransportEnergyCons!E$3:E$1000)</f>
        <v>0.67615869193605072</v>
      </c>
      <c r="H1187" s="1" cm="1">
        <f t="array" ref="H1187">SUMPRODUCT(("T_C-HY-DSL-S2"=[1]OUT_TransportEnergyCons!$A$3:$A$1000)*1,("Var_Fin"=[1]OUT_TransportEnergyCons!$B$3:$B$1000)*1,ISNUMBER(SEARCH("DSL",[1]OUT_TransportEnergyCons!$C$3:$C$1000))*1,[1]OUT_TransportEnergyCons!F$3:F$1000)</f>
        <v>1.1972181201308298</v>
      </c>
      <c r="I1187" s="1" cm="1">
        <f t="array" ref="I1187">SUMPRODUCT(("T_C-HY-DSL-S2"=[1]OUT_TransportEnergyCons!$A$3:$A$1000)*1,("Var_Fin"=[1]OUT_TransportEnergyCons!$B$3:$B$1000)*1,ISNUMBER(SEARCH("DSL",[1]OUT_TransportEnergyCons!$C$3:$C$1000))*1,[1]OUT_TransportEnergyCons!G$3:G$1000)</f>
        <v>1.0040259590726024</v>
      </c>
      <c r="J1187" s="1" cm="1">
        <f t="array" ref="J1187">SUMPRODUCT(("T_C-HY-DSL-S2"=[2]OUT_TransportEnergyCons!$A$3:$A$1000)*1,("Var_Fin"=[2]OUT_TransportEnergyCons!$B$3:$B$1000)*1,ISNUMBER(SEARCH("DSL",[2]OUT_TransportEnergyCons!$C$3:$C$1000))*1,[2]OUT_TransportEnergyCons!H$3:H$1000)</f>
        <v>1.4697431276506034</v>
      </c>
      <c r="K1187" s="1" cm="1">
        <f t="array" ref="K1187">SUMPRODUCT(("T_C-HY-DSL-S2"=[2]OUT_TransportEnergyCons!$A$3:$A$1000)*1,("Var_Fin"=[2]OUT_TransportEnergyCons!$B$3:$B$1000)*1,ISNUMBER(SEARCH("DSL",[2]OUT_TransportEnergyCons!$C$3:$C$1000))*1,[2]OUT_TransportEnergyCons!I$3:I$1000)</f>
        <v>1.5423177588504375</v>
      </c>
      <c r="L1187" s="1" cm="1">
        <f t="array" ref="L1187">SUMPRODUCT(("T_C-HY-DSL-S2"=[2]OUT_TransportEnergyCons!$A$3:$A$1000)*1,("Var_Fin"=[2]OUT_TransportEnergyCons!$B$3:$B$1000)*1,ISNUMBER(SEARCH("DSL",[2]OUT_TransportEnergyCons!$C$3:$C$1000))*1,[2]OUT_TransportEnergyCons!J$3:J$1000)</f>
        <v>1.783914410225836</v>
      </c>
      <c r="N1187" s="1"/>
    </row>
    <row r="1188" spans="2:18" x14ac:dyDescent="0.35">
      <c r="B1188" s="5" t="str">
        <f t="shared" si="1298"/>
        <v>SPS1</v>
      </c>
      <c r="C1188" s="5" t="str">
        <f t="shared" si="1299"/>
        <v>CH</v>
      </c>
      <c r="D1188" t="s">
        <v>1288</v>
      </c>
      <c r="E1188" t="s">
        <v>8</v>
      </c>
      <c r="F1188" s="1" cm="1">
        <f t="array" ref="F1188">SUMPRODUCT(("T_C-HY-DSL-S3"=[1]OUT_TransportEnergyCons!$A$3:$A$1000)*1,("Var_Fin"=[1]OUT_TransportEnergyCons!$B$3:$B$1000)*1,ISNUMBER(SEARCH("DSL",[1]OUT_TransportEnergyCons!$C$3:$C$1000))*1,[1]OUT_TransportEnergyCons!D$3:D$1000)</f>
        <v>2.9657239780343601E-2</v>
      </c>
      <c r="G1188" s="1" cm="1">
        <f t="array" ref="G1188">SUMPRODUCT(("T_C-HY-DSL-S3"=[1]OUT_TransportEnergyCons!$A$3:$A$1000)*1,("Var_Fin"=[1]OUT_TransportEnergyCons!$B$3:$B$1000)*1,ISNUMBER(SEARCH("DSL",[1]OUT_TransportEnergyCons!$C$3:$C$1000))*1,[1]OUT_TransportEnergyCons!E$3:E$1000)</f>
        <v>4.5283207006382317E-2</v>
      </c>
      <c r="H1188" s="1" cm="1">
        <f t="array" ref="H1188">SUMPRODUCT(("T_C-HY-DSL-S3"=[1]OUT_TransportEnergyCons!$A$3:$A$1000)*1,("Var_Fin"=[1]OUT_TransportEnergyCons!$B$3:$B$1000)*1,ISNUMBER(SEARCH("DSL",[1]OUT_TransportEnergyCons!$C$3:$C$1000))*1,[1]OUT_TransportEnergyCons!F$3:F$1000)</f>
        <v>4.3375143477677999E-2</v>
      </c>
      <c r="I1188" s="1" cm="1">
        <f t="array" ref="I1188">SUMPRODUCT(("T_C-HY-DSL-S3"=[1]OUT_TransportEnergyCons!$A$3:$A$1000)*1,("Var_Fin"=[1]OUT_TransportEnergyCons!$B$3:$B$1000)*1,ISNUMBER(SEARCH("DSL",[1]OUT_TransportEnergyCons!$C$3:$C$1000))*1,[1]OUT_TransportEnergyCons!G$3:G$1000)</f>
        <v>3.2456624041241021E-2</v>
      </c>
      <c r="J1188" s="1" cm="1">
        <f t="array" ref="J1188">SUMPRODUCT(("T_C-HY-DSL-S3"=[2]OUT_TransportEnergyCons!$A$3:$A$1000)*1,("Var_Fin"=[2]OUT_TransportEnergyCons!$B$3:$B$1000)*1,ISNUMBER(SEARCH("DSL",[2]OUT_TransportEnergyCons!$C$3:$C$1000))*1,[2]OUT_TransportEnergyCons!H$3:H$1000)</f>
        <v>7.1802490857707808E-3</v>
      </c>
      <c r="K1188" s="1" cm="1">
        <f t="array" ref="K1188">SUMPRODUCT(("T_C-HY-DSL-S3"=[2]OUT_TransportEnergyCons!$A$3:$A$1000)*1,("Var_Fin"=[2]OUT_TransportEnergyCons!$B$3:$B$1000)*1,ISNUMBER(SEARCH("DSL",[2]OUT_TransportEnergyCons!$C$3:$C$1000))*1,[2]OUT_TransportEnergyCons!I$3:I$1000)</f>
        <v>1.322197273051008E-3</v>
      </c>
      <c r="L1188" s="1" cm="1">
        <f t="array" ref="L1188">SUMPRODUCT(("T_C-HY-DSL-S3"=[2]OUT_TransportEnergyCons!$A$3:$A$1000)*1,("Var_Fin"=[2]OUT_TransportEnergyCons!$B$3:$B$1000)*1,ISNUMBER(SEARCH("DSL",[2]OUT_TransportEnergyCons!$C$3:$C$1000))*1,[2]OUT_TransportEnergyCons!J$3:J$1000)</f>
        <v>8.2023759387197484E-4</v>
      </c>
      <c r="N1188" s="1"/>
    </row>
    <row r="1189" spans="2:18" x14ac:dyDescent="0.35">
      <c r="B1189" s="5" t="str">
        <f t="shared" si="1298"/>
        <v>SPS1</v>
      </c>
      <c r="C1189" s="5" t="str">
        <f t="shared" si="1299"/>
        <v>CH</v>
      </c>
      <c r="D1189" t="s">
        <v>1289</v>
      </c>
      <c r="E1189" t="s">
        <v>8</v>
      </c>
      <c r="F1189" s="1" cm="1">
        <f t="array" ref="F1189">SUMPRODUCT(("T_C-HY-DSL-S4"=[1]OUT_TransportEnergyCons!$A$3:$A$1000)*1,("Var_Fin"=[1]OUT_TransportEnergyCons!$B$3:$B$1000)*1,ISNUMBER(SEARCH("DSL",[1]OUT_TransportEnergyCons!$C$3:$C$1000))*1,[1]OUT_TransportEnergyCons!D$3:D$1000)</f>
        <v>3.5440823987558025E-2</v>
      </c>
      <c r="G1189" s="1" cm="1">
        <f t="array" ref="G1189">SUMPRODUCT(("T_C-HY-DSL-S4"=[1]OUT_TransportEnergyCons!$A$3:$A$1000)*1,("Var_Fin"=[1]OUT_TransportEnergyCons!$B$3:$B$1000)*1,ISNUMBER(SEARCH("DSL",[1]OUT_TransportEnergyCons!$C$3:$C$1000))*1,[1]OUT_TransportEnergyCons!E$3:E$1000)</f>
        <v>7.0832701438576673E-2</v>
      </c>
      <c r="H1189" s="1" cm="1">
        <f t="array" ref="H1189">SUMPRODUCT(("T_C-HY-DSL-S4"=[1]OUT_TransportEnergyCons!$A$3:$A$1000)*1,("Var_Fin"=[1]OUT_TransportEnergyCons!$B$3:$B$1000)*1,ISNUMBER(SEARCH("DSL",[1]OUT_TransportEnergyCons!$C$3:$C$1000))*1,[1]OUT_TransportEnergyCons!F$3:F$1000)</f>
        <v>6.7220145702779413E-2</v>
      </c>
      <c r="I1189" s="1" cm="1">
        <f t="array" ref="I1189">SUMPRODUCT(("T_C-HY-DSL-S4"=[1]OUT_TransportEnergyCons!$A$3:$A$1000)*1,("Var_Fin"=[1]OUT_TransportEnergyCons!$B$3:$B$1000)*1,ISNUMBER(SEARCH("DSL",[1]OUT_TransportEnergyCons!$C$3:$C$1000))*1,[1]OUT_TransportEnergyCons!G$3:G$1000)</f>
        <v>5.5069068944955432E-2</v>
      </c>
      <c r="J1189" s="1" cm="1">
        <f t="array" ref="J1189">SUMPRODUCT(("T_C-HY-DSL-S4"=[2]OUT_TransportEnergyCons!$A$3:$A$1000)*1,("Var_Fin"=[2]OUT_TransportEnergyCons!$B$3:$B$1000)*1,ISNUMBER(SEARCH("DSL",[2]OUT_TransportEnergyCons!$C$3:$C$1000))*1,[2]OUT_TransportEnergyCons!H$3:H$1000)</f>
        <v>1.3378894261548995E-2</v>
      </c>
      <c r="K1189" s="1" cm="1">
        <f t="array" ref="K1189">SUMPRODUCT(("T_C-HY-DSL-S4"=[2]OUT_TransportEnergyCons!$A$3:$A$1000)*1,("Var_Fin"=[2]OUT_TransportEnergyCons!$B$3:$B$1000)*1,ISNUMBER(SEARCH("DSL",[2]OUT_TransportEnergyCons!$C$3:$C$1000))*1,[2]OUT_TransportEnergyCons!I$3:I$1000)</f>
        <v>1.7641724826652232E-3</v>
      </c>
      <c r="L1189" s="1" cm="1">
        <f t="array" ref="L1189">SUMPRODUCT(("T_C-HY-DSL-S4"=[2]OUT_TransportEnergyCons!$A$3:$A$1000)*1,("Var_Fin"=[2]OUT_TransportEnergyCons!$B$3:$B$1000)*1,ISNUMBER(SEARCH("DSL",[2]OUT_TransportEnergyCons!$C$3:$C$1000))*1,[2]OUT_TransportEnergyCons!J$3:J$1000)</f>
        <v>2.5654456248225331E-3</v>
      </c>
      <c r="N1189" s="1"/>
    </row>
    <row r="1190" spans="2:18" x14ac:dyDescent="0.35">
      <c r="B1190" s="5" t="str">
        <f t="shared" si="1298"/>
        <v>SPS1</v>
      </c>
      <c r="C1190" s="5" t="str">
        <f t="shared" si="1299"/>
        <v>CH</v>
      </c>
      <c r="D1190" t="s">
        <v>1290</v>
      </c>
      <c r="E1190" t="s">
        <v>8</v>
      </c>
      <c r="F1190" s="1" cm="1">
        <f t="array" ref="F1190">SUMPRODUCT(("T_C-ICEDSLEXT"=[1]OUT_TransportEnergyCons!$A$3:$A$1000)*1,("Var_Fin"=[1]OUT_TransportEnergyCons!$B$3:$B$1000)*1,ISNUMBER(SEARCH("DSL",[1]OUT_TransportEnergyCons!$C$3:$C$1000))*1,[1]OUT_TransportEnergyCons!D$3:D$1000)</f>
        <v>52.132005810783085</v>
      </c>
      <c r="G1190" s="1" cm="1">
        <f t="array" ref="G1190">SUMPRODUCT(("T_C-ICEDSLEXT"=[1]OUT_TransportEnergyCons!$A$3:$A$1000)*1,("Var_Fin"=[1]OUT_TransportEnergyCons!$B$3:$B$1000)*1,ISNUMBER(SEARCH("DSL",[1]OUT_TransportEnergyCons!$C$3:$C$1000))*1,[1]OUT_TransportEnergyCons!E$3:E$1000)</f>
        <v>48.700921509994856</v>
      </c>
      <c r="H1190" s="1" cm="1">
        <f t="array" ref="H1190">SUMPRODUCT(("T_C-ICEDSLEXT"=[1]OUT_TransportEnergyCons!$A$3:$A$1000)*1,("Var_Fin"=[1]OUT_TransportEnergyCons!$B$3:$B$1000)*1,ISNUMBER(SEARCH("DSL",[1]OUT_TransportEnergyCons!$C$3:$C$1000))*1,[1]OUT_TransportEnergyCons!F$3:F$1000)</f>
        <v>34.624523702328709</v>
      </c>
      <c r="I1190" s="1" cm="1">
        <f t="array" ref="I1190">SUMPRODUCT(("T_C-ICEDSLEXT"=[1]OUT_TransportEnergyCons!$A$3:$A$1000)*1,("Var_Fin"=[1]OUT_TransportEnergyCons!$B$3:$B$1000)*1,ISNUMBER(SEARCH("DSL",[1]OUT_TransportEnergyCons!$C$3:$C$1000))*1,[1]OUT_TransportEnergyCons!G$3:G$1000)</f>
        <v>16.031906018871542</v>
      </c>
      <c r="J1190" s="1" cm="1">
        <f t="array" ref="J1190">SUMPRODUCT(("T_C-ICEDSLEXT"=[2]OUT_TransportEnergyCons!$A$3:$A$1000)*1,("Var_Fin"=[2]OUT_TransportEnergyCons!$B$3:$B$1000)*1,ISNUMBER(SEARCH("DSL",[2]OUT_TransportEnergyCons!$C$3:$C$1000))*1,[2]OUT_TransportEnergyCons!H$3:H$1000)</f>
        <v>0</v>
      </c>
      <c r="K1190" s="1" cm="1">
        <f t="array" ref="K1190">SUMPRODUCT(("T_C-ICEDSLEXT"=[2]OUT_TransportEnergyCons!$A$3:$A$1000)*1,("Var_Fin"=[2]OUT_TransportEnergyCons!$B$3:$B$1000)*1,ISNUMBER(SEARCH("DSL",[2]OUT_TransportEnergyCons!$C$3:$C$1000))*1,[2]OUT_TransportEnergyCons!I$3:I$1000)</f>
        <v>0</v>
      </c>
      <c r="L1190" s="1" cm="1">
        <f t="array" ref="L1190">SUMPRODUCT(("T_C-ICEDSLEXT"=[2]OUT_TransportEnergyCons!$A$3:$A$1000)*1,("Var_Fin"=[2]OUT_TransportEnergyCons!$B$3:$B$1000)*1,ISNUMBER(SEARCH("DSL",[2]OUT_TransportEnergyCons!$C$3:$C$1000))*1,[2]OUT_TransportEnergyCons!J$3:J$1000)</f>
        <v>0</v>
      </c>
      <c r="N1190" s="1"/>
    </row>
    <row r="1191" spans="2:18" x14ac:dyDescent="0.35">
      <c r="B1191" s="5" t="str">
        <f t="shared" si="1298"/>
        <v>SPS1</v>
      </c>
      <c r="C1191" s="5" t="str">
        <f t="shared" si="1299"/>
        <v>CH</v>
      </c>
      <c r="D1191" t="s">
        <v>1291</v>
      </c>
      <c r="E1191" t="s">
        <v>8</v>
      </c>
      <c r="F1191" s="1" cm="1">
        <f t="array" ref="F1191">SUMPRODUCT(("T_C-ICE-DSL-S1"=[1]OUT_TransportEnergyCons!$A$3:$A$1000)*1,("Var_Fin"=[1]OUT_TransportEnergyCons!$B$3:$B$1000)*1,ISNUMBER(SEARCH("DSL",[1]OUT_TransportEnergyCons!$C$3:$C$1000))*1,[1]OUT_TransportEnergyCons!D$3:D$1000)</f>
        <v>5.293848097558649E-3</v>
      </c>
      <c r="G1191" s="1" cm="1">
        <f t="array" ref="G1191">SUMPRODUCT(("T_C-ICE-DSL-S1"=[1]OUT_TransportEnergyCons!$A$3:$A$1000)*1,("Var_Fin"=[1]OUT_TransportEnergyCons!$B$3:$B$1000)*1,ISNUMBER(SEARCH("DSL",[1]OUT_TransportEnergyCons!$C$3:$C$1000))*1,[1]OUT_TransportEnergyCons!E$3:E$1000)</f>
        <v>5.91176276021739E-3</v>
      </c>
      <c r="H1191" s="1" cm="1">
        <f t="array" ref="H1191">SUMPRODUCT(("T_C-ICE-DSL-S1"=[1]OUT_TransportEnergyCons!$A$3:$A$1000)*1,("Var_Fin"=[1]OUT_TransportEnergyCons!$B$3:$B$1000)*1,ISNUMBER(SEARCH("DSL",[1]OUT_TransportEnergyCons!$C$3:$C$1000))*1,[1]OUT_TransportEnergyCons!F$3:F$1000)</f>
        <v>4.3316437254801009E-3</v>
      </c>
      <c r="I1191" s="1" cm="1">
        <f t="array" ref="I1191">SUMPRODUCT(("T_C-ICE-DSL-S1"=[1]OUT_TransportEnergyCons!$A$3:$A$1000)*1,("Var_Fin"=[1]OUT_TransportEnergyCons!$B$3:$B$1000)*1,ISNUMBER(SEARCH("DSL",[1]OUT_TransportEnergyCons!$C$3:$C$1000))*1,[1]OUT_TransportEnergyCons!G$3:G$1000)</f>
        <v>3.1344714311717725E-3</v>
      </c>
      <c r="J1191" s="1" cm="1">
        <f t="array" ref="J1191">SUMPRODUCT(("T_C-ICE-DSL-S1"=[2]OUT_TransportEnergyCons!$A$3:$A$1000)*1,("Var_Fin"=[2]OUT_TransportEnergyCons!$B$3:$B$1000)*1,ISNUMBER(SEARCH("DSL",[2]OUT_TransportEnergyCons!$C$3:$C$1000))*1,[2]OUT_TransportEnergyCons!H$3:H$1000)</f>
        <v>1.4838126365977623E-3</v>
      </c>
      <c r="K1191" s="1" cm="1">
        <f t="array" ref="K1191">SUMPRODUCT(("T_C-ICE-DSL-S1"=[2]OUT_TransportEnergyCons!$A$3:$A$1000)*1,("Var_Fin"=[2]OUT_TransportEnergyCons!$B$3:$B$1000)*1,ISNUMBER(SEARCH("DSL",[2]OUT_TransportEnergyCons!$C$3:$C$1000))*1,[2]OUT_TransportEnergyCons!I$3:I$1000)</f>
        <v>8.9832316675169744E-4</v>
      </c>
      <c r="L1191" s="1" cm="1">
        <f t="array" ref="L1191">SUMPRODUCT(("T_C-ICE-DSL-S1"=[2]OUT_TransportEnergyCons!$A$3:$A$1000)*1,("Var_Fin"=[2]OUT_TransportEnergyCons!$B$3:$B$1000)*1,ISNUMBER(SEARCH("DSL",[2]OUT_TransportEnergyCons!$C$3:$C$1000))*1,[2]OUT_TransportEnergyCons!J$3:J$1000)</f>
        <v>2.8814954265890351E-4</v>
      </c>
      <c r="N1191" s="1"/>
    </row>
    <row r="1192" spans="2:18" x14ac:dyDescent="0.35">
      <c r="B1192" s="5" t="str">
        <f t="shared" si="1298"/>
        <v>SPS1</v>
      </c>
      <c r="C1192" s="5" t="str">
        <f t="shared" si="1299"/>
        <v>CH</v>
      </c>
      <c r="D1192" t="s">
        <v>1292</v>
      </c>
      <c r="E1192" t="s">
        <v>8</v>
      </c>
      <c r="F1192" s="1" cm="1">
        <f t="array" ref="F1192">SUMPRODUCT(("T_C-ICE-DSL-S2"=[1]OUT_TransportEnergyCons!$A$3:$A$1000)*1,("Var_Fin"=[1]OUT_TransportEnergyCons!$B$3:$B$1000)*1,ISNUMBER(SEARCH("DSL",[1]OUT_TransportEnergyCons!$C$3:$C$1000))*1,[1]OUT_TransportEnergyCons!D$3:D$1000)</f>
        <v>1.0630798243775721</v>
      </c>
      <c r="G1192" s="1" cm="1">
        <f t="array" ref="G1192">SUMPRODUCT(("T_C-ICE-DSL-S2"=[1]OUT_TransportEnergyCons!$A$3:$A$1000)*1,("Var_Fin"=[1]OUT_TransportEnergyCons!$B$3:$B$1000)*1,ISNUMBER(SEARCH("DSL",[1]OUT_TransportEnergyCons!$C$3:$C$1000))*1,[1]OUT_TransportEnergyCons!E$3:E$1000)</f>
        <v>1.2830898291139603</v>
      </c>
      <c r="H1192" s="1" cm="1">
        <f t="array" ref="H1192">SUMPRODUCT(("T_C-ICE-DSL-S2"=[1]OUT_TransportEnergyCons!$A$3:$A$1000)*1,("Var_Fin"=[1]OUT_TransportEnergyCons!$B$3:$B$1000)*1,ISNUMBER(SEARCH("DSL",[1]OUT_TransportEnergyCons!$C$3:$C$1000))*1,[1]OUT_TransportEnergyCons!F$3:F$1000)</f>
        <v>1.1112470512017041</v>
      </c>
      <c r="I1192" s="1" cm="1">
        <f t="array" ref="I1192">SUMPRODUCT(("T_C-ICE-DSL-S2"=[1]OUT_TransportEnergyCons!$A$3:$A$1000)*1,("Var_Fin"=[1]OUT_TransportEnergyCons!$B$3:$B$1000)*1,ISNUMBER(SEARCH("DSL",[1]OUT_TransportEnergyCons!$C$3:$C$1000))*1,[1]OUT_TransportEnergyCons!G$3:G$1000)</f>
        <v>0.8285681487534402</v>
      </c>
      <c r="J1192" s="1" cm="1">
        <f t="array" ref="J1192">SUMPRODUCT(("T_C-ICE-DSL-S2"=[2]OUT_TransportEnergyCons!$A$3:$A$1000)*1,("Var_Fin"=[2]OUT_TransportEnergyCons!$B$3:$B$1000)*1,ISNUMBER(SEARCH("DSL",[2]OUT_TransportEnergyCons!$C$3:$C$1000))*1,[2]OUT_TransportEnergyCons!H$3:H$1000)</f>
        <v>2.2143812490982621E-2</v>
      </c>
      <c r="K1192" s="1" cm="1">
        <f t="array" ref="K1192">SUMPRODUCT(("T_C-ICE-DSL-S2"=[2]OUT_TransportEnergyCons!$A$3:$A$1000)*1,("Var_Fin"=[2]OUT_TransportEnergyCons!$B$3:$B$1000)*1,ISNUMBER(SEARCH("DSL",[2]OUT_TransportEnergyCons!$C$3:$C$1000))*1,[2]OUT_TransportEnergyCons!I$3:I$1000)</f>
        <v>1.30954632358375E-3</v>
      </c>
      <c r="L1192" s="1" cm="1">
        <f t="array" ref="L1192">SUMPRODUCT(("T_C-ICE-DSL-S2"=[2]OUT_TransportEnergyCons!$A$3:$A$1000)*1,("Var_Fin"=[2]OUT_TransportEnergyCons!$B$3:$B$1000)*1,ISNUMBER(SEARCH("DSL",[2]OUT_TransportEnergyCons!$C$3:$C$1000))*1,[2]OUT_TransportEnergyCons!J$3:J$1000)</f>
        <v>4.8504992089485992E-4</v>
      </c>
      <c r="N1192" s="1"/>
    </row>
    <row r="1193" spans="2:18" x14ac:dyDescent="0.35">
      <c r="B1193" s="5" t="str">
        <f t="shared" si="1298"/>
        <v>SPS1</v>
      </c>
      <c r="C1193" s="5" t="str">
        <f t="shared" si="1299"/>
        <v>CH</v>
      </c>
      <c r="D1193" t="s">
        <v>1293</v>
      </c>
      <c r="E1193" t="s">
        <v>8</v>
      </c>
      <c r="F1193" s="1" cm="1">
        <f t="array" ref="F1193">SUMPRODUCT(("T_C-ICE-DSL-S3"=[1]OUT_TransportEnergyCons!$A$3:$A$1000)*1,("Var_Fin"=[1]OUT_TransportEnergyCons!$B$3:$B$1000)*1,ISNUMBER(SEARCH("DSL",[1]OUT_TransportEnergyCons!$C$3:$C$1000))*1,[1]OUT_TransportEnergyCons!D$3:D$1000)</f>
        <v>4.5799350700564352</v>
      </c>
      <c r="G1193" s="1" cm="1">
        <f t="array" ref="G1193">SUMPRODUCT(("T_C-ICE-DSL-S3"=[1]OUT_TransportEnergyCons!$A$3:$A$1000)*1,("Var_Fin"=[1]OUT_TransportEnergyCons!$B$3:$B$1000)*1,ISNUMBER(SEARCH("DSL",[1]OUT_TransportEnergyCons!$C$3:$C$1000))*1,[1]OUT_TransportEnergyCons!E$3:E$1000)</f>
        <v>5.3267679617886037</v>
      </c>
      <c r="H1193" s="1" cm="1">
        <f t="array" ref="H1193">SUMPRODUCT(("T_C-ICE-DSL-S3"=[1]OUT_TransportEnergyCons!$A$3:$A$1000)*1,("Var_Fin"=[1]OUT_TransportEnergyCons!$B$3:$B$1000)*1,ISNUMBER(SEARCH("DSL",[1]OUT_TransportEnergyCons!$C$3:$C$1000))*1,[1]OUT_TransportEnergyCons!F$3:F$1000)</f>
        <v>5.2758124681107184</v>
      </c>
      <c r="I1193" s="1" cm="1">
        <f t="array" ref="I1193">SUMPRODUCT(("T_C-ICE-DSL-S3"=[1]OUT_TransportEnergyCons!$A$3:$A$1000)*1,("Var_Fin"=[1]OUT_TransportEnergyCons!$B$3:$B$1000)*1,ISNUMBER(SEARCH("DSL",[1]OUT_TransportEnergyCons!$C$3:$C$1000))*1,[1]OUT_TransportEnergyCons!G$3:G$1000)</f>
        <v>4.0289977804591244</v>
      </c>
      <c r="J1193" s="1" cm="1">
        <f t="array" ref="J1193">SUMPRODUCT(("T_C-ICE-DSL-S3"=[2]OUT_TransportEnergyCons!$A$3:$A$1000)*1,("Var_Fin"=[2]OUT_TransportEnergyCons!$B$3:$B$1000)*1,ISNUMBER(SEARCH("DSL",[2]OUT_TransportEnergyCons!$C$3:$C$1000))*1,[2]OUT_TransportEnergyCons!H$3:H$1000)</f>
        <v>0.13942267720439186</v>
      </c>
      <c r="K1193" s="1" cm="1">
        <f t="array" ref="K1193">SUMPRODUCT(("T_C-ICE-DSL-S3"=[2]OUT_TransportEnergyCons!$A$3:$A$1000)*1,("Var_Fin"=[2]OUT_TransportEnergyCons!$B$3:$B$1000)*1,ISNUMBER(SEARCH("DSL",[2]OUT_TransportEnergyCons!$C$3:$C$1000))*1,[2]OUT_TransportEnergyCons!I$3:I$1000)</f>
        <v>1.4527888297111249E-3</v>
      </c>
      <c r="L1193" s="1" cm="1">
        <f t="array" ref="L1193">SUMPRODUCT(("T_C-ICE-DSL-S3"=[2]OUT_TransportEnergyCons!$A$3:$A$1000)*1,("Var_Fin"=[2]OUT_TransportEnergyCons!$B$3:$B$1000)*1,ISNUMBER(SEARCH("DSL",[2]OUT_TransportEnergyCons!$C$3:$C$1000))*1,[2]OUT_TransportEnergyCons!J$3:J$1000)</f>
        <v>6.1199520475564012E-4</v>
      </c>
      <c r="N1193" s="1"/>
    </row>
    <row r="1194" spans="2:18" x14ac:dyDescent="0.35">
      <c r="B1194" s="5" t="str">
        <f t="shared" si="1298"/>
        <v>SPS1</v>
      </c>
      <c r="C1194" s="5" t="str">
        <f t="shared" si="1299"/>
        <v>CH</v>
      </c>
      <c r="D1194" t="s">
        <v>1294</v>
      </c>
      <c r="E1194" t="s">
        <v>8</v>
      </c>
      <c r="F1194" s="1" cm="1">
        <f t="array" ref="F1194">SUMPRODUCT(("T_C-ICE-DSL-S4"=[1]OUT_TransportEnergyCons!$A$3:$A$1000)*1,("Var_Fin"=[1]OUT_TransportEnergyCons!$B$3:$B$1000)*1,ISNUMBER(SEARCH("DSL",[1]OUT_TransportEnergyCons!$C$3:$C$1000))*1,[1]OUT_TransportEnergyCons!D$3:D$1000)</f>
        <v>1.9387389554757966</v>
      </c>
      <c r="G1194" s="1" cm="1">
        <f t="array" ref="G1194">SUMPRODUCT(("T_C-ICE-DSL-S4"=[1]OUT_TransportEnergyCons!$A$3:$A$1000)*1,("Var_Fin"=[1]OUT_TransportEnergyCons!$B$3:$B$1000)*1,ISNUMBER(SEARCH("DSL",[1]OUT_TransportEnergyCons!$C$3:$C$1000))*1,[1]OUT_TransportEnergyCons!E$3:E$1000)</f>
        <v>2.2108012188673865</v>
      </c>
      <c r="H1194" s="1" cm="1">
        <f t="array" ref="H1194">SUMPRODUCT(("T_C-ICE-DSL-S4"=[1]OUT_TransportEnergyCons!$A$3:$A$1000)*1,("Var_Fin"=[1]OUT_TransportEnergyCons!$B$3:$B$1000)*1,ISNUMBER(SEARCH("DSL",[1]OUT_TransportEnergyCons!$C$3:$C$1000))*1,[1]OUT_TransportEnergyCons!F$3:F$1000)</f>
        <v>2.1735312935968327</v>
      </c>
      <c r="I1194" s="1" cm="1">
        <f t="array" ref="I1194">SUMPRODUCT(("T_C-ICE-DSL-S4"=[1]OUT_TransportEnergyCons!$A$3:$A$1000)*1,("Var_Fin"=[1]OUT_TransportEnergyCons!$B$3:$B$1000)*1,ISNUMBER(SEARCH("DSL",[1]OUT_TransportEnergyCons!$C$3:$C$1000))*1,[1]OUT_TransportEnergyCons!G$3:G$1000)</f>
        <v>1.6064082821452221</v>
      </c>
      <c r="J1194" s="1" cm="1">
        <f t="array" ref="J1194">SUMPRODUCT(("T_C-ICE-DSL-S4"=[2]OUT_TransportEnergyCons!$A$3:$A$1000)*1,("Var_Fin"=[2]OUT_TransportEnergyCons!$B$3:$B$1000)*1,ISNUMBER(SEARCH("DSL",[2]OUT_TransportEnergyCons!$C$3:$C$1000))*1,[2]OUT_TransportEnergyCons!H$3:H$1000)</f>
        <v>7.8134997961318911E-2</v>
      </c>
      <c r="K1194" s="1" cm="1">
        <f t="array" ref="K1194">SUMPRODUCT(("T_C-ICE-DSL-S4"=[2]OUT_TransportEnergyCons!$A$3:$A$1000)*1,("Var_Fin"=[2]OUT_TransportEnergyCons!$B$3:$B$1000)*1,ISNUMBER(SEARCH("DSL",[2]OUT_TransportEnergyCons!$C$3:$C$1000))*1,[2]OUT_TransportEnergyCons!I$3:I$1000)</f>
        <v>8.7556114096875085E-4</v>
      </c>
      <c r="L1194" s="1" cm="1">
        <f t="array" ref="L1194">SUMPRODUCT(("T_C-ICE-DSL-S4"=[2]OUT_TransportEnergyCons!$A$3:$A$1000)*1,("Var_Fin"=[2]OUT_TransportEnergyCons!$B$3:$B$1000)*1,ISNUMBER(SEARCH("DSL",[2]OUT_TransportEnergyCons!$C$3:$C$1000))*1,[2]OUT_TransportEnergyCons!J$3:J$1000)</f>
        <v>4.1465450473235056E-4</v>
      </c>
      <c r="N1194" s="1"/>
    </row>
    <row r="1195" spans="2:18" x14ac:dyDescent="0.35">
      <c r="B1195" s="5" t="str">
        <f t="shared" si="1298"/>
        <v>SPS1</v>
      </c>
      <c r="C1195" s="5" t="str">
        <f t="shared" si="1299"/>
        <v>CH</v>
      </c>
      <c r="D1195" t="s">
        <v>1295</v>
      </c>
      <c r="E1195" t="s">
        <v>8</v>
      </c>
      <c r="F1195" s="1" cm="1">
        <f t="array" ref="F1195">SUMPRODUCT(("T_C-MHY-DSL-S1"=[1]OUT_TransportEnergyCons!$A$3:$A$1000)*1,("Var_Fin"=[1]OUT_TransportEnergyCons!$B$3:$B$1000)*1,ISNUMBER(SEARCH("DSL",[1]OUT_TransportEnergyCons!$C$3:$C$1000))*1,[1]OUT_TransportEnergyCons!D$3:D$1000)</f>
        <v>0</v>
      </c>
      <c r="G1195" s="1" cm="1">
        <f t="array" ref="G1195">SUMPRODUCT(("T_C-MHY-DSL-S1"=[1]OUT_TransportEnergyCons!$A$3:$A$1000)*1,("Var_Fin"=[1]OUT_TransportEnergyCons!$B$3:$B$1000)*1,ISNUMBER(SEARCH("DSL",[1]OUT_TransportEnergyCons!$C$3:$C$1000))*1,[1]OUT_TransportEnergyCons!E$3:E$1000)</f>
        <v>1.1696453473765657E-4</v>
      </c>
      <c r="H1195" s="1" cm="1">
        <f t="array" ref="H1195">SUMPRODUCT(("T_C-MHY-DSL-S1"=[1]OUT_TransportEnergyCons!$A$3:$A$1000)*1,("Var_Fin"=[1]OUT_TransportEnergyCons!$B$3:$B$1000)*1,ISNUMBER(SEARCH("DSL",[1]OUT_TransportEnergyCons!$C$3:$C$1000))*1,[1]OUT_TransportEnergyCons!F$3:F$1000)</f>
        <v>3.7163928815352019E-4</v>
      </c>
      <c r="I1195" s="1" cm="1">
        <f t="array" ref="I1195">SUMPRODUCT(("T_C-MHY-DSL-S1"=[1]OUT_TransportEnergyCons!$A$3:$A$1000)*1,("Var_Fin"=[1]OUT_TransportEnergyCons!$B$3:$B$1000)*1,ISNUMBER(SEARCH("DSL",[1]OUT_TransportEnergyCons!$C$3:$C$1000))*1,[1]OUT_TransportEnergyCons!G$3:G$1000)</f>
        <v>0.19975729641608381</v>
      </c>
      <c r="J1195" s="1" cm="1">
        <f t="array" ref="J1195">SUMPRODUCT(("T_C-MHY-DSL-S1"=[2]OUT_TransportEnergyCons!$A$3:$A$1000)*1,("Var_Fin"=[2]OUT_TransportEnergyCons!$B$3:$B$1000)*1,ISNUMBER(SEARCH("DSL",[2]OUT_TransportEnergyCons!$C$3:$C$1000))*1,[2]OUT_TransportEnergyCons!H$3:H$1000)</f>
        <v>0.25242640369080571</v>
      </c>
      <c r="K1195" s="1" cm="1">
        <f t="array" ref="K1195">SUMPRODUCT(("T_C-MHY-DSL-S1"=[2]OUT_TransportEnergyCons!$A$3:$A$1000)*1,("Var_Fin"=[2]OUT_TransportEnergyCons!$B$3:$B$1000)*1,ISNUMBER(SEARCH("DSL",[2]OUT_TransportEnergyCons!$C$3:$C$1000))*1,[2]OUT_TransportEnergyCons!I$3:I$1000)</f>
        <v>0.14361039350049401</v>
      </c>
      <c r="L1195" s="1" cm="1">
        <f t="array" ref="L1195">SUMPRODUCT(("T_C-MHY-DSL-S1"=[2]OUT_TransportEnergyCons!$A$3:$A$1000)*1,("Var_Fin"=[2]OUT_TransportEnergyCons!$B$3:$B$1000)*1,ISNUMBER(SEARCH("DSL",[2]OUT_TransportEnergyCons!$C$3:$C$1000))*1,[2]OUT_TransportEnergyCons!J$3:J$1000)</f>
        <v>1.2675651111345325E-2</v>
      </c>
      <c r="N1195" s="1"/>
    </row>
    <row r="1196" spans="2:18" x14ac:dyDescent="0.35">
      <c r="B1196" s="5" t="str">
        <f t="shared" si="1298"/>
        <v>SPS1</v>
      </c>
      <c r="C1196" s="5" t="str">
        <f t="shared" si="1299"/>
        <v>CH</v>
      </c>
      <c r="D1196" t="s">
        <v>1296</v>
      </c>
      <c r="E1196" t="s">
        <v>8</v>
      </c>
      <c r="F1196" s="1" cm="1">
        <f t="array" ref="F1196">SUMPRODUCT(("T_C-MHY-DSL-S2"=[1]OUT_TransportEnergyCons!$A$3:$A$1000)*1,("Var_Fin"=[1]OUT_TransportEnergyCons!$B$3:$B$1000)*1,ISNUMBER(SEARCH("DSL",[1]OUT_TransportEnergyCons!$C$3:$C$1000))*1,[1]OUT_TransportEnergyCons!D$3:D$1000)</f>
        <v>0</v>
      </c>
      <c r="G1196" s="1" cm="1">
        <f t="array" ref="G1196">SUMPRODUCT(("T_C-MHY-DSL-S2"=[1]OUT_TransportEnergyCons!$A$3:$A$1000)*1,("Var_Fin"=[1]OUT_TransportEnergyCons!$B$3:$B$1000)*1,ISNUMBER(SEARCH("DSL",[1]OUT_TransportEnergyCons!$C$3:$C$1000))*1,[1]OUT_TransportEnergyCons!E$3:E$1000)</f>
        <v>8.3283407721956019E-5</v>
      </c>
      <c r="H1196" s="1" cm="1">
        <f t="array" ref="H1196">SUMPRODUCT(("T_C-MHY-DSL-S2"=[1]OUT_TransportEnergyCons!$A$3:$A$1000)*1,("Var_Fin"=[1]OUT_TransportEnergyCons!$B$3:$B$1000)*1,ISNUMBER(SEARCH("DSL",[1]OUT_TransportEnergyCons!$C$3:$C$1000))*1,[1]OUT_TransportEnergyCons!F$3:F$1000)</f>
        <v>3.4527997226365932E-4</v>
      </c>
      <c r="I1196" s="1" cm="1">
        <f t="array" ref="I1196">SUMPRODUCT(("T_C-MHY-DSL-S2"=[1]OUT_TransportEnergyCons!$A$3:$A$1000)*1,("Var_Fin"=[1]OUT_TransportEnergyCons!$B$3:$B$1000)*1,ISNUMBER(SEARCH("DSL",[1]OUT_TransportEnergyCons!$C$3:$C$1000))*1,[1]OUT_TransportEnergyCons!G$3:G$1000)</f>
        <v>6.3351458559592327E-4</v>
      </c>
      <c r="J1196" s="1" cm="1">
        <f t="array" ref="J1196">SUMPRODUCT(("T_C-MHY-DSL-S2"=[2]OUT_TransportEnergyCons!$A$3:$A$1000)*1,("Var_Fin"=[2]OUT_TransportEnergyCons!$B$3:$B$1000)*1,ISNUMBER(SEARCH("DSL",[2]OUT_TransportEnergyCons!$C$3:$C$1000))*1,[2]OUT_TransportEnergyCons!H$3:H$1000)</f>
        <v>3.9473592048766427E-3</v>
      </c>
      <c r="K1196" s="1" cm="1">
        <f t="array" ref="K1196">SUMPRODUCT(("T_C-MHY-DSL-S2"=[2]OUT_TransportEnergyCons!$A$3:$A$1000)*1,("Var_Fin"=[2]OUT_TransportEnergyCons!$B$3:$B$1000)*1,ISNUMBER(SEARCH("DSL",[2]OUT_TransportEnergyCons!$C$3:$C$1000))*1,[2]OUT_TransportEnergyCons!I$3:I$1000)</f>
        <v>4.5418458628509123E-3</v>
      </c>
      <c r="L1196" s="1" cm="1">
        <f t="array" ref="L1196">SUMPRODUCT(("T_C-MHY-DSL-S2"=[2]OUT_TransportEnergyCons!$A$3:$A$1000)*1,("Var_Fin"=[2]OUT_TransportEnergyCons!$B$3:$B$1000)*1,ISNUMBER(SEARCH("DSL",[2]OUT_TransportEnergyCons!$C$3:$C$1000))*1,[2]OUT_TransportEnergyCons!J$3:J$1000)</f>
        <v>1.6489337518741105E-3</v>
      </c>
      <c r="N1196" s="1"/>
    </row>
    <row r="1197" spans="2:18" x14ac:dyDescent="0.35">
      <c r="B1197" s="5" t="str">
        <f t="shared" si="1298"/>
        <v>SPS1</v>
      </c>
      <c r="C1197" s="5" t="str">
        <f t="shared" si="1299"/>
        <v>CH</v>
      </c>
      <c r="D1197" t="s">
        <v>1297</v>
      </c>
      <c r="E1197" t="s">
        <v>8</v>
      </c>
      <c r="F1197" s="1" cm="1">
        <f t="array" ref="F1197">SUMPRODUCT(("T_C-MHY-DSL-S3"=[1]OUT_TransportEnergyCons!$A$3:$A$1000)*1,("Var_Fin"=[1]OUT_TransportEnergyCons!$B$3:$B$1000)*1,ISNUMBER(SEARCH("DSL",[1]OUT_TransportEnergyCons!$C$3:$C$1000))*1,[1]OUT_TransportEnergyCons!D$3:D$1000)</f>
        <v>0</v>
      </c>
      <c r="G1197" s="1" cm="1">
        <f t="array" ref="G1197">SUMPRODUCT(("T_C-MHY-DSL-S3"=[1]OUT_TransportEnergyCons!$A$3:$A$1000)*1,("Var_Fin"=[1]OUT_TransportEnergyCons!$B$3:$B$1000)*1,ISNUMBER(SEARCH("DSL",[1]OUT_TransportEnergyCons!$C$3:$C$1000))*1,[1]OUT_TransportEnergyCons!E$3:E$1000)</f>
        <v>1.0264839803269312E-4</v>
      </c>
      <c r="H1197" s="1" cm="1">
        <f t="array" ref="H1197">SUMPRODUCT(("T_C-MHY-DSL-S3"=[1]OUT_TransportEnergyCons!$A$3:$A$1000)*1,("Var_Fin"=[1]OUT_TransportEnergyCons!$B$3:$B$1000)*1,ISNUMBER(SEARCH("DSL",[1]OUT_TransportEnergyCons!$C$3:$C$1000))*1,[1]OUT_TransportEnergyCons!F$3:F$1000)</f>
        <v>3.6410590104244084E-4</v>
      </c>
      <c r="I1197" s="1" cm="1">
        <f t="array" ref="I1197">SUMPRODUCT(("T_C-MHY-DSL-S3"=[1]OUT_TransportEnergyCons!$A$3:$A$1000)*1,("Var_Fin"=[1]OUT_TransportEnergyCons!$B$3:$B$1000)*1,ISNUMBER(SEARCH("DSL",[1]OUT_TransportEnergyCons!$C$3:$C$1000))*1,[1]OUT_TransportEnergyCons!G$3:G$1000)</f>
        <v>5.9312853688157539E-4</v>
      </c>
      <c r="J1197" s="1" cm="1">
        <f t="array" ref="J1197">SUMPRODUCT(("T_C-MHY-DSL-S3"=[2]OUT_TransportEnergyCons!$A$3:$A$1000)*1,("Var_Fin"=[2]OUT_TransportEnergyCons!$B$3:$B$1000)*1,ISNUMBER(SEARCH("DSL",[2]OUT_TransportEnergyCons!$C$3:$C$1000))*1,[2]OUT_TransportEnergyCons!H$3:H$1000)</f>
        <v>4.5910216218293318E-3</v>
      </c>
      <c r="K1197" s="1" cm="1">
        <f t="array" ref="K1197">SUMPRODUCT(("T_C-MHY-DSL-S3"=[2]OUT_TransportEnergyCons!$A$3:$A$1000)*1,("Var_Fin"=[2]OUT_TransportEnergyCons!$B$3:$B$1000)*1,ISNUMBER(SEARCH("DSL",[2]OUT_TransportEnergyCons!$C$3:$C$1000))*1,[2]OUT_TransportEnergyCons!I$3:I$1000)</f>
        <v>0.19482620381248336</v>
      </c>
      <c r="L1197" s="1" cm="1">
        <f t="array" ref="L1197">SUMPRODUCT(("T_C-MHY-DSL-S3"=[2]OUT_TransportEnergyCons!$A$3:$A$1000)*1,("Var_Fin"=[2]OUT_TransportEnergyCons!$B$3:$B$1000)*1,ISNUMBER(SEARCH("DSL",[2]OUT_TransportEnergyCons!$C$3:$C$1000))*1,[2]OUT_TransportEnergyCons!J$3:J$1000)</f>
        <v>0.3647095088541833</v>
      </c>
      <c r="N1197" s="1"/>
    </row>
    <row r="1198" spans="2:18" x14ac:dyDescent="0.35">
      <c r="B1198" s="5" t="str">
        <f t="shared" si="1298"/>
        <v>SPS1</v>
      </c>
      <c r="C1198" s="5" t="str">
        <f t="shared" si="1299"/>
        <v>CH</v>
      </c>
      <c r="D1198" t="s">
        <v>1298</v>
      </c>
      <c r="E1198" t="s">
        <v>8</v>
      </c>
      <c r="F1198" s="1" cm="1">
        <f t="array" ref="F1198">SUMPRODUCT(("T_C-MHY-DSL-S4"=[1]OUT_TransportEnergyCons!$A$3:$A$1000)*1,("Var_Fin"=[1]OUT_TransportEnergyCons!$B$3:$B$1000)*1,ISNUMBER(SEARCH("DSL",[1]OUT_TransportEnergyCons!$C$3:$C$1000))*1,[1]OUT_TransportEnergyCons!D$3:D$1000)</f>
        <v>0</v>
      </c>
      <c r="G1198" s="1" cm="1">
        <f t="array" ref="G1198">SUMPRODUCT(("T_C-MHY-DSL-S4"=[1]OUT_TransportEnergyCons!$A$3:$A$1000)*1,("Var_Fin"=[1]OUT_TransportEnergyCons!$B$3:$B$1000)*1,ISNUMBER(SEARCH("DSL",[1]OUT_TransportEnergyCons!$C$3:$C$1000))*1,[1]OUT_TransportEnergyCons!E$3:E$1000)</f>
        <v>7.7069306841466383E-5</v>
      </c>
      <c r="H1198" s="1" cm="1">
        <f t="array" ref="H1198">SUMPRODUCT(("T_C-MHY-DSL-S4"=[1]OUT_TransportEnergyCons!$A$3:$A$1000)*1,("Var_Fin"=[1]OUT_TransportEnergyCons!$B$3:$B$1000)*1,ISNUMBER(SEARCH("DSL",[1]OUT_TransportEnergyCons!$C$3:$C$1000))*1,[1]OUT_TransportEnergyCons!F$3:F$1000)</f>
        <v>2.1569951089895367E-4</v>
      </c>
      <c r="I1198" s="1" cm="1">
        <f t="array" ref="I1198">SUMPRODUCT(("T_C-MHY-DSL-S4"=[1]OUT_TransportEnergyCons!$A$3:$A$1000)*1,("Var_Fin"=[1]OUT_TransportEnergyCons!$B$3:$B$1000)*1,ISNUMBER(SEARCH("DSL",[1]OUT_TransportEnergyCons!$C$3:$C$1000))*1,[1]OUT_TransportEnergyCons!G$3:G$1000)</f>
        <v>3.1788748077413729E-4</v>
      </c>
      <c r="J1198" s="1" cm="1">
        <f t="array" ref="J1198">SUMPRODUCT(("T_C-MHY-DSL-S4"=[2]OUT_TransportEnergyCons!$A$3:$A$1000)*1,("Var_Fin"=[2]OUT_TransportEnergyCons!$B$3:$B$1000)*1,ISNUMBER(SEARCH("DSL",[2]OUT_TransportEnergyCons!$C$3:$C$1000))*1,[2]OUT_TransportEnergyCons!H$3:H$1000)</f>
        <v>1.3435753555531844E-3</v>
      </c>
      <c r="K1198" s="1" cm="1">
        <f t="array" ref="K1198">SUMPRODUCT(("T_C-MHY-DSL-S4"=[2]OUT_TransportEnergyCons!$A$3:$A$1000)*1,("Var_Fin"=[2]OUT_TransportEnergyCons!$B$3:$B$1000)*1,ISNUMBER(SEARCH("DSL",[2]OUT_TransportEnergyCons!$C$3:$C$1000))*1,[2]OUT_TransportEnergyCons!I$3:I$1000)</f>
        <v>1.5456434640440341E-3</v>
      </c>
      <c r="L1198" s="1" cm="1">
        <f t="array" ref="L1198">SUMPRODUCT(("T_C-MHY-DSL-S4"=[2]OUT_TransportEnergyCons!$A$3:$A$1000)*1,("Var_Fin"=[2]OUT_TransportEnergyCons!$B$3:$B$1000)*1,ISNUMBER(SEARCH("DSL",[2]OUT_TransportEnergyCons!$C$3:$C$1000))*1,[2]OUT_TransportEnergyCons!J$3:J$1000)</f>
        <v>9.459899462510615E-4</v>
      </c>
      <c r="N1198" s="1"/>
    </row>
    <row r="1199" spans="2:18" x14ac:dyDescent="0.35">
      <c r="B1199" s="5" t="str">
        <f t="shared" si="1298"/>
        <v>SPS1</v>
      </c>
      <c r="C1199" s="5" t="str">
        <f t="shared" si="1299"/>
        <v>CH</v>
      </c>
      <c r="D1199" t="s">
        <v>1299</v>
      </c>
      <c r="E1199" t="s">
        <v>8</v>
      </c>
      <c r="F1199" s="1" cm="1">
        <f t="array" ref="F1199">SUMPRODUCT(("T-Plg-DSL-mix_S1"=[1]OUT_TransportEnergyCons!$A$3:$A$1000)*1,("Var_Fin"=[1]OUT_TransportEnergyCons!$B$3:$B$1000)*1,ISNUMBER(SEARCH("DSL",[1]OUT_TransportEnergyCons!$C$3:$C$1000))*1,[1]OUT_TransportEnergyCons!D$3:D$1000)</f>
        <v>1.6977688805940945E-5</v>
      </c>
      <c r="G1199" s="1" cm="1">
        <f t="array" ref="G1199">SUMPRODUCT(("T-Plg-DSL-mix_S1"=[1]OUT_TransportEnergyCons!$A$3:$A$1000)*1,("Var_Fin"=[1]OUT_TransportEnergyCons!$B$3:$B$1000)*1,ISNUMBER(SEARCH("DSL",[1]OUT_TransportEnergyCons!$C$3:$C$1000))*1,[1]OUT_TransportEnergyCons!E$3:E$1000)</f>
        <v>3.7573611496323614E-4</v>
      </c>
      <c r="H1199" s="1" cm="1">
        <f t="array" ref="H1199">SUMPRODUCT(("T-Plg-DSL-mix_S1"=[1]OUT_TransportEnergyCons!$A$3:$A$1000)*1,("Var_Fin"=[1]OUT_TransportEnergyCons!$B$3:$B$1000)*1,ISNUMBER(SEARCH("DSL",[1]OUT_TransportEnergyCons!$C$3:$C$1000))*1,[1]OUT_TransportEnergyCons!F$3:F$1000)</f>
        <v>4.2414444929421121E-4</v>
      </c>
      <c r="I1199" s="1" cm="1">
        <f t="array" ref="I1199">SUMPRODUCT(("T-Plg-DSL-mix_S1"=[1]OUT_TransportEnergyCons!$A$3:$A$1000)*1,("Var_Fin"=[1]OUT_TransportEnergyCons!$B$3:$B$1000)*1,ISNUMBER(SEARCH("DSL",[1]OUT_TransportEnergyCons!$C$3:$C$1000))*1,[1]OUT_TransportEnergyCons!G$3:G$1000)</f>
        <v>4.7035917277114467E-4</v>
      </c>
      <c r="J1199" s="1" cm="1">
        <f t="array" ref="J1199">SUMPRODUCT(("T-Plg-DSL-mix_S1"=[2]OUT_TransportEnergyCons!$A$3:$A$1000)*1,("Var_Fin"=[2]OUT_TransportEnergyCons!$B$3:$B$1000)*1,ISNUMBER(SEARCH("DSL",[2]OUT_TransportEnergyCons!$C$3:$C$1000))*1,[2]OUT_TransportEnergyCons!H$3:H$1000)</f>
        <v>1.0774016811558847E-3</v>
      </c>
      <c r="K1199" s="1" cm="1">
        <f t="array" ref="K1199">SUMPRODUCT(("T-Plg-DSL-mix_S1"=[2]OUT_TransportEnergyCons!$A$3:$A$1000)*1,("Var_Fin"=[2]OUT_TransportEnergyCons!$B$3:$B$1000)*1,ISNUMBER(SEARCH("DSL",[2]OUT_TransportEnergyCons!$C$3:$C$1000))*1,[2]OUT_TransportEnergyCons!I$3:I$1000)</f>
        <v>7.8055664708973386E-4</v>
      </c>
      <c r="L1199" s="1" cm="1">
        <f t="array" ref="L1199">SUMPRODUCT(("T-Plg-DSL-mix_S1"=[2]OUT_TransportEnergyCons!$A$3:$A$1000)*1,("Var_Fin"=[2]OUT_TransportEnergyCons!$B$3:$B$1000)*1,ISNUMBER(SEARCH("DSL",[2]OUT_TransportEnergyCons!$C$3:$C$1000))*1,[2]OUT_TransportEnergyCons!J$3:J$1000)</f>
        <v>3.3116238452010166E-4</v>
      </c>
      <c r="N1199" s="1"/>
    </row>
    <row r="1200" spans="2:18" x14ac:dyDescent="0.35">
      <c r="B1200" s="5" t="str">
        <f t="shared" si="1298"/>
        <v>SPS1</v>
      </c>
      <c r="C1200" s="5" t="str">
        <f t="shared" si="1299"/>
        <v>CH</v>
      </c>
      <c r="D1200" t="s">
        <v>1300</v>
      </c>
      <c r="E1200" t="s">
        <v>8</v>
      </c>
      <c r="F1200" s="1" cm="1">
        <f t="array" ref="F1200">SUMPRODUCT(("T-Plg-DSL-mix_S2"=[1]OUT_TransportEnergyCons!$A$3:$A$1000)*1,("Var_Fin"=[1]OUT_TransportEnergyCons!$B$3:$B$1000)*1,ISNUMBER(SEARCH("DSL",[1]OUT_TransportEnergyCons!$C$3:$C$1000))*1,[1]OUT_TransportEnergyCons!D$3:D$1000)</f>
        <v>5.777557443598158E-6</v>
      </c>
      <c r="G1200" s="1" cm="1">
        <f t="array" ref="G1200">SUMPRODUCT(("T-Plg-DSL-mix_S2"=[1]OUT_TransportEnergyCons!$A$3:$A$1000)*1,("Var_Fin"=[1]OUT_TransportEnergyCons!$B$3:$B$1000)*1,ISNUMBER(SEARCH("DSL",[1]OUT_TransportEnergyCons!$C$3:$C$1000))*1,[1]OUT_TransportEnergyCons!E$3:E$1000)</f>
        <v>2.790974941574313E-4</v>
      </c>
      <c r="H1200" s="1" cm="1">
        <f t="array" ref="H1200">SUMPRODUCT(("T-Plg-DSL-mix_S2"=[1]OUT_TransportEnergyCons!$A$3:$A$1000)*1,("Var_Fin"=[1]OUT_TransportEnergyCons!$B$3:$B$1000)*1,ISNUMBER(SEARCH("DSL",[1]OUT_TransportEnergyCons!$C$3:$C$1000))*1,[1]OUT_TransportEnergyCons!F$3:F$1000)</f>
        <v>8.7759896671657902E-4</v>
      </c>
      <c r="I1200" s="1" cm="1">
        <f t="array" ref="I1200">SUMPRODUCT(("T-Plg-DSL-mix_S2"=[1]OUT_TransportEnergyCons!$A$3:$A$1000)*1,("Var_Fin"=[1]OUT_TransportEnergyCons!$B$3:$B$1000)*1,ISNUMBER(SEARCH("DSL",[1]OUT_TransportEnergyCons!$C$3:$C$1000))*1,[1]OUT_TransportEnergyCons!G$3:G$1000)</f>
        <v>1.2675975742402362E-3</v>
      </c>
      <c r="J1200" s="1" cm="1">
        <f t="array" ref="J1200">SUMPRODUCT(("T-Plg-DSL-mix_S2"=[2]OUT_TransportEnergyCons!$A$3:$A$1000)*1,("Var_Fin"=[2]OUT_TransportEnergyCons!$B$3:$B$1000)*1,ISNUMBER(SEARCH("DSL",[2]OUT_TransportEnergyCons!$C$3:$C$1000))*1,[2]OUT_TransportEnergyCons!H$3:H$1000)</f>
        <v>4.7568492200093593E-3</v>
      </c>
      <c r="K1200" s="1" cm="1">
        <f t="array" ref="K1200">SUMPRODUCT(("T-Plg-DSL-mix_S2"=[2]OUT_TransportEnergyCons!$A$3:$A$1000)*1,("Var_Fin"=[2]OUT_TransportEnergyCons!$B$3:$B$1000)*1,ISNUMBER(SEARCH("DSL",[2]OUT_TransportEnergyCons!$C$3:$C$1000))*1,[2]OUT_TransportEnergyCons!I$3:I$1000)</f>
        <v>3.9750426602875354E-3</v>
      </c>
      <c r="L1200" s="1" cm="1">
        <f t="array" ref="L1200">SUMPRODUCT(("T-Plg-DSL-mix_S2"=[2]OUT_TransportEnergyCons!$A$3:$A$1000)*1,("Var_Fin"=[2]OUT_TransportEnergyCons!$B$3:$B$1000)*1,ISNUMBER(SEARCH("DSL",[2]OUT_TransportEnergyCons!$C$3:$C$1000))*1,[2]OUT_TransportEnergyCons!J$3:J$1000)</f>
        <v>1.4027029677431331E-3</v>
      </c>
      <c r="N1200" s="1"/>
    </row>
    <row r="1201" spans="2:14" x14ac:dyDescent="0.35">
      <c r="B1201" s="5" t="str">
        <f t="shared" si="1298"/>
        <v>SPS1</v>
      </c>
      <c r="C1201" s="5" t="str">
        <f t="shared" si="1299"/>
        <v>CH</v>
      </c>
      <c r="D1201" t="s">
        <v>1301</v>
      </c>
      <c r="E1201" t="s">
        <v>8</v>
      </c>
      <c r="F1201" s="1" cm="1">
        <f t="array" ref="F1201">SUMPRODUCT(("T-Plg-DSL-mix_S3"=[1]OUT_TransportEnergyCons!$A$3:$A$1000)*1,("Var_Fin"=[1]OUT_TransportEnergyCons!$B$3:$B$1000)*1,ISNUMBER(SEARCH("DSL",[1]OUT_TransportEnergyCons!$C$3:$C$1000))*1,[1]OUT_TransportEnergyCons!D$3:D$1000)</f>
        <v>9.6328593878499644E-5</v>
      </c>
      <c r="G1201" s="1" cm="1">
        <f t="array" ref="G1201">SUMPRODUCT(("T-Plg-DSL-mix_S3"=[1]OUT_TransportEnergyCons!$A$3:$A$1000)*1,("Var_Fin"=[1]OUT_TransportEnergyCons!$B$3:$B$1000)*1,ISNUMBER(SEARCH("DSL",[1]OUT_TransportEnergyCons!$C$3:$C$1000))*1,[1]OUT_TransportEnergyCons!E$3:E$1000)</f>
        <v>0.13914231608749211</v>
      </c>
      <c r="H1201" s="1" cm="1">
        <f t="array" ref="H1201">SUMPRODUCT(("T-Plg-DSL-mix_S3"=[1]OUT_TransportEnergyCons!$A$3:$A$1000)*1,("Var_Fin"=[1]OUT_TransportEnergyCons!$B$3:$B$1000)*1,ISNUMBER(SEARCH("DSL",[1]OUT_TransportEnergyCons!$C$3:$C$1000))*1,[1]OUT_TransportEnergyCons!F$3:F$1000)</f>
        <v>1.4569649068235202</v>
      </c>
      <c r="I1201" s="1" cm="1">
        <f t="array" ref="I1201">SUMPRODUCT(("T-Plg-DSL-mix_S3"=[1]OUT_TransportEnergyCons!$A$3:$A$1000)*1,("Var_Fin"=[1]OUT_TransportEnergyCons!$B$3:$B$1000)*1,ISNUMBER(SEARCH("DSL",[1]OUT_TransportEnergyCons!$C$3:$C$1000))*1,[1]OUT_TransportEnergyCons!G$3:G$1000)</f>
        <v>4.6148272584640999</v>
      </c>
      <c r="J1201" s="1" cm="1">
        <f t="array" ref="J1201">SUMPRODUCT(("T-Plg-DSL-mix_S3"=[2]OUT_TransportEnergyCons!$A$3:$A$1000)*1,("Var_Fin"=[2]OUT_TransportEnergyCons!$B$3:$B$1000)*1,ISNUMBER(SEARCH("DSL",[2]OUT_TransportEnergyCons!$C$3:$C$1000))*1,[2]OUT_TransportEnergyCons!H$3:H$1000)</f>
        <v>9.7700232699638008</v>
      </c>
      <c r="K1201" s="1" cm="1">
        <f t="array" ref="K1201">SUMPRODUCT(("T-Plg-DSL-mix_S3"=[2]OUT_TransportEnergyCons!$A$3:$A$1000)*1,("Var_Fin"=[2]OUT_TransportEnergyCons!$B$3:$B$1000)*1,ISNUMBER(SEARCH("DSL",[2]OUT_TransportEnergyCons!$C$3:$C$1000))*1,[2]OUT_TransportEnergyCons!I$3:I$1000)</f>
        <v>8.0281718448399531</v>
      </c>
      <c r="L1201" s="1" cm="1">
        <f t="array" ref="L1201">SUMPRODUCT(("T-Plg-DSL-mix_S3"=[2]OUT_TransportEnergyCons!$A$3:$A$1000)*1,("Var_Fin"=[2]OUT_TransportEnergyCons!$B$3:$B$1000)*1,ISNUMBER(SEARCH("DSL",[2]OUT_TransportEnergyCons!$C$3:$C$1000))*1,[2]OUT_TransportEnergyCons!J$3:J$1000)</f>
        <v>4.0448462933833245</v>
      </c>
      <c r="N1201" s="1"/>
    </row>
    <row r="1202" spans="2:14" x14ac:dyDescent="0.35">
      <c r="B1202" s="5" t="str">
        <f t="shared" si="1298"/>
        <v>SPS1</v>
      </c>
      <c r="C1202" s="5" t="str">
        <f t="shared" si="1299"/>
        <v>CH</v>
      </c>
      <c r="D1202" t="s">
        <v>1302</v>
      </c>
      <c r="E1202" t="s">
        <v>8</v>
      </c>
      <c r="F1202" s="1" cm="1">
        <f t="array" ref="F1202">SUMPRODUCT(("T-Plg-DSL-mix_S4"=[1]OUT_TransportEnergyCons!$A$3:$A$1000)*1,("Var_Fin"=[1]OUT_TransportEnergyCons!$B$3:$B$1000)*1,ISNUMBER(SEARCH("DSL",[1]OUT_TransportEnergyCons!$C$3:$C$1000))*1,[1]OUT_TransportEnergyCons!D$3:D$1000)</f>
        <v>5.8832583326389421E-3</v>
      </c>
      <c r="G1202" s="1" cm="1">
        <f t="array" ref="G1202">SUMPRODUCT(("T-Plg-DSL-mix_S4"=[1]OUT_TransportEnergyCons!$A$3:$A$1000)*1,("Var_Fin"=[1]OUT_TransportEnergyCons!$B$3:$B$1000)*1,ISNUMBER(SEARCH("DSL",[1]OUT_TransportEnergyCons!$C$3:$C$1000))*1,[1]OUT_TransportEnergyCons!E$3:E$1000)</f>
        <v>1.5407828998278613E-2</v>
      </c>
      <c r="H1202" s="1" cm="1">
        <f t="array" ref="H1202">SUMPRODUCT(("T-Plg-DSL-mix_S4"=[1]OUT_TransportEnergyCons!$A$3:$A$1000)*1,("Var_Fin"=[1]OUT_TransportEnergyCons!$B$3:$B$1000)*1,ISNUMBER(SEARCH("DSL",[1]OUT_TransportEnergyCons!$C$3:$C$1000))*1,[1]OUT_TransportEnergyCons!F$3:F$1000)</f>
        <v>1.7094449721888175E-2</v>
      </c>
      <c r="I1202" s="1" cm="1">
        <f t="array" ref="I1202">SUMPRODUCT(("T-Plg-DSL-mix_S4"=[1]OUT_TransportEnergyCons!$A$3:$A$1000)*1,("Var_Fin"=[1]OUT_TransportEnergyCons!$B$3:$B$1000)*1,ISNUMBER(SEARCH("DSL",[1]OUT_TransportEnergyCons!$C$3:$C$1000))*1,[1]OUT_TransportEnergyCons!G$3:G$1000)</f>
        <v>1.1949048247146982E-2</v>
      </c>
      <c r="J1202" s="1" cm="1">
        <f t="array" ref="J1202">SUMPRODUCT(("T-Plg-DSL-mix_S4"=[2]OUT_TransportEnergyCons!$A$3:$A$1000)*1,("Var_Fin"=[2]OUT_TransportEnergyCons!$B$3:$B$1000)*1,ISNUMBER(SEARCH("DSL",[2]OUT_TransportEnergyCons!$C$3:$C$1000))*1,[2]OUT_TransportEnergyCons!H$3:H$1000)</f>
        <v>7.3644250013821288E-3</v>
      </c>
      <c r="K1202" s="1" cm="1">
        <f t="array" ref="K1202">SUMPRODUCT(("T-Plg-DSL-mix_S4"=[2]OUT_TransportEnergyCons!$A$3:$A$1000)*1,("Var_Fin"=[2]OUT_TransportEnergyCons!$B$3:$B$1000)*1,ISNUMBER(SEARCH("DSL",[2]OUT_TransportEnergyCons!$C$3:$C$1000))*1,[2]OUT_TransportEnergyCons!I$3:I$1000)</f>
        <v>4.3783399136366769E-3</v>
      </c>
      <c r="L1202" s="1" cm="1">
        <f t="array" ref="L1202">SUMPRODUCT(("T-Plg-DSL-mix_S4"=[2]OUT_TransportEnergyCons!$A$3:$A$1000)*1,("Var_Fin"=[2]OUT_TransportEnergyCons!$B$3:$B$1000)*1,ISNUMBER(SEARCH("DSL",[2]OUT_TransportEnergyCons!$C$3:$C$1000))*1,[2]OUT_TransportEnergyCons!J$3:J$1000)</f>
        <v>1.44628492008752E-3</v>
      </c>
      <c r="N1202" s="1"/>
    </row>
    <row r="1203" spans="2:14" x14ac:dyDescent="0.35">
      <c r="B1203" s="5" t="str">
        <f t="shared" si="1298"/>
        <v>SPS1</v>
      </c>
      <c r="C1203" s="5" t="str">
        <f t="shared" si="1299"/>
        <v>CH</v>
      </c>
      <c r="D1203" t="s">
        <v>1303</v>
      </c>
      <c r="E1203" t="s">
        <v>8</v>
      </c>
      <c r="F1203" s="1">
        <f>SUM(F1208:F1212)</f>
        <v>0.1127253744202799</v>
      </c>
      <c r="G1203" s="1">
        <f t="shared" ref="G1203:K1203" si="1324">SUM(G1208:G1212)</f>
        <v>9.707294095312681E-2</v>
      </c>
      <c r="H1203" s="1">
        <f t="shared" si="1324"/>
        <v>9.413326903943578E-2</v>
      </c>
      <c r="I1203" s="1">
        <f t="shared" si="1324"/>
        <v>1.0535433755563632E-3</v>
      </c>
      <c r="J1203" s="1">
        <f t="shared" si="1324"/>
        <v>8.1424255992021519E-4</v>
      </c>
      <c r="K1203" s="1">
        <f t="shared" si="1324"/>
        <v>7.5562269194615506E-4</v>
      </c>
      <c r="L1203" s="1">
        <f t="shared" ref="L1203" si="1325">SUM(L1208:L1212)</f>
        <v>5.7503738727777032E-4</v>
      </c>
      <c r="N1203" s="1"/>
    </row>
    <row r="1204" spans="2:14" x14ac:dyDescent="0.35">
      <c r="B1204" s="5" t="str">
        <f t="shared" si="1298"/>
        <v>SPS1</v>
      </c>
      <c r="C1204" s="5" t="str">
        <f t="shared" si="1299"/>
        <v>CH</v>
      </c>
      <c r="D1204" t="s">
        <v>1335</v>
      </c>
      <c r="E1204" t="s">
        <v>8</v>
      </c>
      <c r="F1204" s="1">
        <f>IF(F1203-F1205&lt;0,0,F1203-F1205)</f>
        <v>0.10428932748279873</v>
      </c>
      <c r="G1204" s="1">
        <f t="shared" ref="G1204:L1204" si="1326">IF(G1203-G1205&lt;0,0,G1203-G1205)</f>
        <v>8.7543303311692619E-2</v>
      </c>
      <c r="H1204" s="1">
        <f t="shared" si="1326"/>
        <v>8.5493970537865546E-2</v>
      </c>
      <c r="I1204" s="1">
        <f t="shared" si="1326"/>
        <v>1.0123554146002065E-3</v>
      </c>
      <c r="J1204" s="1">
        <f t="shared" si="1326"/>
        <v>0</v>
      </c>
      <c r="K1204" s="1">
        <f t="shared" si="1326"/>
        <v>0</v>
      </c>
      <c r="L1204" s="1">
        <f t="shared" si="1326"/>
        <v>0</v>
      </c>
      <c r="N1204" s="1"/>
    </row>
    <row r="1205" spans="2:14" x14ac:dyDescent="0.35">
      <c r="B1205" s="5" t="str">
        <f t="shared" si="1298"/>
        <v>SPS1</v>
      </c>
      <c r="C1205" s="5" t="str">
        <f t="shared" si="1299"/>
        <v>CH</v>
      </c>
      <c r="D1205" t="s">
        <v>1336</v>
      </c>
      <c r="E1205" t="s">
        <v>8</v>
      </c>
      <c r="F1205" s="1">
        <f>SUM(F1206:F1207)</f>
        <v>8.4360469374811595E-3</v>
      </c>
      <c r="G1205" s="1">
        <f t="shared" ref="G1205" si="1327">SUM(G1206:G1207)</f>
        <v>9.5296376414341893E-3</v>
      </c>
      <c r="H1205" s="1">
        <f t="shared" ref="H1205" si="1328">SUM(H1206:H1207)</f>
        <v>8.6392985015702368E-3</v>
      </c>
      <c r="I1205" s="1">
        <f t="shared" ref="I1205" si="1329">SUM(I1206:I1207)</f>
        <v>4.1187960956156747E-5</v>
      </c>
      <c r="J1205" s="1">
        <f t="shared" ref="J1205" si="1330">SUM(J1206:J1207)</f>
        <v>0.16905759430446538</v>
      </c>
      <c r="K1205" s="1">
        <f t="shared" ref="K1205:L1205" si="1331">SUM(K1206:K1207)</f>
        <v>9.80209897610013E-3</v>
      </c>
      <c r="L1205" s="1">
        <f t="shared" si="1331"/>
        <v>4.9938623767175533E-2</v>
      </c>
      <c r="N1205" s="1"/>
    </row>
    <row r="1206" spans="2:14" x14ac:dyDescent="0.35">
      <c r="B1206" s="5" t="str">
        <f t="shared" si="1298"/>
        <v>SPS1</v>
      </c>
      <c r="C1206" s="5" t="str">
        <f t="shared" si="1299"/>
        <v>CH</v>
      </c>
      <c r="D1206" t="s">
        <v>1337</v>
      </c>
      <c r="E1206" t="s">
        <v>8</v>
      </c>
      <c r="F1206" s="1">
        <f>[1]Transport!B$27/SUM([1]Transport!B$24,[1]Transport!B$27)*F1203*(F$47+F$614)/(F$47+F$614+F$49)</f>
        <v>8.4360469374811595E-3</v>
      </c>
      <c r="G1206" s="1">
        <f>[1]Transport!C$27/SUM([1]Transport!C$24,[1]Transport!C$27)*G1203*(G$47+G$614)/(G$47+G$614+G$49)</f>
        <v>9.5296376414341893E-3</v>
      </c>
      <c r="H1206" s="1">
        <f>[1]Transport!D$27/SUM([1]Transport!D$24,[1]Transport!D$27)*H1203*(H$47+H$614)/(H$47+H$614+H$49)</f>
        <v>8.6392985015702368E-3</v>
      </c>
      <c r="I1206" s="1">
        <f>[1]Transport!E$27/SUM([1]Transport!E$24,[1]Transport!E$27)*I1203*(I$47+I$614)/(I$47+I$614+I$49)</f>
        <v>4.1187960956156747E-5</v>
      </c>
      <c r="J1206" s="1">
        <f>[2]Transport!F$27/SUM([2]Transport!F$24,[2]Transport!F$27)*J1203*(J$47+J$614)/(J$47+J$614+J$49)</f>
        <v>1.3808193842944867E-4</v>
      </c>
      <c r="K1206" s="1">
        <f>[2]Transport!G$27/SUM([2]Transport!G$24,[2]Transport!G$27)*K1203*(K$47+K$614)/(K$47+K$614+K$49)</f>
        <v>1.689860389960776E-5</v>
      </c>
      <c r="L1206" s="1">
        <f>[2]Transport!H$27/SUM([2]Transport!H$24,[2]Transport!H$27)*L1203*(L$47+L$614)/(L$47+L$614+L$49)</f>
        <v>9.8587122110462841E-6</v>
      </c>
      <c r="N1206" s="1"/>
    </row>
    <row r="1207" spans="2:14" x14ac:dyDescent="0.35">
      <c r="B1207" s="5" t="str">
        <f t="shared" si="1298"/>
        <v>SPS1</v>
      </c>
      <c r="C1207" s="5" t="str">
        <f t="shared" si="1299"/>
        <v>CH</v>
      </c>
      <c r="D1207" t="s">
        <v>1338</v>
      </c>
      <c r="E1207" t="s">
        <v>8</v>
      </c>
      <c r="F1207" s="1">
        <f>(F$49+F$716)/([1]Transport!B$24+[1]Transport!B$27)*F1203</f>
        <v>0</v>
      </c>
      <c r="G1207" s="1">
        <f>(G$49+G$716)/([1]Transport!C$24+[1]Transport!C$27)*G1203</f>
        <v>0</v>
      </c>
      <c r="H1207" s="1">
        <f>(H$49+H$716)/([1]Transport!D$24+[1]Transport!D$27)*H1203</f>
        <v>0</v>
      </c>
      <c r="I1207" s="1">
        <f>(I$49+I$716)/([1]Transport!E$24+[1]Transport!E$27)*I1203</f>
        <v>0</v>
      </c>
      <c r="J1207" s="1">
        <f>(J$49+J$716)/([2]Transport!F$24+[2]Transport!F$27)*J1203</f>
        <v>0.16891951236603592</v>
      </c>
      <c r="K1207" s="1">
        <f>(K$49+K$716)/([2]Transport!G$24+[2]Transport!G$27)*K1203</f>
        <v>9.785200372200523E-3</v>
      </c>
      <c r="L1207" s="1">
        <f>(L$49+L$716)/([2]Transport!H$24+[2]Transport!H$27)*L1203</f>
        <v>4.9928765054964484E-2</v>
      </c>
      <c r="N1207" s="1"/>
    </row>
    <row r="1208" spans="2:14" x14ac:dyDescent="0.35">
      <c r="B1208" s="5" t="str">
        <f>B1203</f>
        <v>SPS1</v>
      </c>
      <c r="C1208" s="5" t="str">
        <f>C1203</f>
        <v>CH</v>
      </c>
      <c r="D1208" t="s">
        <v>1330</v>
      </c>
      <c r="E1208" t="s">
        <v>8</v>
      </c>
      <c r="F1208" s="1" cm="1">
        <f t="array" ref="F1208">SUMPRODUCT(("T_C-ICENGAEXT"=[1]OUT_TransportEnergyCons!$A$3:$A$1000)*1,("Var_Fin"=[1]OUT_TransportEnergyCons!$B$3:$B$1000)*1,ISNUMBER(SEARCH("NGA",[1]OUT_TransportEnergyCons!$C$3:$C$1000))*1,[1]OUT_TransportEnergyCons!D$3:D$1000)</f>
        <v>0</v>
      </c>
      <c r="G1208" s="1" cm="1">
        <f t="array" ref="G1208">SUMPRODUCT(("T_C-ICENGAEXT"=[1]OUT_TransportEnergyCons!$A$3:$A$1000)*1,("Var_Fin"=[1]OUT_TransportEnergyCons!$B$3:$B$1000)*1,ISNUMBER(SEARCH("NGA",[1]OUT_TransportEnergyCons!$C$3:$C$1000))*1,[1]OUT_TransportEnergyCons!E$3:E$1000)</f>
        <v>0</v>
      </c>
      <c r="H1208" s="1" cm="1">
        <f t="array" ref="H1208">SUMPRODUCT(("T_C-ICENGAEXT"=[1]OUT_TransportEnergyCons!$A$3:$A$1000)*1,("Var_Fin"=[1]OUT_TransportEnergyCons!$B$3:$B$1000)*1,ISNUMBER(SEARCH("NGA",[1]OUT_TransportEnergyCons!$C$3:$C$1000))*1,[1]OUT_TransportEnergyCons!F$3:F$1000)</f>
        <v>0</v>
      </c>
      <c r="I1208" s="1" cm="1">
        <f t="array" ref="I1208">SUMPRODUCT(("T_C-ICENGAEXT"=[1]OUT_TransportEnergyCons!$A$3:$A$1000)*1,("Var_Fin"=[1]OUT_TransportEnergyCons!$B$3:$B$1000)*1,ISNUMBER(SEARCH("NGA",[1]OUT_TransportEnergyCons!$C$3:$C$1000))*1,[1]OUT_TransportEnergyCons!G$3:G$1000)</f>
        <v>0</v>
      </c>
      <c r="J1208" s="1" cm="1">
        <f t="array" ref="J1208">SUMPRODUCT(("T_C-ICENGAEXT"=[2]OUT_TransportEnergyCons!$A$3:$A$1000)*1,("Var_Fin"=[2]OUT_TransportEnergyCons!$B$3:$B$1000)*1,ISNUMBER(SEARCH("NGA",[2]OUT_TransportEnergyCons!$C$3:$C$1000))*1,[2]OUT_TransportEnergyCons!H$3:H$1000)</f>
        <v>0</v>
      </c>
      <c r="K1208" s="1" cm="1">
        <f t="array" ref="K1208">SUMPRODUCT(("T_C-ICENGAEXT"=[2]OUT_TransportEnergyCons!$A$3:$A$1000)*1,("Var_Fin"=[2]OUT_TransportEnergyCons!$B$3:$B$1000)*1,ISNUMBER(SEARCH("NGA",[2]OUT_TransportEnergyCons!$C$3:$C$1000))*1,[2]OUT_TransportEnergyCons!I$3:I$1000)</f>
        <v>0</v>
      </c>
      <c r="L1208" s="1" cm="1">
        <f t="array" ref="L1208">SUMPRODUCT(("T_C-ICENGAEXT"=[2]OUT_TransportEnergyCons!$A$3:$A$1000)*1,("Var_Fin"=[2]OUT_TransportEnergyCons!$B$3:$B$1000)*1,ISNUMBER(SEARCH("NGA",[2]OUT_TransportEnergyCons!$C$3:$C$1000))*1,[2]OUT_TransportEnergyCons!J$3:J$1000)</f>
        <v>0</v>
      </c>
      <c r="N1208" s="1"/>
    </row>
    <row r="1209" spans="2:14" x14ac:dyDescent="0.35">
      <c r="B1209" s="5" t="str">
        <f t="shared" si="1298"/>
        <v>SPS1</v>
      </c>
      <c r="C1209" s="5" t="str">
        <f t="shared" si="1299"/>
        <v>CH</v>
      </c>
      <c r="D1209" t="s">
        <v>1331</v>
      </c>
      <c r="E1209" t="s">
        <v>8</v>
      </c>
      <c r="F1209" s="1" cm="1">
        <f t="array" ref="F1209">SUMPRODUCT(("T_C-ICE-NGA-S1"=[1]OUT_TransportEnergyCons!$A$3:$A$1000)*1,("Var_Fin"=[1]OUT_TransportEnergyCons!$B$3:$B$1000)*1,ISNUMBER(SEARCH("NGA",[1]OUT_TransportEnergyCons!$C$3:$C$1000))*1,[1]OUT_TransportEnergyCons!D$3:D$1000)</f>
        <v>3.7371826121657707E-3</v>
      </c>
      <c r="G1209" s="1" cm="1">
        <f t="array" ref="G1209">SUMPRODUCT(("T_C-ICE-NGA-S1"=[1]OUT_TransportEnergyCons!$A$3:$A$1000)*1,("Var_Fin"=[1]OUT_TransportEnergyCons!$B$3:$B$1000)*1,ISNUMBER(SEARCH("NGA",[1]OUT_TransportEnergyCons!$C$3:$C$1000))*1,[1]OUT_TransportEnergyCons!E$3:E$1000)</f>
        <v>2.1045611924555181E-3</v>
      </c>
      <c r="H1209" s="1" cm="1">
        <f t="array" ref="H1209">SUMPRODUCT(("T_C-ICE-NGA-S1"=[1]OUT_TransportEnergyCons!$A$3:$A$1000)*1,("Var_Fin"=[1]OUT_TransportEnergyCons!$B$3:$B$1000)*1,ISNUMBER(SEARCH("NGA",[1]OUT_TransportEnergyCons!$C$3:$C$1000))*1,[1]OUT_TransportEnergyCons!F$3:F$1000)</f>
        <v>1.605376901726759E-3</v>
      </c>
      <c r="I1209" s="1" cm="1">
        <f t="array" ref="I1209">SUMPRODUCT(("T_C-ICE-NGA-S1"=[1]OUT_TransportEnergyCons!$A$3:$A$1000)*1,("Var_Fin"=[1]OUT_TransportEnergyCons!$B$3:$B$1000)*1,ISNUMBER(SEARCH("NGA",[1]OUT_TransportEnergyCons!$C$3:$C$1000))*1,[1]OUT_TransportEnergyCons!G$3:G$1000)</f>
        <v>1.3555284931257916E-4</v>
      </c>
      <c r="J1209" s="1" cm="1">
        <f t="array" ref="J1209">SUMPRODUCT(("T_C-ICE-NGA-S1"=[2]OUT_TransportEnergyCons!$A$3:$A$1000)*1,("Var_Fin"=[2]OUT_TransportEnergyCons!$B$3:$B$1000)*1,ISNUMBER(SEARCH("NGA",[2]OUT_TransportEnergyCons!$C$3:$C$1000))*1,[2]OUT_TransportEnergyCons!H$3:H$1000)</f>
        <v>1.0800650990225746E-4</v>
      </c>
      <c r="K1209" s="1" cm="1">
        <f t="array" ref="K1209">SUMPRODUCT(("T_C-ICE-NGA-S1"=[2]OUT_TransportEnergyCons!$A$3:$A$1000)*1,("Var_Fin"=[2]OUT_TransportEnergyCons!$B$3:$B$1000)*1,ISNUMBER(SEARCH("NGA",[2]OUT_TransportEnergyCons!$C$3:$C$1000))*1,[2]OUT_TransportEnergyCons!I$3:I$1000)</f>
        <v>7.7856518295222571E-5</v>
      </c>
      <c r="L1209" s="1" cm="1">
        <f t="array" ref="L1209">SUMPRODUCT(("T_C-ICE-NGA-S1"=[2]OUT_TransportEnergyCons!$A$3:$A$1000)*1,("Var_Fin"=[2]OUT_TransportEnergyCons!$B$3:$B$1000)*1,ISNUMBER(SEARCH("NGA",[2]OUT_TransportEnergyCons!$C$3:$C$1000))*1,[2]OUT_TransportEnergyCons!J$3:J$1000)</f>
        <v>5.2743040537572695E-5</v>
      </c>
      <c r="N1209" s="1"/>
    </row>
    <row r="1210" spans="2:14" x14ac:dyDescent="0.35">
      <c r="B1210" s="5" t="str">
        <f t="shared" si="1298"/>
        <v>SPS1</v>
      </c>
      <c r="C1210" s="5" t="str">
        <f t="shared" si="1299"/>
        <v>CH</v>
      </c>
      <c r="D1210" t="s">
        <v>1332</v>
      </c>
      <c r="E1210" t="s">
        <v>8</v>
      </c>
      <c r="F1210" s="1" cm="1">
        <f t="array" ref="F1210">SUMPRODUCT(("T_C-ICE-NGA-S2"=[1]OUT_TransportEnergyCons!$A$3:$A$1000)*1,("Var_Fin"=[1]OUT_TransportEnergyCons!$B$3:$B$1000)*1,ISNUMBER(SEARCH("NGA",[1]OUT_TransportEnergyCons!$C$3:$C$1000))*1,[1]OUT_TransportEnergyCons!D$3:D$1000)</f>
        <v>5.6063935856071515E-2</v>
      </c>
      <c r="G1210" s="1" cm="1">
        <f t="array" ref="G1210">SUMPRODUCT(("T_C-ICE-NGA-S2"=[1]OUT_TransportEnergyCons!$A$3:$A$1000)*1,("Var_Fin"=[1]OUT_TransportEnergyCons!$B$3:$B$1000)*1,ISNUMBER(SEARCH("NGA",[1]OUT_TransportEnergyCons!$C$3:$C$1000))*1,[1]OUT_TransportEnergyCons!E$3:E$1000)</f>
        <v>4.4088188060146236E-2</v>
      </c>
      <c r="H1210" s="1" cm="1">
        <f t="array" ref="H1210">SUMPRODUCT(("T_C-ICE-NGA-S2"=[1]OUT_TransportEnergyCons!$A$3:$A$1000)*1,("Var_Fin"=[1]OUT_TransportEnergyCons!$B$3:$B$1000)*1,ISNUMBER(SEARCH("NGA",[1]OUT_TransportEnergyCons!$C$3:$C$1000))*1,[1]OUT_TransportEnergyCons!F$3:F$1000)</f>
        <v>4.3790193816472624E-2</v>
      </c>
      <c r="I1210" s="1" cm="1">
        <f t="array" ref="I1210">SUMPRODUCT(("T_C-ICE-NGA-S2"=[1]OUT_TransportEnergyCons!$A$3:$A$1000)*1,("Var_Fin"=[1]OUT_TransportEnergyCons!$B$3:$B$1000)*1,ISNUMBER(SEARCH("NGA",[1]OUT_TransportEnergyCons!$C$3:$C$1000))*1,[1]OUT_TransportEnergyCons!G$3:G$1000)</f>
        <v>2.2105038052817118E-4</v>
      </c>
      <c r="J1210" s="1" cm="1">
        <f t="array" ref="J1210">SUMPRODUCT(("T_C-ICE-NGA-S2"=[2]OUT_TransportEnergyCons!$A$3:$A$1000)*1,("Var_Fin"=[2]OUT_TransportEnergyCons!$B$3:$B$1000)*1,ISNUMBER(SEARCH("NGA",[2]OUT_TransportEnergyCons!$C$3:$C$1000))*1,[2]OUT_TransportEnergyCons!H$3:H$1000)</f>
        <v>1.967645968609071E-4</v>
      </c>
      <c r="K1210" s="1" cm="1">
        <f t="array" ref="K1210">SUMPRODUCT(("T_C-ICE-NGA-S2"=[2]OUT_TransportEnergyCons!$A$3:$A$1000)*1,("Var_Fin"=[2]OUT_TransportEnergyCons!$B$3:$B$1000)*1,ISNUMBER(SEARCH("NGA",[2]OUT_TransportEnergyCons!$C$3:$C$1000))*1,[2]OUT_TransportEnergyCons!I$3:I$1000)</f>
        <v>1.8629500134389061E-4</v>
      </c>
      <c r="L1210" s="1" cm="1">
        <f t="array" ref="L1210">SUMPRODUCT(("T_C-ICE-NGA-S2"=[2]OUT_TransportEnergyCons!$A$3:$A$1000)*1,("Var_Fin"=[2]OUT_TransportEnergyCons!$B$3:$B$1000)*1,ISNUMBER(SEARCH("NGA",[2]OUT_TransportEnergyCons!$C$3:$C$1000))*1,[2]OUT_TransportEnergyCons!J$3:J$1000)</f>
        <v>1.217075415965122E-4</v>
      </c>
      <c r="N1210" s="1"/>
    </row>
    <row r="1211" spans="2:14" x14ac:dyDescent="0.35">
      <c r="B1211" s="5" t="str">
        <f t="shared" si="1298"/>
        <v>SPS1</v>
      </c>
      <c r="C1211" s="5" t="str">
        <f t="shared" si="1299"/>
        <v>CH</v>
      </c>
      <c r="D1211" t="s">
        <v>1333</v>
      </c>
      <c r="E1211" t="s">
        <v>8</v>
      </c>
      <c r="F1211" s="1" cm="1">
        <f t="array" ref="F1211">SUMPRODUCT(("T_C-ICE-NGA-S3"=[1]OUT_TransportEnergyCons!$A$3:$A$1000)*1,("Var_Fin"=[1]OUT_TransportEnergyCons!$B$3:$B$1000)*1,ISNUMBER(SEARCH("NGA",[1]OUT_TransportEnergyCons!$C$3:$C$1000))*1,[1]OUT_TransportEnergyCons!D$3:D$1000)</f>
        <v>4.4947243502587962E-3</v>
      </c>
      <c r="G1211" s="1" cm="1">
        <f t="array" ref="G1211">SUMPRODUCT(("T_C-ICE-NGA-S3"=[1]OUT_TransportEnergyCons!$A$3:$A$1000)*1,("Var_Fin"=[1]OUT_TransportEnergyCons!$B$3:$B$1000)*1,ISNUMBER(SEARCH("NGA",[1]OUT_TransportEnergyCons!$C$3:$C$1000))*1,[1]OUT_TransportEnergyCons!E$3:E$1000)</f>
        <v>3.7327277257738151E-3</v>
      </c>
      <c r="H1211" s="1" cm="1">
        <f t="array" ref="H1211">SUMPRODUCT(("T_C-ICE-NGA-S3"=[1]OUT_TransportEnergyCons!$A$3:$A$1000)*1,("Var_Fin"=[1]OUT_TransportEnergyCons!$B$3:$B$1000)*1,ISNUMBER(SEARCH("NGA",[1]OUT_TransportEnergyCons!$C$3:$C$1000))*1,[1]OUT_TransportEnergyCons!F$3:F$1000)</f>
        <v>4.8380559469938357E-3</v>
      </c>
      <c r="I1211" s="1" cm="1">
        <f t="array" ref="I1211">SUMPRODUCT(("T_C-ICE-NGA-S3"=[1]OUT_TransportEnergyCons!$A$3:$A$1000)*1,("Var_Fin"=[1]OUT_TransportEnergyCons!$B$3:$B$1000)*1,ISNUMBER(SEARCH("NGA",[1]OUT_TransportEnergyCons!$C$3:$C$1000))*1,[1]OUT_TransportEnergyCons!G$3:G$1000)</f>
        <v>5.5051450551154516E-4</v>
      </c>
      <c r="J1211" s="1" cm="1">
        <f t="array" ref="J1211">SUMPRODUCT(("T_C-ICE-NGA-S3"=[2]OUT_TransportEnergyCons!$A$3:$A$1000)*1,("Var_Fin"=[2]OUT_TransportEnergyCons!$B$3:$B$1000)*1,ISNUMBER(SEARCH("NGA",[2]OUT_TransportEnergyCons!$C$3:$C$1000))*1,[2]OUT_TransportEnergyCons!H$3:H$1000)</f>
        <v>2.9325164049470308E-4</v>
      </c>
      <c r="K1211" s="1" cm="1">
        <f t="array" ref="K1211">SUMPRODUCT(("T_C-ICE-NGA-S3"=[2]OUT_TransportEnergyCons!$A$3:$A$1000)*1,("Var_Fin"=[2]OUT_TransportEnergyCons!$B$3:$B$1000)*1,ISNUMBER(SEARCH("NGA",[2]OUT_TransportEnergyCons!$C$3:$C$1000))*1,[2]OUT_TransportEnergyCons!I$3:I$1000)</f>
        <v>2.6042990397689091E-4</v>
      </c>
      <c r="L1211" s="1" cm="1">
        <f t="array" ref="L1211">SUMPRODUCT(("T_C-ICE-NGA-S3"=[2]OUT_TransportEnergyCons!$A$3:$A$1000)*1,("Var_Fin"=[2]OUT_TransportEnergyCons!$B$3:$B$1000)*1,ISNUMBER(SEARCH("NGA",[2]OUT_TransportEnergyCons!$C$3:$C$1000))*1,[2]OUT_TransportEnergyCons!J$3:J$1000)</f>
        <v>1.9897717277266984E-4</v>
      </c>
      <c r="N1211" s="1"/>
    </row>
    <row r="1212" spans="2:14" x14ac:dyDescent="0.35">
      <c r="B1212" s="5" t="str">
        <f t="shared" si="1298"/>
        <v>SPS1</v>
      </c>
      <c r="C1212" s="5" t="str">
        <f t="shared" si="1299"/>
        <v>CH</v>
      </c>
      <c r="D1212" t="s">
        <v>1334</v>
      </c>
      <c r="E1212" t="s">
        <v>8</v>
      </c>
      <c r="F1212" s="1" cm="1">
        <f t="array" ref="F1212">SUMPRODUCT(("T_C-ICE-NGA-S4"=[1]OUT_TransportEnergyCons!$A$3:$A$1000)*1,("Var_Fin"=[1]OUT_TransportEnergyCons!$B$3:$B$1000)*1,ISNUMBER(SEARCH("NGA",[1]OUT_TransportEnergyCons!$C$3:$C$1000))*1,[1]OUT_TransportEnergyCons!D$3:D$1000)</f>
        <v>4.8429531601783815E-2</v>
      </c>
      <c r="G1212" s="1" cm="1">
        <f t="array" ref="G1212">SUMPRODUCT(("T_C-ICE-NGA-S4"=[1]OUT_TransportEnergyCons!$A$3:$A$1000)*1,("Var_Fin"=[1]OUT_TransportEnergyCons!$B$3:$B$1000)*1,ISNUMBER(SEARCH("NGA",[1]OUT_TransportEnergyCons!$C$3:$C$1000))*1,[1]OUT_TransportEnergyCons!E$3:E$1000)</f>
        <v>4.7147463974751246E-2</v>
      </c>
      <c r="H1212" s="1" cm="1">
        <f t="array" ref="H1212">SUMPRODUCT(("T_C-ICE-NGA-S4"=[1]OUT_TransportEnergyCons!$A$3:$A$1000)*1,("Var_Fin"=[1]OUT_TransportEnergyCons!$B$3:$B$1000)*1,ISNUMBER(SEARCH("NGA",[1]OUT_TransportEnergyCons!$C$3:$C$1000))*1,[1]OUT_TransportEnergyCons!F$3:F$1000)</f>
        <v>4.3899642374242549E-2</v>
      </c>
      <c r="I1212" s="1" cm="1">
        <f t="array" ref="I1212">SUMPRODUCT(("T_C-ICE-NGA-S4"=[1]OUT_TransportEnergyCons!$A$3:$A$1000)*1,("Var_Fin"=[1]OUT_TransportEnergyCons!$B$3:$B$1000)*1,ISNUMBER(SEARCH("NGA",[1]OUT_TransportEnergyCons!$C$3:$C$1000))*1,[1]OUT_TransportEnergyCons!G$3:G$1000)</f>
        <v>1.4642564020406768E-4</v>
      </c>
      <c r="J1212" s="1" cm="1">
        <f t="array" ref="J1212">SUMPRODUCT(("T_C-ICE-NGA-S4"=[2]OUT_TransportEnergyCons!$A$3:$A$1000)*1,("Var_Fin"=[2]OUT_TransportEnergyCons!$B$3:$B$1000)*1,ISNUMBER(SEARCH("NGA",[2]OUT_TransportEnergyCons!$C$3:$C$1000))*1,[2]OUT_TransportEnergyCons!H$3:H$1000)</f>
        <v>2.1621981266234749E-4</v>
      </c>
      <c r="K1212" s="1" cm="1">
        <f t="array" ref="K1212">SUMPRODUCT(("T_C-ICE-NGA-S4"=[2]OUT_TransportEnergyCons!$A$3:$A$1000)*1,("Var_Fin"=[2]OUT_TransportEnergyCons!$B$3:$B$1000)*1,ISNUMBER(SEARCH("NGA",[2]OUT_TransportEnergyCons!$C$3:$C$1000))*1,[2]OUT_TransportEnergyCons!I$3:I$1000)</f>
        <v>2.3104126833015096E-4</v>
      </c>
      <c r="L1212" s="1" cm="1">
        <f t="array" ref="L1212">SUMPRODUCT(("T_C-ICE-NGA-S4"=[2]OUT_TransportEnergyCons!$A$3:$A$1000)*1,("Var_Fin"=[2]OUT_TransportEnergyCons!$B$3:$B$1000)*1,ISNUMBER(SEARCH("NGA",[2]OUT_TransportEnergyCons!$C$3:$C$1000))*1,[2]OUT_TransportEnergyCons!J$3:J$1000)</f>
        <v>2.0160963237101558E-4</v>
      </c>
      <c r="N1212" s="1"/>
    </row>
    <row r="1213" spans="2:14" x14ac:dyDescent="0.35">
      <c r="B1213" s="5" t="str">
        <f t="shared" si="1298"/>
        <v>SPS1</v>
      </c>
      <c r="C1213" s="5" t="str">
        <f t="shared" si="1299"/>
        <v>CH</v>
      </c>
      <c r="D1213" s="2" t="s">
        <v>1132</v>
      </c>
      <c r="E1213" s="2" t="s">
        <v>1131</v>
      </c>
      <c r="F1213" s="3">
        <f>SUM(F1214:F1263)</f>
        <v>49.003163104801743</v>
      </c>
      <c r="G1213" s="3">
        <f t="shared" ref="G1213:K1213" si="1332">SUM(G1214:G1263)</f>
        <v>55.671151993432431</v>
      </c>
      <c r="H1213" s="3">
        <f t="shared" si="1332"/>
        <v>58.440063176793011</v>
      </c>
      <c r="I1213" s="3">
        <f t="shared" si="1332"/>
        <v>62.339274464744818</v>
      </c>
      <c r="J1213" s="3">
        <f t="shared" si="1332"/>
        <v>62.589867777926585</v>
      </c>
      <c r="K1213" s="3">
        <f t="shared" si="1332"/>
        <v>62.325006346417503</v>
      </c>
      <c r="L1213" s="3">
        <f t="shared" ref="L1213" si="1333">SUM(L1214:L1263)</f>
        <v>61.131319256948075</v>
      </c>
      <c r="N1213" s="1"/>
    </row>
    <row r="1214" spans="2:14" x14ac:dyDescent="0.35">
      <c r="B1214" s="5" t="str">
        <f>B1213</f>
        <v>SPS1</v>
      </c>
      <c r="C1214" s="5" t="str">
        <f>C1213</f>
        <v>CH</v>
      </c>
      <c r="D1214" t="s">
        <v>1133</v>
      </c>
      <c r="E1214" t="str">
        <f>E1213</f>
        <v>billion km/yr.</v>
      </c>
      <c r="F1214" s="1" cm="1">
        <f t="array" ref="F1214">SUMPRODUCT(("T_C-BATELCEXT"=[1]OUT_TransportEnergyCons!$A$3:$A$1000)*1,("var_fout"=[1]OUT_TransportEnergyCons!$B$3:$B$1000)*1,ISNUMBER(SEARCH("TPCAR",[1]OUT_TransportEnergyCons!$C$3:$C$1000))*1,[1]OUT_TransportEnergyCons!D$3:D$1000)</f>
        <v>0.41619601007826573</v>
      </c>
      <c r="G1214" s="1" cm="1">
        <f t="array" ref="G1214">SUMPRODUCT(("T_C-BATELCEXT"=[1]OUT_TransportEnergyCons!$A$3:$A$1000)*1,("var_fout"=[1]OUT_TransportEnergyCons!$B$3:$B$1000)*1,ISNUMBER(SEARCH("TPCAR",[1]OUT_TransportEnergyCons!$C$3:$C$1000))*1,[1]OUT_TransportEnergyCons!E$3:E$1000)</f>
        <v>0.36070359628695886</v>
      </c>
      <c r="H1214" s="1" cm="1">
        <f t="array" ref="H1214">SUMPRODUCT(("T_C-BATELCEXT"=[1]OUT_TransportEnergyCons!$A$3:$A$1000)*1,("var_fout"=[1]OUT_TransportEnergyCons!$B$3:$B$1000)*1,ISNUMBER(SEARCH("TPCAR",[1]OUT_TransportEnergyCons!$C$3:$C$1000))*1,[1]OUT_TransportEnergyCons!F$3:F$1000)</f>
        <v>0.27746404943121999</v>
      </c>
      <c r="I1214" s="1" cm="1">
        <f t="array" ref="I1214">SUMPRODUCT(("T_C-BATELCEXT"=[1]OUT_TransportEnergyCons!$A$3:$A$1000)*1,("var_fout"=[1]OUT_TransportEnergyCons!$B$3:$B$1000)*1,ISNUMBER(SEARCH("TPCAR",[1]OUT_TransportEnergyCons!$C$3:$C$1000))*1,[1]OUT_TransportEnergyCons!G$3:G$1000)</f>
        <v>0.13873206255434314</v>
      </c>
      <c r="J1214" s="1" cm="1">
        <f t="array" ref="J1214">SUMPRODUCT(("T_C-BATELCEXT"=[2]OUT_TransportEnergyCons!$A$3:$A$1000)*1,("var_fout"=[2]OUT_TransportEnergyCons!$B$3:$B$1000)*1,ISNUMBER(SEARCH("TPCAR",[2]OUT_TransportEnergyCons!$C$3:$C$1000))*1,[2]OUT_TransportEnergyCons!H$3:H$1000)</f>
        <v>0</v>
      </c>
      <c r="K1214" s="1" cm="1">
        <f t="array" ref="K1214">SUMPRODUCT(("T_C-BATELCEXT"=[2]OUT_TransportEnergyCons!$A$3:$A$1000)*1,("var_fout"=[2]OUT_TransportEnergyCons!$B$3:$B$1000)*1,ISNUMBER(SEARCH("TPCAR",[2]OUT_TransportEnergyCons!$C$3:$C$1000))*1,[2]OUT_TransportEnergyCons!I$3:I$1000)</f>
        <v>0</v>
      </c>
      <c r="L1214" s="1" cm="1">
        <f t="array" ref="L1214">SUMPRODUCT(("T_C-BATELCEXT"=[2]OUT_TransportEnergyCons!$A$3:$A$1000)*1,("var_fout"=[2]OUT_TransportEnergyCons!$B$3:$B$1000)*1,ISNUMBER(SEARCH("TPCAR",[2]OUT_TransportEnergyCons!$C$3:$C$1000))*1,[2]OUT_TransportEnergyCons!J$3:J$1000)</f>
        <v>0</v>
      </c>
      <c r="N1214" s="1"/>
    </row>
    <row r="1215" spans="2:14" x14ac:dyDescent="0.35">
      <c r="B1215" s="5" t="str">
        <f t="shared" si="1298"/>
        <v>SPS1</v>
      </c>
      <c r="C1215" s="5" t="str">
        <f t="shared" si="1299"/>
        <v>CH</v>
      </c>
      <c r="D1215" t="s">
        <v>1134</v>
      </c>
      <c r="E1215" t="str">
        <f t="shared" ref="E1215:E1263" si="1334">E1214</f>
        <v>billion km/yr.</v>
      </c>
      <c r="F1215" s="1" cm="1">
        <f t="array" ref="F1215">SUMPRODUCT(("T_C-BAT-ELC-S1"=[1]OUT_TransportEnergyCons!$A$3:$A$1000)*1,("var_fout"=[1]OUT_TransportEnergyCons!$B$3:$B$1000)*1,ISNUMBER(SEARCH("TPCAR",[1]OUT_TransportEnergyCons!$C$3:$C$1000))*1,[1]OUT_TransportEnergyCons!D$3:D$1000)</f>
        <v>1.3983342791472604E-2</v>
      </c>
      <c r="G1215" s="1" cm="1">
        <f t="array" ref="G1215">SUMPRODUCT(("T_C-BAT-ELC-S1"=[1]OUT_TransportEnergyCons!$A$3:$A$1000)*1,("var_fout"=[1]OUT_TransportEnergyCons!$B$3:$B$1000)*1,ISNUMBER(SEARCH("TPCAR",[1]OUT_TransportEnergyCons!$C$3:$C$1000))*1,[1]OUT_TransportEnergyCons!E$3:E$1000)</f>
        <v>2.234244388282099E-2</v>
      </c>
      <c r="H1215" s="1" cm="1">
        <f t="array" ref="H1215">SUMPRODUCT(("T_C-BAT-ELC-S1"=[1]OUT_TransportEnergyCons!$A$3:$A$1000)*1,("var_fout"=[1]OUT_TransportEnergyCons!$B$3:$B$1000)*1,ISNUMBER(SEARCH("TPCAR",[1]OUT_TransportEnergyCons!$C$3:$C$1000))*1,[1]OUT_TransportEnergyCons!F$3:F$1000)</f>
        <v>1.5957542115139809E-2</v>
      </c>
      <c r="I1215" s="1" cm="1">
        <f t="array" ref="I1215">SUMPRODUCT(("T_C-BAT-ELC-S1"=[1]OUT_TransportEnergyCons!$A$3:$A$1000)*1,("var_fout"=[1]OUT_TransportEnergyCons!$B$3:$B$1000)*1,ISNUMBER(SEARCH("TPCAR",[1]OUT_TransportEnergyCons!$C$3:$C$1000))*1,[1]OUT_TransportEnergyCons!G$3:G$1000)</f>
        <v>1.4655609060190731E-2</v>
      </c>
      <c r="J1215" s="1" cm="1">
        <f t="array" ref="J1215">SUMPRODUCT(("T_C-BAT-ELC-S1"=[2]OUT_TransportEnergyCons!$A$3:$A$1000)*1,("var_fout"=[2]OUT_TransportEnergyCons!$B$3:$B$1000)*1,ISNUMBER(SEARCH("TPCAR",[2]OUT_TransportEnergyCons!$C$3:$C$1000))*1,[2]OUT_TransportEnergyCons!H$3:H$1000)</f>
        <v>8.3307877096633065E-3</v>
      </c>
      <c r="K1215" s="1" cm="1">
        <f t="array" ref="K1215">SUMPRODUCT(("T_C-BAT-ELC-S1"=[2]OUT_TransportEnergyCons!$A$3:$A$1000)*1,("var_fout"=[2]OUT_TransportEnergyCons!$B$3:$B$1000)*1,ISNUMBER(SEARCH("TPCAR",[2]OUT_TransportEnergyCons!$C$3:$C$1000))*1,[2]OUT_TransportEnergyCons!I$3:I$1000)</f>
        <v>0.10165927039893971</v>
      </c>
      <c r="L1215" s="1" cm="1">
        <f t="array" ref="L1215">SUMPRODUCT(("T_C-BAT-ELC-S1"=[2]OUT_TransportEnergyCons!$A$3:$A$1000)*1,("var_fout"=[2]OUT_TransportEnergyCons!$B$3:$B$1000)*1,ISNUMBER(SEARCH("TPCAR",[2]OUT_TransportEnergyCons!$C$3:$C$1000))*1,[2]OUT_TransportEnergyCons!J$3:J$1000)</f>
        <v>1.7119774238583825</v>
      </c>
      <c r="N1215" s="1"/>
    </row>
    <row r="1216" spans="2:14" x14ac:dyDescent="0.35">
      <c r="B1216" s="5" t="str">
        <f t="shared" si="1298"/>
        <v>SPS1</v>
      </c>
      <c r="C1216" s="5" t="str">
        <f t="shared" si="1299"/>
        <v>CH</v>
      </c>
      <c r="D1216" t="s">
        <v>1135</v>
      </c>
      <c r="E1216" t="str">
        <f t="shared" si="1334"/>
        <v>billion km/yr.</v>
      </c>
      <c r="F1216" s="1" cm="1">
        <f t="array" ref="F1216">SUMPRODUCT(("T_C-BAT-ELC-S2"=[1]OUT_TransportEnergyCons!$A$3:$A$1000)*1,("var_fout"=[1]OUT_TransportEnergyCons!$B$3:$B$1000)*1,ISNUMBER(SEARCH("TPCAR",[1]OUT_TransportEnergyCons!$C$3:$C$1000))*1,[1]OUT_TransportEnergyCons!D$3:D$1000)</f>
        <v>9.6907940660372463E-2</v>
      </c>
      <c r="G1216" s="1" cm="1">
        <f t="array" ref="G1216">SUMPRODUCT(("T_C-BAT-ELC-S2"=[1]OUT_TransportEnergyCons!$A$3:$A$1000)*1,("var_fout"=[1]OUT_TransportEnergyCons!$B$3:$B$1000)*1,ISNUMBER(SEARCH("TPCAR",[1]OUT_TransportEnergyCons!$C$3:$C$1000))*1,[1]OUT_TransportEnergyCons!E$3:E$1000)</f>
        <v>0.14995594092923872</v>
      </c>
      <c r="H1216" s="1" cm="1">
        <f t="array" ref="H1216">SUMPRODUCT(("T_C-BAT-ELC-S2"=[1]OUT_TransportEnergyCons!$A$3:$A$1000)*1,("var_fout"=[1]OUT_TransportEnergyCons!$B$3:$B$1000)*1,ISNUMBER(SEARCH("TPCAR",[1]OUT_TransportEnergyCons!$C$3:$C$1000))*1,[1]OUT_TransportEnergyCons!F$3:F$1000)</f>
        <v>0.18647685153598598</v>
      </c>
      <c r="I1216" s="1" cm="1">
        <f t="array" ref="I1216">SUMPRODUCT(("T_C-BAT-ELC-S2"=[1]OUT_TransportEnergyCons!$A$3:$A$1000)*1,("var_fout"=[1]OUT_TransportEnergyCons!$B$3:$B$1000)*1,ISNUMBER(SEARCH("TPCAR",[1]OUT_TransportEnergyCons!$C$3:$C$1000))*1,[1]OUT_TransportEnergyCons!G$3:G$1000)</f>
        <v>7.6275572225201689</v>
      </c>
      <c r="J1216" s="1" cm="1">
        <f t="array" ref="J1216">SUMPRODUCT(("T_C-BAT-ELC-S2"=[2]OUT_TransportEnergyCons!$A$3:$A$1000)*1,("var_fout"=[2]OUT_TransportEnergyCons!$B$3:$B$1000)*1,ISNUMBER(SEARCH("TPCAR",[2]OUT_TransportEnergyCons!$C$3:$C$1000))*1,[2]OUT_TransportEnergyCons!H$3:H$1000)</f>
        <v>15.118031756981148</v>
      </c>
      <c r="K1216" s="1" cm="1">
        <f t="array" ref="K1216">SUMPRODUCT(("T_C-BAT-ELC-S2"=[2]OUT_TransportEnergyCons!$A$3:$A$1000)*1,("var_fout"=[2]OUT_TransportEnergyCons!$B$3:$B$1000)*1,ISNUMBER(SEARCH("TPCAR",[2]OUT_TransportEnergyCons!$C$3:$C$1000))*1,[2]OUT_TransportEnergyCons!I$3:I$1000)</f>
        <v>16.667354378223795</v>
      </c>
      <c r="L1216" s="1" cm="1">
        <f t="array" ref="L1216">SUMPRODUCT(("T_C-BAT-ELC-S2"=[2]OUT_TransportEnergyCons!$A$3:$A$1000)*1,("var_fout"=[2]OUT_TransportEnergyCons!$B$3:$B$1000)*1,ISNUMBER(SEARCH("TPCAR",[2]OUT_TransportEnergyCons!$C$3:$C$1000))*1,[2]OUT_TransportEnergyCons!J$3:J$1000)</f>
        <v>14.857137791880238</v>
      </c>
      <c r="N1216" s="1"/>
    </row>
    <row r="1217" spans="2:14" x14ac:dyDescent="0.35">
      <c r="B1217" s="5" t="str">
        <f t="shared" si="1298"/>
        <v>SPS1</v>
      </c>
      <c r="C1217" s="5" t="str">
        <f t="shared" si="1299"/>
        <v>CH</v>
      </c>
      <c r="D1217" t="s">
        <v>1136</v>
      </c>
      <c r="E1217" t="str">
        <f t="shared" si="1334"/>
        <v>billion km/yr.</v>
      </c>
      <c r="F1217" s="1" cm="1">
        <f t="array" ref="F1217">SUMPRODUCT(("T_C-BAT-ELC-S3"=[1]OUT_TransportEnergyCons!$A$3:$A$1000)*1,("var_fout"=[1]OUT_TransportEnergyCons!$B$3:$B$1000)*1,ISNUMBER(SEARCH("TPCAR",[1]OUT_TransportEnergyCons!$C$3:$C$1000))*1,[1]OUT_TransportEnergyCons!D$3:D$1000)</f>
        <v>6.187378075806458E-2</v>
      </c>
      <c r="G1217" s="1" cm="1">
        <f t="array" ref="G1217">SUMPRODUCT(("T_C-BAT-ELC-S3"=[1]OUT_TransportEnergyCons!$A$3:$A$1000)*1,("var_fout"=[1]OUT_TransportEnergyCons!$B$3:$B$1000)*1,ISNUMBER(SEARCH("TPCAR",[1]OUT_TransportEnergyCons!$C$3:$C$1000))*1,[1]OUT_TransportEnergyCons!E$3:E$1000)</f>
        <v>0.15679683570742928</v>
      </c>
      <c r="H1217" s="1" cm="1">
        <f t="array" ref="H1217">SUMPRODUCT(("T_C-BAT-ELC-S3"=[1]OUT_TransportEnergyCons!$A$3:$A$1000)*1,("var_fout"=[1]OUT_TransportEnergyCons!$B$3:$B$1000)*1,ISNUMBER(SEARCH("TPCAR",[1]OUT_TransportEnergyCons!$C$3:$C$1000))*1,[1]OUT_TransportEnergyCons!F$3:F$1000)</f>
        <v>0.16575740885088086</v>
      </c>
      <c r="I1217" s="1" cm="1">
        <f t="array" ref="I1217">SUMPRODUCT(("T_C-BAT-ELC-S3"=[1]OUT_TransportEnergyCons!$A$3:$A$1000)*1,("var_fout"=[1]OUT_TransportEnergyCons!$B$3:$B$1000)*1,ISNUMBER(SEARCH("TPCAR",[1]OUT_TransportEnergyCons!$C$3:$C$1000))*1,[1]OUT_TransportEnergyCons!G$3:G$1000)</f>
        <v>0.46799427450537323</v>
      </c>
      <c r="J1217" s="1" cm="1">
        <f t="array" ref="J1217">SUMPRODUCT(("T_C-BAT-ELC-S3"=[2]OUT_TransportEnergyCons!$A$3:$A$1000)*1,("var_fout"=[2]OUT_TransportEnergyCons!$B$3:$B$1000)*1,ISNUMBER(SEARCH("TPCAR",[2]OUT_TransportEnergyCons!$C$3:$C$1000))*1,[2]OUT_TransportEnergyCons!H$3:H$1000)</f>
        <v>4.2669502395387235</v>
      </c>
      <c r="K1217" s="1" cm="1">
        <f t="array" ref="K1217">SUMPRODUCT(("T_C-BAT-ELC-S3"=[2]OUT_TransportEnergyCons!$A$3:$A$1000)*1,("var_fout"=[2]OUT_TransportEnergyCons!$B$3:$B$1000)*1,ISNUMBER(SEARCH("TPCAR",[2]OUT_TransportEnergyCons!$C$3:$C$1000))*1,[2]OUT_TransportEnergyCons!I$3:I$1000)</f>
        <v>4.8646596028352382</v>
      </c>
      <c r="L1217" s="1" cm="1">
        <f t="array" ref="L1217">SUMPRODUCT(("T_C-BAT-ELC-S3"=[2]OUT_TransportEnergyCons!$A$3:$A$1000)*1,("var_fout"=[2]OUT_TransportEnergyCons!$B$3:$B$1000)*1,ISNUMBER(SEARCH("TPCAR",[2]OUT_TransportEnergyCons!$C$3:$C$1000))*1,[2]OUT_TransportEnergyCons!J$3:J$1000)</f>
        <v>4.6986529771351107</v>
      </c>
      <c r="N1217" s="1"/>
    </row>
    <row r="1218" spans="2:14" x14ac:dyDescent="0.35">
      <c r="B1218" s="5" t="str">
        <f t="shared" ref="B1218:B1264" si="1335">B1217</f>
        <v>SPS1</v>
      </c>
      <c r="C1218" s="5" t="str">
        <f t="shared" ref="C1218:C1264" si="1336">C1217</f>
        <v>CH</v>
      </c>
      <c r="D1218" t="s">
        <v>1137</v>
      </c>
      <c r="E1218" t="str">
        <f t="shared" si="1334"/>
        <v>billion km/yr.</v>
      </c>
      <c r="F1218" s="1" cm="1">
        <f t="array" ref="F1218">SUMPRODUCT(("T_C-BAT-ELC-S4"=[1]OUT_TransportEnergyCons!$A$3:$A$1000)*1,("var_fout"=[1]OUT_TransportEnergyCons!$B$3:$B$1000)*1,ISNUMBER(SEARCH("TPCAR",[1]OUT_TransportEnergyCons!$C$3:$C$1000))*1,[1]OUT_TransportEnergyCons!D$3:D$1000)</f>
        <v>0.19473093824349375</v>
      </c>
      <c r="G1218" s="1" cm="1">
        <f t="array" ref="G1218">SUMPRODUCT(("T_C-BAT-ELC-S4"=[1]OUT_TransportEnergyCons!$A$3:$A$1000)*1,("var_fout"=[1]OUT_TransportEnergyCons!$B$3:$B$1000)*1,ISNUMBER(SEARCH("TPCAR",[1]OUT_TransportEnergyCons!$C$3:$C$1000))*1,[1]OUT_TransportEnergyCons!E$3:E$1000)</f>
        <v>1.3858797367548119</v>
      </c>
      <c r="H1218" s="1" cm="1">
        <f t="array" ref="H1218">SUMPRODUCT(("T_C-BAT-ELC-S4"=[1]OUT_TransportEnergyCons!$A$3:$A$1000)*1,("var_fout"=[1]OUT_TransportEnergyCons!$B$3:$B$1000)*1,ISNUMBER(SEARCH("TPCAR",[1]OUT_TransportEnergyCons!$C$3:$C$1000))*1,[1]OUT_TransportEnergyCons!F$3:F$1000)</f>
        <v>4.6373070976830792</v>
      </c>
      <c r="I1218" s="1" cm="1">
        <f t="array" ref="I1218">SUMPRODUCT(("T_C-BAT-ELC-S4"=[1]OUT_TransportEnergyCons!$A$3:$A$1000)*1,("var_fout"=[1]OUT_TransportEnergyCons!$B$3:$B$1000)*1,ISNUMBER(SEARCH("TPCAR",[1]OUT_TransportEnergyCons!$C$3:$C$1000))*1,[1]OUT_TransportEnergyCons!G$3:G$1000)</f>
        <v>13.739947313918925</v>
      </c>
      <c r="J1218" s="1" cm="1">
        <f t="array" ref="J1218">SUMPRODUCT(("T_C-BAT-ELC-S4"=[2]OUT_TransportEnergyCons!$A$3:$A$1000)*1,("var_fout"=[2]OUT_TransportEnergyCons!$B$3:$B$1000)*1,ISNUMBER(SEARCH("TPCAR",[2]OUT_TransportEnergyCons!$C$3:$C$1000))*1,[2]OUT_TransportEnergyCons!H$3:H$1000)</f>
        <v>16.028407293723451</v>
      </c>
      <c r="K1218" s="1" cm="1">
        <f t="array" ref="K1218">SUMPRODUCT(("T_C-BAT-ELC-S4"=[2]OUT_TransportEnergyCons!$A$3:$A$1000)*1,("var_fout"=[2]OUT_TransportEnergyCons!$B$3:$B$1000)*1,ISNUMBER(SEARCH("TPCAR",[2]OUT_TransportEnergyCons!$C$3:$C$1000))*1,[2]OUT_TransportEnergyCons!I$3:I$1000)</f>
        <v>14.099635473297553</v>
      </c>
      <c r="L1218" s="1" cm="1">
        <f t="array" ref="L1218">SUMPRODUCT(("T_C-BAT-ELC-S4"=[2]OUT_TransportEnergyCons!$A$3:$A$1000)*1,("var_fout"=[2]OUT_TransportEnergyCons!$B$3:$B$1000)*1,ISNUMBER(SEARCH("TPCAR",[2]OUT_TransportEnergyCons!$C$3:$C$1000))*1,[2]OUT_TransportEnergyCons!J$3:J$1000)</f>
        <v>15.134244093865968</v>
      </c>
      <c r="N1218" s="1"/>
    </row>
    <row r="1219" spans="2:14" x14ac:dyDescent="0.35">
      <c r="B1219" s="5" t="str">
        <f t="shared" si="1335"/>
        <v>SPS1</v>
      </c>
      <c r="C1219" s="5" t="str">
        <f t="shared" si="1336"/>
        <v>CH</v>
      </c>
      <c r="D1219" t="s">
        <v>1138</v>
      </c>
      <c r="E1219" t="str">
        <f t="shared" si="1334"/>
        <v>billion km/yr.</v>
      </c>
      <c r="F1219" s="1" cm="1">
        <f t="array" ref="F1219">SUMPRODUCT(("T_C-PEV-GSL-S1"=[1]OUT_TransportEnergyCons!$A$3:$A$1000)*1,("var_fout"=[1]OUT_TransportEnergyCons!$B$3:$B$1000)*1,ISNUMBER(SEARCH("TPCAR",[1]OUT_TransportEnergyCons!$C$3:$C$1000))*1,[1]OUT_TransportEnergyCons!D$3:D$1000)</f>
        <v>2.1177649096650012E-4</v>
      </c>
      <c r="G1219" s="1" cm="1">
        <f t="array" ref="G1219">SUMPRODUCT(("T_C-PEV-GSL-S1"=[1]OUT_TransportEnergyCons!$A$3:$A$1000)*1,("var_fout"=[1]OUT_TransportEnergyCons!$B$3:$B$1000)*1,ISNUMBER(SEARCH("TPCAR",[1]OUT_TransportEnergyCons!$C$3:$C$1000))*1,[1]OUT_TransportEnergyCons!E$3:E$1000)</f>
        <v>4.8542073686185416E-4</v>
      </c>
      <c r="H1219" s="1" cm="1">
        <f t="array" ref="H1219">SUMPRODUCT(("T_C-PEV-GSL-S1"=[1]OUT_TransportEnergyCons!$A$3:$A$1000)*1,("var_fout"=[1]OUT_TransportEnergyCons!$B$3:$B$1000)*1,ISNUMBER(SEARCH("TPCAR",[1]OUT_TransportEnergyCons!$C$3:$C$1000))*1,[1]OUT_TransportEnergyCons!F$3:F$1000)</f>
        <v>4.8506159047711979E-4</v>
      </c>
      <c r="I1219" s="1" cm="1">
        <f t="array" ref="I1219">SUMPRODUCT(("T_C-PEV-GSL-S1"=[1]OUT_TransportEnergyCons!$A$3:$A$1000)*1,("var_fout"=[1]OUT_TransportEnergyCons!$B$3:$B$1000)*1,ISNUMBER(SEARCH("TPCAR",[1]OUT_TransportEnergyCons!$C$3:$C$1000))*1,[1]OUT_TransportEnergyCons!G$3:G$1000)</f>
        <v>5.145833877758997E-4</v>
      </c>
      <c r="J1219" s="1" cm="1">
        <f t="array" ref="J1219">SUMPRODUCT(("T_C-PEV-GSL-S1"=[2]OUT_TransportEnergyCons!$A$3:$A$1000)*1,("var_fout"=[2]OUT_TransportEnergyCons!$B$3:$B$1000)*1,ISNUMBER(SEARCH("TPCAR",[2]OUT_TransportEnergyCons!$C$3:$C$1000))*1,[2]OUT_TransportEnergyCons!H$3:H$1000)</f>
        <v>1.0366466654973296E-3</v>
      </c>
      <c r="K1219" s="1" cm="1">
        <f t="array" ref="K1219">SUMPRODUCT(("T_C-PEV-GSL-S1"=[2]OUT_TransportEnergyCons!$A$3:$A$1000)*1,("var_fout"=[2]OUT_TransportEnergyCons!$B$3:$B$1000)*1,ISNUMBER(SEARCH("TPCAR",[2]OUT_TransportEnergyCons!$C$3:$C$1000))*1,[2]OUT_TransportEnergyCons!I$3:I$1000)</f>
        <v>9.1887450102061624E-4</v>
      </c>
      <c r="L1219" s="1" cm="1">
        <f t="array" ref="L1219">SUMPRODUCT(("T_C-PEV-GSL-S1"=[2]OUT_TransportEnergyCons!$A$3:$A$1000)*1,("var_fout"=[2]OUT_TransportEnergyCons!$B$3:$B$1000)*1,ISNUMBER(SEARCH("TPCAR",[2]OUT_TransportEnergyCons!$C$3:$C$1000))*1,[2]OUT_TransportEnergyCons!J$3:J$1000)</f>
        <v>5.7870977388453464E-4</v>
      </c>
      <c r="N1219" s="1"/>
    </row>
    <row r="1220" spans="2:14" x14ac:dyDescent="0.35">
      <c r="B1220" s="5" t="str">
        <f t="shared" si="1335"/>
        <v>SPS1</v>
      </c>
      <c r="C1220" s="5" t="str">
        <f t="shared" si="1336"/>
        <v>CH</v>
      </c>
      <c r="D1220" t="s">
        <v>1139</v>
      </c>
      <c r="E1220" t="str">
        <f t="shared" si="1334"/>
        <v>billion km/yr.</v>
      </c>
      <c r="F1220" s="1" cm="1">
        <f t="array" ref="F1220">SUMPRODUCT(("T_C-PEV-GSL-S2"=[1]OUT_TransportEnergyCons!$A$3:$A$1000)*1,("var_fout"=[1]OUT_TransportEnergyCons!$B$3:$B$1000)*1,ISNUMBER(SEARCH("TPCAR",[1]OUT_TransportEnergyCons!$C$3:$C$1000))*1,[1]OUT_TransportEnergyCons!D$3:D$1000)</f>
        <v>4.8350139795772067E-2</v>
      </c>
      <c r="G1220" s="1" cm="1">
        <f t="array" ref="G1220">SUMPRODUCT(("T_C-PEV-GSL-S2"=[1]OUT_TransportEnergyCons!$A$3:$A$1000)*1,("var_fout"=[1]OUT_TransportEnergyCons!$B$3:$B$1000)*1,ISNUMBER(SEARCH("TPCAR",[1]OUT_TransportEnergyCons!$C$3:$C$1000))*1,[1]OUT_TransportEnergyCons!E$3:E$1000)</f>
        <v>9.8575763167061181E-2</v>
      </c>
      <c r="H1220" s="1" cm="1">
        <f t="array" ref="H1220">SUMPRODUCT(("T_C-PEV-GSL-S2"=[1]OUT_TransportEnergyCons!$A$3:$A$1000)*1,("var_fout"=[1]OUT_TransportEnergyCons!$B$3:$B$1000)*1,ISNUMBER(SEARCH("TPCAR",[1]OUT_TransportEnergyCons!$C$3:$C$1000))*1,[1]OUT_TransportEnergyCons!F$3:F$1000)</f>
        <v>9.5225852403282574E-2</v>
      </c>
      <c r="I1220" s="1" cm="1">
        <f t="array" ref="I1220">SUMPRODUCT(("T_C-PEV-GSL-S2"=[1]OUT_TransportEnergyCons!$A$3:$A$1000)*1,("var_fout"=[1]OUT_TransportEnergyCons!$B$3:$B$1000)*1,ISNUMBER(SEARCH("TPCAR",[1]OUT_TransportEnergyCons!$C$3:$C$1000))*1,[1]OUT_TransportEnergyCons!G$3:G$1000)</f>
        <v>7.7802635924345956E-2</v>
      </c>
      <c r="J1220" s="1" cm="1">
        <f t="array" ref="J1220">SUMPRODUCT(("T_C-PEV-GSL-S2"=[2]OUT_TransportEnergyCons!$A$3:$A$1000)*1,("var_fout"=[2]OUT_TransportEnergyCons!$B$3:$B$1000)*1,ISNUMBER(SEARCH("TPCAR",[2]OUT_TransportEnergyCons!$C$3:$C$1000))*1,[2]OUT_TransportEnergyCons!H$3:H$1000)</f>
        <v>1.22234675208383E-2</v>
      </c>
      <c r="K1220" s="1" cm="1">
        <f t="array" ref="K1220">SUMPRODUCT(("T_C-PEV-GSL-S2"=[2]OUT_TransportEnergyCons!$A$3:$A$1000)*1,("var_fout"=[2]OUT_TransportEnergyCons!$B$3:$B$1000)*1,ISNUMBER(SEARCH("TPCAR",[2]OUT_TransportEnergyCons!$C$3:$C$1000))*1,[2]OUT_TransportEnergyCons!I$3:I$1000)</f>
        <v>3.7976460336512112E-3</v>
      </c>
      <c r="L1220" s="1" cm="1">
        <f t="array" ref="L1220">SUMPRODUCT(("T_C-PEV-GSL-S2"=[2]OUT_TransportEnergyCons!$A$3:$A$1000)*1,("var_fout"=[2]OUT_TransportEnergyCons!$B$3:$B$1000)*1,ISNUMBER(SEARCH("TPCAR",[2]OUT_TransportEnergyCons!$C$3:$C$1000))*1,[2]OUT_TransportEnergyCons!J$3:J$1000)</f>
        <v>2.2254488302775894E-3</v>
      </c>
      <c r="N1220" s="1"/>
    </row>
    <row r="1221" spans="2:14" x14ac:dyDescent="0.35">
      <c r="B1221" s="5" t="str">
        <f t="shared" si="1335"/>
        <v>SPS1</v>
      </c>
      <c r="C1221" s="5" t="str">
        <f t="shared" si="1336"/>
        <v>CH</v>
      </c>
      <c r="D1221" t="s">
        <v>1140</v>
      </c>
      <c r="E1221" t="str">
        <f t="shared" si="1334"/>
        <v>billion km/yr.</v>
      </c>
      <c r="F1221" s="1" cm="1">
        <f t="array" ref="F1221">SUMPRODUCT(("T_C-PEV-GSL-S3"=[1]OUT_TransportEnergyCons!$A$3:$A$1000)*1,("var_fout"=[1]OUT_TransportEnergyCons!$B$3:$B$1000)*1,ISNUMBER(SEARCH("TPCAR",[1]OUT_TransportEnergyCons!$C$3:$C$1000))*1,[1]OUT_TransportEnergyCons!D$3:D$1000)</f>
        <v>5.4079558753259836E-2</v>
      </c>
      <c r="G1221" s="1" cm="1">
        <f t="array" ref="G1221">SUMPRODUCT(("T_C-PEV-GSL-S3"=[1]OUT_TransportEnergyCons!$A$3:$A$1000)*1,("var_fout"=[1]OUT_TransportEnergyCons!$B$3:$B$1000)*1,ISNUMBER(SEARCH("TPCAR",[1]OUT_TransportEnergyCons!$C$3:$C$1000))*1,[1]OUT_TransportEnergyCons!E$3:E$1000)</f>
        <v>0.6091925509147561</v>
      </c>
      <c r="H1221" s="1" cm="1">
        <f t="array" ref="H1221">SUMPRODUCT(("T_C-PEV-GSL-S3"=[1]OUT_TransportEnergyCons!$A$3:$A$1000)*1,("var_fout"=[1]OUT_TransportEnergyCons!$B$3:$B$1000)*1,ISNUMBER(SEARCH("TPCAR",[1]OUT_TransportEnergyCons!$C$3:$C$1000))*1,[1]OUT_TransportEnergyCons!F$3:F$1000)</f>
        <v>1.1969037225828512</v>
      </c>
      <c r="I1221" s="1" cm="1">
        <f t="array" ref="I1221">SUMPRODUCT(("T_C-PEV-GSL-S3"=[1]OUT_TransportEnergyCons!$A$3:$A$1000)*1,("var_fout"=[1]OUT_TransportEnergyCons!$B$3:$B$1000)*1,ISNUMBER(SEARCH("TPCAR",[1]OUT_TransportEnergyCons!$C$3:$C$1000))*1,[1]OUT_TransportEnergyCons!G$3:G$1000)</f>
        <v>5.0037842515533333</v>
      </c>
      <c r="J1221" s="1" cm="1">
        <f t="array" ref="J1221">SUMPRODUCT(("T_C-PEV-GSL-S3"=[2]OUT_TransportEnergyCons!$A$3:$A$1000)*1,("var_fout"=[2]OUT_TransportEnergyCons!$B$3:$B$1000)*1,ISNUMBER(SEARCH("TPCAR",[2]OUT_TransportEnergyCons!$C$3:$C$1000))*1,[2]OUT_TransportEnergyCons!H$3:H$1000)</f>
        <v>5.0807660046482299</v>
      </c>
      <c r="K1221" s="1" cm="1">
        <f t="array" ref="K1221">SUMPRODUCT(("T_C-PEV-GSL-S3"=[2]OUT_TransportEnergyCons!$A$3:$A$1000)*1,("var_fout"=[2]OUT_TransportEnergyCons!$B$3:$B$1000)*1,ISNUMBER(SEARCH("TPCAR",[2]OUT_TransportEnergyCons!$C$3:$C$1000))*1,[2]OUT_TransportEnergyCons!I$3:I$1000)</f>
        <v>4.5202604060896681</v>
      </c>
      <c r="L1221" s="1" cm="1">
        <f t="array" ref="L1221">SUMPRODUCT(("T_C-PEV-GSL-S3"=[2]OUT_TransportEnergyCons!$A$3:$A$1000)*1,("var_fout"=[2]OUT_TransportEnergyCons!$B$3:$B$1000)*1,ISNUMBER(SEARCH("TPCAR",[2]OUT_TransportEnergyCons!$C$3:$C$1000))*1,[2]OUT_TransportEnergyCons!J$3:J$1000)</f>
        <v>3.8336952797980297</v>
      </c>
      <c r="N1221" s="1"/>
    </row>
    <row r="1222" spans="2:14" x14ac:dyDescent="0.35">
      <c r="B1222" s="5" t="str">
        <f t="shared" si="1335"/>
        <v>SPS1</v>
      </c>
      <c r="C1222" s="5" t="str">
        <f t="shared" si="1336"/>
        <v>CH</v>
      </c>
      <c r="D1222" t="s">
        <v>1141</v>
      </c>
      <c r="E1222" t="str">
        <f t="shared" si="1334"/>
        <v>billion km/yr.</v>
      </c>
      <c r="F1222" s="1" cm="1">
        <f t="array" ref="F1222">SUMPRODUCT(("T_C-PEV-GSL-S4"=[1]OUT_TransportEnergyCons!$A$3:$A$1000)*1,("var_fout"=[1]OUT_TransportEnergyCons!$B$3:$B$1000)*1,ISNUMBER(SEARCH("TPCAR",[1]OUT_TransportEnergyCons!$C$3:$C$1000))*1,[1]OUT_TransportEnergyCons!D$3:D$1000)</f>
        <v>9.0983202927062856E-2</v>
      </c>
      <c r="G1222" s="1" cm="1">
        <f t="array" ref="G1222">SUMPRODUCT(("T_C-PEV-GSL-S4"=[1]OUT_TransportEnergyCons!$A$3:$A$1000)*1,("var_fout"=[1]OUT_TransportEnergyCons!$B$3:$B$1000)*1,ISNUMBER(SEARCH("TPCAR",[1]OUT_TransportEnergyCons!$C$3:$C$1000))*1,[1]OUT_TransportEnergyCons!E$3:E$1000)</f>
        <v>0.1589660167670956</v>
      </c>
      <c r="H1222" s="1" cm="1">
        <f t="array" ref="H1222">SUMPRODUCT(("T_C-PEV-GSL-S4"=[1]OUT_TransportEnergyCons!$A$3:$A$1000)*1,("var_fout"=[1]OUT_TransportEnergyCons!$B$3:$B$1000)*1,ISNUMBER(SEARCH("TPCAR",[1]OUT_TransportEnergyCons!$C$3:$C$1000))*1,[1]OUT_TransportEnergyCons!F$3:F$1000)</f>
        <v>0.15301846855894702</v>
      </c>
      <c r="I1222" s="1" cm="1">
        <f t="array" ref="I1222">SUMPRODUCT(("T_C-PEV-GSL-S4"=[1]OUT_TransportEnergyCons!$A$3:$A$1000)*1,("var_fout"=[1]OUT_TransportEnergyCons!$B$3:$B$1000)*1,ISNUMBER(SEARCH("TPCAR",[1]OUT_TransportEnergyCons!$C$3:$C$1000))*1,[1]OUT_TransportEnergyCons!G$3:G$1000)</f>
        <v>0.12310272724316282</v>
      </c>
      <c r="J1222" s="1" cm="1">
        <f t="array" ref="J1222">SUMPRODUCT(("T_C-PEV-GSL-S4"=[2]OUT_TransportEnergyCons!$A$3:$A$1000)*1,("var_fout"=[2]OUT_TransportEnergyCons!$B$3:$B$1000)*1,ISNUMBER(SEARCH("TPCAR",[2]OUT_TransportEnergyCons!$C$3:$C$1000))*1,[2]OUT_TransportEnergyCons!H$3:H$1000)</f>
        <v>2.1334263017942844E-2</v>
      </c>
      <c r="K1222" s="1" cm="1">
        <f t="array" ref="K1222">SUMPRODUCT(("T_C-PEV-GSL-S4"=[2]OUT_TransportEnergyCons!$A$3:$A$1000)*1,("var_fout"=[2]OUT_TransportEnergyCons!$B$3:$B$1000)*1,ISNUMBER(SEARCH("TPCAR",[2]OUT_TransportEnergyCons!$C$3:$C$1000))*1,[2]OUT_TransportEnergyCons!I$3:I$1000)</f>
        <v>4.1733831691875417E-3</v>
      </c>
      <c r="L1222" s="1" cm="1">
        <f t="array" ref="L1222">SUMPRODUCT(("T_C-PEV-GSL-S4"=[2]OUT_TransportEnergyCons!$A$3:$A$1000)*1,("var_fout"=[2]OUT_TransportEnergyCons!$B$3:$B$1000)*1,ISNUMBER(SEARCH("TPCAR",[2]OUT_TransportEnergyCons!$C$3:$C$1000))*1,[2]OUT_TransportEnergyCons!J$3:J$1000)</f>
        <v>2.3989956773185443E-3</v>
      </c>
      <c r="N1222" s="1"/>
    </row>
    <row r="1223" spans="2:14" x14ac:dyDescent="0.35">
      <c r="B1223" s="5" t="str">
        <f t="shared" si="1335"/>
        <v>SPS1</v>
      </c>
      <c r="C1223" s="5" t="str">
        <f t="shared" si="1336"/>
        <v>CH</v>
      </c>
      <c r="D1223" t="s">
        <v>1142</v>
      </c>
      <c r="E1223" t="str">
        <f t="shared" si="1334"/>
        <v>billion km/yr.</v>
      </c>
      <c r="F1223" s="1" cm="1">
        <f t="array" ref="F1223">SUMPRODUCT(("T_C-PEV-DSL-S1"=[1]OUT_TransportEnergyCons!$A$3:$A$1000)*1,("var_fout"=[1]OUT_TransportEnergyCons!$B$3:$B$1000)*1,ISNUMBER(SEARCH("TPCAR",[1]OUT_TransportEnergyCons!$C$3:$C$1000))*1,[1]OUT_TransportEnergyCons!D$3:D$1000)</f>
        <v>1.2366645228201394E-5</v>
      </c>
      <c r="G1223" s="1" cm="1">
        <f t="array" ref="G1223">SUMPRODUCT(("T_C-PEV-DSL-S1"=[1]OUT_TransportEnergyCons!$A$3:$A$1000)*1,("var_fout"=[1]OUT_TransportEnergyCons!$B$3:$B$1000)*1,ISNUMBER(SEARCH("TPCAR",[1]OUT_TransportEnergyCons!$C$3:$C$1000))*1,[1]OUT_TransportEnergyCons!E$3:E$1000)</f>
        <v>3.0377070242590219E-4</v>
      </c>
      <c r="H1223" s="1" cm="1">
        <f t="array" ref="H1223">SUMPRODUCT(("T_C-PEV-DSL-S1"=[1]OUT_TransportEnergyCons!$A$3:$A$1000)*1,("var_fout"=[1]OUT_TransportEnergyCons!$B$3:$B$1000)*1,ISNUMBER(SEARCH("TPCAR",[1]OUT_TransportEnergyCons!$C$3:$C$1000))*1,[1]OUT_TransportEnergyCons!F$3:F$1000)</f>
        <v>3.5203786734509882E-4</v>
      </c>
      <c r="I1223" s="1" cm="1">
        <f t="array" ref="I1223">SUMPRODUCT(("T_C-PEV-DSL-S1"=[1]OUT_TransportEnergyCons!$A$3:$A$1000)*1,("var_fout"=[1]OUT_TransportEnergyCons!$B$3:$B$1000)*1,ISNUMBER(SEARCH("TPCAR",[1]OUT_TransportEnergyCons!$C$3:$C$1000))*1,[1]OUT_TransportEnergyCons!G$3:G$1000)</f>
        <v>4.2698628437745834E-4</v>
      </c>
      <c r="J1223" s="1" cm="1">
        <f t="array" ref="J1223">SUMPRODUCT(("T_C-PEV-DSL-S1"=[2]OUT_TransportEnergyCons!$A$3:$A$1000)*1,("var_fout"=[2]OUT_TransportEnergyCons!$B$3:$B$1000)*1,ISNUMBER(SEARCH("TPCAR",[2]OUT_TransportEnergyCons!$C$3:$C$1000))*1,[2]OUT_TransportEnergyCons!H$3:H$1000)</f>
        <v>1.0797098518627406E-3</v>
      </c>
      <c r="K1223" s="1" cm="1">
        <f t="array" ref="K1223">SUMPRODUCT(("T_C-PEV-DSL-S1"=[2]OUT_TransportEnergyCons!$A$3:$A$1000)*1,("var_fout"=[2]OUT_TransportEnergyCons!$B$3:$B$1000)*1,ISNUMBER(SEARCH("TPCAR",[2]OUT_TransportEnergyCons!$C$3:$C$1000))*1,[2]OUT_TransportEnergyCons!I$3:I$1000)</f>
        <v>9.2286240371595247E-4</v>
      </c>
      <c r="L1223" s="1" cm="1">
        <f t="array" ref="L1223">SUMPRODUCT(("T_C-PEV-DSL-S1"=[2]OUT_TransportEnergyCons!$A$3:$A$1000)*1,("var_fout"=[2]OUT_TransportEnergyCons!$B$3:$B$1000)*1,ISNUMBER(SEARCH("TPCAR",[2]OUT_TransportEnergyCons!$C$3:$C$1000))*1,[2]OUT_TransportEnergyCons!J$3:J$1000)</f>
        <v>5.6856243812829698E-4</v>
      </c>
      <c r="N1223" s="1"/>
    </row>
    <row r="1224" spans="2:14" x14ac:dyDescent="0.35">
      <c r="B1224" s="5" t="str">
        <f t="shared" si="1335"/>
        <v>SPS1</v>
      </c>
      <c r="C1224" s="5" t="str">
        <f t="shared" si="1336"/>
        <v>CH</v>
      </c>
      <c r="D1224" t="s">
        <v>1143</v>
      </c>
      <c r="E1224" t="str">
        <f t="shared" si="1334"/>
        <v>billion km/yr.</v>
      </c>
      <c r="F1224" s="1" cm="1">
        <f t="array" ref="F1224">SUMPRODUCT(("T_C-PEV-DSL-S2"=[1]OUT_TransportEnergyCons!$A$3:$A$1000)*1,("var_fout"=[1]OUT_TransportEnergyCons!$B$3:$B$1000)*1,ISNUMBER(SEARCH("TPCAR",[1]OUT_TransportEnergyCons!$C$3:$C$1000))*1,[1]OUT_TransportEnergyCons!D$3:D$1000)</f>
        <v>2.6767192409034814E-6</v>
      </c>
      <c r="G1224" s="1" cm="1">
        <f t="array" ref="G1224">SUMPRODUCT(("T_C-PEV-DSL-S2"=[1]OUT_TransportEnergyCons!$A$3:$A$1000)*1,("var_fout"=[1]OUT_TransportEnergyCons!$B$3:$B$1000)*1,ISNUMBER(SEARCH("TPCAR",[1]OUT_TransportEnergyCons!$C$3:$C$1000))*1,[1]OUT_TransportEnergyCons!E$3:E$1000)</f>
        <v>1.876730059248663E-4</v>
      </c>
      <c r="H1224" s="1" cm="1">
        <f t="array" ref="H1224">SUMPRODUCT(("T_C-PEV-DSL-S2"=[1]OUT_TransportEnergyCons!$A$3:$A$1000)*1,("var_fout"=[1]OUT_TransportEnergyCons!$B$3:$B$1000)*1,ISNUMBER(SEARCH("TPCAR",[1]OUT_TransportEnergyCons!$C$3:$C$1000))*1,[1]OUT_TransportEnergyCons!F$3:F$1000)</f>
        <v>6.083543750898012E-4</v>
      </c>
      <c r="I1224" s="1" cm="1">
        <f t="array" ref="I1224">SUMPRODUCT(("T_C-PEV-DSL-S2"=[1]OUT_TransportEnergyCons!$A$3:$A$1000)*1,("var_fout"=[1]OUT_TransportEnergyCons!$B$3:$B$1000)*1,ISNUMBER(SEARCH("TPCAR",[1]OUT_TransportEnergyCons!$C$3:$C$1000))*1,[1]OUT_TransportEnergyCons!G$3:G$1000)</f>
        <v>9.8174989821293076E-4</v>
      </c>
      <c r="J1224" s="1" cm="1">
        <f t="array" ref="J1224">SUMPRODUCT(("T_C-PEV-DSL-S2"=[2]OUT_TransportEnergyCons!$A$3:$A$1000)*1,("var_fout"=[2]OUT_TransportEnergyCons!$B$3:$B$1000)*1,ISNUMBER(SEARCH("TPCAR",[2]OUT_TransportEnergyCons!$C$3:$C$1000))*1,[2]OUT_TransportEnergyCons!H$3:H$1000)</f>
        <v>4.1255359252277803E-3</v>
      </c>
      <c r="K1224" s="1" cm="1">
        <f t="array" ref="K1224">SUMPRODUCT(("T_C-PEV-DSL-S2"=[2]OUT_TransportEnergyCons!$A$3:$A$1000)*1,("var_fout"=[2]OUT_TransportEnergyCons!$B$3:$B$1000)*1,ISNUMBER(SEARCH("TPCAR",[2]OUT_TransportEnergyCons!$C$3:$C$1000))*1,[2]OUT_TransportEnergyCons!I$3:I$1000)</f>
        <v>4.2064463919850945E-3</v>
      </c>
      <c r="L1224" s="1" cm="1">
        <f t="array" ref="L1224">SUMPRODUCT(("T_C-PEV-DSL-S2"=[2]OUT_TransportEnergyCons!$A$3:$A$1000)*1,("var_fout"=[2]OUT_TransportEnergyCons!$B$3:$B$1000)*1,ISNUMBER(SEARCH("TPCAR",[2]OUT_TransportEnergyCons!$C$3:$C$1000))*1,[2]OUT_TransportEnergyCons!J$3:J$1000)</f>
        <v>2.2573771461595099E-3</v>
      </c>
      <c r="N1224" s="1"/>
    </row>
    <row r="1225" spans="2:14" x14ac:dyDescent="0.35">
      <c r="B1225" s="5" t="str">
        <f t="shared" si="1335"/>
        <v>SPS1</v>
      </c>
      <c r="C1225" s="5" t="str">
        <f t="shared" si="1336"/>
        <v>CH</v>
      </c>
      <c r="D1225" t="s">
        <v>1144</v>
      </c>
      <c r="E1225" t="str">
        <f t="shared" si="1334"/>
        <v>billion km/yr.</v>
      </c>
      <c r="F1225" s="1" cm="1">
        <f t="array" ref="F1225">SUMPRODUCT(("T_C-PEV-DSL-S3"=[1]OUT_TransportEnergyCons!$A$3:$A$1000)*1,("var_fout"=[1]OUT_TransportEnergyCons!$B$3:$B$1000)*1,ISNUMBER(SEARCH("TPCAR",[1]OUT_TransportEnergyCons!$C$3:$C$1000))*1,[1]OUT_TransportEnergyCons!D$3:D$1000)</f>
        <v>5.2960831123743559E-5</v>
      </c>
      <c r="G1225" s="1" cm="1">
        <f t="array" ref="G1225">SUMPRODUCT(("T_C-PEV-DSL-S3"=[1]OUT_TransportEnergyCons!$A$3:$A$1000)*1,("var_fout"=[1]OUT_TransportEnergyCons!$B$3:$B$1000)*1,ISNUMBER(SEARCH("TPCAR",[1]OUT_TransportEnergyCons!$C$3:$C$1000))*1,[1]OUT_TransportEnergyCons!E$3:E$1000)</f>
        <v>9.154686130311647E-2</v>
      </c>
      <c r="H1225" s="1" cm="1">
        <f t="array" ref="H1225">SUMPRODUCT(("T_C-PEV-DSL-S3"=[1]OUT_TransportEnergyCons!$A$3:$A$1000)*1,("var_fout"=[1]OUT_TransportEnergyCons!$B$3:$B$1000)*1,ISNUMBER(SEARCH("TPCAR",[1]OUT_TransportEnergyCons!$C$3:$C$1000))*1,[1]OUT_TransportEnergyCons!F$3:F$1000)</f>
        <v>0.99802375199539128</v>
      </c>
      <c r="I1225" s="1" cm="1">
        <f t="array" ref="I1225">SUMPRODUCT(("T_C-PEV-DSL-S3"=[1]OUT_TransportEnergyCons!$A$3:$A$1000)*1,("var_fout"=[1]OUT_TransportEnergyCons!$B$3:$B$1000)*1,ISNUMBER(SEARCH("TPCAR",[1]OUT_TransportEnergyCons!$C$3:$C$1000))*1,[1]OUT_TransportEnergyCons!G$3:G$1000)</f>
        <v>3.6227753032169114</v>
      </c>
      <c r="J1225" s="1" cm="1">
        <f t="array" ref="J1225">SUMPRODUCT(("T_C-PEV-DSL-S3"=[2]OUT_TransportEnergyCons!$A$3:$A$1000)*1,("var_fout"=[2]OUT_TransportEnergyCons!$B$3:$B$1000)*1,ISNUMBER(SEARCH("TPCAR",[2]OUT_TransportEnergyCons!$C$3:$C$1000))*1,[2]OUT_TransportEnergyCons!H$3:H$1000)</f>
        <v>8.7482642191781217</v>
      </c>
      <c r="K1225" s="1" cm="1">
        <f t="array" ref="K1225">SUMPRODUCT(("T_C-PEV-DSL-S3"=[2]OUT_TransportEnergyCons!$A$3:$A$1000)*1,("var_fout"=[2]OUT_TransportEnergyCons!$B$3:$B$1000)*1,ISNUMBER(SEARCH("TPCAR",[2]OUT_TransportEnergyCons!$C$3:$C$1000))*1,[2]OUT_TransportEnergyCons!I$3:I$1000)</f>
        <v>9.1800488946479817</v>
      </c>
      <c r="L1225" s="1" cm="1">
        <f t="array" ref="L1225">SUMPRODUCT(("T_C-PEV-DSL-S3"=[2]OUT_TransportEnergyCons!$A$3:$A$1000)*1,("var_fout"=[2]OUT_TransportEnergyCons!$B$3:$B$1000)*1,ISNUMBER(SEARCH("TPCAR",[2]OUT_TransportEnergyCons!$C$3:$C$1000))*1,[2]OUT_TransportEnergyCons!J$3:J$1000)</f>
        <v>8.2889748042129714</v>
      </c>
      <c r="N1225" s="1"/>
    </row>
    <row r="1226" spans="2:14" x14ac:dyDescent="0.35">
      <c r="B1226" s="5" t="str">
        <f t="shared" si="1335"/>
        <v>SPS1</v>
      </c>
      <c r="C1226" s="5" t="str">
        <f t="shared" si="1336"/>
        <v>CH</v>
      </c>
      <c r="D1226" t="s">
        <v>1145</v>
      </c>
      <c r="E1226" t="str">
        <f t="shared" si="1334"/>
        <v>billion km/yr.</v>
      </c>
      <c r="F1226" s="1" cm="1">
        <f t="array" ref="F1226">SUMPRODUCT(("T_C-PEV-DSL-S4"=[1]OUT_TransportEnergyCons!$A$3:$A$1000)*1,("var_fout"=[1]OUT_TransportEnergyCons!$B$3:$B$1000)*1,ISNUMBER(SEARCH("TPCAR",[1]OUT_TransportEnergyCons!$C$3:$C$1000))*1,[1]OUT_TransportEnergyCons!D$3:D$1000)</f>
        <v>3.1001483319038994E-3</v>
      </c>
      <c r="G1226" s="1" cm="1">
        <f t="array" ref="G1226">SUMPRODUCT(("T_C-PEV-DSL-S4"=[1]OUT_TransportEnergyCons!$A$3:$A$1000)*1,("var_fout"=[1]OUT_TransportEnergyCons!$B$3:$B$1000)*1,ISNUMBER(SEARCH("TPCAR",[1]OUT_TransportEnergyCons!$C$3:$C$1000))*1,[1]OUT_TransportEnergyCons!E$3:E$1000)</f>
        <v>9.5289019014289204E-3</v>
      </c>
      <c r="H1226" s="1" cm="1">
        <f t="array" ref="H1226">SUMPRODUCT(("T_C-PEV-DSL-S4"=[1]OUT_TransportEnergyCons!$A$3:$A$1000)*1,("var_fout"=[1]OUT_TransportEnergyCons!$B$3:$B$1000)*1,ISNUMBER(SEARCH("TPCAR",[1]OUT_TransportEnergyCons!$C$3:$C$1000))*1,[1]OUT_TransportEnergyCons!F$3:F$1000)</f>
        <v>9.9682694163733682E-3</v>
      </c>
      <c r="I1226" s="1" cm="1">
        <f t="array" ref="I1226">SUMPRODUCT(("T_C-PEV-DSL-S4"=[1]OUT_TransportEnergyCons!$A$3:$A$1000)*1,("var_fout"=[1]OUT_TransportEnergyCons!$B$3:$B$1000)*1,ISNUMBER(SEARCH("TPCAR",[1]OUT_TransportEnergyCons!$C$3:$C$1000))*1,[1]OUT_TransportEnergyCons!G$3:G$1000)</f>
        <v>8.6941906572270151E-3</v>
      </c>
      <c r="J1226" s="1" cm="1">
        <f t="array" ref="J1226">SUMPRODUCT(("T_C-PEV-DSL-S4"=[2]OUT_TransportEnergyCons!$A$3:$A$1000)*1,("var_fout"=[2]OUT_TransportEnergyCons!$B$3:$B$1000)*1,ISNUMBER(SEARCH("TPCAR",[2]OUT_TransportEnergyCons!$C$3:$C$1000))*1,[2]OUT_TransportEnergyCons!H$3:H$1000)</f>
        <v>6.0423464440396745E-3</v>
      </c>
      <c r="K1226" s="1" cm="1">
        <f t="array" ref="K1226">SUMPRODUCT(("T_C-PEV-DSL-S4"=[2]OUT_TransportEnergyCons!$A$3:$A$1000)*1,("var_fout"=[2]OUT_TransportEnergyCons!$B$3:$B$1000)*1,ISNUMBER(SEARCH("TPCAR",[2]OUT_TransportEnergyCons!$C$3:$C$1000))*1,[2]OUT_TransportEnergyCons!I$3:I$1000)</f>
        <v>4.4879164862989098E-3</v>
      </c>
      <c r="L1226" s="1" cm="1">
        <f t="array" ref="L1226">SUMPRODUCT(("T_C-PEV-DSL-S4"=[2]OUT_TransportEnergyCons!$A$3:$A$1000)*1,("var_fout"=[2]OUT_TransportEnergyCons!$B$3:$B$1000)*1,ISNUMBER(SEARCH("TPCAR",[2]OUT_TransportEnergyCons!$C$3:$C$1000))*1,[2]OUT_TransportEnergyCons!J$3:J$1000)</f>
        <v>2.4211878038499965E-3</v>
      </c>
      <c r="N1226" s="1"/>
    </row>
    <row r="1227" spans="2:14" x14ac:dyDescent="0.35">
      <c r="B1227" s="5" t="str">
        <f t="shared" si="1335"/>
        <v>SPS1</v>
      </c>
      <c r="C1227" s="5" t="str">
        <f t="shared" si="1336"/>
        <v>CH</v>
      </c>
      <c r="D1227" t="s">
        <v>1146</v>
      </c>
      <c r="E1227" t="str">
        <f t="shared" si="1334"/>
        <v>billion km/yr.</v>
      </c>
      <c r="F1227" s="1" cm="1">
        <f t="array" ref="F1227">SUMPRODUCT(("T_C-FC-H2O-S1"=[1]OUT_TransportEnergyCons!$A$3:$A$1000)*1,("var_fout"=[1]OUT_TransportEnergyCons!$B$3:$B$1000)*1,ISNUMBER(SEARCH("TPCAR",[1]OUT_TransportEnergyCons!$C$3:$C$1000))*1,[1]OUT_TransportEnergyCons!D$3:D$1000)</f>
        <v>0</v>
      </c>
      <c r="G1227" s="1" cm="1">
        <f t="array" ref="G1227">SUMPRODUCT(("T_C-FC-H2O-S1"=[1]OUT_TransportEnergyCons!$A$3:$A$1000)*1,("var_fout"=[1]OUT_TransportEnergyCons!$B$3:$B$1000)*1,ISNUMBER(SEARCH("TPCAR",[1]OUT_TransportEnergyCons!$C$3:$C$1000))*1,[1]OUT_TransportEnergyCons!E$3:E$1000)</f>
        <v>6.4203746166894931E-6</v>
      </c>
      <c r="H1227" s="1" cm="1">
        <f t="array" ref="H1227">SUMPRODUCT(("T_C-FC-H2O-S1"=[1]OUT_TransportEnergyCons!$A$3:$A$1000)*1,("var_fout"=[1]OUT_TransportEnergyCons!$B$3:$B$1000)*1,ISNUMBER(SEARCH("TPCAR",[1]OUT_TransportEnergyCons!$C$3:$C$1000))*1,[1]OUT_TransportEnergyCons!F$3:F$1000)</f>
        <v>8.4892245560427748E-6</v>
      </c>
      <c r="I1227" s="1" cm="1">
        <f t="array" ref="I1227">SUMPRODUCT(("T_C-FC-H2O-S1"=[1]OUT_TransportEnergyCons!$A$3:$A$1000)*1,("var_fout"=[1]OUT_TransportEnergyCons!$B$3:$B$1000)*1,ISNUMBER(SEARCH("TPCAR",[1]OUT_TransportEnergyCons!$C$3:$C$1000))*1,[1]OUT_TransportEnergyCons!G$3:G$1000)</f>
        <v>1.6524142332366539E-6</v>
      </c>
      <c r="J1227" s="1" cm="1">
        <f t="array" ref="J1227">SUMPRODUCT(("T_C-FC-H2O-S1"=[2]OUT_TransportEnergyCons!$A$3:$A$1000)*1,("var_fout"=[2]OUT_TransportEnergyCons!$B$3:$B$1000)*1,ISNUMBER(SEARCH("TPCAR",[2]OUT_TransportEnergyCons!$C$3:$C$1000))*1,[2]OUT_TransportEnergyCons!H$3:H$1000)</f>
        <v>4.0521887243345442E-6</v>
      </c>
      <c r="K1227" s="1" cm="1">
        <f t="array" ref="K1227">SUMPRODUCT(("T_C-FC-H2O-S1"=[2]OUT_TransportEnergyCons!$A$3:$A$1000)*1,("var_fout"=[2]OUT_TransportEnergyCons!$B$3:$B$1000)*1,ISNUMBER(SEARCH("TPCAR",[2]OUT_TransportEnergyCons!$C$3:$C$1000))*1,[2]OUT_TransportEnergyCons!I$3:I$1000)</f>
        <v>4.6585976701071488E-6</v>
      </c>
      <c r="L1227" s="1" cm="1">
        <f t="array" ref="L1227">SUMPRODUCT(("T_C-FC-H2O-S1"=[2]OUT_TransportEnergyCons!$A$3:$A$1000)*1,("var_fout"=[2]OUT_TransportEnergyCons!$B$3:$B$1000)*1,ISNUMBER(SEARCH("TPCAR",[2]OUT_TransportEnergyCons!$C$3:$C$1000))*1,[2]OUT_TransportEnergyCons!J$3:J$1000)</f>
        <v>4.3889319443405296E-6</v>
      </c>
      <c r="N1227" s="1"/>
    </row>
    <row r="1228" spans="2:14" x14ac:dyDescent="0.35">
      <c r="B1228" s="5" t="str">
        <f t="shared" si="1335"/>
        <v>SPS1</v>
      </c>
      <c r="C1228" s="5" t="str">
        <f t="shared" si="1336"/>
        <v>CH</v>
      </c>
      <c r="D1228" t="s">
        <v>1147</v>
      </c>
      <c r="E1228" t="str">
        <f t="shared" si="1334"/>
        <v>billion km/yr.</v>
      </c>
      <c r="F1228" s="1" cm="1">
        <f t="array" ref="F1228">SUMPRODUCT(("T_C-FC-H2O-S2"=[1]OUT_TransportEnergyCons!$A$3:$A$1000)*1,("var_fout"=[1]OUT_TransportEnergyCons!$B$3:$B$1000)*1,ISNUMBER(SEARCH("TPCAR",[1]OUT_TransportEnergyCons!$C$3:$C$1000))*1,[1]OUT_TransportEnergyCons!D$3:D$1000)</f>
        <v>1.2891377919137469E-5</v>
      </c>
      <c r="G1228" s="1" cm="1">
        <f t="array" ref="G1228">SUMPRODUCT(("T_C-FC-H2O-S2"=[1]OUT_TransportEnergyCons!$A$3:$A$1000)*1,("var_fout"=[1]OUT_TransportEnergyCons!$B$3:$B$1000)*1,ISNUMBER(SEARCH("TPCAR",[1]OUT_TransportEnergyCons!$C$3:$C$1000))*1,[1]OUT_TransportEnergyCons!E$3:E$1000)</f>
        <v>2.2365418969976199E-5</v>
      </c>
      <c r="H1228" s="1" cm="1">
        <f t="array" ref="H1228">SUMPRODUCT(("T_C-FC-H2O-S2"=[1]OUT_TransportEnergyCons!$A$3:$A$1000)*1,("var_fout"=[1]OUT_TransportEnergyCons!$B$3:$B$1000)*1,ISNUMBER(SEARCH("TPCAR",[1]OUT_TransportEnergyCons!$C$3:$C$1000))*1,[1]OUT_TransportEnergyCons!F$3:F$1000)</f>
        <v>2.7316508656266413E-5</v>
      </c>
      <c r="I1228" s="1" cm="1">
        <f t="array" ref="I1228">SUMPRODUCT(("T_C-FC-H2O-S2"=[1]OUT_TransportEnergyCons!$A$3:$A$1000)*1,("var_fout"=[1]OUT_TransportEnergyCons!$B$3:$B$1000)*1,ISNUMBER(SEARCH("TPCAR",[1]OUT_TransportEnergyCons!$C$3:$C$1000))*1,[1]OUT_TransportEnergyCons!G$3:G$1000)</f>
        <v>6.1456110266244802E-6</v>
      </c>
      <c r="J1228" s="1" cm="1">
        <f t="array" ref="J1228">SUMPRODUCT(("T_C-FC-H2O-S2"=[2]OUT_TransportEnergyCons!$A$3:$A$1000)*1,("var_fout"=[2]OUT_TransportEnergyCons!$B$3:$B$1000)*1,ISNUMBER(SEARCH("TPCAR",[2]OUT_TransportEnergyCons!$C$3:$C$1000))*1,[2]OUT_TransportEnergyCons!H$3:H$1000)</f>
        <v>7.1992995923005655E-6</v>
      </c>
      <c r="K1228" s="1" cm="1">
        <f t="array" ref="K1228">SUMPRODUCT(("T_C-FC-H2O-S2"=[2]OUT_TransportEnergyCons!$A$3:$A$1000)*1,("var_fout"=[2]OUT_TransportEnergyCons!$B$3:$B$1000)*1,ISNUMBER(SEARCH("TPCAR",[2]OUT_TransportEnergyCons!$C$3:$C$1000))*1,[2]OUT_TransportEnergyCons!I$3:I$1000)</f>
        <v>7.2691590190013945E-6</v>
      </c>
      <c r="L1228" s="1" cm="1">
        <f t="array" ref="L1228">SUMPRODUCT(("T_C-FC-H2O-S2"=[2]OUT_TransportEnergyCons!$A$3:$A$1000)*1,("var_fout"=[2]OUT_TransportEnergyCons!$B$3:$B$1000)*1,ISNUMBER(SEARCH("TPCAR",[2]OUT_TransportEnergyCons!$C$3:$C$1000))*1,[2]OUT_TransportEnergyCons!J$3:J$1000)</f>
        <v>7.7430777694066679E-6</v>
      </c>
      <c r="N1228" s="1"/>
    </row>
    <row r="1229" spans="2:14" x14ac:dyDescent="0.35">
      <c r="B1229" s="5" t="str">
        <f t="shared" si="1335"/>
        <v>SPS1</v>
      </c>
      <c r="C1229" s="5" t="str">
        <f t="shared" si="1336"/>
        <v>CH</v>
      </c>
      <c r="D1229" t="s">
        <v>1148</v>
      </c>
      <c r="E1229" t="str">
        <f t="shared" si="1334"/>
        <v>billion km/yr.</v>
      </c>
      <c r="F1229" s="1" cm="1">
        <f t="array" ref="F1229">SUMPRODUCT(("T_C-FC-H2O-S3"=[1]OUT_TransportEnergyCons!$A$3:$A$1000)*1,("var_fout"=[1]OUT_TransportEnergyCons!$B$3:$B$1000)*1,ISNUMBER(SEARCH("TPCAR",[1]OUT_TransportEnergyCons!$C$3:$C$1000))*1,[1]OUT_TransportEnergyCons!D$3:D$1000)</f>
        <v>3.3124026219196097E-4</v>
      </c>
      <c r="G1229" s="1" cm="1">
        <f t="array" ref="G1229">SUMPRODUCT(("T_C-FC-H2O-S3"=[1]OUT_TransportEnergyCons!$A$3:$A$1000)*1,("var_fout"=[1]OUT_TransportEnergyCons!$B$3:$B$1000)*1,ISNUMBER(SEARCH("TPCAR",[1]OUT_TransportEnergyCons!$C$3:$C$1000))*1,[1]OUT_TransportEnergyCons!E$3:E$1000)</f>
        <v>1.2567239117936015E-3</v>
      </c>
      <c r="H1229" s="1" cm="1">
        <f t="array" ref="H1229">SUMPRODUCT(("T_C-FC-H2O-S3"=[1]OUT_TransportEnergyCons!$A$3:$A$1000)*1,("var_fout"=[1]OUT_TransportEnergyCons!$B$3:$B$1000)*1,ISNUMBER(SEARCH("TPCAR",[1]OUT_TransportEnergyCons!$C$3:$C$1000))*1,[1]OUT_TransportEnergyCons!F$3:F$1000)</f>
        <v>1.1791125480666495E-3</v>
      </c>
      <c r="I1229" s="1" cm="1">
        <f t="array" ref="I1229">SUMPRODUCT(("T_C-FC-H2O-S3"=[1]OUT_TransportEnergyCons!$A$3:$A$1000)*1,("var_fout"=[1]OUT_TransportEnergyCons!$B$3:$B$1000)*1,ISNUMBER(SEARCH("TPCAR",[1]OUT_TransportEnergyCons!$C$3:$C$1000))*1,[1]OUT_TransportEnergyCons!G$3:G$1000)</f>
        <v>1.7643110596870627E-5</v>
      </c>
      <c r="J1229" s="1" cm="1">
        <f t="array" ref="J1229">SUMPRODUCT(("T_C-FC-H2O-S3"=[2]OUT_TransportEnergyCons!$A$3:$A$1000)*1,("var_fout"=[2]OUT_TransportEnergyCons!$B$3:$B$1000)*1,ISNUMBER(SEARCH("TPCAR",[2]OUT_TransportEnergyCons!$C$3:$C$1000))*1,[2]OUT_TransportEnergyCons!H$3:H$1000)</f>
        <v>8.2735934277408174E-6</v>
      </c>
      <c r="K1229" s="1" cm="1">
        <f t="array" ref="K1229">SUMPRODUCT(("T_C-FC-H2O-S3"=[2]OUT_TransportEnergyCons!$A$3:$A$1000)*1,("var_fout"=[2]OUT_TransportEnergyCons!$B$3:$B$1000)*1,ISNUMBER(SEARCH("TPCAR",[2]OUT_TransportEnergyCons!$C$3:$C$1000))*1,[2]OUT_TransportEnergyCons!I$3:I$1000)</f>
        <v>7.6783377470660326E-6</v>
      </c>
      <c r="L1229" s="1" cm="1">
        <f t="array" ref="L1229">SUMPRODUCT(("T_C-FC-H2O-S3"=[2]OUT_TransportEnergyCons!$A$3:$A$1000)*1,("var_fout"=[2]OUT_TransportEnergyCons!$B$3:$B$1000)*1,ISNUMBER(SEARCH("TPCAR",[2]OUT_TransportEnergyCons!$C$3:$C$1000))*1,[2]OUT_TransportEnergyCons!J$3:J$1000)</f>
        <v>8.6280874886648022E-6</v>
      </c>
      <c r="N1229" s="1"/>
    </row>
    <row r="1230" spans="2:14" x14ac:dyDescent="0.35">
      <c r="B1230" s="5" t="str">
        <f t="shared" si="1335"/>
        <v>SPS1</v>
      </c>
      <c r="C1230" s="5" t="str">
        <f t="shared" si="1336"/>
        <v>CH</v>
      </c>
      <c r="D1230" t="s">
        <v>1149</v>
      </c>
      <c r="E1230" t="str">
        <f t="shared" si="1334"/>
        <v>billion km/yr.</v>
      </c>
      <c r="F1230" s="1" cm="1">
        <f t="array" ref="F1230">SUMPRODUCT(("T_C-FC-H2O-S4"=[1]OUT_TransportEnergyCons!$A$3:$A$1000)*1,("var_fout"=[1]OUT_TransportEnergyCons!$B$3:$B$1000)*1,ISNUMBER(SEARCH("TPCAR",[1]OUT_TransportEnergyCons!$C$3:$C$1000))*1,[1]OUT_TransportEnergyCons!D$3:D$1000)</f>
        <v>0</v>
      </c>
      <c r="G1230" s="1" cm="1">
        <f t="array" ref="G1230">SUMPRODUCT(("T_C-FC-H2O-S4"=[1]OUT_TransportEnergyCons!$A$3:$A$1000)*1,("var_fout"=[1]OUT_TransportEnergyCons!$B$3:$B$1000)*1,ISNUMBER(SEARCH("TPCAR",[1]OUT_TransportEnergyCons!$C$3:$C$1000))*1,[1]OUT_TransportEnergyCons!E$3:E$1000)</f>
        <v>4.4490081632791992E-6</v>
      </c>
      <c r="H1230" s="1" cm="1">
        <f t="array" ref="H1230">SUMPRODUCT(("T_C-FC-H2O-S4"=[1]OUT_TransportEnergyCons!$A$3:$A$1000)*1,("var_fout"=[1]OUT_TransportEnergyCons!$B$3:$B$1000)*1,ISNUMBER(SEARCH("TPCAR",[1]OUT_TransportEnergyCons!$C$3:$C$1000))*1,[1]OUT_TransportEnergyCons!F$3:F$1000)</f>
        <v>7.704248554031638E-6</v>
      </c>
      <c r="I1230" s="1" cm="1">
        <f t="array" ref="I1230">SUMPRODUCT(("T_C-FC-H2O-S4"=[1]OUT_TransportEnergyCons!$A$3:$A$1000)*1,("var_fout"=[1]OUT_TransportEnergyCons!$B$3:$B$1000)*1,ISNUMBER(SEARCH("TPCAR",[1]OUT_TransportEnergyCons!$C$3:$C$1000))*1,[1]OUT_TransportEnergyCons!G$3:G$1000)</f>
        <v>4.3980802425809083E-6</v>
      </c>
      <c r="J1230" s="1" cm="1">
        <f t="array" ref="J1230">SUMPRODUCT(("T_C-FC-H2O-S4"=[2]OUT_TransportEnergyCons!$A$3:$A$1000)*1,("var_fout"=[2]OUT_TransportEnergyCons!$B$3:$B$1000)*1,ISNUMBER(SEARCH("TPCAR",[2]OUT_TransportEnergyCons!$C$3:$C$1000))*1,[2]OUT_TransportEnergyCons!H$3:H$1000)</f>
        <v>6.465248051425559E-6</v>
      </c>
      <c r="K1230" s="1" cm="1">
        <f t="array" ref="K1230">SUMPRODUCT(("T_C-FC-H2O-S4"=[2]OUT_TransportEnergyCons!$A$3:$A$1000)*1,("var_fout"=[2]OUT_TransportEnergyCons!$B$3:$B$1000)*1,ISNUMBER(SEARCH("TPCAR",[2]OUT_TransportEnergyCons!$C$3:$C$1000))*1,[2]OUT_TransportEnergyCons!I$3:I$1000)</f>
        <v>6.6218503286771676E-6</v>
      </c>
      <c r="L1230" s="1" cm="1">
        <f t="array" ref="L1230">SUMPRODUCT(("T_C-FC-H2O-S4"=[2]OUT_TransportEnergyCons!$A$3:$A$1000)*1,("var_fout"=[2]OUT_TransportEnergyCons!$B$3:$B$1000)*1,ISNUMBER(SEARCH("TPCAR",[2]OUT_TransportEnergyCons!$C$3:$C$1000))*1,[2]OUT_TransportEnergyCons!J$3:J$1000)</f>
        <v>7.4504424149513169E-6</v>
      </c>
      <c r="N1230" s="1"/>
    </row>
    <row r="1231" spans="2:14" x14ac:dyDescent="0.35">
      <c r="B1231" s="5" t="str">
        <f t="shared" si="1335"/>
        <v>SPS1</v>
      </c>
      <c r="C1231" s="5" t="str">
        <f t="shared" si="1336"/>
        <v>CH</v>
      </c>
      <c r="D1231" t="s">
        <v>1233</v>
      </c>
      <c r="E1231" t="str">
        <f t="shared" si="1334"/>
        <v>billion km/yr.</v>
      </c>
      <c r="F1231" s="1" cm="1">
        <f t="array" ref="F1231">SUMPRODUCT(("T_C-HYBGSLEXT"=[1]OUT_TransportEnergyCons!$A$3:$A$1000)*1,("var_fout"=[1]OUT_TransportEnergyCons!$B$3:$B$1000)*1,ISNUMBER(SEARCH("TPCAR",[1]OUT_TransportEnergyCons!$C$3:$C$1000))*1,[1]OUT_TransportEnergyCons!D$3:D$1000)</f>
        <v>0.61924761885841817</v>
      </c>
      <c r="G1231" s="1" cm="1">
        <f t="array" ref="G1231">SUMPRODUCT(("T_C-HYBGSLEXT"=[1]OUT_TransportEnergyCons!$A$3:$A$1000)*1,("var_fout"=[1]OUT_TransportEnergyCons!$B$3:$B$1000)*1,ISNUMBER(SEARCH("TPCAR",[1]OUT_TransportEnergyCons!$C$3:$C$1000))*1,[1]OUT_TransportEnergyCons!E$3:E$1000)</f>
        <v>0.62769403035179239</v>
      </c>
      <c r="H1231" s="1" cm="1">
        <f t="array" ref="H1231">SUMPRODUCT(("T_C-HYBGSLEXT"=[1]OUT_TransportEnergyCons!$A$3:$A$1000)*1,("var_fout"=[1]OUT_TransportEnergyCons!$B$3:$B$1000)*1,ISNUMBER(SEARCH("TPCAR",[1]OUT_TransportEnergyCons!$C$3:$C$1000))*1,[1]OUT_TransportEnergyCons!F$3:F$1000)</f>
        <v>0.48284215456694068</v>
      </c>
      <c r="I1231" s="1" cm="1">
        <f t="array" ref="I1231">SUMPRODUCT(("T_C-HYBGSLEXT"=[1]OUT_TransportEnergyCons!$A$3:$A$1000)*1,("var_fout"=[1]OUT_TransportEnergyCons!$B$3:$B$1000)*1,ISNUMBER(SEARCH("TPCAR",[1]OUT_TransportEnergyCons!$C$3:$C$1000))*1,[1]OUT_TransportEnergyCons!G$3:G$1000)</f>
        <v>0.24142212545943434</v>
      </c>
      <c r="J1231" s="1" cm="1">
        <f t="array" ref="J1231">SUMPRODUCT(("T_C-HYBGSLEXT"=[2]OUT_TransportEnergyCons!$A$3:$A$1000)*1,("var_fout"=[2]OUT_TransportEnergyCons!$B$3:$B$1000)*1,ISNUMBER(SEARCH("TPCAR",[2]OUT_TransportEnergyCons!$C$3:$C$1000))*1,[2]OUT_TransportEnergyCons!H$3:H$1000)</f>
        <v>0</v>
      </c>
      <c r="K1231" s="1" cm="1">
        <f t="array" ref="K1231">SUMPRODUCT(("T_C-HYBGSLEXT"=[2]OUT_TransportEnergyCons!$A$3:$A$1000)*1,("var_fout"=[2]OUT_TransportEnergyCons!$B$3:$B$1000)*1,ISNUMBER(SEARCH("TPCAR",[2]OUT_TransportEnergyCons!$C$3:$C$1000))*1,[2]OUT_TransportEnergyCons!I$3:I$1000)</f>
        <v>0</v>
      </c>
      <c r="L1231" s="1" cm="1">
        <f t="array" ref="L1231">SUMPRODUCT(("T_C-HYBGSLEXT"=[2]OUT_TransportEnergyCons!$A$3:$A$1000)*1,("var_fout"=[2]OUT_TransportEnergyCons!$B$3:$B$1000)*1,ISNUMBER(SEARCH("TPCAR",[2]OUT_TransportEnergyCons!$C$3:$C$1000))*1,[2]OUT_TransportEnergyCons!J$3:J$1000)</f>
        <v>0</v>
      </c>
      <c r="N1231" s="1"/>
    </row>
    <row r="1232" spans="2:14" x14ac:dyDescent="0.35">
      <c r="B1232" s="5" t="str">
        <f t="shared" si="1335"/>
        <v>SPS1</v>
      </c>
      <c r="C1232" s="5" t="str">
        <f t="shared" si="1336"/>
        <v>CH</v>
      </c>
      <c r="D1232" t="s">
        <v>1150</v>
      </c>
      <c r="E1232" t="str">
        <f t="shared" si="1334"/>
        <v>billion km/yr.</v>
      </c>
      <c r="F1232" s="1" cm="1">
        <f t="array" ref="F1232">SUMPRODUCT(("T_C-HY-GSL-S1"=[1]OUT_TransportEnergyCons!$A$3:$A$1000)*1,("var_fout"=[1]OUT_TransportEnergyCons!$B$3:$B$1000)*1,ISNUMBER(SEARCH("TPCAR",[1]OUT_TransportEnergyCons!$C$3:$C$1000))*1,[1]OUT_TransportEnergyCons!D$3:D$1000)</f>
        <v>5.2613327238380019E-2</v>
      </c>
      <c r="G1232" s="1" cm="1">
        <f t="array" ref="G1232">SUMPRODUCT(("T_C-HY-GSL-S1"=[1]OUT_TransportEnergyCons!$A$3:$A$1000)*1,("var_fout"=[1]OUT_TransportEnergyCons!$B$3:$B$1000)*1,ISNUMBER(SEARCH("TPCAR",[1]OUT_TransportEnergyCons!$C$3:$C$1000))*1,[1]OUT_TransportEnergyCons!E$3:E$1000)</f>
        <v>6.1834130383720529E-2</v>
      </c>
      <c r="H1232" s="1" cm="1">
        <f t="array" ref="H1232">SUMPRODUCT(("T_C-HY-GSL-S1"=[1]OUT_TransportEnergyCons!$A$3:$A$1000)*1,("var_fout"=[1]OUT_TransportEnergyCons!$B$3:$B$1000)*1,ISNUMBER(SEARCH("TPCAR",[1]OUT_TransportEnergyCons!$C$3:$C$1000))*1,[1]OUT_TransportEnergyCons!F$3:F$1000)</f>
        <v>4.2992780198102792E-2</v>
      </c>
      <c r="I1232" s="1" cm="1">
        <f t="array" ref="I1232">SUMPRODUCT(("T_C-HY-GSL-S1"=[1]OUT_TransportEnergyCons!$A$3:$A$1000)*1,("var_fout"=[1]OUT_TransportEnergyCons!$B$3:$B$1000)*1,ISNUMBER(SEARCH("TPCAR",[1]OUT_TransportEnergyCons!$C$3:$C$1000))*1,[1]OUT_TransportEnergyCons!G$3:G$1000)</f>
        <v>3.4491348426549565E-2</v>
      </c>
      <c r="J1232" s="1" cm="1">
        <f t="array" ref="J1232">SUMPRODUCT(("T_C-HY-GSL-S1"=[2]OUT_TransportEnergyCons!$A$3:$A$1000)*1,("var_fout"=[2]OUT_TransportEnergyCons!$B$3:$B$1000)*1,ISNUMBER(SEARCH("TPCAR",[2]OUT_TransportEnergyCons!$C$3:$C$1000))*1,[2]OUT_TransportEnergyCons!H$3:H$1000)</f>
        <v>0.86955995891567495</v>
      </c>
      <c r="K1232" s="1" cm="1">
        <f t="array" ref="K1232">SUMPRODUCT(("T_C-HY-GSL-S1"=[2]OUT_TransportEnergyCons!$A$3:$A$1000)*1,("var_fout"=[2]OUT_TransportEnergyCons!$B$3:$B$1000)*1,ISNUMBER(SEARCH("TPCAR",[2]OUT_TransportEnergyCons!$C$3:$C$1000))*1,[2]OUT_TransportEnergyCons!I$3:I$1000)</f>
        <v>1.5575734875144827</v>
      </c>
      <c r="L1232" s="1" cm="1">
        <f t="array" ref="L1232">SUMPRODUCT(("T_C-HY-GSL-S1"=[2]OUT_TransportEnergyCons!$A$3:$A$1000)*1,("var_fout"=[2]OUT_TransportEnergyCons!$B$3:$B$1000)*1,ISNUMBER(SEARCH("TPCAR",[2]OUT_TransportEnergyCons!$C$3:$C$1000))*1,[2]OUT_TransportEnergyCons!J$3:J$1000)</f>
        <v>0.644624377914501</v>
      </c>
      <c r="N1232" s="1"/>
    </row>
    <row r="1233" spans="2:14" x14ac:dyDescent="0.35">
      <c r="B1233" s="5" t="str">
        <f t="shared" si="1335"/>
        <v>SPS1</v>
      </c>
      <c r="C1233" s="5" t="str">
        <f t="shared" si="1336"/>
        <v>CH</v>
      </c>
      <c r="D1233" t="s">
        <v>1151</v>
      </c>
      <c r="E1233" t="str">
        <f t="shared" si="1334"/>
        <v>billion km/yr.</v>
      </c>
      <c r="F1233" s="1" cm="1">
        <f t="array" ref="F1233">SUMPRODUCT(("T_C-HY-GSL-S2"=[1]OUT_TransportEnergyCons!$A$3:$A$1000)*1,("var_fout"=[1]OUT_TransportEnergyCons!$B$3:$B$1000)*1,ISNUMBER(SEARCH("TPCAR",[1]OUT_TransportEnergyCons!$C$3:$C$1000))*1,[1]OUT_TransportEnergyCons!D$3:D$1000)</f>
        <v>0.22050027715236337</v>
      </c>
      <c r="G1233" s="1" cm="1">
        <f t="array" ref="G1233">SUMPRODUCT(("T_C-HY-GSL-S2"=[1]OUT_TransportEnergyCons!$A$3:$A$1000)*1,("var_fout"=[1]OUT_TransportEnergyCons!$B$3:$B$1000)*1,ISNUMBER(SEARCH("TPCAR",[1]OUT_TransportEnergyCons!$C$3:$C$1000))*1,[1]OUT_TransportEnergyCons!E$3:E$1000)</f>
        <v>0.38873392972647403</v>
      </c>
      <c r="H1233" s="1" cm="1">
        <f t="array" ref="H1233">SUMPRODUCT(("T_C-HY-GSL-S2"=[1]OUT_TransportEnergyCons!$A$3:$A$1000)*1,("var_fout"=[1]OUT_TransportEnergyCons!$B$3:$B$1000)*1,ISNUMBER(SEARCH("TPCAR",[1]OUT_TransportEnergyCons!$C$3:$C$1000))*1,[1]OUT_TransportEnergyCons!F$3:F$1000)</f>
        <v>1.403036618757608</v>
      </c>
      <c r="I1233" s="1" cm="1">
        <f t="array" ref="I1233">SUMPRODUCT(("T_C-HY-GSL-S2"=[1]OUT_TransportEnergyCons!$A$3:$A$1000)*1,("var_fout"=[1]OUT_TransportEnergyCons!$B$3:$B$1000)*1,ISNUMBER(SEARCH("TPCAR",[1]OUT_TransportEnergyCons!$C$3:$C$1000))*1,[1]OUT_TransportEnergyCons!G$3:G$1000)</f>
        <v>1.211285151681349</v>
      </c>
      <c r="J1233" s="1" cm="1">
        <f t="array" ref="J1233">SUMPRODUCT(("T_C-HY-GSL-S2"=[2]OUT_TransportEnergyCons!$A$3:$A$1000)*1,("var_fout"=[2]OUT_TransportEnergyCons!$B$3:$B$1000)*1,ISNUMBER(SEARCH("TPCAR",[2]OUT_TransportEnergyCons!$C$3:$C$1000))*1,[2]OUT_TransportEnergyCons!H$3:H$1000)</f>
        <v>1.0882800917091935</v>
      </c>
      <c r="K1233" s="1" cm="1">
        <f t="array" ref="K1233">SUMPRODUCT(("T_C-HY-GSL-S2"=[2]OUT_TransportEnergyCons!$A$3:$A$1000)*1,("var_fout"=[2]OUT_TransportEnergyCons!$B$3:$B$1000)*1,ISNUMBER(SEARCH("TPCAR",[2]OUT_TransportEnergyCons!$C$3:$C$1000))*1,[2]OUT_TransportEnergyCons!I$3:I$1000)</f>
        <v>0.40037969224211406</v>
      </c>
      <c r="L1233" s="1" cm="1">
        <f t="array" ref="L1233">SUMPRODUCT(("T_C-HY-GSL-S2"=[2]OUT_TransportEnergyCons!$A$3:$A$1000)*1,("var_fout"=[2]OUT_TransportEnergyCons!$B$3:$B$1000)*1,ISNUMBER(SEARCH("TPCAR",[2]OUT_TransportEnergyCons!$C$3:$C$1000))*1,[2]OUT_TransportEnergyCons!J$3:J$1000)</f>
        <v>1.6501383427269096</v>
      </c>
      <c r="N1233" s="1"/>
    </row>
    <row r="1234" spans="2:14" x14ac:dyDescent="0.35">
      <c r="B1234" s="5" t="str">
        <f t="shared" si="1335"/>
        <v>SPS1</v>
      </c>
      <c r="C1234" s="5" t="str">
        <f t="shared" si="1336"/>
        <v>CH</v>
      </c>
      <c r="D1234" t="s">
        <v>1152</v>
      </c>
      <c r="E1234" t="str">
        <f t="shared" si="1334"/>
        <v>billion km/yr.</v>
      </c>
      <c r="F1234" s="1" cm="1">
        <f t="array" ref="F1234">SUMPRODUCT(("T_C-HY-GSL-S3"=[1]OUT_TransportEnergyCons!$A$3:$A$1000)*1,("var_fout"=[1]OUT_TransportEnergyCons!$B$3:$B$1000)*1,ISNUMBER(SEARCH("TPCAR",[1]OUT_TransportEnergyCons!$C$3:$C$1000))*1,[1]OUT_TransportEnergyCons!D$3:D$1000)</f>
        <v>0.20260144370508359</v>
      </c>
      <c r="G1234" s="1" cm="1">
        <f t="array" ref="G1234">SUMPRODUCT(("T_C-HY-GSL-S3"=[1]OUT_TransportEnergyCons!$A$3:$A$1000)*1,("var_fout"=[1]OUT_TransportEnergyCons!$B$3:$B$1000)*1,ISNUMBER(SEARCH("TPCAR",[1]OUT_TransportEnergyCons!$C$3:$C$1000))*1,[1]OUT_TransportEnergyCons!E$3:E$1000)</f>
        <v>3.0919359103714226</v>
      </c>
      <c r="H1234" s="1" cm="1">
        <f t="array" ref="H1234">SUMPRODUCT(("T_C-HY-GSL-S3"=[1]OUT_TransportEnergyCons!$A$3:$A$1000)*1,("var_fout"=[1]OUT_TransportEnergyCons!$B$3:$B$1000)*1,ISNUMBER(SEARCH("TPCAR",[1]OUT_TransportEnergyCons!$C$3:$C$1000))*1,[1]OUT_TransportEnergyCons!F$3:F$1000)</f>
        <v>2.9209423833716532</v>
      </c>
      <c r="I1234" s="1" cm="1">
        <f t="array" ref="I1234">SUMPRODUCT(("T_C-HY-GSL-S3"=[1]OUT_TransportEnergyCons!$A$3:$A$1000)*1,("var_fout"=[1]OUT_TransportEnergyCons!$B$3:$B$1000)*1,ISNUMBER(SEARCH("TPCAR",[1]OUT_TransportEnergyCons!$C$3:$C$1000))*1,[1]OUT_TransportEnergyCons!G$3:G$1000)</f>
        <v>2.3514113278351885</v>
      </c>
      <c r="J1234" s="1" cm="1">
        <f t="array" ref="J1234">SUMPRODUCT(("T_C-HY-GSL-S3"=[2]OUT_TransportEnergyCons!$A$3:$A$1000)*1,("var_fout"=[2]OUT_TransportEnergyCons!$B$3:$B$1000)*1,ISNUMBER(SEARCH("TPCAR",[2]OUT_TransportEnergyCons!$C$3:$C$1000))*1,[2]OUT_TransportEnergyCons!H$3:H$1000)</f>
        <v>0.7674903867968601</v>
      </c>
      <c r="K1234" s="1" cm="1">
        <f t="array" ref="K1234">SUMPRODUCT(("T_C-HY-GSL-S3"=[2]OUT_TransportEnergyCons!$A$3:$A$1000)*1,("var_fout"=[2]OUT_TransportEnergyCons!$B$3:$B$1000)*1,ISNUMBER(SEARCH("TPCAR",[2]OUT_TransportEnergyCons!$C$3:$C$1000))*1,[2]OUT_TransportEnergyCons!I$3:I$1000)</f>
        <v>9.4387992078837513E-4</v>
      </c>
      <c r="L1234" s="1" cm="1">
        <f t="array" ref="L1234">SUMPRODUCT(("T_C-HY-GSL-S3"=[2]OUT_TransportEnergyCons!$A$3:$A$1000)*1,("var_fout"=[2]OUT_TransportEnergyCons!$B$3:$B$1000)*1,ISNUMBER(SEARCH("TPCAR",[2]OUT_TransportEnergyCons!$C$3:$C$1000))*1,[2]OUT_TransportEnergyCons!J$3:J$1000)</f>
        <v>5.9475002986562886E-4</v>
      </c>
      <c r="N1234" s="1"/>
    </row>
    <row r="1235" spans="2:14" x14ac:dyDescent="0.35">
      <c r="B1235" s="5" t="str">
        <f t="shared" si="1335"/>
        <v>SPS1</v>
      </c>
      <c r="C1235" s="5" t="str">
        <f t="shared" si="1336"/>
        <v>CH</v>
      </c>
      <c r="D1235" t="s">
        <v>1153</v>
      </c>
      <c r="E1235" t="str">
        <f t="shared" si="1334"/>
        <v>billion km/yr.</v>
      </c>
      <c r="F1235" s="1" cm="1">
        <f t="array" ref="F1235">SUMPRODUCT(("T_C-HY-GSL-S4"=[1]OUT_TransportEnergyCons!$A$3:$A$1000)*1,("var_fout"=[1]OUT_TransportEnergyCons!$B$3:$B$1000)*1,ISNUMBER(SEARCH("TPCAR",[1]OUT_TransportEnergyCons!$C$3:$C$1000))*1,[1]OUT_TransportEnergyCons!D$3:D$1000)</f>
        <v>0.10433499808528554</v>
      </c>
      <c r="G1235" s="1" cm="1">
        <f t="array" ref="G1235">SUMPRODUCT(("T_C-HY-GSL-S4"=[1]OUT_TransportEnergyCons!$A$3:$A$1000)*1,("var_fout"=[1]OUT_TransportEnergyCons!$B$3:$B$1000)*1,ISNUMBER(SEARCH("TPCAR",[1]OUT_TransportEnergyCons!$C$3:$C$1000))*1,[1]OUT_TransportEnergyCons!E$3:E$1000)</f>
        <v>0.17912035409520852</v>
      </c>
      <c r="H1235" s="1" cm="1">
        <f t="array" ref="H1235">SUMPRODUCT(("T_C-HY-GSL-S4"=[1]OUT_TransportEnergyCons!$A$3:$A$1000)*1,("var_fout"=[1]OUT_TransportEnergyCons!$B$3:$B$1000)*1,ISNUMBER(SEARCH("TPCAR",[1]OUT_TransportEnergyCons!$C$3:$C$1000))*1,[1]OUT_TransportEnergyCons!F$3:F$1000)</f>
        <v>0.1708632831318796</v>
      </c>
      <c r="I1235" s="1" cm="1">
        <f t="array" ref="I1235">SUMPRODUCT(("T_C-HY-GSL-S4"=[1]OUT_TransportEnergyCons!$A$3:$A$1000)*1,("var_fout"=[1]OUT_TransportEnergyCons!$B$3:$B$1000)*1,ISNUMBER(SEARCH("TPCAR",[1]OUT_TransportEnergyCons!$C$3:$C$1000))*1,[1]OUT_TransportEnergyCons!G$3:G$1000)</f>
        <v>0.14378464470985092</v>
      </c>
      <c r="J1235" s="1" cm="1">
        <f t="array" ref="J1235">SUMPRODUCT(("T_C-HY-GSL-S4"=[2]OUT_TransportEnergyCons!$A$3:$A$1000)*1,("var_fout"=[2]OUT_TransportEnergyCons!$B$3:$B$1000)*1,ISNUMBER(SEARCH("TPCAR",[2]OUT_TransportEnergyCons!$C$3:$C$1000))*1,[2]OUT_TransportEnergyCons!H$3:H$1000)</f>
        <v>2.59240636612749E-2</v>
      </c>
      <c r="K1235" s="1" cm="1">
        <f t="array" ref="K1235">SUMPRODUCT(("T_C-HY-GSL-S4"=[2]OUT_TransportEnergyCons!$A$3:$A$1000)*1,("var_fout"=[2]OUT_TransportEnergyCons!$B$3:$B$1000)*1,ISNUMBER(SEARCH("TPCAR",[2]OUT_TransportEnergyCons!$C$3:$C$1000))*1,[2]OUT_TransportEnergyCons!I$3:I$1000)</f>
        <v>1.2140094312322852E-3</v>
      </c>
      <c r="L1235" s="1" cm="1">
        <f t="array" ref="L1235">SUMPRODUCT(("T_C-HY-GSL-S4"=[2]OUT_TransportEnergyCons!$A$3:$A$1000)*1,("var_fout"=[2]OUT_TransportEnergyCons!$B$3:$B$1000)*1,ISNUMBER(SEARCH("TPCAR",[2]OUT_TransportEnergyCons!$C$3:$C$1000))*1,[2]OUT_TransportEnergyCons!J$3:J$1000)</f>
        <v>1.85960327735822E-3</v>
      </c>
      <c r="N1235" s="1"/>
    </row>
    <row r="1236" spans="2:14" x14ac:dyDescent="0.35">
      <c r="B1236" s="5" t="str">
        <f t="shared" si="1335"/>
        <v>SPS1</v>
      </c>
      <c r="C1236" s="5" t="str">
        <f t="shared" si="1336"/>
        <v>CH</v>
      </c>
      <c r="D1236" t="s">
        <v>1154</v>
      </c>
      <c r="E1236" t="str">
        <f t="shared" si="1334"/>
        <v>billion km/yr.</v>
      </c>
      <c r="F1236" s="1" cm="1">
        <f t="array" ref="F1236">SUMPRODUCT(("T_C-ICEGSLEXT"=[1]OUT_TransportEnergyCons!$A$3:$A$1000)*1,("var_fout"=[1]OUT_TransportEnergyCons!$B$3:$B$1000)*1,ISNUMBER(SEARCH("TPCAR",[1]OUT_TransportEnergyCons!$C$3:$C$1000))*1,[1]OUT_TransportEnergyCons!D$3:D$1000)</f>
        <v>18.302988001126618</v>
      </c>
      <c r="G1236" s="1" cm="1">
        <f t="array" ref="G1236">SUMPRODUCT(("T_C-ICEGSLEXT"=[1]OUT_TransportEnergyCons!$A$3:$A$1000)*1,("var_fout"=[1]OUT_TransportEnergyCons!$B$3:$B$1000)*1,ISNUMBER(SEARCH("TPCAR",[1]OUT_TransportEnergyCons!$C$3:$C$1000))*1,[1]OUT_TransportEnergyCons!E$3:E$1000)</f>
        <v>15.114982010285239</v>
      </c>
      <c r="H1236" s="1" cm="1">
        <f t="array" ref="H1236">SUMPRODUCT(("T_C-ICEGSLEXT"=[1]OUT_TransportEnergyCons!$A$3:$A$1000)*1,("var_fout"=[1]OUT_TransportEnergyCons!$B$3:$B$1000)*1,ISNUMBER(SEARCH("TPCAR",[1]OUT_TransportEnergyCons!$C$3:$C$1000))*1,[1]OUT_TransportEnergyCons!F$3:F$1000)</f>
        <v>12.676511638962117</v>
      </c>
      <c r="I1236" s="1" cm="1">
        <f t="array" ref="I1236">SUMPRODUCT(("T_C-ICEGSLEXT"=[1]OUT_TransportEnergyCons!$A$3:$A$1000)*1,("var_fout"=[1]OUT_TransportEnergyCons!$B$3:$B$1000)*1,ISNUMBER(SEARCH("TPCAR",[1]OUT_TransportEnergyCons!$C$3:$C$1000))*1,[1]OUT_TransportEnergyCons!G$3:G$1000)</f>
        <v>3.7984844808519886</v>
      </c>
      <c r="J1236" s="1" cm="1">
        <f t="array" ref="J1236">SUMPRODUCT(("T_C-ICEGSLEXT"=[2]OUT_TransportEnergyCons!$A$3:$A$1000)*1,("var_fout"=[2]OUT_TransportEnergyCons!$B$3:$B$1000)*1,ISNUMBER(SEARCH("TPCAR",[2]OUT_TransportEnergyCons!$C$3:$C$1000))*1,[2]OUT_TransportEnergyCons!H$3:H$1000)</f>
        <v>0</v>
      </c>
      <c r="K1236" s="1" cm="1">
        <f t="array" ref="K1236">SUMPRODUCT(("T_C-ICEGSLEXT"=[2]OUT_TransportEnergyCons!$A$3:$A$1000)*1,("var_fout"=[2]OUT_TransportEnergyCons!$B$3:$B$1000)*1,ISNUMBER(SEARCH("TPCAR",[2]OUT_TransportEnergyCons!$C$3:$C$1000))*1,[2]OUT_TransportEnergyCons!I$3:I$1000)</f>
        <v>0</v>
      </c>
      <c r="L1236" s="1" cm="1">
        <f t="array" ref="L1236">SUMPRODUCT(("T_C-ICEGSLEXT"=[2]OUT_TransportEnergyCons!$A$3:$A$1000)*1,("var_fout"=[2]OUT_TransportEnergyCons!$B$3:$B$1000)*1,ISNUMBER(SEARCH("TPCAR",[2]OUT_TransportEnergyCons!$C$3:$C$1000))*1,[2]OUT_TransportEnergyCons!J$3:J$1000)</f>
        <v>0</v>
      </c>
      <c r="N1236" s="1"/>
    </row>
    <row r="1237" spans="2:14" x14ac:dyDescent="0.35">
      <c r="B1237" s="5" t="str">
        <f t="shared" si="1335"/>
        <v>SPS1</v>
      </c>
      <c r="C1237" s="5" t="str">
        <f t="shared" si="1336"/>
        <v>CH</v>
      </c>
      <c r="D1237" t="s">
        <v>1155</v>
      </c>
      <c r="E1237" t="str">
        <f t="shared" si="1334"/>
        <v>billion km/yr.</v>
      </c>
      <c r="F1237" s="1" cm="1">
        <f t="array" ref="F1237">SUMPRODUCT(("T_C-ICE-GSL-S1"=[1]OUT_TransportEnergyCons!$A$3:$A$1000)*1,("var_fout"=[1]OUT_TransportEnergyCons!$B$3:$B$1000)*1,ISNUMBER(SEARCH("TPCAR",[1]OUT_TransportEnergyCons!$C$3:$C$1000))*1,[1]OUT_TransportEnergyCons!D$3:D$1000)</f>
        <v>0.33840088256824075</v>
      </c>
      <c r="G1237" s="1" cm="1">
        <f t="array" ref="G1237">SUMPRODUCT(("T_C-ICE-GSL-S1"=[1]OUT_TransportEnergyCons!$A$3:$A$1000)*1,("var_fout"=[1]OUT_TransportEnergyCons!$B$3:$B$1000)*1,ISNUMBER(SEARCH("TPCAR",[1]OUT_TransportEnergyCons!$C$3:$C$1000))*1,[1]OUT_TransportEnergyCons!E$3:E$1000)</f>
        <v>0.37223212104381259</v>
      </c>
      <c r="H1237" s="1" cm="1">
        <f t="array" ref="H1237">SUMPRODUCT(("T_C-ICE-GSL-S1"=[1]OUT_TransportEnergyCons!$A$3:$A$1000)*1,("var_fout"=[1]OUT_TransportEnergyCons!$B$3:$B$1000)*1,ISNUMBER(SEARCH("TPCAR",[1]OUT_TransportEnergyCons!$C$3:$C$1000))*1,[1]OUT_TransportEnergyCons!F$3:F$1000)</f>
        <v>0.85506372431041389</v>
      </c>
      <c r="I1237" s="1" cm="1">
        <f t="array" ref="I1237">SUMPRODUCT(("T_C-ICE-GSL-S1"=[1]OUT_TransportEnergyCons!$A$3:$A$1000)*1,("var_fout"=[1]OUT_TransportEnergyCons!$B$3:$B$1000)*1,ISNUMBER(SEARCH("TPCAR",[1]OUT_TransportEnergyCons!$C$3:$C$1000))*1,[1]OUT_TransportEnergyCons!G$3:G$1000)</f>
        <v>1.3305550939590569</v>
      </c>
      <c r="J1237" s="1" cm="1">
        <f t="array" ref="J1237">SUMPRODUCT(("T_C-ICE-GSL-S1"=[2]OUT_TransportEnergyCons!$A$3:$A$1000)*1,("var_fout"=[2]OUT_TransportEnergyCons!$B$3:$B$1000)*1,ISNUMBER(SEARCH("TPCAR",[2]OUT_TransportEnergyCons!$C$3:$C$1000))*1,[2]OUT_TransportEnergyCons!H$3:H$1000)</f>
        <v>0.81284030106751892</v>
      </c>
      <c r="K1237" s="1" cm="1">
        <f t="array" ref="K1237">SUMPRODUCT(("T_C-ICE-GSL-S1"=[2]OUT_TransportEnergyCons!$A$3:$A$1000)*1,("var_fout"=[2]OUT_TransportEnergyCons!$B$3:$B$1000)*1,ISNUMBER(SEARCH("TPCAR",[2]OUT_TransportEnergyCons!$C$3:$C$1000))*1,[2]OUT_TransportEnergyCons!I$3:I$1000)</f>
        <v>0.26475323613162383</v>
      </c>
      <c r="L1237" s="1" cm="1">
        <f t="array" ref="L1237">SUMPRODUCT(("T_C-ICE-GSL-S1"=[2]OUT_TransportEnergyCons!$A$3:$A$1000)*1,("var_fout"=[2]OUT_TransportEnergyCons!$B$3:$B$1000)*1,ISNUMBER(SEARCH("TPCAR",[2]OUT_TransportEnergyCons!$C$3:$C$1000))*1,[2]OUT_TransportEnergyCons!J$3:J$1000)</f>
        <v>3.2609387773428284E-4</v>
      </c>
      <c r="N1237" s="1"/>
    </row>
    <row r="1238" spans="2:14" x14ac:dyDescent="0.35">
      <c r="B1238" s="5" t="str">
        <f t="shared" si="1335"/>
        <v>SPS1</v>
      </c>
      <c r="C1238" s="5" t="str">
        <f t="shared" si="1336"/>
        <v>CH</v>
      </c>
      <c r="D1238" t="s">
        <v>1156</v>
      </c>
      <c r="E1238" t="str">
        <f t="shared" si="1334"/>
        <v>billion km/yr.</v>
      </c>
      <c r="F1238" s="1" cm="1">
        <f t="array" ref="F1238">SUMPRODUCT(("T_C-ICE-GSL-S2"=[1]OUT_TransportEnergyCons!$A$3:$A$1000)*1,("var_fout"=[1]OUT_TransportEnergyCons!$B$3:$B$1000)*1,ISNUMBER(SEARCH("TPCAR",[1]OUT_TransportEnergyCons!$C$3:$C$1000))*1,[1]OUT_TransportEnergyCons!D$3:D$1000)</f>
        <v>2.3602082734823493</v>
      </c>
      <c r="G1238" s="1" cm="1">
        <f t="array" ref="G1238">SUMPRODUCT(("T_C-ICE-GSL-S2"=[1]OUT_TransportEnergyCons!$A$3:$A$1000)*1,("var_fout"=[1]OUT_TransportEnergyCons!$B$3:$B$1000)*1,ISNUMBER(SEARCH("TPCAR",[1]OUT_TransportEnergyCons!$C$3:$C$1000))*1,[1]OUT_TransportEnergyCons!E$3:E$1000)</f>
        <v>3.2077157552734468</v>
      </c>
      <c r="H1238" s="1" cm="1">
        <f t="array" ref="H1238">SUMPRODUCT(("T_C-ICE-GSL-S2"=[1]OUT_TransportEnergyCons!$A$3:$A$1000)*1,("var_fout"=[1]OUT_TransportEnergyCons!$B$3:$B$1000)*1,ISNUMBER(SEARCH("TPCAR",[1]OUT_TransportEnergyCons!$C$3:$C$1000))*1,[1]OUT_TransportEnergyCons!F$3:F$1000)</f>
        <v>4.1026955545345904</v>
      </c>
      <c r="I1238" s="1" cm="1">
        <f t="array" ref="I1238">SUMPRODUCT(("T_C-ICE-GSL-S2"=[1]OUT_TransportEnergyCons!$A$3:$A$1000)*1,("var_fout"=[1]OUT_TransportEnergyCons!$B$3:$B$1000)*1,ISNUMBER(SEARCH("TPCAR",[1]OUT_TransportEnergyCons!$C$3:$C$1000))*1,[1]OUT_TransportEnergyCons!G$3:G$1000)</f>
        <v>3.3250323755707143</v>
      </c>
      <c r="J1238" s="1" cm="1">
        <f t="array" ref="J1238">SUMPRODUCT(("T_C-ICE-GSL-S2"=[2]OUT_TransportEnergyCons!$A$3:$A$1000)*1,("var_fout"=[2]OUT_TransportEnergyCons!$B$3:$B$1000)*1,ISNUMBER(SEARCH("TPCAR",[2]OUT_TransportEnergyCons!$C$3:$C$1000))*1,[2]OUT_TransportEnergyCons!H$3:H$1000)</f>
        <v>0.4257041877441039</v>
      </c>
      <c r="K1238" s="1" cm="1">
        <f t="array" ref="K1238">SUMPRODUCT(("T_C-ICE-GSL-S2"=[2]OUT_TransportEnergyCons!$A$3:$A$1000)*1,("var_fout"=[2]OUT_TransportEnergyCons!$B$3:$B$1000)*1,ISNUMBER(SEARCH("TPCAR",[2]OUT_TransportEnergyCons!$C$3:$C$1000))*1,[2]OUT_TransportEnergyCons!I$3:I$1000)</f>
        <v>4.5896922307350284E-2</v>
      </c>
      <c r="L1238" s="1" cm="1">
        <f t="array" ref="L1238">SUMPRODUCT(("T_C-ICE-GSL-S2"=[2]OUT_TransportEnergyCons!$A$3:$A$1000)*1,("var_fout"=[2]OUT_TransportEnergyCons!$B$3:$B$1000)*1,ISNUMBER(SEARCH("TPCAR",[2]OUT_TransportEnergyCons!$C$3:$C$1000))*1,[2]OUT_TransportEnergyCons!J$3:J$1000)</f>
        <v>5.664515944201967E-4</v>
      </c>
      <c r="N1238" s="1"/>
    </row>
    <row r="1239" spans="2:14" x14ac:dyDescent="0.35">
      <c r="B1239" s="5" t="str">
        <f t="shared" si="1335"/>
        <v>SPS1</v>
      </c>
      <c r="C1239" s="5" t="str">
        <f t="shared" si="1336"/>
        <v>CH</v>
      </c>
      <c r="D1239" t="s">
        <v>1157</v>
      </c>
      <c r="E1239" t="str">
        <f t="shared" si="1334"/>
        <v>billion km/yr.</v>
      </c>
      <c r="F1239" s="1" cm="1">
        <f t="array" ref="F1239">SUMPRODUCT(("T_C-ICE-GSL-S3"=[1]OUT_TransportEnergyCons!$A$3:$A$1000)*1,("var_fout"=[1]OUT_TransportEnergyCons!$B$3:$B$1000)*1,ISNUMBER(SEARCH("TPCAR",[1]OUT_TransportEnergyCons!$C$3:$C$1000))*1,[1]OUT_TransportEnergyCons!D$3:D$1000)</f>
        <v>2.1370002796024221</v>
      </c>
      <c r="G1239" s="1" cm="1">
        <f t="array" ref="G1239">SUMPRODUCT(("T_C-ICE-GSL-S3"=[1]OUT_TransportEnergyCons!$A$3:$A$1000)*1,("var_fout"=[1]OUT_TransportEnergyCons!$B$3:$B$1000)*1,ISNUMBER(SEARCH("TPCAR",[1]OUT_TransportEnergyCons!$C$3:$C$1000))*1,[1]OUT_TransportEnergyCons!E$3:E$1000)</f>
        <v>2.9620380690167485</v>
      </c>
      <c r="H1239" s="1" cm="1">
        <f t="array" ref="H1239">SUMPRODUCT(("T_C-ICE-GSL-S3"=[1]OUT_TransportEnergyCons!$A$3:$A$1000)*1,("var_fout"=[1]OUT_TransportEnergyCons!$B$3:$B$1000)*1,ISNUMBER(SEARCH("TPCAR",[1]OUT_TransportEnergyCons!$C$3:$C$1000))*1,[1]OUT_TransportEnergyCons!F$3:F$1000)</f>
        <v>3.4777259694163307</v>
      </c>
      <c r="I1239" s="1" cm="1">
        <f t="array" ref="I1239">SUMPRODUCT(("T_C-ICE-GSL-S3"=[1]OUT_TransportEnergyCons!$A$3:$A$1000)*1,("var_fout"=[1]OUT_TransportEnergyCons!$B$3:$B$1000)*1,ISNUMBER(SEARCH("TPCAR",[1]OUT_TransportEnergyCons!$C$3:$C$1000))*1,[1]OUT_TransportEnergyCons!G$3:G$1000)</f>
        <v>2.8618135615378311</v>
      </c>
      <c r="J1239" s="1" cm="1">
        <f t="array" ref="J1239">SUMPRODUCT(("T_C-ICE-GSL-S3"=[2]OUT_TransportEnergyCons!$A$3:$A$1000)*1,("var_fout"=[2]OUT_TransportEnergyCons!$B$3:$B$1000)*1,ISNUMBER(SEARCH("TPCAR",[2]OUT_TransportEnergyCons!$C$3:$C$1000))*1,[2]OUT_TransportEnergyCons!H$3:H$1000)</f>
        <v>0.48500191897051198</v>
      </c>
      <c r="K1239" s="1" cm="1">
        <f t="array" ref="K1239">SUMPRODUCT(("T_C-ICE-GSL-S3"=[2]OUT_TransportEnergyCons!$A$3:$A$1000)*1,("var_fout"=[2]OUT_TransportEnergyCons!$B$3:$B$1000)*1,ISNUMBER(SEARCH("TPCAR",[2]OUT_TransportEnergyCons!$C$3:$C$1000))*1,[2]OUT_TransportEnergyCons!I$3:I$1000)</f>
        <v>4.9086098683922455E-2</v>
      </c>
      <c r="L1239" s="1" cm="1">
        <f t="array" ref="L1239">SUMPRODUCT(("T_C-ICE-GSL-S3"=[2]OUT_TransportEnergyCons!$A$3:$A$1000)*1,("var_fout"=[2]OUT_TransportEnergyCons!$B$3:$B$1000)*1,ISNUMBER(SEARCH("TPCAR",[2]OUT_TransportEnergyCons!$C$3:$C$1000))*1,[2]OUT_TransportEnergyCons!J$3:J$1000)</f>
        <v>7.4766019509234769E-4</v>
      </c>
      <c r="N1239" s="1"/>
    </row>
    <row r="1240" spans="2:14" x14ac:dyDescent="0.35">
      <c r="B1240" s="5" t="str">
        <f t="shared" si="1335"/>
        <v>SPS1</v>
      </c>
      <c r="C1240" s="5" t="str">
        <f t="shared" si="1336"/>
        <v>CH</v>
      </c>
      <c r="D1240" t="s">
        <v>1158</v>
      </c>
      <c r="E1240" t="str">
        <f t="shared" si="1334"/>
        <v>billion km/yr.</v>
      </c>
      <c r="F1240" s="1" cm="1">
        <f t="array" ref="F1240">SUMPRODUCT(("T_C-ICE-GSL-S4"=[1]OUT_TransportEnergyCons!$A$3:$A$1000)*1,("var_fout"=[1]OUT_TransportEnergyCons!$B$3:$B$1000)*1,ISNUMBER(SEARCH("TPCAR",[1]OUT_TransportEnergyCons!$C$3:$C$1000))*1,[1]OUT_TransportEnergyCons!D$3:D$1000)</f>
        <v>1.7111951513878778</v>
      </c>
      <c r="G1240" s="1" cm="1">
        <f t="array" ref="G1240">SUMPRODUCT(("T_C-ICE-GSL-S4"=[1]OUT_TransportEnergyCons!$A$3:$A$1000)*1,("var_fout"=[1]OUT_TransportEnergyCons!$B$3:$B$1000)*1,ISNUMBER(SEARCH("TPCAR",[1]OUT_TransportEnergyCons!$C$3:$C$1000))*1,[1]OUT_TransportEnergyCons!E$3:E$1000)</f>
        <v>2.276700540852544</v>
      </c>
      <c r="H1240" s="1" cm="1">
        <f t="array" ref="H1240">SUMPRODUCT(("T_C-ICE-GSL-S4"=[1]OUT_TransportEnergyCons!$A$3:$A$1000)*1,("var_fout"=[1]OUT_TransportEnergyCons!$B$3:$B$1000)*1,ISNUMBER(SEARCH("TPCAR",[1]OUT_TransportEnergyCons!$C$3:$C$1000))*1,[1]OUT_TransportEnergyCons!F$3:F$1000)</f>
        <v>3.6900128483659782</v>
      </c>
      <c r="I1240" s="1" cm="1">
        <f t="array" ref="I1240">SUMPRODUCT(("T_C-ICE-GSL-S4"=[1]OUT_TransportEnergyCons!$A$3:$A$1000)*1,("var_fout"=[1]OUT_TransportEnergyCons!$B$3:$B$1000)*1,ISNUMBER(SEARCH("TPCAR",[1]OUT_TransportEnergyCons!$C$3:$C$1000))*1,[1]OUT_TransportEnergyCons!G$3:G$1000)</f>
        <v>3.0755064039886815</v>
      </c>
      <c r="J1240" s="1" cm="1">
        <f t="array" ref="J1240">SUMPRODUCT(("T_C-ICE-GSL-S4"=[2]OUT_TransportEnergyCons!$A$3:$A$1000)*1,("var_fout"=[2]OUT_TransportEnergyCons!$B$3:$B$1000)*1,ISNUMBER(SEARCH("TPCAR",[2]OUT_TransportEnergyCons!$C$3:$C$1000))*1,[2]OUT_TransportEnergyCons!H$3:H$1000)</f>
        <v>6.166178738856753</v>
      </c>
      <c r="K1240" s="1" cm="1">
        <f t="array" ref="K1240">SUMPRODUCT(("T_C-ICE-GSL-S4"=[2]OUT_TransportEnergyCons!$A$3:$A$1000)*1,("var_fout"=[2]OUT_TransportEnergyCons!$B$3:$B$1000)*1,ISNUMBER(SEARCH("TPCAR",[2]OUT_TransportEnergyCons!$C$3:$C$1000))*1,[2]OUT_TransportEnergyCons!I$3:I$1000)</f>
        <v>8.5076158076814448</v>
      </c>
      <c r="L1240" s="1" cm="1">
        <f t="array" ref="L1240">SUMPRODUCT(("T_C-ICE-GSL-S4"=[2]OUT_TransportEnergyCons!$A$3:$A$1000)*1,("var_fout"=[2]OUT_TransportEnergyCons!$B$3:$B$1000)*1,ISNUMBER(SEARCH("TPCAR",[2]OUT_TransportEnergyCons!$C$3:$C$1000))*1,[2]OUT_TransportEnergyCons!J$3:J$1000)</f>
        <v>8.0553251361325753</v>
      </c>
      <c r="N1240" s="1"/>
    </row>
    <row r="1241" spans="2:14" x14ac:dyDescent="0.35">
      <c r="B1241" s="5" t="str">
        <f t="shared" si="1335"/>
        <v>SPS1</v>
      </c>
      <c r="C1241" s="5" t="str">
        <f t="shared" si="1336"/>
        <v>CH</v>
      </c>
      <c r="D1241" t="s">
        <v>1159</v>
      </c>
      <c r="E1241" t="str">
        <f t="shared" si="1334"/>
        <v>billion km/yr.</v>
      </c>
      <c r="F1241" s="1" cm="1">
        <f t="array" ref="F1241">SUMPRODUCT(("T_C-MHY-GSL-S1"=[1]OUT_TransportEnergyCons!$A$3:$A$1000)*1,("var_fout"=[1]OUT_TransportEnergyCons!$B$3:$B$1000)*1,ISNUMBER(SEARCH("TPCAR",[1]OUT_TransportEnergyCons!$C$3:$C$1000))*1,[1]OUT_TransportEnergyCons!D$3:D$1000)</f>
        <v>0</v>
      </c>
      <c r="G1241" s="1" cm="1">
        <f t="array" ref="G1241">SUMPRODUCT(("T_C-MHY-GSL-S1"=[1]OUT_TransportEnergyCons!$A$3:$A$1000)*1,("var_fout"=[1]OUT_TransportEnergyCons!$B$3:$B$1000)*1,ISNUMBER(SEARCH("TPCAR",[1]OUT_TransportEnergyCons!$C$3:$C$1000))*1,[1]OUT_TransportEnergyCons!E$3:E$1000)</f>
        <v>6.9386398562389285E-5</v>
      </c>
      <c r="H1241" s="1" cm="1">
        <f t="array" ref="H1241">SUMPRODUCT(("T_C-MHY-GSL-S1"=[1]OUT_TransportEnergyCons!$A$3:$A$1000)*1,("var_fout"=[1]OUT_TransportEnergyCons!$B$3:$B$1000)*1,ISNUMBER(SEARCH("TPCAR",[1]OUT_TransportEnergyCons!$C$3:$C$1000))*1,[1]OUT_TransportEnergyCons!F$3:F$1000)</f>
        <v>2.5809482059912484E-4</v>
      </c>
      <c r="I1241" s="1" cm="1">
        <f t="array" ref="I1241">SUMPRODUCT(("T_C-MHY-GSL-S1"=[1]OUT_TransportEnergyCons!$A$3:$A$1000)*1,("var_fout"=[1]OUT_TransportEnergyCons!$B$3:$B$1000)*1,ISNUMBER(SEARCH("TPCAR",[1]OUT_TransportEnergyCons!$C$3:$C$1000))*1,[1]OUT_TransportEnergyCons!G$3:G$1000)</f>
        <v>0.1839735384281809</v>
      </c>
      <c r="J1241" s="1" cm="1">
        <f t="array" ref="J1241">SUMPRODUCT(("T_C-MHY-GSL-S1"=[2]OUT_TransportEnergyCons!$A$3:$A$1000)*1,("var_fout"=[2]OUT_TransportEnergyCons!$B$3:$B$1000)*1,ISNUMBER(SEARCH("TPCAR",[2]OUT_TransportEnergyCons!$C$3:$C$1000))*1,[2]OUT_TransportEnergyCons!H$3:H$1000)</f>
        <v>0.18906382144936407</v>
      </c>
      <c r="K1241" s="1" cm="1">
        <f t="array" ref="K1241">SUMPRODUCT(("T_C-MHY-GSL-S1"=[2]OUT_TransportEnergyCons!$A$3:$A$1000)*1,("var_fout"=[2]OUT_TransportEnergyCons!$B$3:$B$1000)*1,ISNUMBER(SEARCH("TPCAR",[2]OUT_TransportEnergyCons!$C$3:$C$1000))*1,[2]OUT_TransportEnergyCons!I$3:I$1000)</f>
        <v>9.4116492202607815E-2</v>
      </c>
      <c r="L1241" s="1" cm="1">
        <f t="array" ref="L1241">SUMPRODUCT(("T_C-MHY-GSL-S1"=[2]OUT_TransportEnergyCons!$A$3:$A$1000)*1,("var_fout"=[2]OUT_TransportEnergyCons!$B$3:$B$1000)*1,ISNUMBER(SEARCH("TPCAR",[2]OUT_TransportEnergyCons!$C$3:$C$1000))*1,[2]OUT_TransportEnergyCons!J$3:J$1000)</f>
        <v>3.9073974786237194E-4</v>
      </c>
      <c r="N1241" s="1"/>
    </row>
    <row r="1242" spans="2:14" x14ac:dyDescent="0.35">
      <c r="B1242" s="5" t="str">
        <f t="shared" si="1335"/>
        <v>SPS1</v>
      </c>
      <c r="C1242" s="5" t="str">
        <f t="shared" si="1336"/>
        <v>CH</v>
      </c>
      <c r="D1242" t="s">
        <v>1160</v>
      </c>
      <c r="E1242" t="str">
        <f t="shared" si="1334"/>
        <v>billion km/yr.</v>
      </c>
      <c r="F1242" s="1" cm="1">
        <f t="array" ref="F1242">SUMPRODUCT(("T_C-MHY-GSL-S2"=[1]OUT_TransportEnergyCons!$A$3:$A$1000)*1,("var_fout"=[1]OUT_TransportEnergyCons!$B$3:$B$1000)*1,ISNUMBER(SEARCH("TPCAR",[1]OUT_TransportEnergyCons!$C$3:$C$1000))*1,[1]OUT_TransportEnergyCons!D$3:D$1000)</f>
        <v>0</v>
      </c>
      <c r="G1242" s="1" cm="1">
        <f t="array" ref="G1242">SUMPRODUCT(("T_C-MHY-GSL-S2"=[1]OUT_TransportEnergyCons!$A$3:$A$1000)*1,("var_fout"=[1]OUT_TransportEnergyCons!$B$3:$B$1000)*1,ISNUMBER(SEARCH("TPCAR",[1]OUT_TransportEnergyCons!$C$3:$C$1000))*1,[1]OUT_TransportEnergyCons!E$3:E$1000)</f>
        <v>3.9334463716021907E-5</v>
      </c>
      <c r="H1242" s="1" cm="1">
        <f t="array" ref="H1242">SUMPRODUCT(("T_C-MHY-GSL-S2"=[1]OUT_TransportEnergyCons!$A$3:$A$1000)*1,("var_fout"=[1]OUT_TransportEnergyCons!$B$3:$B$1000)*1,ISNUMBER(SEARCH("TPCAR",[1]OUT_TransportEnergyCons!$C$3:$C$1000))*1,[1]OUT_TransportEnergyCons!F$3:F$1000)</f>
        <v>1.8411618099195291E-4</v>
      </c>
      <c r="I1242" s="1" cm="1">
        <f t="array" ref="I1242">SUMPRODUCT(("T_C-MHY-GSL-S2"=[1]OUT_TransportEnergyCons!$A$3:$A$1000)*1,("var_fout"=[1]OUT_TransportEnergyCons!$B$3:$B$1000)*1,ISNUMBER(SEARCH("TPCAR",[1]OUT_TransportEnergyCons!$C$3:$C$1000))*1,[1]OUT_TransportEnergyCons!G$3:G$1000)</f>
        <v>3.2423560045197251E-4</v>
      </c>
      <c r="J1242" s="1" cm="1">
        <f t="array" ref="J1242">SUMPRODUCT(("T_C-MHY-GSL-S2"=[2]OUT_TransportEnergyCons!$A$3:$A$1000)*1,("var_fout"=[2]OUT_TransportEnergyCons!$B$3:$B$1000)*1,ISNUMBER(SEARCH("TPCAR",[2]OUT_TransportEnergyCons!$C$3:$C$1000))*1,[2]OUT_TransportEnergyCons!H$3:H$1000)</f>
        <v>1.5970918449040425E-3</v>
      </c>
      <c r="K1242" s="1" cm="1">
        <f t="array" ref="K1242">SUMPRODUCT(("T_C-MHY-GSL-S2"=[2]OUT_TransportEnergyCons!$A$3:$A$1000)*1,("var_fout"=[2]OUT_TransportEnergyCons!$B$3:$B$1000)*1,ISNUMBER(SEARCH("TPCAR",[2]OUT_TransportEnergyCons!$C$3:$C$1000))*1,[2]OUT_TransportEnergyCons!I$3:I$1000)</f>
        <v>1.3551605266809083E-3</v>
      </c>
      <c r="L1242" s="1" cm="1">
        <f t="array" ref="L1242">SUMPRODUCT(("T_C-MHY-GSL-S2"=[2]OUT_TransportEnergyCons!$A$3:$A$1000)*1,("var_fout"=[2]OUT_TransportEnergyCons!$B$3:$B$1000)*1,ISNUMBER(SEARCH("TPCAR",[2]OUT_TransportEnergyCons!$C$3:$C$1000))*1,[2]OUT_TransportEnergyCons!J$3:J$1000)</f>
        <v>5.0009531793470416E-4</v>
      </c>
      <c r="N1242" s="1"/>
    </row>
    <row r="1243" spans="2:14" x14ac:dyDescent="0.35">
      <c r="B1243" s="5" t="str">
        <f t="shared" si="1335"/>
        <v>SPS1</v>
      </c>
      <c r="C1243" s="5" t="str">
        <f t="shared" si="1336"/>
        <v>CH</v>
      </c>
      <c r="D1243" t="s">
        <v>1161</v>
      </c>
      <c r="E1243" t="str">
        <f t="shared" si="1334"/>
        <v>billion km/yr.</v>
      </c>
      <c r="F1243" s="1" cm="1">
        <f t="array" ref="F1243">SUMPRODUCT(("T_C-MHY-GSL-S3"=[1]OUT_TransportEnergyCons!$A$3:$A$1000)*1,("var_fout"=[1]OUT_TransportEnergyCons!$B$3:$B$1000)*1,ISNUMBER(SEARCH("TPCAR",[1]OUT_TransportEnergyCons!$C$3:$C$1000))*1,[1]OUT_TransportEnergyCons!D$3:D$1000)</f>
        <v>0</v>
      </c>
      <c r="G1243" s="1" cm="1">
        <f t="array" ref="G1243">SUMPRODUCT(("T_C-MHY-GSL-S3"=[1]OUT_TransportEnergyCons!$A$3:$A$1000)*1,("var_fout"=[1]OUT_TransportEnergyCons!$B$3:$B$1000)*1,ISNUMBER(SEARCH("TPCAR",[1]OUT_TransportEnergyCons!$C$3:$C$1000))*1,[1]OUT_TransportEnergyCons!E$3:E$1000)</f>
        <v>4.6712215674556389E-5</v>
      </c>
      <c r="H1243" s="1" cm="1">
        <f t="array" ref="H1243">SUMPRODUCT(("T_C-MHY-GSL-S3"=[1]OUT_TransportEnergyCons!$A$3:$A$1000)*1,("var_fout"=[1]OUT_TransportEnergyCons!$B$3:$B$1000)*1,ISNUMBER(SEARCH("TPCAR",[1]OUT_TransportEnergyCons!$C$3:$C$1000))*1,[1]OUT_TransportEnergyCons!F$3:F$1000)</f>
        <v>1.8857896224862866E-4</v>
      </c>
      <c r="I1243" s="1" cm="1">
        <f t="array" ref="I1243">SUMPRODUCT(("T_C-MHY-GSL-S3"=[1]OUT_TransportEnergyCons!$A$3:$A$1000)*1,("var_fout"=[1]OUT_TransportEnergyCons!$B$3:$B$1000)*1,ISNUMBER(SEARCH("TPCAR",[1]OUT_TransportEnergyCons!$C$3:$C$1000))*1,[1]OUT_TransportEnergyCons!G$3:G$1000)</f>
        <v>3.0914162914918352E-4</v>
      </c>
      <c r="J1243" s="1" cm="1">
        <f t="array" ref="J1243">SUMPRODUCT(("T_C-MHY-GSL-S3"=[2]OUT_TransportEnergyCons!$A$3:$A$1000)*1,("var_fout"=[2]OUT_TransportEnergyCons!$B$3:$B$1000)*1,ISNUMBER(SEARCH("TPCAR",[2]OUT_TransportEnergyCons!$C$3:$C$1000))*1,[2]OUT_TransportEnergyCons!H$3:H$1000)</f>
        <v>1.4495238458916712E-3</v>
      </c>
      <c r="K1243" s="1" cm="1">
        <f t="array" ref="K1243">SUMPRODUCT(("T_C-MHY-GSL-S3"=[2]OUT_TransportEnergyCons!$A$3:$A$1000)*1,("var_fout"=[2]OUT_TransportEnergyCons!$B$3:$B$1000)*1,ISNUMBER(SEARCH("TPCAR",[2]OUT_TransportEnergyCons!$C$3:$C$1000))*1,[2]OUT_TransportEnergyCons!I$3:I$1000)</f>
        <v>1.3527614381024875E-3</v>
      </c>
      <c r="L1243" s="1" cm="1">
        <f t="array" ref="L1243">SUMPRODUCT(("T_C-MHY-GSL-S3"=[2]OUT_TransportEnergyCons!$A$3:$A$1000)*1,("var_fout"=[2]OUT_TransportEnergyCons!$B$3:$B$1000)*1,ISNUMBER(SEARCH("TPCAR",[2]OUT_TransportEnergyCons!$C$3:$C$1000))*1,[2]OUT_TransportEnergyCons!J$3:J$1000)</f>
        <v>5.756504685873893E-4</v>
      </c>
      <c r="N1243" s="1"/>
    </row>
    <row r="1244" spans="2:14" x14ac:dyDescent="0.35">
      <c r="B1244" s="5" t="str">
        <f t="shared" si="1335"/>
        <v>SPS1</v>
      </c>
      <c r="C1244" s="5" t="str">
        <f t="shared" si="1336"/>
        <v>CH</v>
      </c>
      <c r="D1244" t="s">
        <v>1162</v>
      </c>
      <c r="E1244" t="str">
        <f t="shared" si="1334"/>
        <v>billion km/yr.</v>
      </c>
      <c r="F1244" s="1" cm="1">
        <f t="array" ref="F1244">SUMPRODUCT(("T_C-MHY-GSL-S4"=[1]OUT_TransportEnergyCons!$A$3:$A$1000)*1,("var_fout"=[1]OUT_TransportEnergyCons!$B$3:$B$1000)*1,ISNUMBER(SEARCH("TPCAR",[1]OUT_TransportEnergyCons!$C$3:$C$1000))*1,[1]OUT_TransportEnergyCons!D$3:D$1000)</f>
        <v>0</v>
      </c>
      <c r="G1244" s="1" cm="1">
        <f t="array" ref="G1244">SUMPRODUCT(("T_C-MHY-GSL-S4"=[1]OUT_TransportEnergyCons!$A$3:$A$1000)*1,("var_fout"=[1]OUT_TransportEnergyCons!$B$3:$B$1000)*1,ISNUMBER(SEARCH("TPCAR",[1]OUT_TransportEnergyCons!$C$3:$C$1000))*1,[1]OUT_TransportEnergyCons!E$3:E$1000)</f>
        <v>5.7445814811570642E-5</v>
      </c>
      <c r="H1244" s="1" cm="1">
        <f t="array" ref="H1244">SUMPRODUCT(("T_C-MHY-GSL-S4"=[1]OUT_TransportEnergyCons!$A$3:$A$1000)*1,("var_fout"=[1]OUT_TransportEnergyCons!$B$3:$B$1000)*1,ISNUMBER(SEARCH("TPCAR",[1]OUT_TransportEnergyCons!$C$3:$C$1000))*1,[1]OUT_TransportEnergyCons!F$3:F$1000)</f>
        <v>2.7055228432098388E-4</v>
      </c>
      <c r="I1244" s="1" cm="1">
        <f t="array" ref="I1244">SUMPRODUCT(("T_C-MHY-GSL-S4"=[1]OUT_TransportEnergyCons!$A$3:$A$1000)*1,("var_fout"=[1]OUT_TransportEnergyCons!$B$3:$B$1000)*1,ISNUMBER(SEARCH("TPCAR",[1]OUT_TransportEnergyCons!$C$3:$C$1000))*1,[1]OUT_TransportEnergyCons!G$3:G$1000)</f>
        <v>4.8439781585755357E-4</v>
      </c>
      <c r="J1244" s="1" cm="1">
        <f t="array" ref="J1244">SUMPRODUCT(("T_C-MHY-GSL-S4"=[2]OUT_TransportEnergyCons!$A$3:$A$1000)*1,("var_fout"=[2]OUT_TransportEnergyCons!$B$3:$B$1000)*1,ISNUMBER(SEARCH("TPCAR",[2]OUT_TransportEnergyCons!$C$3:$C$1000))*1,[2]OUT_TransportEnergyCons!H$3:H$1000)</f>
        <v>5.2037695370340573E-2</v>
      </c>
      <c r="K1244" s="1" cm="1">
        <f t="array" ref="K1244">SUMPRODUCT(("T_C-MHY-GSL-S4"=[2]OUT_TransportEnergyCons!$A$3:$A$1000)*1,("var_fout"=[2]OUT_TransportEnergyCons!$B$3:$B$1000)*1,ISNUMBER(SEARCH("TPCAR",[2]OUT_TransportEnergyCons!$C$3:$C$1000))*1,[2]OUT_TransportEnergyCons!I$3:I$1000)</f>
        <v>0.20797656654570257</v>
      </c>
      <c r="L1244" s="1" cm="1">
        <f t="array" ref="L1244">SUMPRODUCT(("T_C-MHY-GSL-S4"=[2]OUT_TransportEnergyCons!$A$3:$A$1000)*1,("var_fout"=[2]OUT_TransportEnergyCons!$B$3:$B$1000)*1,ISNUMBER(SEARCH("TPCAR",[2]OUT_TransportEnergyCons!$C$3:$C$1000))*1,[2]OUT_TransportEnergyCons!J$3:J$1000)</f>
        <v>0.36980475631947435</v>
      </c>
      <c r="N1244" s="1"/>
    </row>
    <row r="1245" spans="2:14" x14ac:dyDescent="0.35">
      <c r="B1245" s="5" t="str">
        <f t="shared" si="1335"/>
        <v>SPS1</v>
      </c>
      <c r="C1245" s="5" t="str">
        <f t="shared" si="1336"/>
        <v>CH</v>
      </c>
      <c r="D1245" t="s">
        <v>1235</v>
      </c>
      <c r="E1245" t="str">
        <f t="shared" si="1334"/>
        <v>billion km/yr.</v>
      </c>
      <c r="F1245" s="1" cm="1">
        <f t="array" ref="F1245">SUMPRODUCT(("T_C-HYBDSLEXT"=[1]OUT_TransportEnergyCons!$A$3:$A$1000)*1,("var_fout"=[1]OUT_TransportEnergyCons!$B$3:$B$1000)*1,ISNUMBER(SEARCH("TPCAR",[1]OUT_TransportEnergyCons!$C$3:$C$1000))*1,[1]OUT_TransportEnergyCons!D$3:D$1000)</f>
        <v>0</v>
      </c>
      <c r="G1245" s="1" cm="1">
        <f t="array" ref="G1245">SUMPRODUCT(("T_C-HYBDSLEXT"=[1]OUT_TransportEnergyCons!$A$3:$A$1000)*1,("var_fout"=[1]OUT_TransportEnergyCons!$B$3:$B$1000)*1,ISNUMBER(SEARCH("TPCAR",[1]OUT_TransportEnergyCons!$C$3:$C$1000))*1,[1]OUT_TransportEnergyCons!E$3:E$1000)</f>
        <v>0</v>
      </c>
      <c r="H1245" s="1" cm="1">
        <f t="array" ref="H1245">SUMPRODUCT(("T_C-HYBDSLEXT"=[1]OUT_TransportEnergyCons!$A$3:$A$1000)*1,("var_fout"=[1]OUT_TransportEnergyCons!$B$3:$B$1000)*1,ISNUMBER(SEARCH("TPCAR",[1]OUT_TransportEnergyCons!$C$3:$C$1000))*1,[1]OUT_TransportEnergyCons!F$3:F$1000)</f>
        <v>0</v>
      </c>
      <c r="I1245" s="1" cm="1">
        <f t="array" ref="I1245">SUMPRODUCT(("T_C-HYBDSLEXT"=[1]OUT_TransportEnergyCons!$A$3:$A$1000)*1,("var_fout"=[1]OUT_TransportEnergyCons!$B$3:$B$1000)*1,ISNUMBER(SEARCH("TPCAR",[1]OUT_TransportEnergyCons!$C$3:$C$1000))*1,[1]OUT_TransportEnergyCons!G$3:G$1000)</f>
        <v>0</v>
      </c>
      <c r="J1245" s="1" cm="1">
        <f t="array" ref="J1245">SUMPRODUCT(("T_C-HYBDSLEXT"=[2]OUT_TransportEnergyCons!$A$3:$A$1000)*1,("var_fout"=[2]OUT_TransportEnergyCons!$B$3:$B$1000)*1,ISNUMBER(SEARCH("TPCAR",[2]OUT_TransportEnergyCons!$C$3:$C$1000))*1,[2]OUT_TransportEnergyCons!H$3:H$1000)</f>
        <v>0</v>
      </c>
      <c r="K1245" s="1" cm="1">
        <f t="array" ref="K1245">SUMPRODUCT(("T_C-HYBDSLEXT"=[2]OUT_TransportEnergyCons!$A$3:$A$1000)*1,("var_fout"=[2]OUT_TransportEnergyCons!$B$3:$B$1000)*1,ISNUMBER(SEARCH("TPCAR",[2]OUT_TransportEnergyCons!$C$3:$C$1000))*1,[2]OUT_TransportEnergyCons!I$3:I$1000)</f>
        <v>0</v>
      </c>
      <c r="L1245" s="1" cm="1">
        <f t="array" ref="L1245">SUMPRODUCT(("T_C-HYBDSLEXT"=[2]OUT_TransportEnergyCons!$A$3:$A$1000)*1,("var_fout"=[2]OUT_TransportEnergyCons!$B$3:$B$1000)*1,ISNUMBER(SEARCH("TPCAR",[2]OUT_TransportEnergyCons!$C$3:$C$1000))*1,[2]OUT_TransportEnergyCons!J$3:J$1000)</f>
        <v>0</v>
      </c>
      <c r="N1245" s="1"/>
    </row>
    <row r="1246" spans="2:14" x14ac:dyDescent="0.35">
      <c r="B1246" s="5" t="str">
        <f t="shared" si="1335"/>
        <v>SPS1</v>
      </c>
      <c r="C1246" s="5" t="str">
        <f t="shared" si="1336"/>
        <v>CH</v>
      </c>
      <c r="D1246" t="s">
        <v>1163</v>
      </c>
      <c r="E1246" t="str">
        <f t="shared" si="1334"/>
        <v>billion km/yr.</v>
      </c>
      <c r="F1246" s="1" cm="1">
        <f t="array" ref="F1246">SUMPRODUCT(("T_C-HY-DSL-S1"=[1]OUT_TransportEnergyCons!$A$3:$A$1000)*1,("var_fout"=[1]OUT_TransportEnergyCons!$B$3:$B$1000)*1,ISNUMBER(SEARCH("TPCAR",[1]OUT_TransportEnergyCons!$C$3:$C$1000))*1,[1]OUT_TransportEnergyCons!D$3:D$1000)</f>
        <v>1.2936012577120663E-5</v>
      </c>
      <c r="G1246" s="1" cm="1">
        <f t="array" ref="G1246">SUMPRODUCT(("T_C-HY-DSL-S1"=[1]OUT_TransportEnergyCons!$A$3:$A$1000)*1,("var_fout"=[1]OUT_TransportEnergyCons!$B$3:$B$1000)*1,ISNUMBER(SEARCH("TPCAR",[1]OUT_TransportEnergyCons!$C$3:$C$1000))*1,[1]OUT_TransportEnergyCons!E$3:E$1000)</f>
        <v>0.31122686497473573</v>
      </c>
      <c r="H1246" s="1" cm="1">
        <f t="array" ref="H1246">SUMPRODUCT(("T_C-HY-DSL-S1"=[1]OUT_TransportEnergyCons!$A$3:$A$1000)*1,("var_fout"=[1]OUT_TransportEnergyCons!$B$3:$B$1000)*1,ISNUMBER(SEARCH("TPCAR",[1]OUT_TransportEnergyCons!$C$3:$C$1000))*1,[1]OUT_TransportEnergyCons!F$3:F$1000)</f>
        <v>0.2065401335730567</v>
      </c>
      <c r="I1246" s="1" cm="1">
        <f t="array" ref="I1246">SUMPRODUCT(("T_C-HY-DSL-S1"=[1]OUT_TransportEnergyCons!$A$3:$A$1000)*1,("var_fout"=[1]OUT_TransportEnergyCons!$B$3:$B$1000)*1,ISNUMBER(SEARCH("TPCAR",[1]OUT_TransportEnergyCons!$C$3:$C$1000))*1,[1]OUT_TransportEnergyCons!G$3:G$1000)</f>
        <v>0.16596721594262168</v>
      </c>
      <c r="J1246" s="1" cm="1">
        <f t="array" ref="J1246">SUMPRODUCT(("T_C-HY-DSL-S1"=[2]OUT_TransportEnergyCons!$A$3:$A$1000)*1,("var_fout"=[2]OUT_TransportEnergyCons!$B$3:$B$1000)*1,ISNUMBER(SEARCH("TPCAR",[2]OUT_TransportEnergyCons!$C$3:$C$1000))*1,[2]OUT_TransportEnergyCons!H$3:H$1000)</f>
        <v>0.2723071860740387</v>
      </c>
      <c r="K1246" s="1" cm="1">
        <f t="array" ref="K1246">SUMPRODUCT(("T_C-HY-DSL-S1"=[2]OUT_TransportEnergyCons!$A$3:$A$1000)*1,("var_fout"=[2]OUT_TransportEnergyCons!$B$3:$B$1000)*1,ISNUMBER(SEARCH("TPCAR",[2]OUT_TransportEnergyCons!$C$3:$C$1000))*1,[2]OUT_TransportEnergyCons!I$3:I$1000)</f>
        <v>0.25440085264051499</v>
      </c>
      <c r="L1246" s="1" cm="1">
        <f t="array" ref="L1246">SUMPRODUCT(("T_C-HY-DSL-S1"=[2]OUT_TransportEnergyCons!$A$3:$A$1000)*1,("var_fout"=[2]OUT_TransportEnergyCons!$B$3:$B$1000)*1,ISNUMBER(SEARCH("TPCAR",[2]OUT_TransportEnergyCons!$C$3:$C$1000))*1,[2]OUT_TransportEnergyCons!J$3:J$1000)</f>
        <v>7.9269314409688055E-2</v>
      </c>
      <c r="N1246" s="1"/>
    </row>
    <row r="1247" spans="2:14" x14ac:dyDescent="0.35">
      <c r="B1247" s="5" t="str">
        <f t="shared" si="1335"/>
        <v>SPS1</v>
      </c>
      <c r="C1247" s="5" t="str">
        <f t="shared" si="1336"/>
        <v>CH</v>
      </c>
      <c r="D1247" t="s">
        <v>1164</v>
      </c>
      <c r="E1247" t="str">
        <f t="shared" si="1334"/>
        <v>billion km/yr.</v>
      </c>
      <c r="F1247" s="1" cm="1">
        <f t="array" ref="F1247">SUMPRODUCT(("T_C-HY-DSL-S2"=[1]OUT_TransportEnergyCons!$A$3:$A$1000)*1,("var_fout"=[1]OUT_TransportEnergyCons!$B$3:$B$1000)*1,ISNUMBER(SEARCH("TPCAR",[1]OUT_TransportEnergyCons!$C$3:$C$1000))*1,[1]OUT_TransportEnergyCons!D$3:D$1000)</f>
        <v>3.3734445161855524E-3</v>
      </c>
      <c r="G1247" s="1" cm="1">
        <f t="array" ref="G1247">SUMPRODUCT(("T_C-HY-DSL-S2"=[1]OUT_TransportEnergyCons!$A$3:$A$1000)*1,("var_fout"=[1]OUT_TransportEnergyCons!$B$3:$B$1000)*1,ISNUMBER(SEARCH("TPCAR",[1]OUT_TransportEnergyCons!$C$3:$C$1000))*1,[1]OUT_TransportEnergyCons!E$3:E$1000)</f>
        <v>1.8130757440291774</v>
      </c>
      <c r="H1247" s="1" cm="1">
        <f t="array" ref="H1247">SUMPRODUCT(("T_C-HY-DSL-S2"=[1]OUT_TransportEnergyCons!$A$3:$A$1000)*1,("var_fout"=[1]OUT_TransportEnergyCons!$B$3:$B$1000)*1,ISNUMBER(SEARCH("TPCAR",[1]OUT_TransportEnergyCons!$C$3:$C$1000))*1,[1]OUT_TransportEnergyCons!F$3:F$1000)</f>
        <v>2.8026684269557243</v>
      </c>
      <c r="I1247" s="1" cm="1">
        <f t="array" ref="I1247">SUMPRODUCT(("T_C-HY-DSL-S2"=[1]OUT_TransportEnergyCons!$A$3:$A$1000)*1,("var_fout"=[1]OUT_TransportEnergyCons!$B$3:$B$1000)*1,ISNUMBER(SEARCH("TPCAR",[1]OUT_TransportEnergyCons!$C$3:$C$1000))*1,[1]OUT_TransportEnergyCons!G$3:G$1000)</f>
        <v>2.3336586108335702</v>
      </c>
      <c r="J1247" s="1" cm="1">
        <f t="array" ref="J1247">SUMPRODUCT(("T_C-HY-DSL-S2"=[2]OUT_TransportEnergyCons!$A$3:$A$1000)*1,("var_fout"=[2]OUT_TransportEnergyCons!$B$3:$B$1000)*1,ISNUMBER(SEARCH("TPCAR",[2]OUT_TransportEnergyCons!$C$3:$C$1000))*1,[2]OUT_TransportEnergyCons!H$3:H$1000)</f>
        <v>1.8029091972597666</v>
      </c>
      <c r="K1247" s="1" cm="1">
        <f t="array" ref="K1247">SUMPRODUCT(("T_C-HY-DSL-S2"=[2]OUT_TransportEnergyCons!$A$3:$A$1000)*1,("var_fout"=[2]OUT_TransportEnergyCons!$B$3:$B$1000)*1,ISNUMBER(SEARCH("TPCAR",[2]OUT_TransportEnergyCons!$C$3:$C$1000))*1,[2]OUT_TransportEnergyCons!I$3:I$1000)</f>
        <v>1.2684828392568277</v>
      </c>
      <c r="L1247" s="1" cm="1">
        <f t="array" ref="L1247">SUMPRODUCT(("T_C-HY-DSL-S2"=[2]OUT_TransportEnergyCons!$A$3:$A$1000)*1,("var_fout"=[2]OUT_TransportEnergyCons!$B$3:$B$1000)*1,ISNUMBER(SEARCH("TPCAR",[2]OUT_TransportEnergyCons!$C$3:$C$1000))*1,[2]OUT_TransportEnergyCons!J$3:J$1000)</f>
        <v>1.5284002161400889</v>
      </c>
      <c r="N1247" s="1"/>
    </row>
    <row r="1248" spans="2:14" x14ac:dyDescent="0.35">
      <c r="B1248" s="5" t="str">
        <f t="shared" si="1335"/>
        <v>SPS1</v>
      </c>
      <c r="C1248" s="5" t="str">
        <f t="shared" si="1336"/>
        <v>CH</v>
      </c>
      <c r="D1248" t="s">
        <v>1165</v>
      </c>
      <c r="E1248" t="str">
        <f t="shared" si="1334"/>
        <v>billion km/yr.</v>
      </c>
      <c r="F1248" s="1" cm="1">
        <f t="array" ref="F1248">SUMPRODUCT(("T_C-HY-DSL-S3"=[1]OUT_TransportEnergyCons!$A$3:$A$1000)*1,("var_fout"=[1]OUT_TransportEnergyCons!$B$3:$B$1000)*1,ISNUMBER(SEARCH("TPCAR",[1]OUT_TransportEnergyCons!$C$3:$C$1000))*1,[1]OUT_TransportEnergyCons!D$3:D$1000)</f>
        <v>2.658912405943176E-2</v>
      </c>
      <c r="G1248" s="1" cm="1">
        <f t="array" ref="G1248">SUMPRODUCT(("T_C-HY-DSL-S3"=[1]OUT_TransportEnergyCons!$A$3:$A$1000)*1,("var_fout"=[1]OUT_TransportEnergyCons!$B$3:$B$1000)*1,ISNUMBER(SEARCH("TPCAR",[1]OUT_TransportEnergyCons!$C$3:$C$1000))*1,[1]OUT_TransportEnergyCons!E$3:E$1000)</f>
        <v>5.375373636353032E-2</v>
      </c>
      <c r="H1248" s="1" cm="1">
        <f t="array" ref="H1248">SUMPRODUCT(("T_C-HY-DSL-S3"=[1]OUT_TransportEnergyCons!$A$3:$A$1000)*1,("var_fout"=[1]OUT_TransportEnergyCons!$B$3:$B$1000)*1,ISNUMBER(SEARCH("TPCAR",[1]OUT_TransportEnergyCons!$C$3:$C$1000))*1,[1]OUT_TransportEnergyCons!F$3:F$1000)</f>
        <v>5.1280457688772679E-2</v>
      </c>
      <c r="I1248" s="1" cm="1">
        <f t="array" ref="I1248">SUMPRODUCT(("T_C-HY-DSL-S3"=[1]OUT_TransportEnergyCons!$A$3:$A$1000)*1,("var_fout"=[1]OUT_TransportEnergyCons!$B$3:$B$1000)*1,ISNUMBER(SEARCH("TPCAR",[1]OUT_TransportEnergyCons!$C$3:$C$1000))*1,[1]OUT_TransportEnergyCons!G$3:G$1000)</f>
        <v>4.0777102824961955E-2</v>
      </c>
      <c r="J1248" s="1" cm="1">
        <f t="array" ref="J1248">SUMPRODUCT(("T_C-HY-DSL-S3"=[2]OUT_TransportEnergyCons!$A$3:$A$1000)*1,("var_fout"=[2]OUT_TransportEnergyCons!$B$3:$B$1000)*1,ISNUMBER(SEARCH("TPCAR",[2]OUT_TransportEnergyCons!$C$3:$C$1000))*1,[2]OUT_TransportEnergyCons!H$3:H$1000)</f>
        <v>9.8725466084812526E-3</v>
      </c>
      <c r="K1248" s="1" cm="1">
        <f t="array" ref="K1248">SUMPRODUCT(("T_C-HY-DSL-S3"=[2]OUT_TransportEnergyCons!$A$3:$A$1000)*1,("var_fout"=[2]OUT_TransportEnergyCons!$B$3:$B$1000)*1,ISNUMBER(SEARCH("TPCAR",[2]OUT_TransportEnergyCons!$C$3:$C$1000))*1,[2]OUT_TransportEnergyCons!I$3:I$1000)</f>
        <v>9.4228578218636663E-4</v>
      </c>
      <c r="L1248" s="1" cm="1">
        <f t="array" ref="L1248">SUMPRODUCT(("T_C-HY-DSL-S3"=[2]OUT_TransportEnergyCons!$A$3:$A$1000)*1,("var_fout"=[2]OUT_TransportEnergyCons!$B$3:$B$1000)*1,ISNUMBER(SEARCH("TPCAR",[2]OUT_TransportEnergyCons!$C$3:$C$1000))*1,[2]OUT_TransportEnergyCons!J$3:J$1000)</f>
        <v>6.1742894427148419E-4</v>
      </c>
      <c r="N1248" s="1"/>
    </row>
    <row r="1249" spans="2:14" x14ac:dyDescent="0.35">
      <c r="B1249" s="5" t="str">
        <f t="shared" si="1335"/>
        <v>SPS1</v>
      </c>
      <c r="C1249" s="5" t="str">
        <f t="shared" si="1336"/>
        <v>CH</v>
      </c>
      <c r="D1249" t="s">
        <v>1166</v>
      </c>
      <c r="E1249" t="str">
        <f t="shared" si="1334"/>
        <v>billion km/yr.</v>
      </c>
      <c r="F1249" s="1" cm="1">
        <f t="array" ref="F1249">SUMPRODUCT(("T_C-HY-DSL-S4"=[1]OUT_TransportEnergyCons!$A$3:$A$1000)*1,("var_fout"=[1]OUT_TransportEnergyCons!$B$3:$B$1000)*1,ISNUMBER(SEARCH("TPCAR",[1]OUT_TransportEnergyCons!$C$3:$C$1000))*1,[1]OUT_TransportEnergyCons!D$3:D$1000)</f>
        <v>4.7701686285912169E-2</v>
      </c>
      <c r="G1249" s="1" cm="1">
        <f t="array" ref="G1249">SUMPRODUCT(("T_C-HY-DSL-S4"=[1]OUT_TransportEnergyCons!$A$3:$A$1000)*1,("var_fout"=[1]OUT_TransportEnergyCons!$B$3:$B$1000)*1,ISNUMBER(SEARCH("TPCAR",[1]OUT_TransportEnergyCons!$C$3:$C$1000))*1,[1]OUT_TransportEnergyCons!E$3:E$1000)</f>
        <v>0.1117251665548029</v>
      </c>
      <c r="H1249" s="1" cm="1">
        <f t="array" ref="H1249">SUMPRODUCT(("T_C-HY-DSL-S4"=[1]OUT_TransportEnergyCons!$A$3:$A$1000)*1,("var_fout"=[1]OUT_TransportEnergyCons!$B$3:$B$1000)*1,ISNUMBER(SEARCH("TPCAR",[1]OUT_TransportEnergyCons!$C$3:$C$1000))*1,[1]OUT_TransportEnergyCons!F$3:F$1000)</f>
        <v>0.10661261003892841</v>
      </c>
      <c r="I1249" s="1" cm="1">
        <f t="array" ref="I1249">SUMPRODUCT(("T_C-HY-DSL-S4"=[1]OUT_TransportEnergyCons!$A$3:$A$1000)*1,("var_fout"=[1]OUT_TransportEnergyCons!$B$3:$B$1000)*1,ISNUMBER(SEARCH("TPCAR",[1]OUT_TransportEnergyCons!$C$3:$C$1000))*1,[1]OUT_TransportEnergyCons!G$3:G$1000)</f>
        <v>8.9377781992343711E-2</v>
      </c>
      <c r="J1249" s="1" cm="1">
        <f t="array" ref="J1249">SUMPRODUCT(("T_C-HY-DSL-S4"=[2]OUT_TransportEnergyCons!$A$3:$A$1000)*1,("var_fout"=[2]OUT_TransportEnergyCons!$B$3:$B$1000)*1,ISNUMBER(SEARCH("TPCAR",[2]OUT_TransportEnergyCons!$C$3:$C$1000))*1,[2]OUT_TransportEnergyCons!H$3:H$1000)</f>
        <v>2.0336256684385667E-2</v>
      </c>
      <c r="K1249" s="1" cm="1">
        <f t="array" ref="K1249">SUMPRODUCT(("T_C-HY-DSL-S4"=[2]OUT_TransportEnergyCons!$A$3:$A$1000)*1,("var_fout"=[2]OUT_TransportEnergyCons!$B$3:$B$1000)*1,ISNUMBER(SEARCH("TPCAR",[2]OUT_TransportEnergyCons!$C$3:$C$1000))*1,[2]OUT_TransportEnergyCons!I$3:I$1000)</f>
        <v>1.240379177302835E-3</v>
      </c>
      <c r="L1249" s="1" cm="1">
        <f t="array" ref="L1249">SUMPRODUCT(("T_C-HY-DSL-S4"=[2]OUT_TransportEnergyCons!$A$3:$A$1000)*1,("var_fout"=[2]OUT_TransportEnergyCons!$B$3:$B$1000)*1,ISNUMBER(SEARCH("TPCAR",[2]OUT_TransportEnergyCons!$C$3:$C$1000))*1,[2]OUT_TransportEnergyCons!J$3:J$1000)</f>
        <v>1.9584971806341578E-3</v>
      </c>
      <c r="N1249" s="1"/>
    </row>
    <row r="1250" spans="2:14" x14ac:dyDescent="0.35">
      <c r="B1250" s="5" t="str">
        <f t="shared" si="1335"/>
        <v>SPS1</v>
      </c>
      <c r="C1250" s="5" t="str">
        <f t="shared" si="1336"/>
        <v>CH</v>
      </c>
      <c r="D1250" t="s">
        <v>1167</v>
      </c>
      <c r="E1250" t="str">
        <f t="shared" si="1334"/>
        <v>billion km/yr.</v>
      </c>
      <c r="F1250" s="1" cm="1">
        <f t="array" ref="F1250">SUMPRODUCT(("T_C-ICEDSLEXT"=[1]OUT_TransportEnergyCons!$A$3:$A$1000)*1,("var_fout"=[1]OUT_TransportEnergyCons!$B$3:$B$1000)*1,ISNUMBER(SEARCH("TPCAR",[1]OUT_TransportEnergyCons!$C$3:$C$1000))*1,[1]OUT_TransportEnergyCons!D$3:D$1000)</f>
        <v>17.673714424519488</v>
      </c>
      <c r="G1250" s="1" cm="1">
        <f t="array" ref="G1250">SUMPRODUCT(("T_C-ICEDSLEXT"=[1]OUT_TransportEnergyCons!$A$3:$A$1000)*1,("var_fout"=[1]OUT_TransportEnergyCons!$B$3:$B$1000)*1,ISNUMBER(SEARCH("TPCAR",[1]OUT_TransportEnergyCons!$C$3:$C$1000))*1,[1]OUT_TransportEnergyCons!E$3:E$1000)</f>
        <v>17.235951165673395</v>
      </c>
      <c r="H1250" s="1" cm="1">
        <f t="array" ref="H1250">SUMPRODUCT(("T_C-ICEDSLEXT"=[1]OUT_TransportEnergyCons!$A$3:$A$1000)*1,("var_fout"=[1]OUT_TransportEnergyCons!$B$3:$B$1000)*1,ISNUMBER(SEARCH("TPCAR",[1]OUT_TransportEnergyCons!$C$3:$C$1000))*1,[1]OUT_TransportEnergyCons!F$3:F$1000)</f>
        <v>13.02775157405412</v>
      </c>
      <c r="I1250" s="1" cm="1">
        <f t="array" ref="I1250">SUMPRODUCT(("T_C-ICEDSLEXT"=[1]OUT_TransportEnergyCons!$A$3:$A$1000)*1,("var_fout"=[1]OUT_TransportEnergyCons!$B$3:$B$1000)*1,ISNUMBER(SEARCH("TPCAR",[1]OUT_TransportEnergyCons!$C$3:$C$1000))*1,[1]OUT_TransportEnergyCons!G$3:G$1000)</f>
        <v>6.6291507723532961</v>
      </c>
      <c r="J1250" s="1" cm="1">
        <f t="array" ref="J1250">SUMPRODUCT(("T_C-ICEDSLEXT"=[2]OUT_TransportEnergyCons!$A$3:$A$1000)*1,("var_fout"=[2]OUT_TransportEnergyCons!$B$3:$B$1000)*1,ISNUMBER(SEARCH("TPCAR",[2]OUT_TransportEnergyCons!$C$3:$C$1000))*1,[2]OUT_TransportEnergyCons!H$3:H$1000)</f>
        <v>0</v>
      </c>
      <c r="K1250" s="1" cm="1">
        <f t="array" ref="K1250">SUMPRODUCT(("T_C-ICEDSLEXT"=[2]OUT_TransportEnergyCons!$A$3:$A$1000)*1,("var_fout"=[2]OUT_TransportEnergyCons!$B$3:$B$1000)*1,ISNUMBER(SEARCH("TPCAR",[2]OUT_TransportEnergyCons!$C$3:$C$1000))*1,[2]OUT_TransportEnergyCons!I$3:I$1000)</f>
        <v>0</v>
      </c>
      <c r="L1250" s="1" cm="1">
        <f t="array" ref="L1250">SUMPRODUCT(("T_C-ICEDSLEXT"=[2]OUT_TransportEnergyCons!$A$3:$A$1000)*1,("var_fout"=[2]OUT_TransportEnergyCons!$B$3:$B$1000)*1,ISNUMBER(SEARCH("TPCAR",[2]OUT_TransportEnergyCons!$C$3:$C$1000))*1,[2]OUT_TransportEnergyCons!J$3:J$1000)</f>
        <v>0</v>
      </c>
      <c r="N1250" s="1"/>
    </row>
    <row r="1251" spans="2:14" x14ac:dyDescent="0.35">
      <c r="B1251" s="5" t="str">
        <f t="shared" si="1335"/>
        <v>SPS1</v>
      </c>
      <c r="C1251" s="5" t="str">
        <f t="shared" si="1336"/>
        <v>CH</v>
      </c>
      <c r="D1251" t="s">
        <v>1168</v>
      </c>
      <c r="E1251" t="str">
        <f t="shared" si="1334"/>
        <v>billion km/yr.</v>
      </c>
      <c r="F1251" s="1" cm="1">
        <f t="array" ref="F1251">SUMPRODUCT(("T_C-ICE-DSL-S1"=[1]OUT_TransportEnergyCons!$A$3:$A$1000)*1,("var_fout"=[1]OUT_TransportEnergyCons!$B$3:$B$1000)*1,ISNUMBER(SEARCH("TPCAR",[1]OUT_TransportEnergyCons!$C$3:$C$1000))*1,[1]OUT_TransportEnergyCons!D$3:D$1000)</f>
        <v>3.9735454921882183E-3</v>
      </c>
      <c r="G1251" s="1" cm="1">
        <f t="array" ref="G1251">SUMPRODUCT(("T_C-ICE-DSL-S1"=[1]OUT_TransportEnergyCons!$A$3:$A$1000)*1,("var_fout"=[1]OUT_TransportEnergyCons!$B$3:$B$1000)*1,ISNUMBER(SEARCH("TPCAR",[1]OUT_TransportEnergyCons!$C$3:$C$1000))*1,[1]OUT_TransportEnergyCons!E$3:E$1000)</f>
        <v>4.5304693678477736E-3</v>
      </c>
      <c r="H1251" s="1" cm="1">
        <f t="array" ref="H1251">SUMPRODUCT(("T_C-ICE-DSL-S1"=[1]OUT_TransportEnergyCons!$A$3:$A$1000)*1,("var_fout"=[1]OUT_TransportEnergyCons!$B$3:$B$1000)*1,ISNUMBER(SEARCH("TPCAR",[1]OUT_TransportEnergyCons!$C$3:$C$1000))*1,[1]OUT_TransportEnergyCons!F$3:F$1000)</f>
        <v>3.3272787389763479E-3</v>
      </c>
      <c r="I1251" s="1" cm="1">
        <f t="array" ref="I1251">SUMPRODUCT(("T_C-ICE-DSL-S1"=[1]OUT_TransportEnergyCons!$A$3:$A$1000)*1,("var_fout"=[1]OUT_TransportEnergyCons!$B$3:$B$1000)*1,ISNUMBER(SEARCH("TPCAR",[1]OUT_TransportEnergyCons!$C$3:$C$1000))*1,[1]OUT_TransportEnergyCons!G$3:G$1000)</f>
        <v>2.4667912549687552E-3</v>
      </c>
      <c r="J1251" s="1" cm="1">
        <f t="array" ref="J1251">SUMPRODUCT(("T_C-ICE-DSL-S1"=[2]OUT_TransportEnergyCons!$A$3:$A$1000)*1,("var_fout"=[2]OUT_TransportEnergyCons!$B$3:$B$1000)*1,ISNUMBER(SEARCH("TPCAR",[2]OUT_TransportEnergyCons!$C$3:$C$1000))*1,[2]OUT_TransportEnergyCons!H$3:H$1000)</f>
        <v>1.0573436173377691E-3</v>
      </c>
      <c r="K1251" s="1" cm="1">
        <f t="array" ref="K1251">SUMPRODUCT(("T_C-ICE-DSL-S1"=[2]OUT_TransportEnergyCons!$A$3:$A$1000)*1,("var_fout"=[2]OUT_TransportEnergyCons!$B$3:$B$1000)*1,ISNUMBER(SEARCH("TPCAR",[2]OUT_TransportEnergyCons!$C$3:$C$1000))*1,[2]OUT_TransportEnergyCons!I$3:I$1000)</f>
        <v>5.9328617172878348E-4</v>
      </c>
      <c r="L1251" s="1" cm="1">
        <f t="array" ref="L1251">SUMPRODUCT(("T_C-ICE-DSL-S1"=[2]OUT_TransportEnergyCons!$A$3:$A$1000)*1,("var_fout"=[2]OUT_TransportEnergyCons!$B$3:$B$1000)*1,ISNUMBER(SEARCH("TPCAR",[2]OUT_TransportEnergyCons!$C$3:$C$1000))*1,[2]OUT_TransportEnergyCons!J$3:J$1000)</f>
        <v>2.012540498964751E-4</v>
      </c>
      <c r="N1251" s="1"/>
    </row>
    <row r="1252" spans="2:14" x14ac:dyDescent="0.35">
      <c r="B1252" s="5" t="str">
        <f t="shared" si="1335"/>
        <v>SPS1</v>
      </c>
      <c r="C1252" s="5" t="str">
        <f t="shared" si="1336"/>
        <v>CH</v>
      </c>
      <c r="D1252" t="s">
        <v>1169</v>
      </c>
      <c r="E1252" t="str">
        <f t="shared" si="1334"/>
        <v>billion km/yr.</v>
      </c>
      <c r="F1252" s="1" cm="1">
        <f t="array" ref="F1252">SUMPRODUCT(("T_C-ICE-DSL-S2"=[1]OUT_TransportEnergyCons!$A$3:$A$1000)*1,("var_fout"=[1]OUT_TransportEnergyCons!$B$3:$B$1000)*1,ISNUMBER(SEARCH("TPCAR",[1]OUT_TransportEnergyCons!$C$3:$C$1000))*1,[1]OUT_TransportEnergyCons!D$3:D$1000)</f>
        <v>0.77432700451008374</v>
      </c>
      <c r="G1252" s="1" cm="1">
        <f t="array" ref="G1252">SUMPRODUCT(("T_C-ICE-DSL-S2"=[1]OUT_TransportEnergyCons!$A$3:$A$1000)*1,("var_fout"=[1]OUT_TransportEnergyCons!$B$3:$B$1000)*1,ISNUMBER(SEARCH("TPCAR",[1]OUT_TransportEnergyCons!$C$3:$C$1000))*1,[1]OUT_TransportEnergyCons!E$3:E$1000)</f>
        <v>0.90295667263028812</v>
      </c>
      <c r="H1252" s="1" cm="1">
        <f t="array" ref="H1252">SUMPRODUCT(("T_C-ICE-DSL-S2"=[1]OUT_TransportEnergyCons!$A$3:$A$1000)*1,("var_fout"=[1]OUT_TransportEnergyCons!$B$3:$B$1000)*1,ISNUMBER(SEARCH("TPCAR",[1]OUT_TransportEnergyCons!$C$3:$C$1000))*1,[1]OUT_TransportEnergyCons!F$3:F$1000)</f>
        <v>0.81675132323614541</v>
      </c>
      <c r="I1252" s="1" cm="1">
        <f t="array" ref="I1252">SUMPRODUCT(("T_C-ICE-DSL-S2"=[1]OUT_TransportEnergyCons!$A$3:$A$1000)*1,("var_fout"=[1]OUT_TransportEnergyCons!$B$3:$B$1000)*1,ISNUMBER(SEARCH("TPCAR",[1]OUT_TransportEnergyCons!$C$3:$C$1000))*1,[1]OUT_TransportEnergyCons!G$3:G$1000)</f>
        <v>0.63219079111762722</v>
      </c>
      <c r="J1252" s="1" cm="1">
        <f t="array" ref="J1252">SUMPRODUCT(("T_C-ICE-DSL-S2"=[2]OUT_TransportEnergyCons!$A$3:$A$1000)*1,("var_fout"=[2]OUT_TransportEnergyCons!$B$3:$B$1000)*1,ISNUMBER(SEARCH("TPCAR",[2]OUT_TransportEnergyCons!$C$3:$C$1000))*1,[2]OUT_TransportEnergyCons!H$3:H$1000)</f>
        <v>1.7971017566597167E-2</v>
      </c>
      <c r="K1252" s="1" cm="1">
        <f t="array" ref="K1252">SUMPRODUCT(("T_C-ICE-DSL-S2"=[2]OUT_TransportEnergyCons!$A$3:$A$1000)*1,("var_fout"=[2]OUT_TransportEnergyCons!$B$3:$B$1000)*1,ISNUMBER(SEARCH("TPCAR",[2]OUT_TransportEnergyCons!$C$3:$C$1000))*1,[2]OUT_TransportEnergyCons!I$3:I$1000)</f>
        <v>6.9856285147330756E-4</v>
      </c>
      <c r="L1252" s="1" cm="1">
        <f t="array" ref="L1252">SUMPRODUCT(("T_C-ICE-DSL-S2"=[2]OUT_TransportEnergyCons!$A$3:$A$1000)*1,("var_fout"=[2]OUT_TransportEnergyCons!$B$3:$B$1000)*1,ISNUMBER(SEARCH("TPCAR",[2]OUT_TransportEnergyCons!$C$3:$C$1000))*1,[2]OUT_TransportEnergyCons!J$3:J$1000)</f>
        <v>2.7349552335711818E-4</v>
      </c>
      <c r="N1252" s="1"/>
    </row>
    <row r="1253" spans="2:14" x14ac:dyDescent="0.35">
      <c r="B1253" s="5" t="str">
        <f t="shared" si="1335"/>
        <v>SPS1</v>
      </c>
      <c r="C1253" s="5" t="str">
        <f t="shared" si="1336"/>
        <v>CH</v>
      </c>
      <c r="D1253" t="s">
        <v>1170</v>
      </c>
      <c r="E1253" t="str">
        <f t="shared" si="1334"/>
        <v>billion km/yr.</v>
      </c>
      <c r="F1253" s="1" cm="1">
        <f t="array" ref="F1253">SUMPRODUCT(("T_C-ICE-DSL-S3"=[1]OUT_TransportEnergyCons!$A$3:$A$1000)*1,("var_fout"=[1]OUT_TransportEnergyCons!$B$3:$B$1000)*1,ISNUMBER(SEARCH("TPCAR",[1]OUT_TransportEnergyCons!$C$3:$C$1000))*1,[1]OUT_TransportEnergyCons!D$3:D$1000)</f>
        <v>2.467103637810756</v>
      </c>
      <c r="G1253" s="1" cm="1">
        <f t="array" ref="G1253">SUMPRODUCT(("T_C-ICE-DSL-S3"=[1]OUT_TransportEnergyCons!$A$3:$A$1000)*1,("var_fout"=[1]OUT_TransportEnergyCons!$B$3:$B$1000)*1,ISNUMBER(SEARCH("TPCAR",[1]OUT_TransportEnergyCons!$C$3:$C$1000))*1,[1]OUT_TransportEnergyCons!E$3:E$1000)</f>
        <v>2.836065631770448</v>
      </c>
      <c r="H1253" s="1" cm="1">
        <f t="array" ref="H1253">SUMPRODUCT(("T_C-ICE-DSL-S3"=[1]OUT_TransportEnergyCons!$A$3:$A$1000)*1,("var_fout"=[1]OUT_TransportEnergyCons!$B$3:$B$1000)*1,ISNUMBER(SEARCH("TPCAR",[1]OUT_TransportEnergyCons!$C$3:$C$1000))*1,[1]OUT_TransportEnergyCons!F$3:F$1000)</f>
        <v>2.806482360250329</v>
      </c>
      <c r="I1253" s="1" cm="1">
        <f t="array" ref="I1253">SUMPRODUCT(("T_C-ICE-DSL-S3"=[1]OUT_TransportEnergyCons!$A$3:$A$1000)*1,("var_fout"=[1]OUT_TransportEnergyCons!$B$3:$B$1000)*1,ISNUMBER(SEARCH("TPCAR",[1]OUT_TransportEnergyCons!$C$3:$C$1000))*1,[1]OUT_TransportEnergyCons!G$3:G$1000)</f>
        <v>2.1805647706465283</v>
      </c>
      <c r="J1253" s="1" cm="1">
        <f t="array" ref="J1253">SUMPRODUCT(("T_C-ICE-DSL-S3"=[2]OUT_TransportEnergyCons!$A$3:$A$1000)*1,("var_fout"=[2]OUT_TransportEnergyCons!$B$3:$B$1000)*1,ISNUMBER(SEARCH("TPCAR",[2]OUT_TransportEnergyCons!$C$3:$C$1000))*1,[2]OUT_TransportEnergyCons!H$3:H$1000)</f>
        <v>8.2299207291236742E-2</v>
      </c>
      <c r="K1253" s="1" cm="1">
        <f t="array" ref="K1253">SUMPRODUCT(("T_C-ICE-DSL-S3"=[2]OUT_TransportEnergyCons!$A$3:$A$1000)*1,("var_fout"=[2]OUT_TransportEnergyCons!$B$3:$B$1000)*1,ISNUMBER(SEARCH("TPCAR",[2]OUT_TransportEnergyCons!$C$3:$C$1000))*1,[2]OUT_TransportEnergyCons!I$3:I$1000)</f>
        <v>7.1590776646774268E-4</v>
      </c>
      <c r="L1253" s="1" cm="1">
        <f t="array" ref="L1253">SUMPRODUCT(("T_C-ICE-DSL-S3"=[2]OUT_TransportEnergyCons!$A$3:$A$1000)*1,("var_fout"=[2]OUT_TransportEnergyCons!$B$3:$B$1000)*1,ISNUMBER(SEARCH("TPCAR",[2]OUT_TransportEnergyCons!$C$3:$C$1000))*1,[2]OUT_TransportEnergyCons!J$3:J$1000)</f>
        <v>3.2427143755343863E-4</v>
      </c>
      <c r="N1253" s="1"/>
    </row>
    <row r="1254" spans="2:14" x14ac:dyDescent="0.35">
      <c r="B1254" s="5" t="str">
        <f t="shared" si="1335"/>
        <v>SPS1</v>
      </c>
      <c r="C1254" s="5" t="str">
        <f t="shared" si="1336"/>
        <v>CH</v>
      </c>
      <c r="D1254" t="s">
        <v>1171</v>
      </c>
      <c r="E1254" t="str">
        <f t="shared" si="1334"/>
        <v>billion km/yr.</v>
      </c>
      <c r="F1254" s="1" cm="1">
        <f t="array" ref="F1254">SUMPRODUCT(("T_C-ICE-DSL-S4"=[1]OUT_TransportEnergyCons!$A$3:$A$1000)*1,("var_fout"=[1]OUT_TransportEnergyCons!$B$3:$B$1000)*1,ISNUMBER(SEARCH("TPCAR",[1]OUT_TransportEnergyCons!$C$3:$C$1000))*1,[1]OUT_TransportEnergyCons!D$3:D$1000)</f>
        <v>0.903576532906466</v>
      </c>
      <c r="G1254" s="1" cm="1">
        <f t="array" ref="G1254">SUMPRODUCT(("T_C-ICE-DSL-S4"=[1]OUT_TransportEnergyCons!$A$3:$A$1000)*1,("var_fout"=[1]OUT_TransportEnergyCons!$B$3:$B$1000)*1,ISNUMBER(SEARCH("TPCAR",[1]OUT_TransportEnergyCons!$C$3:$C$1000))*1,[1]OUT_TransportEnergyCons!E$3:E$1000)</f>
        <v>1.0075730143870487</v>
      </c>
      <c r="H1254" s="1" cm="1">
        <f t="array" ref="H1254">SUMPRODUCT(("T_C-ICE-DSL-S4"=[1]OUT_TransportEnergyCons!$A$3:$A$1000)*1,("var_fout"=[1]OUT_TransportEnergyCons!$B$3:$B$1000)*1,ISNUMBER(SEARCH("TPCAR",[1]OUT_TransportEnergyCons!$C$3:$C$1000))*1,[1]OUT_TransportEnergyCons!F$3:F$1000)</f>
        <v>0.99280047935486737</v>
      </c>
      <c r="I1254" s="1" cm="1">
        <f t="array" ref="I1254">SUMPRODUCT(("T_C-ICE-DSL-S4"=[1]OUT_TransportEnergyCons!$A$3:$A$1000)*1,("var_fout"=[1]OUT_TransportEnergyCons!$B$3:$B$1000)*1,ISNUMBER(SEARCH("TPCAR",[1]OUT_TransportEnergyCons!$C$3:$C$1000))*1,[1]OUT_TransportEnergyCons!G$3:G$1000)</f>
        <v>0.7495038998846375</v>
      </c>
      <c r="J1254" s="1" cm="1">
        <f t="array" ref="J1254">SUMPRODUCT(("T_C-ICE-DSL-S4"=[2]OUT_TransportEnergyCons!$A$3:$A$1000)*1,("var_fout"=[2]OUT_TransportEnergyCons!$B$3:$B$1000)*1,ISNUMBER(SEARCH("TPCAR",[2]OUT_TransportEnergyCons!$C$3:$C$1000))*1,[2]OUT_TransportEnergyCons!H$3:H$1000)</f>
        <v>3.0557887638810222E-2</v>
      </c>
      <c r="K1254" s="1" cm="1">
        <f t="array" ref="K1254">SUMPRODUCT(("T_C-ICE-DSL-S4"=[2]OUT_TransportEnergyCons!$A$3:$A$1000)*1,("var_fout"=[2]OUT_TransportEnergyCons!$B$3:$B$1000)*1,ISNUMBER(SEARCH("TPCAR",[2]OUT_TransportEnergyCons!$C$3:$C$1000))*1,[2]OUT_TransportEnergyCons!I$3:I$1000)</f>
        <v>4.0482877535793273E-4</v>
      </c>
      <c r="L1254" s="1" cm="1">
        <f t="array" ref="L1254">SUMPRODUCT(("T_C-ICE-DSL-S4"=[2]OUT_TransportEnergyCons!$A$3:$A$1000)*1,("var_fout"=[2]OUT_TransportEnergyCons!$B$3:$B$1000)*1,ISNUMBER(SEARCH("TPCAR",[2]OUT_TransportEnergyCons!$C$3:$C$1000))*1,[2]OUT_TransportEnergyCons!J$3:J$1000)</f>
        <v>2.0818095307623951E-4</v>
      </c>
      <c r="N1254" s="1"/>
    </row>
    <row r="1255" spans="2:14" x14ac:dyDescent="0.35">
      <c r="B1255" s="5" t="str">
        <f t="shared" si="1335"/>
        <v>SPS1</v>
      </c>
      <c r="C1255" s="5" t="str">
        <f t="shared" si="1336"/>
        <v>CH</v>
      </c>
      <c r="D1255" t="s">
        <v>1172</v>
      </c>
      <c r="E1255" t="str">
        <f t="shared" si="1334"/>
        <v>billion km/yr.</v>
      </c>
      <c r="F1255" s="1" cm="1">
        <f t="array" ref="F1255">SUMPRODUCT(("T_C-MHY-DSL-S1"=[1]OUT_TransportEnergyCons!$A$3:$A$1000)*1,("var_fout"=[1]OUT_TransportEnergyCons!$B$3:$B$1000)*1,ISNUMBER(SEARCH("TPCAR",[1]OUT_TransportEnergyCons!$C$3:$C$1000))*1,[1]OUT_TransportEnergyCons!D$3:D$1000)</f>
        <v>0</v>
      </c>
      <c r="G1255" s="1" cm="1">
        <f t="array" ref="G1255">SUMPRODUCT(("T_C-MHY-DSL-S1"=[1]OUT_TransportEnergyCons!$A$3:$A$1000)*1,("var_fout"=[1]OUT_TransportEnergyCons!$B$3:$B$1000)*1,ISNUMBER(SEARCH("TPCAR",[1]OUT_TransportEnergyCons!$C$3:$C$1000))*1,[1]OUT_TransportEnergyCons!E$3:E$1000)</f>
        <v>6.5738214621217567E-5</v>
      </c>
      <c r="H1255" s="1" cm="1">
        <f t="array" ref="H1255">SUMPRODUCT(("T_C-MHY-DSL-S1"=[1]OUT_TransportEnergyCons!$A$3:$A$1000)*1,("var_fout"=[1]OUT_TransportEnergyCons!$B$3:$B$1000)*1,ISNUMBER(SEARCH("TPCAR",[1]OUT_TransportEnergyCons!$C$3:$C$1000))*1,[1]OUT_TransportEnergyCons!F$3:F$1000)</f>
        <v>2.1752879773949632E-4</v>
      </c>
      <c r="I1255" s="1" cm="1">
        <f t="array" ref="I1255">SUMPRODUCT(("T_C-MHY-DSL-S1"=[1]OUT_TransportEnergyCons!$A$3:$A$1000)*1,("var_fout"=[1]OUT_TransportEnergyCons!$B$3:$B$1000)*1,ISNUMBER(SEARCH("TPCAR",[1]OUT_TransportEnergyCons!$C$3:$C$1000))*1,[1]OUT_TransportEnergyCons!G$3:G$1000)</f>
        <v>0.12845484871755014</v>
      </c>
      <c r="J1255" s="1" cm="1">
        <f t="array" ref="J1255">SUMPRODUCT(("T_C-MHY-DSL-S1"=[2]OUT_TransportEnergyCons!$A$3:$A$1000)*1,("var_fout"=[2]OUT_TransportEnergyCons!$B$3:$B$1000)*1,ISNUMBER(SEARCH("TPCAR",[2]OUT_TransportEnergyCons!$C$3:$C$1000))*1,[2]OUT_TransportEnergyCons!H$3:H$1000)</f>
        <v>0.1652408061541161</v>
      </c>
      <c r="K1255" s="1" cm="1">
        <f t="array" ref="K1255">SUMPRODUCT(("T_C-MHY-DSL-S1"=[2]OUT_TransportEnergyCons!$A$3:$A$1000)*1,("var_fout"=[2]OUT_TransportEnergyCons!$B$3:$B$1000)*1,ISNUMBER(SEARCH("TPCAR",[2]OUT_TransportEnergyCons!$C$3:$C$1000))*1,[2]OUT_TransportEnergyCons!I$3:I$1000)</f>
        <v>9.5026500346742301E-2</v>
      </c>
      <c r="L1255" s="1" cm="1">
        <f t="array" ref="L1255">SUMPRODUCT(("T_C-MHY-DSL-S1"=[2]OUT_TransportEnergyCons!$A$3:$A$1000)*1,("var_fout"=[2]OUT_TransportEnergyCons!$B$3:$B$1000)*1,ISNUMBER(SEARCH("TPCAR",[2]OUT_TransportEnergyCons!$C$3:$C$1000))*1,[2]OUT_TransportEnergyCons!J$3:J$1000)</f>
        <v>8.9990227830463194E-3</v>
      </c>
      <c r="N1255" s="1"/>
    </row>
    <row r="1256" spans="2:14" x14ac:dyDescent="0.35">
      <c r="B1256" s="5" t="str">
        <f t="shared" si="1335"/>
        <v>SPS1</v>
      </c>
      <c r="C1256" s="5" t="str">
        <f t="shared" si="1336"/>
        <v>CH</v>
      </c>
      <c r="D1256" t="s">
        <v>1173</v>
      </c>
      <c r="E1256" t="str">
        <f t="shared" si="1334"/>
        <v>billion km/yr.</v>
      </c>
      <c r="F1256" s="1" cm="1">
        <f t="array" ref="F1256">SUMPRODUCT(("T_C-MHY-DSL-S2"=[1]OUT_TransportEnergyCons!$A$3:$A$1000)*1,("var_fout"=[1]OUT_TransportEnergyCons!$B$3:$B$1000)*1,ISNUMBER(SEARCH("TPCAR",[1]OUT_TransportEnergyCons!$C$3:$C$1000))*1,[1]OUT_TransportEnergyCons!D$3:D$1000)</f>
        <v>0</v>
      </c>
      <c r="G1256" s="1" cm="1">
        <f t="array" ref="G1256">SUMPRODUCT(("T_C-MHY-DSL-S2"=[1]OUT_TransportEnergyCons!$A$3:$A$1000)*1,("var_fout"=[1]OUT_TransportEnergyCons!$B$3:$B$1000)*1,ISNUMBER(SEARCH("TPCAR",[1]OUT_TransportEnergyCons!$C$3:$C$1000))*1,[1]OUT_TransportEnergyCons!E$3:E$1000)</f>
        <v>3.7652550030222836E-5</v>
      </c>
      <c r="H1256" s="1" cm="1">
        <f t="array" ref="H1256">SUMPRODUCT(("T_C-MHY-DSL-S2"=[1]OUT_TransportEnergyCons!$A$3:$A$1000)*1,("var_fout"=[1]OUT_TransportEnergyCons!$B$3:$B$1000)*1,ISNUMBER(SEARCH("TPCAR",[1]OUT_TransportEnergyCons!$C$3:$C$1000))*1,[1]OUT_TransportEnergyCons!F$3:F$1000)</f>
        <v>1.6314989390445774E-4</v>
      </c>
      <c r="I1256" s="1" cm="1">
        <f t="array" ref="I1256">SUMPRODUCT(("T_C-MHY-DSL-S2"=[1]OUT_TransportEnergyCons!$A$3:$A$1000)*1,("var_fout"=[1]OUT_TransportEnergyCons!$B$3:$B$1000)*1,ISNUMBER(SEARCH("TPCAR",[1]OUT_TransportEnergyCons!$C$3:$C$1000))*1,[1]OUT_TransportEnergyCons!G$3:G$1000)</f>
        <v>3.1557388064706177E-4</v>
      </c>
      <c r="J1256" s="1" cm="1">
        <f t="array" ref="J1256">SUMPRODUCT(("T_C-MHY-DSL-S2"=[2]OUT_TransportEnergyCons!$A$3:$A$1000)*1,("var_fout"=[2]OUT_TransportEnergyCons!$B$3:$B$1000)*1,ISNUMBER(SEARCH("TPCAR",[2]OUT_TransportEnergyCons!$C$3:$C$1000))*1,[2]OUT_TransportEnergyCons!H$3:H$1000)</f>
        <v>2.164219322408394E-3</v>
      </c>
      <c r="K1256" s="1" cm="1">
        <f t="array" ref="K1256">SUMPRODUCT(("T_C-MHY-DSL-S2"=[2]OUT_TransportEnergyCons!$A$3:$A$1000)*1,("var_fout"=[2]OUT_TransportEnergyCons!$B$3:$B$1000)*1,ISNUMBER(SEARCH("TPCAR",[2]OUT_TransportEnergyCons!$C$3:$C$1000))*1,[2]OUT_TransportEnergyCons!I$3:I$1000)</f>
        <v>2.664654273219083E-3</v>
      </c>
      <c r="L1256" s="1" cm="1">
        <f t="array" ref="L1256">SUMPRODUCT(("T_C-MHY-DSL-S2"=[2]OUT_TransportEnergyCons!$A$3:$A$1000)*1,("var_fout"=[2]OUT_TransportEnergyCons!$B$3:$B$1000)*1,ISNUMBER(SEARCH("TPCAR",[2]OUT_TransportEnergyCons!$C$3:$C$1000))*1,[2]OUT_TransportEnergyCons!J$3:J$1000)</f>
        <v>1.0499048368089571E-3</v>
      </c>
      <c r="N1256" s="1"/>
    </row>
    <row r="1257" spans="2:14" x14ac:dyDescent="0.35">
      <c r="B1257" s="5" t="str">
        <f t="shared" si="1335"/>
        <v>SPS1</v>
      </c>
      <c r="C1257" s="5" t="str">
        <f t="shared" si="1336"/>
        <v>CH</v>
      </c>
      <c r="D1257" t="s">
        <v>1174</v>
      </c>
      <c r="E1257" t="str">
        <f t="shared" si="1334"/>
        <v>billion km/yr.</v>
      </c>
      <c r="F1257" s="1" cm="1">
        <f t="array" ref="F1257">SUMPRODUCT(("T_C-MHY-DSL-S3"=[1]OUT_TransportEnergyCons!$A$3:$A$1000)*1,("var_fout"=[1]OUT_TransportEnergyCons!$B$3:$B$1000)*1,ISNUMBER(SEARCH("TPCAR",[1]OUT_TransportEnergyCons!$C$3:$C$1000))*1,[1]OUT_TransportEnergyCons!D$3:D$1000)</f>
        <v>0</v>
      </c>
      <c r="G1257" s="1" cm="1">
        <f t="array" ref="G1257">SUMPRODUCT(("T_C-MHY-DSL-S3"=[1]OUT_TransportEnergyCons!$A$3:$A$1000)*1,("var_fout"=[1]OUT_TransportEnergyCons!$B$3:$B$1000)*1,ISNUMBER(SEARCH("TPCAR",[1]OUT_TransportEnergyCons!$C$3:$C$1000))*1,[1]OUT_TransportEnergyCons!E$3:E$1000)</f>
        <v>4.3141222320931317E-5</v>
      </c>
      <c r="H1257" s="1" cm="1">
        <f t="array" ref="H1257">SUMPRODUCT(("T_C-MHY-DSL-S3"=[1]OUT_TransportEnergyCons!$A$3:$A$1000)*1,("var_fout"=[1]OUT_TransportEnergyCons!$B$3:$B$1000)*1,ISNUMBER(SEARCH("TPCAR",[1]OUT_TransportEnergyCons!$C$3:$C$1000))*1,[1]OUT_TransportEnergyCons!F$3:F$1000)</f>
        <v>1.5963981075976948E-4</v>
      </c>
      <c r="I1257" s="1" cm="1">
        <f t="array" ref="I1257">SUMPRODUCT(("T_C-MHY-DSL-S3"=[1]OUT_TransportEnergyCons!$A$3:$A$1000)*1,("var_fout"=[1]OUT_TransportEnergyCons!$B$3:$B$1000)*1,ISNUMBER(SEARCH("TPCAR",[1]OUT_TransportEnergyCons!$C$3:$C$1000))*1,[1]OUT_TransportEnergyCons!G$3:G$1000)</f>
        <v>2.7310017349318577E-4</v>
      </c>
      <c r="J1257" s="1" cm="1">
        <f t="array" ref="J1257">SUMPRODUCT(("T_C-MHY-DSL-S3"=[2]OUT_TransportEnergyCons!$A$3:$A$1000)*1,("var_fout"=[2]OUT_TransportEnergyCons!$B$3:$B$1000)*1,ISNUMBER(SEARCH("TPCAR",[2]OUT_TransportEnergyCons!$C$3:$C$1000))*1,[2]OUT_TransportEnergyCons!H$3:H$1000)</f>
        <v>2.3660765942653491E-3</v>
      </c>
      <c r="K1257" s="1" cm="1">
        <f t="array" ref="K1257">SUMPRODUCT(("T_C-MHY-DSL-S3"=[2]OUT_TransportEnergyCons!$A$3:$A$1000)*1,("var_fout"=[2]OUT_TransportEnergyCons!$B$3:$B$1000)*1,ISNUMBER(SEARCH("TPCAR",[2]OUT_TransportEnergyCons!$C$3:$C$1000))*1,[2]OUT_TransportEnergyCons!I$3:I$1000)</f>
        <v>0.11423498225740016</v>
      </c>
      <c r="L1257" s="1" cm="1">
        <f t="array" ref="L1257">SUMPRODUCT(("T_C-MHY-DSL-S3"=[2]OUT_TransportEnergyCons!$A$3:$A$1000)*1,("var_fout"=[2]OUT_TransportEnergyCons!$B$3:$B$1000)*1,ISNUMBER(SEARCH("TPCAR",[2]OUT_TransportEnergyCons!$C$3:$C$1000))*1,[2]OUT_TransportEnergyCons!J$3:J$1000)</f>
        <v>0.24850829578727351</v>
      </c>
      <c r="N1257" s="1"/>
    </row>
    <row r="1258" spans="2:14" x14ac:dyDescent="0.35">
      <c r="B1258" s="5" t="str">
        <f t="shared" si="1335"/>
        <v>SPS1</v>
      </c>
      <c r="C1258" s="5" t="str">
        <f t="shared" si="1336"/>
        <v>CH</v>
      </c>
      <c r="D1258" t="s">
        <v>1175</v>
      </c>
      <c r="E1258" t="str">
        <f t="shared" si="1334"/>
        <v>billion km/yr.</v>
      </c>
      <c r="F1258" s="1" cm="1">
        <f t="array" ref="F1258">SUMPRODUCT(("T_C-MHY-DSL-S4"=[1]OUT_TransportEnergyCons!$A$3:$A$1000)*1,("var_fout"=[1]OUT_TransportEnergyCons!$B$3:$B$1000)*1,ISNUMBER(SEARCH("TPCAR",[1]OUT_TransportEnergyCons!$C$3:$C$1000))*1,[1]OUT_TransportEnergyCons!D$3:D$1000)</f>
        <v>0</v>
      </c>
      <c r="G1258" s="1" cm="1">
        <f t="array" ref="G1258">SUMPRODUCT(("T_C-MHY-DSL-S4"=[1]OUT_TransportEnergyCons!$A$3:$A$1000)*1,("var_fout"=[1]OUT_TransportEnergyCons!$B$3:$B$1000)*1,ISNUMBER(SEARCH("TPCAR",[1]OUT_TransportEnergyCons!$C$3:$C$1000))*1,[1]OUT_TransportEnergyCons!E$3:E$1000)</f>
        <v>3.0784104534265903E-5</v>
      </c>
      <c r="H1258" s="1" cm="1">
        <f t="array" ref="H1258">SUMPRODUCT(("T_C-MHY-DSL-S4"=[1]OUT_TransportEnergyCons!$A$3:$A$1000)*1,("var_fout"=[1]OUT_TransportEnergyCons!$B$3:$B$1000)*1,ISNUMBER(SEARCH("TPCAR",[1]OUT_TransportEnergyCons!$C$3:$C$1000))*1,[1]OUT_TransportEnergyCons!F$3:F$1000)</f>
        <v>8.9496688343851792E-5</v>
      </c>
      <c r="I1258" s="1" cm="1">
        <f t="array" ref="I1258">SUMPRODUCT(("T_C-MHY-DSL-S4"=[1]OUT_TransportEnergyCons!$A$3:$A$1000)*1,("var_fout"=[1]OUT_TransportEnergyCons!$B$3:$B$1000)*1,ISNUMBER(SEARCH("TPCAR",[1]OUT_TransportEnergyCons!$C$3:$C$1000))*1,[1]OUT_TransportEnergyCons!G$3:G$1000)</f>
        <v>1.3793986259395884E-4</v>
      </c>
      <c r="J1258" s="1" cm="1">
        <f t="array" ref="J1258">SUMPRODUCT(("T_C-MHY-DSL-S4"=[2]OUT_TransportEnergyCons!$A$3:$A$1000)*1,("var_fout"=[2]OUT_TransportEnergyCons!$B$3:$B$1000)*1,ISNUMBER(SEARCH("TPCAR",[2]OUT_TransportEnergyCons!$C$3:$C$1000))*1,[2]OUT_TransportEnergyCons!H$3:H$1000)</f>
        <v>6.3737669800193711E-4</v>
      </c>
      <c r="K1258" s="1" cm="1">
        <f t="array" ref="K1258">SUMPRODUCT(("T_C-MHY-DSL-S4"=[2]OUT_TransportEnergyCons!$A$3:$A$1000)*1,("var_fout"=[2]OUT_TransportEnergyCons!$B$3:$B$1000)*1,ISNUMBER(SEARCH("TPCAR",[2]OUT_TransportEnergyCons!$C$3:$C$1000))*1,[2]OUT_TransportEnergyCons!I$3:I$1000)</f>
        <v>8.0481590296625901E-4</v>
      </c>
      <c r="L1258" s="1" cm="1">
        <f t="array" ref="L1258">SUMPRODUCT(("T_C-MHY-DSL-S4"=[2]OUT_TransportEnergyCons!$A$3:$A$1000)*1,("var_fout"=[2]OUT_TransportEnergyCons!$B$3:$B$1000)*1,ISNUMBER(SEARCH("TPCAR",[2]OUT_TransportEnergyCons!$C$3:$C$1000))*1,[2]OUT_TransportEnergyCons!J$3:J$1000)</f>
        <v>5.6556328178800996E-4</v>
      </c>
      <c r="N1258" s="1"/>
    </row>
    <row r="1259" spans="2:14" x14ac:dyDescent="0.35">
      <c r="B1259" s="5" t="str">
        <f t="shared" si="1335"/>
        <v>SPS1</v>
      </c>
      <c r="C1259" s="5" t="str">
        <f t="shared" si="1336"/>
        <v>CH</v>
      </c>
      <c r="D1259" t="s">
        <v>1176</v>
      </c>
      <c r="E1259" t="str">
        <f t="shared" si="1334"/>
        <v>billion km/yr.</v>
      </c>
      <c r="F1259" s="1" cm="1">
        <f t="array" ref="F1259">SUMPRODUCT(("T_C-ICENGAEXT"=[1]OUT_TransportEnergyCons!$A$3:$A$1000)*1,("var_fout"=[1]OUT_TransportEnergyCons!$B$3:$B$1000)*1,ISNUMBER(SEARCH("TPCAR",[1]OUT_TransportEnergyCons!$C$3:$C$1000))*1,[1]OUT_TransportEnergyCons!D$3:D$1000)</f>
        <v>0</v>
      </c>
      <c r="G1259" s="1" cm="1">
        <f t="array" ref="G1259">SUMPRODUCT(("T_C-ICENGAEXT"=[1]OUT_TransportEnergyCons!$A$3:$A$1000)*1,("var_fout"=[1]OUT_TransportEnergyCons!$B$3:$B$1000)*1,ISNUMBER(SEARCH("TPCAR",[1]OUT_TransportEnergyCons!$C$3:$C$1000))*1,[1]OUT_TransportEnergyCons!E$3:E$1000)</f>
        <v>0</v>
      </c>
      <c r="H1259" s="1" cm="1">
        <f t="array" ref="H1259">SUMPRODUCT(("T_C-ICENGAEXT"=[1]OUT_TransportEnergyCons!$A$3:$A$1000)*1,("var_fout"=[1]OUT_TransportEnergyCons!$B$3:$B$1000)*1,ISNUMBER(SEARCH("TPCAR",[1]OUT_TransportEnergyCons!$C$3:$C$1000))*1,[1]OUT_TransportEnergyCons!F$3:F$1000)</f>
        <v>0</v>
      </c>
      <c r="I1259" s="1" cm="1">
        <f t="array" ref="I1259">SUMPRODUCT(("T_C-ICENGAEXT"=[1]OUT_TransportEnergyCons!$A$3:$A$1000)*1,("var_fout"=[1]OUT_TransportEnergyCons!$B$3:$B$1000)*1,ISNUMBER(SEARCH("TPCAR",[1]OUT_TransportEnergyCons!$C$3:$C$1000))*1,[1]OUT_TransportEnergyCons!G$3:G$1000)</f>
        <v>0</v>
      </c>
      <c r="J1259" s="1" cm="1">
        <f t="array" ref="J1259">SUMPRODUCT(("T_C-ICENGAEXT"=[2]OUT_TransportEnergyCons!$A$3:$A$1000)*1,("var_fout"=[2]OUT_TransportEnergyCons!$B$3:$B$1000)*1,ISNUMBER(SEARCH("TPCAR",[2]OUT_TransportEnergyCons!$C$3:$C$1000))*1,[2]OUT_TransportEnergyCons!H$3:H$1000)</f>
        <v>0</v>
      </c>
      <c r="K1259" s="1" cm="1">
        <f t="array" ref="K1259">SUMPRODUCT(("T_C-ICENGAEXT"=[2]OUT_TransportEnergyCons!$A$3:$A$1000)*1,("var_fout"=[2]OUT_TransportEnergyCons!$B$3:$B$1000)*1,ISNUMBER(SEARCH("TPCAR",[2]OUT_TransportEnergyCons!$C$3:$C$1000))*1,[2]OUT_TransportEnergyCons!I$3:I$1000)</f>
        <v>0</v>
      </c>
      <c r="L1259" s="1" cm="1">
        <f t="array" ref="L1259">SUMPRODUCT(("T_C-ICENGAEXT"=[2]OUT_TransportEnergyCons!$A$3:$A$1000)*1,("var_fout"=[2]OUT_TransportEnergyCons!$B$3:$B$1000)*1,ISNUMBER(SEARCH("TPCAR",[2]OUT_TransportEnergyCons!$C$3:$C$1000))*1,[2]OUT_TransportEnergyCons!J$3:J$1000)</f>
        <v>0</v>
      </c>
      <c r="N1259" s="1"/>
    </row>
    <row r="1260" spans="2:14" x14ac:dyDescent="0.35">
      <c r="B1260" s="5" t="str">
        <f t="shared" si="1335"/>
        <v>SPS1</v>
      </c>
      <c r="C1260" s="5" t="str">
        <f t="shared" si="1336"/>
        <v>CH</v>
      </c>
      <c r="D1260" t="s">
        <v>1177</v>
      </c>
      <c r="E1260" t="str">
        <f t="shared" si="1334"/>
        <v>billion km/yr.</v>
      </c>
      <c r="F1260" s="1" cm="1">
        <f t="array" ref="F1260">SUMPRODUCT(("T_C-ICE-NGA-S1"=[1]OUT_TransportEnergyCons!$A$3:$A$1000)*1,("var_fout"=[1]OUT_TransportEnergyCons!$B$3:$B$1000)*1,ISNUMBER(SEARCH("TPCAR",[1]OUT_TransportEnergyCons!$C$3:$C$1000))*1,[1]OUT_TransportEnergyCons!D$3:D$1000)</f>
        <v>2.3003178964511335E-3</v>
      </c>
      <c r="G1260" s="1" cm="1">
        <f t="array" ref="G1260">SUMPRODUCT(("T_C-ICE-NGA-S1"=[1]OUT_TransportEnergyCons!$A$3:$A$1000)*1,("var_fout"=[1]OUT_TransportEnergyCons!$B$3:$B$1000)*1,ISNUMBER(SEARCH("TPCAR",[1]OUT_TransportEnergyCons!$C$3:$C$1000))*1,[1]OUT_TransportEnergyCons!E$3:E$1000)</f>
        <v>1.3814110682056518E-3</v>
      </c>
      <c r="H1260" s="1" cm="1">
        <f t="array" ref="H1260">SUMPRODUCT(("T_C-ICE-NGA-S1"=[1]OUT_TransportEnergyCons!$A$3:$A$1000)*1,("var_fout"=[1]OUT_TransportEnergyCons!$B$3:$B$1000)*1,ISNUMBER(SEARCH("TPCAR",[1]OUT_TransportEnergyCons!$C$3:$C$1000))*1,[1]OUT_TransportEnergyCons!F$3:F$1000)</f>
        <v>1.0480427295447266E-3</v>
      </c>
      <c r="I1260" s="1" cm="1">
        <f t="array" ref="I1260">SUMPRODUCT(("T_C-ICE-NGA-S1"=[1]OUT_TransportEnergyCons!$A$3:$A$1000)*1,("var_fout"=[1]OUT_TransportEnergyCons!$B$3:$B$1000)*1,ISNUMBER(SEARCH("TPCAR",[1]OUT_TransportEnergyCons!$C$3:$C$1000))*1,[1]OUT_TransportEnergyCons!G$3:G$1000)</f>
        <v>8.4836095002098621E-5</v>
      </c>
      <c r="J1260" s="1" cm="1">
        <f t="array" ref="J1260">SUMPRODUCT(("T_C-ICE-NGA-S1"=[2]OUT_TransportEnergyCons!$A$3:$A$1000)*1,("var_fout"=[2]OUT_TransportEnergyCons!$B$3:$B$1000)*1,ISNUMBER(SEARCH("TPCAR",[2]OUT_TransportEnergyCons!$C$3:$C$1000))*1,[2]OUT_TransportEnergyCons!H$3:H$1000)</f>
        <v>6.5264670228880388E-5</v>
      </c>
      <c r="K1260" s="1" cm="1">
        <f t="array" ref="K1260">SUMPRODUCT(("T_C-ICE-NGA-S1"=[2]OUT_TransportEnergyCons!$A$3:$A$1000)*1,("var_fout"=[2]OUT_TransportEnergyCons!$B$3:$B$1000)*1,ISNUMBER(SEARCH("TPCAR",[2]OUT_TransportEnergyCons!$C$3:$C$1000))*1,[2]OUT_TransportEnergyCons!I$3:I$1000)</f>
        <v>4.8977805848033487E-5</v>
      </c>
      <c r="L1260" s="1" cm="1">
        <f t="array" ref="L1260">SUMPRODUCT(("T_C-ICE-NGA-S1"=[2]OUT_TransportEnergyCons!$A$3:$A$1000)*1,("var_fout"=[2]OUT_TransportEnergyCons!$B$3:$B$1000)*1,ISNUMBER(SEARCH("TPCAR",[2]OUT_TransportEnergyCons!$C$3:$C$1000))*1,[2]OUT_TransportEnergyCons!J$3:J$1000)</f>
        <v>3.7278259610347621E-5</v>
      </c>
      <c r="N1260" s="1"/>
    </row>
    <row r="1261" spans="2:14" x14ac:dyDescent="0.35">
      <c r="B1261" s="5" t="str">
        <f t="shared" si="1335"/>
        <v>SPS1</v>
      </c>
      <c r="C1261" s="5" t="str">
        <f t="shared" si="1336"/>
        <v>CH</v>
      </c>
      <c r="D1261" t="s">
        <v>1178</v>
      </c>
      <c r="E1261" t="str">
        <f t="shared" si="1334"/>
        <v>billion km/yr.</v>
      </c>
      <c r="F1261" s="1" cm="1">
        <f t="array" ref="F1261">SUMPRODUCT(("T_C-ICE-NGA-S2"=[1]OUT_TransportEnergyCons!$A$3:$A$1000)*1,("var_fout"=[1]OUT_TransportEnergyCons!$B$3:$B$1000)*1,ISNUMBER(SEARCH("TPCAR",[1]OUT_TransportEnergyCons!$C$3:$C$1000))*1,[1]OUT_TransportEnergyCons!D$3:D$1000)</f>
        <v>3.5405993251178311E-2</v>
      </c>
      <c r="G1261" s="1" cm="1">
        <f t="array" ref="G1261">SUMPRODUCT(("T_C-ICE-NGA-S2"=[1]OUT_TransportEnergyCons!$A$3:$A$1000)*1,("var_fout"=[1]OUT_TransportEnergyCons!$B$3:$B$1000)*1,ISNUMBER(SEARCH("TPCAR",[1]OUT_TransportEnergyCons!$C$3:$C$1000))*1,[1]OUT_TransportEnergyCons!E$3:E$1000)</f>
        <v>2.9829528619093496E-2</v>
      </c>
      <c r="H1261" s="1" cm="1">
        <f t="array" ref="H1261">SUMPRODUCT(("T_C-ICE-NGA-S2"=[1]OUT_TransportEnergyCons!$A$3:$A$1000)*1,("var_fout"=[1]OUT_TransportEnergyCons!$B$3:$B$1000)*1,ISNUMBER(SEARCH("TPCAR",[1]OUT_TransportEnergyCons!$C$3:$C$1000))*1,[1]OUT_TransportEnergyCons!F$3:F$1000)</f>
        <v>2.9578418215587193E-2</v>
      </c>
      <c r="I1261" s="1" cm="1">
        <f t="array" ref="I1261">SUMPRODUCT(("T_C-ICE-NGA-S2"=[1]OUT_TransportEnergyCons!$A$3:$A$1000)*1,("var_fout"=[1]OUT_TransportEnergyCons!$B$3:$B$1000)*1,ISNUMBER(SEARCH("TPCAR",[1]OUT_TransportEnergyCons!$C$3:$C$1000))*1,[1]OUT_TransportEnergyCons!G$3:G$1000)</f>
        <v>1.2286456208856046E-4</v>
      </c>
      <c r="J1261" s="1" cm="1">
        <f t="array" ref="J1261">SUMPRODUCT(("T_C-ICE-NGA-S2"=[2]OUT_TransportEnergyCons!$A$3:$A$1000)*1,("var_fout"=[2]OUT_TransportEnergyCons!$B$3:$B$1000)*1,ISNUMBER(SEARCH("TPCAR",[2]OUT_TransportEnergyCons!$C$3:$C$1000))*1,[2]OUT_TransportEnergyCons!H$3:H$1000)</f>
        <v>9.5247382315480358E-5</v>
      </c>
      <c r="K1261" s="1" cm="1">
        <f t="array" ref="K1261">SUMPRODUCT(("T_C-ICE-NGA-S2"=[2]OUT_TransportEnergyCons!$A$3:$A$1000)*1,("var_fout"=[2]OUT_TransportEnergyCons!$B$3:$B$1000)*1,ISNUMBER(SEARCH("TPCAR",[2]OUT_TransportEnergyCons!$C$3:$C$1000))*1,[2]OUT_TransportEnergyCons!I$3:I$1000)</f>
        <v>9.357697469668232E-5</v>
      </c>
      <c r="L1261" s="1" cm="1">
        <f t="array" ref="L1261">SUMPRODUCT(("T_C-ICE-NGA-S2"=[2]OUT_TransportEnergyCons!$A$3:$A$1000)*1,("var_fout"=[2]OUT_TransportEnergyCons!$B$3:$B$1000)*1,ISNUMBER(SEARCH("TPCAR",[2]OUT_TransportEnergyCons!$C$3:$C$1000))*1,[2]OUT_TransportEnergyCons!J$3:J$1000)</f>
        <v>6.8903612203285273E-5</v>
      </c>
      <c r="N1261" s="1"/>
    </row>
    <row r="1262" spans="2:14" x14ac:dyDescent="0.35">
      <c r="B1262" s="5" t="str">
        <f t="shared" si="1335"/>
        <v>SPS1</v>
      </c>
      <c r="C1262" s="5" t="str">
        <f t="shared" si="1336"/>
        <v>CH</v>
      </c>
      <c r="D1262" t="s">
        <v>1179</v>
      </c>
      <c r="E1262" t="str">
        <f t="shared" si="1334"/>
        <v>billion km/yr.</v>
      </c>
      <c r="F1262" s="1" cm="1">
        <f t="array" ref="F1262">SUMPRODUCT(("T_C-ICE-NGA-S3"=[1]OUT_TransportEnergyCons!$A$3:$A$1000)*1,("var_fout"=[1]OUT_TransportEnergyCons!$B$3:$B$1000)*1,ISNUMBER(SEARCH("TPCAR",[1]OUT_TransportEnergyCons!$C$3:$C$1000))*1,[1]OUT_TransportEnergyCons!D$3:D$1000)</f>
        <v>2.1030017083714255E-3</v>
      </c>
      <c r="G1262" s="1" cm="1">
        <f t="array" ref="G1262">SUMPRODUCT(("T_C-ICE-NGA-S3"=[1]OUT_TransportEnergyCons!$A$3:$A$1000)*1,("var_fout"=[1]OUT_TransportEnergyCons!$B$3:$B$1000)*1,ISNUMBER(SEARCH("TPCAR",[1]OUT_TransportEnergyCons!$C$3:$C$1000))*1,[1]OUT_TransportEnergyCons!E$3:E$1000)</f>
        <v>1.7745717546446367E-3</v>
      </c>
      <c r="H1262" s="1" cm="1">
        <f t="array" ref="H1262">SUMPRODUCT(("T_C-ICE-NGA-S3"=[1]OUT_TransportEnergyCons!$A$3:$A$1000)*1,("var_fout"=[1]OUT_TransportEnergyCons!$B$3:$B$1000)*1,ISNUMBER(SEARCH("TPCAR",[1]OUT_TransportEnergyCons!$C$3:$C$1000))*1,[1]OUT_TransportEnergyCons!F$3:F$1000)</f>
        <v>2.2824816975855725E-3</v>
      </c>
      <c r="I1262" s="1" cm="1">
        <f t="array" ref="I1262">SUMPRODUCT(("T_C-ICE-NGA-S3"=[1]OUT_TransportEnergyCons!$A$3:$A$1000)*1,("var_fout"=[1]OUT_TransportEnergyCons!$B$3:$B$1000)*1,ISNUMBER(SEARCH("TPCAR",[1]OUT_TransportEnergyCons!$C$3:$C$1000))*1,[1]OUT_TransportEnergyCons!G$3:G$1000)</f>
        <v>2.6620743360642179E-4</v>
      </c>
      <c r="J1262" s="1" cm="1">
        <f t="array" ref="J1262">SUMPRODUCT(("T_C-ICE-NGA-S3"=[2]OUT_TransportEnergyCons!$A$3:$A$1000)*1,("var_fout"=[2]OUT_TransportEnergyCons!$B$3:$B$1000)*1,ISNUMBER(SEARCH("TPCAR",[2]OUT_TransportEnergyCons!$C$3:$C$1000))*1,[2]OUT_TransportEnergyCons!H$3:H$1000)</f>
        <v>1.3916064878499086E-4</v>
      </c>
      <c r="K1262" s="1" cm="1">
        <f t="array" ref="K1262">SUMPRODUCT(("T_C-ICE-NGA-S3"=[2]OUT_TransportEnergyCons!$A$3:$A$1000)*1,("var_fout"=[2]OUT_TransportEnergyCons!$B$3:$B$1000)*1,ISNUMBER(SEARCH("TPCAR",[2]OUT_TransportEnergyCons!$C$3:$C$1000))*1,[2]OUT_TransportEnergyCons!I$3:I$1000)</f>
        <v>1.2583711602961504E-4</v>
      </c>
      <c r="L1262" s="1" cm="1">
        <f t="array" ref="L1262">SUMPRODUCT(("T_C-ICE-NGA-S3"=[2]OUT_TransportEnergyCons!$A$3:$A$1000)*1,("var_fout"=[2]OUT_TransportEnergyCons!$B$3:$B$1000)*1,ISNUMBER(SEARCH("TPCAR",[2]OUT_TransportEnergyCons!$C$3:$C$1000))*1,[2]OUT_TransportEnergyCons!J$3:J$1000)</f>
        <v>1.0996789687049776E-4</v>
      </c>
      <c r="N1262" s="1"/>
    </row>
    <row r="1263" spans="2:14" x14ac:dyDescent="0.35">
      <c r="B1263" s="5" t="str">
        <f t="shared" si="1335"/>
        <v>SPS1</v>
      </c>
      <c r="C1263" s="5" t="str">
        <f t="shared" si="1336"/>
        <v>CH</v>
      </c>
      <c r="D1263" t="s">
        <v>1180</v>
      </c>
      <c r="E1263" t="str">
        <f t="shared" si="1334"/>
        <v>billion km/yr.</v>
      </c>
      <c r="F1263" s="1" cm="1">
        <f t="array" ref="F1263">SUMPRODUCT(("T_C-ICE-NGA-S4"=[1]OUT_TransportEnergyCons!$A$3:$A$1000)*1,("var_fout"=[1]OUT_TransportEnergyCons!$B$3:$B$1000)*1,ISNUMBER(SEARCH("TPCAR",[1]OUT_TransportEnergyCons!$C$3:$C$1000))*1,[1]OUT_TransportEnergyCons!D$3:D$1000)</f>
        <v>3.3062227959286178E-2</v>
      </c>
      <c r="G1263" s="1" cm="1">
        <f t="array" ref="G1263">SUMPRODUCT(("T_C-ICE-NGA-S4"=[1]OUT_TransportEnergyCons!$A$3:$A$1000)*1,("var_fout"=[1]OUT_TransportEnergyCons!$B$3:$B$1000)*1,ISNUMBER(SEARCH("TPCAR",[1]OUT_TransportEnergyCons!$C$3:$C$1000))*1,[1]OUT_TransportEnergyCons!E$3:E$1000)</f>
        <v>3.2175499081058843E-2</v>
      </c>
      <c r="H1263" s="1" cm="1">
        <f t="array" ref="H1263">SUMPRODUCT(("T_C-ICE-NGA-S4"=[1]OUT_TransportEnergyCons!$A$3:$A$1000)*1,("var_fout"=[1]OUT_TransportEnergyCons!$B$3:$B$1000)*1,ISNUMBER(SEARCH("TPCAR",[1]OUT_TransportEnergyCons!$C$3:$C$1000))*1,[1]OUT_TransportEnergyCons!F$3:F$1000)</f>
        <v>2.9950386268928517E-2</v>
      </c>
      <c r="I1263" s="1" cm="1">
        <f t="array" ref="I1263">SUMPRODUCT(("T_C-ICE-NGA-S4"=[1]OUT_TransportEnergyCons!$A$3:$A$1000)*1,("var_fout"=[1]OUT_TransportEnergyCons!$B$3:$B$1000)*1,ISNUMBER(SEARCH("TPCAR",[1]OUT_TransportEnergyCons!$C$3:$C$1000))*1,[1]OUT_TransportEnergyCons!G$3:G$1000)</f>
        <v>8.477973452923676E-5</v>
      </c>
      <c r="J1263" s="1" cm="1">
        <f t="array" ref="J1263">SUMPRODUCT(("T_C-ICE-NGA-S4"=[2]OUT_TransportEnergyCons!$A$3:$A$1000)*1,("var_fout"=[2]OUT_TransportEnergyCons!$B$3:$B$1000)*1,ISNUMBER(SEARCH("TPCAR",[2]OUT_TransportEnergyCons!$C$3:$C$1000))*1,[2]OUT_TransportEnergyCons!H$3:H$1000)</f>
        <v>1.0294194888495577E-4</v>
      </c>
      <c r="K1263" s="1" cm="1">
        <f t="array" ref="K1263">SUMPRODUCT(("T_C-ICE-NGA-S4"=[2]OUT_TransportEnergyCons!$A$3:$A$1000)*1,("var_fout"=[2]OUT_TransportEnergyCons!$B$3:$B$1000)*1,ISNUMBER(SEARCH("TPCAR",[2]OUT_TransportEnergyCons!$C$3:$C$1000))*1,[2]OUT_TransportEnergyCons!I$3:I$1000)</f>
        <v>1.1256226887946636E-4</v>
      </c>
      <c r="L1263" s="1" cm="1">
        <f t="array" ref="L1263">SUMPRODUCT(("T_C-ICE-NGA-S4"=[2]OUT_TransportEnergyCons!$A$3:$A$1000)*1,("var_fout"=[2]OUT_TransportEnergyCons!$B$3:$B$1000)*1,ISNUMBER(SEARCH("TPCAR",[2]OUT_TransportEnergyCons!$C$3:$C$1000))*1,[2]OUT_TransportEnergyCons!J$3:J$1000)</f>
        <v>1.1314128965215929E-4</v>
      </c>
      <c r="N1263" s="1"/>
    </row>
    <row r="1264" spans="2:14" x14ac:dyDescent="0.35">
      <c r="B1264" s="5" t="str">
        <f t="shared" si="1335"/>
        <v>SPS1</v>
      </c>
      <c r="C1264" s="5" t="str">
        <f t="shared" si="1336"/>
        <v>CH</v>
      </c>
      <c r="D1264" s="2" t="s">
        <v>1130</v>
      </c>
      <c r="E1264" s="2" t="s">
        <v>1229</v>
      </c>
      <c r="F1264" s="21" t="s">
        <v>292</v>
      </c>
      <c r="G1264" s="21" t="s">
        <v>292</v>
      </c>
      <c r="H1264" s="21" t="s">
        <v>292</v>
      </c>
      <c r="I1264" s="21" t="s">
        <v>292</v>
      </c>
      <c r="J1264" s="21" t="s">
        <v>292</v>
      </c>
      <c r="K1264" s="21" t="s">
        <v>292</v>
      </c>
      <c r="L1264" s="21" t="s">
        <v>292</v>
      </c>
      <c r="N1264" s="1"/>
    </row>
    <row r="1265" spans="2:14" x14ac:dyDescent="0.35">
      <c r="B1265" s="5" t="str">
        <f>B1264</f>
        <v>SPS1</v>
      </c>
      <c r="C1265" s="5" t="str">
        <f>C1264</f>
        <v>CH</v>
      </c>
      <c r="D1265" t="s">
        <v>1181</v>
      </c>
      <c r="E1265" t="str">
        <f>E1264</f>
        <v>km/MJ</v>
      </c>
      <c r="F1265" s="1">
        <f t="shared" ref="F1265:K1269" si="1337">IFERROR(F1214/F1138,"-")</f>
        <v>0.88951199431361472</v>
      </c>
      <c r="G1265" s="1">
        <f t="shared" si="1337"/>
        <v>0.95694536964701815</v>
      </c>
      <c r="H1265" s="1">
        <f t="shared" si="1337"/>
        <v>1.0580954326471252</v>
      </c>
      <c r="I1265" s="1">
        <f t="shared" si="1337"/>
        <v>1.2266788709806378</v>
      </c>
      <c r="J1265" s="1" t="str">
        <f t="shared" si="1337"/>
        <v>-</v>
      </c>
      <c r="K1265" s="1" t="str">
        <f t="shared" si="1337"/>
        <v>-</v>
      </c>
      <c r="L1265" s="1" t="str">
        <f t="shared" ref="L1265" si="1338">IFERROR(L1214/L1138,"-")</f>
        <v>-</v>
      </c>
      <c r="N1265" s="1"/>
    </row>
    <row r="1266" spans="2:14" x14ac:dyDescent="0.35">
      <c r="B1266" s="5" t="str">
        <f t="shared" ref="B1266:B1314" si="1339">B1265</f>
        <v>SPS1</v>
      </c>
      <c r="C1266" s="5" t="str">
        <f t="shared" ref="C1266:C1314" si="1340">C1265</f>
        <v>CH</v>
      </c>
      <c r="D1266" t="s">
        <v>1182</v>
      </c>
      <c r="E1266" t="str">
        <f t="shared" ref="E1266:E1314" si="1341">E1265</f>
        <v>km/MJ</v>
      </c>
      <c r="F1266" s="1">
        <f t="shared" si="1337"/>
        <v>1.8116719735064479</v>
      </c>
      <c r="G1266" s="1">
        <f t="shared" si="1337"/>
        <v>1.8116719735064482</v>
      </c>
      <c r="H1266" s="1">
        <f t="shared" si="1337"/>
        <v>1.8116719735064453</v>
      </c>
      <c r="I1266" s="1">
        <f t="shared" si="1337"/>
        <v>1.811671973506453</v>
      </c>
      <c r="J1266" s="1">
        <f t="shared" si="1337"/>
        <v>1.8560430912326338</v>
      </c>
      <c r="K1266" s="1">
        <f t="shared" si="1337"/>
        <v>1.9893513057508276</v>
      </c>
      <c r="L1266" s="1">
        <f t="shared" ref="L1266" si="1342">IFERROR(L1215/L1139,"-")</f>
        <v>2.1945509000200558</v>
      </c>
      <c r="N1266" s="1"/>
    </row>
    <row r="1267" spans="2:14" x14ac:dyDescent="0.35">
      <c r="B1267" s="5" t="str">
        <f t="shared" si="1339"/>
        <v>SPS1</v>
      </c>
      <c r="C1267" s="5" t="str">
        <f t="shared" si="1340"/>
        <v>CH</v>
      </c>
      <c r="D1267" t="s">
        <v>1183</v>
      </c>
      <c r="E1267" t="str">
        <f t="shared" si="1341"/>
        <v>km/MJ</v>
      </c>
      <c r="F1267" s="1">
        <f t="shared" si="1337"/>
        <v>1.4637982671179697</v>
      </c>
      <c r="G1267" s="1">
        <f t="shared" si="1337"/>
        <v>1.4637982671179728</v>
      </c>
      <c r="H1267" s="1">
        <f t="shared" si="1337"/>
        <v>1.463798267117969</v>
      </c>
      <c r="I1267" s="1">
        <f t="shared" si="1337"/>
        <v>1.4637982671179703</v>
      </c>
      <c r="J1267" s="1">
        <f t="shared" si="1337"/>
        <v>1.5180426225738548</v>
      </c>
      <c r="K1267" s="1">
        <f t="shared" si="1337"/>
        <v>1.561132682650239</v>
      </c>
      <c r="L1267" s="1">
        <f t="shared" ref="L1267" si="1343">IFERROR(L1216/L1140,"-")</f>
        <v>1.7106213554510852</v>
      </c>
      <c r="N1267" s="1"/>
    </row>
    <row r="1268" spans="2:14" x14ac:dyDescent="0.35">
      <c r="B1268" s="5" t="str">
        <f t="shared" si="1339"/>
        <v>SPS1</v>
      </c>
      <c r="C1268" s="5" t="str">
        <f t="shared" si="1340"/>
        <v>CH</v>
      </c>
      <c r="D1268" t="s">
        <v>1184</v>
      </c>
      <c r="E1268" t="str">
        <f t="shared" si="1341"/>
        <v>km/MJ</v>
      </c>
      <c r="F1268" s="1">
        <f t="shared" si="1337"/>
        <v>1.3374527251491981</v>
      </c>
      <c r="G1268" s="1">
        <f t="shared" si="1337"/>
        <v>1.3374527251491988</v>
      </c>
      <c r="H1268" s="1">
        <f t="shared" si="1337"/>
        <v>1.3374527251491999</v>
      </c>
      <c r="I1268" s="1">
        <f t="shared" si="1337"/>
        <v>1.3374527251491997</v>
      </c>
      <c r="J1268" s="1">
        <f t="shared" si="1337"/>
        <v>1.401437670745223</v>
      </c>
      <c r="K1268" s="1">
        <f t="shared" si="1337"/>
        <v>1.4249498853337195</v>
      </c>
      <c r="L1268" s="1">
        <f t="shared" ref="L1268" si="1344">IFERROR(L1217/L1141,"-")</f>
        <v>1.5649336832129921</v>
      </c>
      <c r="N1268" s="1"/>
    </row>
    <row r="1269" spans="2:14" x14ac:dyDescent="0.35">
      <c r="B1269" s="5" t="str">
        <f t="shared" si="1339"/>
        <v>SPS1</v>
      </c>
      <c r="C1269" s="5" t="str">
        <f t="shared" si="1340"/>
        <v>CH</v>
      </c>
      <c r="D1269" t="s">
        <v>1185</v>
      </c>
      <c r="E1269" t="str">
        <f t="shared" si="1341"/>
        <v>km/MJ</v>
      </c>
      <c r="F1269" s="1">
        <f t="shared" si="1337"/>
        <v>1.2949729235430756</v>
      </c>
      <c r="G1269" s="1">
        <f t="shared" si="1337"/>
        <v>1.2949729235430805</v>
      </c>
      <c r="H1269" s="1">
        <f t="shared" si="1337"/>
        <v>1.2949729235430825</v>
      </c>
      <c r="I1269" s="1">
        <f t="shared" si="1337"/>
        <v>1.2949729235430791</v>
      </c>
      <c r="J1269" s="1">
        <f t="shared" si="1337"/>
        <v>1.3184986906162051</v>
      </c>
      <c r="K1269" s="1">
        <f t="shared" si="1337"/>
        <v>1.3607090925053631</v>
      </c>
      <c r="L1269" s="1">
        <f t="shared" ref="L1269" si="1345">IFERROR(L1218/L1142,"-")</f>
        <v>1.5329618465006425</v>
      </c>
      <c r="N1269" s="1"/>
    </row>
    <row r="1270" spans="2:14" x14ac:dyDescent="0.35">
      <c r="B1270" s="5" t="str">
        <f t="shared" si="1339"/>
        <v>SPS1</v>
      </c>
      <c r="C1270" s="5" t="str">
        <f t="shared" si="1340"/>
        <v>CH</v>
      </c>
      <c r="D1270" t="s">
        <v>1186</v>
      </c>
      <c r="E1270" t="str">
        <f t="shared" si="1341"/>
        <v>km/MJ</v>
      </c>
      <c r="F1270" s="1">
        <f t="shared" ref="F1270:K1273" si="1346">IFERROR(F1219/SUM(F1143,F1176),"-")</f>
        <v>0.7117253840584401</v>
      </c>
      <c r="G1270" s="1">
        <f t="shared" si="1346"/>
        <v>0.76022826280966005</v>
      </c>
      <c r="H1270" s="1">
        <f t="shared" si="1346"/>
        <v>0.7713006936641541</v>
      </c>
      <c r="I1270" s="1">
        <f t="shared" si="1346"/>
        <v>0.81089461980320887</v>
      </c>
      <c r="J1270" s="1">
        <f t="shared" si="1346"/>
        <v>0.86664552748704005</v>
      </c>
      <c r="K1270" s="1">
        <f t="shared" si="1346"/>
        <v>0.95755765581387586</v>
      </c>
      <c r="L1270" s="1">
        <f t="shared" ref="L1270" si="1347">IFERROR(L1219/SUM(L1143,L1176),"-")</f>
        <v>1.1875397376157899</v>
      </c>
      <c r="N1270" s="1"/>
    </row>
    <row r="1271" spans="2:14" x14ac:dyDescent="0.35">
      <c r="B1271" s="5" t="str">
        <f t="shared" si="1339"/>
        <v>SPS1</v>
      </c>
      <c r="C1271" s="5" t="str">
        <f t="shared" si="1340"/>
        <v>CH</v>
      </c>
      <c r="D1271" t="s">
        <v>1187</v>
      </c>
      <c r="E1271" t="str">
        <f t="shared" si="1341"/>
        <v>km/MJ</v>
      </c>
      <c r="F1271" s="1">
        <f t="shared" si="1346"/>
        <v>0.61742953921102928</v>
      </c>
      <c r="G1271" s="1">
        <f t="shared" si="1346"/>
        <v>0.63281199035666902</v>
      </c>
      <c r="H1271" s="1">
        <f t="shared" si="1346"/>
        <v>0.64349151165315843</v>
      </c>
      <c r="I1271" s="1">
        <f t="shared" si="1346"/>
        <v>0.6836212780931562</v>
      </c>
      <c r="J1271" s="1">
        <f t="shared" si="1346"/>
        <v>0.74092582450682998</v>
      </c>
      <c r="K1271" s="1">
        <f t="shared" si="1346"/>
        <v>0.82825237650585126</v>
      </c>
      <c r="L1271" s="1">
        <f t="shared" ref="L1271" si="1348">IFERROR(L1220/SUM(L1144,L1177),"-")</f>
        <v>1.065346430297806</v>
      </c>
      <c r="N1271" s="1"/>
    </row>
    <row r="1272" spans="2:14" x14ac:dyDescent="0.35">
      <c r="B1272" s="5" t="str">
        <f t="shared" si="1339"/>
        <v>SPS1</v>
      </c>
      <c r="C1272" s="5" t="str">
        <f t="shared" si="1340"/>
        <v>CH</v>
      </c>
      <c r="D1272" t="s">
        <v>1188</v>
      </c>
      <c r="E1272" t="str">
        <f t="shared" si="1341"/>
        <v>km/MJ</v>
      </c>
      <c r="F1272" s="1">
        <f t="shared" si="1346"/>
        <v>0.54553554869535503</v>
      </c>
      <c r="G1272" s="1">
        <f t="shared" si="1346"/>
        <v>0.60404381938016438</v>
      </c>
      <c r="H1272" s="1">
        <f t="shared" si="1346"/>
        <v>0.61793119235965166</v>
      </c>
      <c r="I1272" s="1">
        <f t="shared" si="1346"/>
        <v>0.6653183201190993</v>
      </c>
      <c r="J1272" s="1">
        <f t="shared" si="1346"/>
        <v>0.74253304336895365</v>
      </c>
      <c r="K1272" s="1">
        <f t="shared" si="1346"/>
        <v>0.85911415043668904</v>
      </c>
      <c r="L1272" s="1">
        <f t="shared" ref="L1272" si="1349">IFERROR(L1221/SUM(L1145,L1178),"-")</f>
        <v>1.1311059102950021</v>
      </c>
      <c r="N1272" s="1"/>
    </row>
    <row r="1273" spans="2:14" x14ac:dyDescent="0.35">
      <c r="B1273" s="5" t="str">
        <f t="shared" si="1339"/>
        <v>SPS1</v>
      </c>
      <c r="C1273" s="5" t="str">
        <f t="shared" si="1340"/>
        <v>CH</v>
      </c>
      <c r="D1273" t="s">
        <v>1189</v>
      </c>
      <c r="E1273" t="str">
        <f t="shared" si="1341"/>
        <v>km/MJ</v>
      </c>
      <c r="F1273" s="1">
        <f t="shared" si="1346"/>
        <v>0.51975568473665912</v>
      </c>
      <c r="G1273" s="1">
        <f t="shared" si="1346"/>
        <v>0.57147824853119411</v>
      </c>
      <c r="H1273" s="1">
        <f t="shared" si="1346"/>
        <v>0.58369156459624416</v>
      </c>
      <c r="I1273" s="1">
        <f t="shared" si="1346"/>
        <v>0.62533409599921996</v>
      </c>
      <c r="J1273" s="1">
        <f t="shared" si="1346"/>
        <v>0.67794209354230661</v>
      </c>
      <c r="K1273" s="1">
        <f t="shared" si="1346"/>
        <v>0.76582523783867096</v>
      </c>
      <c r="L1273" s="1">
        <f t="shared" ref="L1273" si="1350">IFERROR(L1222/SUM(L1146,L1179),"-")</f>
        <v>0.98700927516595149</v>
      </c>
      <c r="N1273" s="1"/>
    </row>
    <row r="1274" spans="2:14" x14ac:dyDescent="0.35">
      <c r="B1274" s="5" t="str">
        <f t="shared" si="1339"/>
        <v>SPS1</v>
      </c>
      <c r="C1274" s="5" t="str">
        <f t="shared" si="1340"/>
        <v>CH</v>
      </c>
      <c r="D1274" t="s">
        <v>1190</v>
      </c>
      <c r="E1274" t="str">
        <f t="shared" si="1341"/>
        <v>km/MJ</v>
      </c>
      <c r="F1274" s="1">
        <f t="shared" ref="F1274:K1277" si="1351">IFERROR(F1223/SUM(F1147,F1199),"-")</f>
        <v>0.72840569582556935</v>
      </c>
      <c r="G1274" s="1">
        <f t="shared" si="1351"/>
        <v>0.77349736057709495</v>
      </c>
      <c r="H1274" s="1">
        <f t="shared" si="1351"/>
        <v>0.78531102479548909</v>
      </c>
      <c r="I1274" s="1">
        <f t="shared" si="1351"/>
        <v>0.82527745504749495</v>
      </c>
      <c r="J1274" s="1">
        <f t="shared" si="1351"/>
        <v>0.88166876137386685</v>
      </c>
      <c r="K1274" s="1">
        <f t="shared" si="1351"/>
        <v>0.97237997606698301</v>
      </c>
      <c r="L1274" s="1">
        <f t="shared" ref="L1274" si="1352">IFERROR(L1223/SUM(L1147,L1199),"-")</f>
        <v>1.1971136701010998</v>
      </c>
      <c r="N1274" s="1"/>
    </row>
    <row r="1275" spans="2:14" x14ac:dyDescent="0.35">
      <c r="B1275" s="5" t="str">
        <f t="shared" si="1339"/>
        <v>SPS1</v>
      </c>
      <c r="C1275" s="5" t="str">
        <f t="shared" si="1340"/>
        <v>CH</v>
      </c>
      <c r="D1275" t="s">
        <v>1191</v>
      </c>
      <c r="E1275" t="str">
        <f t="shared" si="1341"/>
        <v>km/MJ</v>
      </c>
      <c r="F1275" s="1">
        <f t="shared" si="1351"/>
        <v>0.46329599783891878</v>
      </c>
      <c r="G1275" s="1">
        <f t="shared" si="1351"/>
        <v>0.63804648840050893</v>
      </c>
      <c r="H1275" s="1">
        <f t="shared" si="1351"/>
        <v>0.6503151333189735</v>
      </c>
      <c r="I1275" s="1">
        <f t="shared" si="1351"/>
        <v>0.69158887722201212</v>
      </c>
      <c r="J1275" s="1">
        <f t="shared" si="1351"/>
        <v>0.7442734053654092</v>
      </c>
      <c r="K1275" s="1">
        <f t="shared" si="1351"/>
        <v>0.8371280946796803</v>
      </c>
      <c r="L1275" s="1">
        <f t="shared" ref="L1275" si="1353">IFERROR(L1224/SUM(L1148,L1200),"-")</f>
        <v>1.0586152902120876</v>
      </c>
      <c r="N1275" s="1"/>
    </row>
    <row r="1276" spans="2:14" x14ac:dyDescent="0.35">
      <c r="B1276" s="5" t="str">
        <f t="shared" si="1339"/>
        <v>SPS1</v>
      </c>
      <c r="C1276" s="5" t="str">
        <f t="shared" si="1340"/>
        <v>CH</v>
      </c>
      <c r="D1276" t="s">
        <v>1192</v>
      </c>
      <c r="E1276" t="str">
        <f t="shared" si="1341"/>
        <v>km/MJ</v>
      </c>
      <c r="F1276" s="1">
        <f t="shared" si="1351"/>
        <v>0.54979346205908142</v>
      </c>
      <c r="G1276" s="1">
        <f t="shared" si="1351"/>
        <v>0.61233060486322799</v>
      </c>
      <c r="H1276" s="1">
        <f t="shared" si="1351"/>
        <v>0.62626301666848505</v>
      </c>
      <c r="I1276" s="1">
        <f t="shared" si="1351"/>
        <v>0.67374004135814247</v>
      </c>
      <c r="J1276" s="1">
        <f t="shared" si="1351"/>
        <v>0.73254147378364554</v>
      </c>
      <c r="K1276" s="1">
        <f t="shared" si="1351"/>
        <v>0.84323711174344562</v>
      </c>
      <c r="L1276" s="1">
        <f t="shared" ref="L1276" si="1354">IFERROR(L1225/SUM(L1149,L1201),"-")</f>
        <v>1.1391546063132443</v>
      </c>
      <c r="N1276" s="1"/>
    </row>
    <row r="1277" spans="2:14" x14ac:dyDescent="0.35">
      <c r="B1277" s="5" t="str">
        <f t="shared" si="1339"/>
        <v>SPS1</v>
      </c>
      <c r="C1277" s="5" t="str">
        <f t="shared" si="1340"/>
        <v>CH</v>
      </c>
      <c r="D1277" t="s">
        <v>1193</v>
      </c>
      <c r="E1277" t="str">
        <f t="shared" si="1341"/>
        <v>km/MJ</v>
      </c>
      <c r="F1277" s="1">
        <f t="shared" si="1351"/>
        <v>0.52694411100478133</v>
      </c>
      <c r="G1277" s="1">
        <f t="shared" si="1351"/>
        <v>0.57891601654378577</v>
      </c>
      <c r="H1277" s="1">
        <f t="shared" si="1351"/>
        <v>0.55967438049164442</v>
      </c>
      <c r="I1277" s="1">
        <f t="shared" si="1351"/>
        <v>0.63281695256035253</v>
      </c>
      <c r="J1277" s="1">
        <f t="shared" si="1351"/>
        <v>0.68154929717674273</v>
      </c>
      <c r="K1277" s="1">
        <f t="shared" si="1351"/>
        <v>0.77252537347809758</v>
      </c>
      <c r="L1277" s="1">
        <f t="shared" ref="L1277" si="1355">IFERROR(L1226/SUM(L1150,L1202),"-")</f>
        <v>0.99193594100253313</v>
      </c>
      <c r="N1277" s="1"/>
    </row>
    <row r="1278" spans="2:14" x14ac:dyDescent="0.35">
      <c r="B1278" s="5" t="str">
        <f t="shared" si="1339"/>
        <v>SPS1</v>
      </c>
      <c r="C1278" s="5" t="str">
        <f t="shared" si="1340"/>
        <v>CH</v>
      </c>
      <c r="D1278" t="s">
        <v>1194</v>
      </c>
      <c r="E1278" t="str">
        <f t="shared" si="1341"/>
        <v>km/MJ</v>
      </c>
      <c r="F1278" s="1" t="str">
        <f>IFERROR(F1227/F1153,"-")</f>
        <v>-</v>
      </c>
      <c r="G1278" s="1">
        <f t="shared" ref="G1278:K1278" si="1356">IFERROR(G1227/G1153,"-")</f>
        <v>1.09656966561652</v>
      </c>
      <c r="H1278" s="1">
        <f t="shared" si="1356"/>
        <v>1.0965696656165191</v>
      </c>
      <c r="I1278" s="1">
        <f t="shared" si="1356"/>
        <v>1.0965696656165207</v>
      </c>
      <c r="J1278" s="1">
        <f t="shared" si="1356"/>
        <v>1.1250707877359554</v>
      </c>
      <c r="K1278" s="1">
        <f t="shared" si="1356"/>
        <v>1.2116278516373546</v>
      </c>
      <c r="L1278" s="1">
        <f t="shared" ref="L1278" si="1357">IFERROR(L1227/L1153,"-")</f>
        <v>1.3426470621467403</v>
      </c>
      <c r="N1278" s="1"/>
    </row>
    <row r="1279" spans="2:14" x14ac:dyDescent="0.35">
      <c r="B1279" s="5" t="str">
        <f t="shared" si="1339"/>
        <v>SPS1</v>
      </c>
      <c r="C1279" s="5" t="str">
        <f t="shared" si="1340"/>
        <v>CH</v>
      </c>
      <c r="D1279" t="s">
        <v>1195</v>
      </c>
      <c r="E1279" t="str">
        <f t="shared" si="1341"/>
        <v>km/MJ</v>
      </c>
      <c r="F1279" s="1">
        <f t="shared" ref="F1279:K1279" si="1358">IFERROR(F1228/F1154,"-")</f>
        <v>0.89149519806162103</v>
      </c>
      <c r="G1279" s="1">
        <f t="shared" si="1358"/>
        <v>0.89149519806162036</v>
      </c>
      <c r="H1279" s="1">
        <f t="shared" si="1358"/>
        <v>0.89149519806162125</v>
      </c>
      <c r="I1279" s="1">
        <f t="shared" si="1358"/>
        <v>0.89149519806162125</v>
      </c>
      <c r="J1279" s="1">
        <f t="shared" si="1358"/>
        <v>0.91650927653919068</v>
      </c>
      <c r="K1279" s="1">
        <f t="shared" si="1358"/>
        <v>0.98337532016698215</v>
      </c>
      <c r="L1279" s="1">
        <f t="shared" ref="L1279" si="1359">IFERROR(L1228/L1154,"-")</f>
        <v>1.0999265921627546</v>
      </c>
      <c r="N1279" s="1"/>
    </row>
    <row r="1280" spans="2:14" x14ac:dyDescent="0.35">
      <c r="B1280" s="5" t="str">
        <f t="shared" si="1339"/>
        <v>SPS1</v>
      </c>
      <c r="C1280" s="5" t="str">
        <f t="shared" si="1340"/>
        <v>CH</v>
      </c>
      <c r="D1280" t="s">
        <v>1196</v>
      </c>
      <c r="E1280" t="str">
        <f t="shared" si="1341"/>
        <v>km/MJ</v>
      </c>
      <c r="F1280" s="1">
        <f t="shared" ref="F1280:K1280" si="1360">IFERROR(F1229/F1155,"-")</f>
        <v>0.83000507256490652</v>
      </c>
      <c r="G1280" s="1">
        <f t="shared" si="1360"/>
        <v>0.8300050725649063</v>
      </c>
      <c r="H1280" s="1">
        <f t="shared" si="1360"/>
        <v>0.83000507256490608</v>
      </c>
      <c r="I1280" s="1">
        <f t="shared" si="1360"/>
        <v>0.83000507256490497</v>
      </c>
      <c r="J1280" s="1">
        <f t="shared" si="1360"/>
        <v>0.85110926494516193</v>
      </c>
      <c r="K1280" s="1">
        <f t="shared" si="1360"/>
        <v>0.9157303465534522</v>
      </c>
      <c r="L1280" s="1">
        <f t="shared" ref="L1280" si="1361">IFERROR(L1229/L1155,"-")</f>
        <v>1.0279975253990672</v>
      </c>
      <c r="N1280" s="1"/>
    </row>
    <row r="1281" spans="2:14" x14ac:dyDescent="0.35">
      <c r="B1281" s="5" t="str">
        <f t="shared" si="1339"/>
        <v>SPS1</v>
      </c>
      <c r="C1281" s="5" t="str">
        <f t="shared" si="1340"/>
        <v>CH</v>
      </c>
      <c r="D1281" t="s">
        <v>1197</v>
      </c>
      <c r="E1281" t="str">
        <f t="shared" si="1341"/>
        <v>km/MJ</v>
      </c>
      <c r="F1281" s="1" t="str">
        <f t="shared" ref="F1281:K1281" si="1362">IFERROR(F1230/F1156,"-")</f>
        <v>-</v>
      </c>
      <c r="G1281" s="1">
        <f t="shared" si="1362"/>
        <v>0.83675282096654247</v>
      </c>
      <c r="H1281" s="1">
        <f t="shared" si="1362"/>
        <v>0.8367528209665418</v>
      </c>
      <c r="I1281" s="1">
        <f t="shared" si="1362"/>
        <v>0.83675282096654202</v>
      </c>
      <c r="J1281" s="1">
        <f t="shared" si="1362"/>
        <v>0.85942405352660201</v>
      </c>
      <c r="K1281" s="1">
        <f t="shared" si="1362"/>
        <v>0.92022682756273555</v>
      </c>
      <c r="L1281" s="1">
        <f t="shared" ref="L1281" si="1363">IFERROR(L1230/L1156,"-")</f>
        <v>1.0257088158176977</v>
      </c>
      <c r="N1281" s="1"/>
    </row>
    <row r="1282" spans="2:14" x14ac:dyDescent="0.35">
      <c r="B1282" s="5" t="str">
        <f t="shared" si="1339"/>
        <v>SPS1</v>
      </c>
      <c r="C1282" s="5" t="str">
        <f t="shared" si="1340"/>
        <v>CH</v>
      </c>
      <c r="D1282" t="s">
        <v>1232</v>
      </c>
      <c r="E1282" t="str">
        <f t="shared" si="1341"/>
        <v>km/MJ</v>
      </c>
      <c r="F1282" s="1">
        <f t="shared" ref="F1282:K1295" si="1364">IFERROR(F1231/F1162,"-")</f>
        <v>0.49379534694678251</v>
      </c>
      <c r="G1282" s="1">
        <f t="shared" si="1364"/>
        <v>0.50503220860251397</v>
      </c>
      <c r="H1282" s="1">
        <f t="shared" si="1364"/>
        <v>0.52188750108610971</v>
      </c>
      <c r="I1282" s="1">
        <f t="shared" si="1364"/>
        <v>0.54997965522543668</v>
      </c>
      <c r="J1282" s="1" t="str">
        <f t="shared" si="1364"/>
        <v>-</v>
      </c>
      <c r="K1282" s="1" t="str">
        <f t="shared" si="1364"/>
        <v>-</v>
      </c>
      <c r="L1282" s="1" t="str">
        <f t="shared" ref="L1282" si="1365">IFERROR(L1231/L1162,"-")</f>
        <v>-</v>
      </c>
      <c r="N1282" s="1"/>
    </row>
    <row r="1283" spans="2:14" x14ac:dyDescent="0.35">
      <c r="B1283" s="5" t="str">
        <f t="shared" si="1339"/>
        <v>SPS1</v>
      </c>
      <c r="C1283" s="5" t="str">
        <f t="shared" si="1340"/>
        <v>CH</v>
      </c>
      <c r="D1283" t="s">
        <v>1198</v>
      </c>
      <c r="E1283" t="str">
        <f t="shared" si="1341"/>
        <v>km/MJ</v>
      </c>
      <c r="F1283" s="1">
        <f t="shared" si="1364"/>
        <v>1.1325019796259992</v>
      </c>
      <c r="G1283" s="1">
        <f t="shared" si="1364"/>
        <v>1.158503232205101</v>
      </c>
      <c r="H1283" s="1">
        <f t="shared" si="1364"/>
        <v>1.1553800407942798</v>
      </c>
      <c r="I1283" s="1">
        <f t="shared" si="1364"/>
        <v>1.1989144171583941</v>
      </c>
      <c r="J1283" s="1">
        <f t="shared" si="1364"/>
        <v>0.92483222687846534</v>
      </c>
      <c r="K1283" s="1">
        <f t="shared" si="1364"/>
        <v>0.94677916174389387</v>
      </c>
      <c r="L1283" s="1">
        <f t="shared" ref="L1283" si="1366">IFERROR(L1232/L1163,"-")</f>
        <v>0.95317080477102434</v>
      </c>
      <c r="N1283" s="1"/>
    </row>
    <row r="1284" spans="2:14" x14ac:dyDescent="0.35">
      <c r="B1284" s="5" t="str">
        <f t="shared" si="1339"/>
        <v>SPS1</v>
      </c>
      <c r="C1284" s="5" t="str">
        <f t="shared" si="1340"/>
        <v>CH</v>
      </c>
      <c r="D1284" t="s">
        <v>1199</v>
      </c>
      <c r="E1284" t="str">
        <f t="shared" si="1341"/>
        <v>km/MJ</v>
      </c>
      <c r="F1284" s="1">
        <f t="shared" si="1364"/>
        <v>1.6158740807786904</v>
      </c>
      <c r="G1284" s="1">
        <f t="shared" si="1364"/>
        <v>1.8958070186860945</v>
      </c>
      <c r="H1284" s="1">
        <f t="shared" si="1364"/>
        <v>1.8869238497077183</v>
      </c>
      <c r="I1284" s="1">
        <f t="shared" si="1364"/>
        <v>1.8817010330182293</v>
      </c>
      <c r="J1284" s="1">
        <f t="shared" si="1364"/>
        <v>1.3179247786975845</v>
      </c>
      <c r="K1284" s="1">
        <f t="shared" si="1364"/>
        <v>0.8956128062199743</v>
      </c>
      <c r="L1284" s="1">
        <f t="shared" ref="L1284" si="1367">IFERROR(L1233/L1164,"-")</f>
        <v>0.88246316179430517</v>
      </c>
      <c r="N1284" s="1"/>
    </row>
    <row r="1285" spans="2:14" x14ac:dyDescent="0.35">
      <c r="B1285" s="5" t="str">
        <f t="shared" si="1339"/>
        <v>SPS1</v>
      </c>
      <c r="C1285" s="5" t="str">
        <f t="shared" si="1340"/>
        <v>CH</v>
      </c>
      <c r="D1285" t="s">
        <v>1200</v>
      </c>
      <c r="E1285" t="str">
        <f t="shared" si="1341"/>
        <v>km/MJ</v>
      </c>
      <c r="F1285" s="1">
        <f t="shared" si="1364"/>
        <v>1.9882516427297288</v>
      </c>
      <c r="G1285" s="1">
        <f t="shared" si="1364"/>
        <v>2.4953207738994463</v>
      </c>
      <c r="H1285" s="1">
        <f t="shared" si="1364"/>
        <v>2.4926941720889011</v>
      </c>
      <c r="I1285" s="1">
        <f t="shared" si="1364"/>
        <v>2.5092487641563053</v>
      </c>
      <c r="J1285" s="1">
        <f t="shared" si="1364"/>
        <v>2.5427299767953788</v>
      </c>
      <c r="K1285" s="1">
        <f t="shared" si="1364"/>
        <v>0.72231639547716586</v>
      </c>
      <c r="L1285" s="1">
        <f t="shared" ref="L1285" si="1368">IFERROR(L1234/L1165,"-")</f>
        <v>0.75260783662210839</v>
      </c>
      <c r="N1285" s="1"/>
    </row>
    <row r="1286" spans="2:14" x14ac:dyDescent="0.35">
      <c r="B1286" s="5" t="str">
        <f t="shared" si="1339"/>
        <v>SPS1</v>
      </c>
      <c r="C1286" s="5" t="str">
        <f t="shared" si="1340"/>
        <v>CH</v>
      </c>
      <c r="D1286" t="s">
        <v>1201</v>
      </c>
      <c r="E1286" t="str">
        <f t="shared" si="1341"/>
        <v>km/MJ</v>
      </c>
      <c r="F1286" s="1">
        <f t="shared" si="1364"/>
        <v>1.1496665777080215</v>
      </c>
      <c r="G1286" s="1">
        <f t="shared" si="1364"/>
        <v>1.3254545539170821</v>
      </c>
      <c r="H1286" s="1">
        <f t="shared" si="1364"/>
        <v>1.3402568346346642</v>
      </c>
      <c r="I1286" s="1">
        <f t="shared" si="1364"/>
        <v>1.3353027066458518</v>
      </c>
      <c r="J1286" s="1">
        <f t="shared" si="1364"/>
        <v>1.5482687202837202</v>
      </c>
      <c r="K1286" s="1">
        <f t="shared" si="1364"/>
        <v>0.70297886884625171</v>
      </c>
      <c r="L1286" s="1">
        <f t="shared" ref="L1286" si="1369">IFERROR(L1235/L1166,"-")</f>
        <v>0.7634675406960667</v>
      </c>
      <c r="N1286" s="1"/>
    </row>
    <row r="1287" spans="2:14" x14ac:dyDescent="0.35">
      <c r="B1287" s="5" t="str">
        <f t="shared" si="1339"/>
        <v>SPS1</v>
      </c>
      <c r="C1287" s="5" t="str">
        <f t="shared" si="1340"/>
        <v>CH</v>
      </c>
      <c r="D1287" t="s">
        <v>1202</v>
      </c>
      <c r="E1287" t="str">
        <f t="shared" si="1341"/>
        <v>km/MJ</v>
      </c>
      <c r="F1287" s="1">
        <f t="shared" si="1364"/>
        <v>0.28603940550919532</v>
      </c>
      <c r="G1287" s="1">
        <f t="shared" si="1364"/>
        <v>0.29254854993039731</v>
      </c>
      <c r="H1287" s="1">
        <f t="shared" si="1364"/>
        <v>0.30231226656220073</v>
      </c>
      <c r="I1287" s="1">
        <f t="shared" si="1364"/>
        <v>0.3185851276152068</v>
      </c>
      <c r="J1287" s="1" t="str">
        <f t="shared" si="1364"/>
        <v>-</v>
      </c>
      <c r="K1287" s="1" t="str">
        <f t="shared" si="1364"/>
        <v>-</v>
      </c>
      <c r="L1287" s="1" t="str">
        <f t="shared" ref="L1287" si="1370">IFERROR(L1236/L1167,"-")</f>
        <v>-</v>
      </c>
      <c r="N1287" s="1"/>
    </row>
    <row r="1288" spans="2:14" x14ac:dyDescent="0.35">
      <c r="B1288" s="5" t="str">
        <f t="shared" si="1339"/>
        <v>SPS1</v>
      </c>
      <c r="C1288" s="5" t="str">
        <f t="shared" si="1340"/>
        <v>CH</v>
      </c>
      <c r="D1288" t="s">
        <v>1203</v>
      </c>
      <c r="E1288" t="str">
        <f t="shared" si="1341"/>
        <v>km/MJ</v>
      </c>
      <c r="F1288" s="1">
        <f t="shared" si="1364"/>
        <v>0.6833663926867829</v>
      </c>
      <c r="G1288" s="1">
        <f t="shared" si="1364"/>
        <v>0.67612324360827381</v>
      </c>
      <c r="H1288" s="1">
        <f t="shared" si="1364"/>
        <v>0.62065821780761776</v>
      </c>
      <c r="I1288" s="1">
        <f t="shared" si="1364"/>
        <v>0.60054492337278254</v>
      </c>
      <c r="J1288" s="1">
        <f t="shared" si="1364"/>
        <v>0.58821492699211531</v>
      </c>
      <c r="K1288" s="1">
        <f t="shared" si="1364"/>
        <v>0.58257608024231522</v>
      </c>
      <c r="L1288" s="1">
        <f t="shared" ref="L1288" si="1371">IFERROR(L1237/L1168,"-")</f>
        <v>0.67572636374931683</v>
      </c>
      <c r="N1288" s="1"/>
    </row>
    <row r="1289" spans="2:14" x14ac:dyDescent="0.35">
      <c r="B1289" s="5" t="str">
        <f t="shared" si="1339"/>
        <v>SPS1</v>
      </c>
      <c r="C1289" s="5" t="str">
        <f t="shared" si="1340"/>
        <v>CH</v>
      </c>
      <c r="D1289" t="s">
        <v>1204</v>
      </c>
      <c r="E1289" t="str">
        <f t="shared" si="1341"/>
        <v>km/MJ</v>
      </c>
      <c r="F1289" s="1">
        <f t="shared" si="1364"/>
        <v>0.60751046054526714</v>
      </c>
      <c r="G1289" s="1">
        <f t="shared" si="1364"/>
        <v>0.60445838515713313</v>
      </c>
      <c r="H1289" s="1">
        <f t="shared" si="1364"/>
        <v>0.59212177110542408</v>
      </c>
      <c r="I1289" s="1">
        <f t="shared" si="1364"/>
        <v>0.5945699677094074</v>
      </c>
      <c r="J1289" s="1">
        <f t="shared" si="1364"/>
        <v>0.5647430943702747</v>
      </c>
      <c r="K1289" s="1">
        <f t="shared" si="1364"/>
        <v>0.55147948921976397</v>
      </c>
      <c r="L1289" s="1">
        <f t="shared" ref="L1289" si="1372">IFERROR(L1238/L1169,"-")</f>
        <v>0.54428687900033212</v>
      </c>
      <c r="N1289" s="1"/>
    </row>
    <row r="1290" spans="2:14" x14ac:dyDescent="0.35">
      <c r="B1290" s="5" t="str">
        <f t="shared" si="1339"/>
        <v>SPS1</v>
      </c>
      <c r="C1290" s="5" t="str">
        <f t="shared" si="1340"/>
        <v>CH</v>
      </c>
      <c r="D1290" t="s">
        <v>1205</v>
      </c>
      <c r="E1290" t="str">
        <f t="shared" si="1341"/>
        <v>km/MJ</v>
      </c>
      <c r="F1290" s="1">
        <f t="shared" si="1364"/>
        <v>0.51906136962200045</v>
      </c>
      <c r="G1290" s="1">
        <f t="shared" si="1364"/>
        <v>0.51602752385378514</v>
      </c>
      <c r="H1290" s="1">
        <f t="shared" si="1364"/>
        <v>0.51027049239010225</v>
      </c>
      <c r="I1290" s="1">
        <f t="shared" si="1364"/>
        <v>0.5133397396907573</v>
      </c>
      <c r="J1290" s="1">
        <f t="shared" si="1364"/>
        <v>0.49165963468423679</v>
      </c>
      <c r="K1290" s="1">
        <f t="shared" si="1364"/>
        <v>0.48183732060009232</v>
      </c>
      <c r="L1290" s="1">
        <f t="shared" ref="L1290" si="1373">IFERROR(L1239/L1170,"-")</f>
        <v>0.51718627945154794</v>
      </c>
      <c r="N1290" s="1"/>
    </row>
    <row r="1291" spans="2:14" x14ac:dyDescent="0.35">
      <c r="B1291" s="5" t="str">
        <f t="shared" si="1339"/>
        <v>SPS1</v>
      </c>
      <c r="C1291" s="5" t="str">
        <f t="shared" si="1340"/>
        <v>CH</v>
      </c>
      <c r="D1291" t="s">
        <v>1206</v>
      </c>
      <c r="E1291" t="str">
        <f t="shared" si="1341"/>
        <v>km/MJ</v>
      </c>
      <c r="F1291" s="1">
        <f t="shared" si="1364"/>
        <v>0.44030449667388438</v>
      </c>
      <c r="G1291" s="1">
        <f t="shared" si="1364"/>
        <v>0.43329659860831332</v>
      </c>
      <c r="H1291" s="1">
        <f t="shared" si="1364"/>
        <v>0.43379961557972457</v>
      </c>
      <c r="I1291" s="1">
        <f t="shared" si="1364"/>
        <v>0.43748248212351987</v>
      </c>
      <c r="J1291" s="1">
        <f t="shared" si="1364"/>
        <v>0.46670761825056706</v>
      </c>
      <c r="K1291" s="1">
        <f t="shared" si="1364"/>
        <v>0.48776143880253703</v>
      </c>
      <c r="L1291" s="1">
        <f t="shared" ref="L1291" si="1374">IFERROR(L1240/L1171,"-")</f>
        <v>0.55234107408299704</v>
      </c>
      <c r="N1291" s="1"/>
    </row>
    <row r="1292" spans="2:14" x14ac:dyDescent="0.35">
      <c r="B1292" s="5" t="str">
        <f t="shared" si="1339"/>
        <v>SPS1</v>
      </c>
      <c r="C1292" s="5" t="str">
        <f t="shared" si="1340"/>
        <v>CH</v>
      </c>
      <c r="D1292" t="s">
        <v>1207</v>
      </c>
      <c r="E1292" t="str">
        <f t="shared" si="1341"/>
        <v>km/MJ</v>
      </c>
      <c r="F1292" s="1" t="str">
        <f t="shared" si="1364"/>
        <v>-</v>
      </c>
      <c r="G1292" s="1">
        <f t="shared" si="1364"/>
        <v>0.51837627625535154</v>
      </c>
      <c r="H1292" s="1">
        <f t="shared" si="1364"/>
        <v>0.54536660535894355</v>
      </c>
      <c r="I1292" s="1">
        <f t="shared" si="1364"/>
        <v>0.60940130730922293</v>
      </c>
      <c r="J1292" s="1">
        <f t="shared" si="1364"/>
        <v>0.60959846394701622</v>
      </c>
      <c r="K1292" s="1">
        <f t="shared" si="1364"/>
        <v>0.61018652861169076</v>
      </c>
      <c r="L1292" s="1">
        <f t="shared" ref="L1292" si="1375">IFERROR(L1241/L1172,"-")</f>
        <v>0.74188696882452587</v>
      </c>
      <c r="N1292" s="1"/>
    </row>
    <row r="1293" spans="2:14" x14ac:dyDescent="0.35">
      <c r="B1293" s="5" t="str">
        <f t="shared" si="1339"/>
        <v>SPS1</v>
      </c>
      <c r="C1293" s="5" t="str">
        <f t="shared" si="1340"/>
        <v>CH</v>
      </c>
      <c r="D1293" t="s">
        <v>1208</v>
      </c>
      <c r="E1293" t="str">
        <f t="shared" si="1341"/>
        <v>km/MJ</v>
      </c>
      <c r="F1293" s="1" t="str">
        <f t="shared" si="1364"/>
        <v>-</v>
      </c>
      <c r="G1293" s="1">
        <f t="shared" si="1364"/>
        <v>0.41733711223535086</v>
      </c>
      <c r="H1293" s="1">
        <f t="shared" si="1364"/>
        <v>0.440473005686988</v>
      </c>
      <c r="I1293" s="1">
        <f t="shared" si="1364"/>
        <v>0.46728749867842029</v>
      </c>
      <c r="J1293" s="1">
        <f t="shared" si="1364"/>
        <v>0.51103121854519618</v>
      </c>
      <c r="K1293" s="1">
        <f t="shared" si="1364"/>
        <v>0.55205675779423291</v>
      </c>
      <c r="L1293" s="1">
        <f t="shared" ref="L1293" si="1376">IFERROR(L1242/L1173,"-")</f>
        <v>0.62087942428133458</v>
      </c>
      <c r="N1293" s="1"/>
    </row>
    <row r="1294" spans="2:14" x14ac:dyDescent="0.35">
      <c r="B1294" s="5" t="str">
        <f t="shared" si="1339"/>
        <v>SPS1</v>
      </c>
      <c r="C1294" s="5" t="str">
        <f t="shared" si="1340"/>
        <v>CH</v>
      </c>
      <c r="D1294" t="s">
        <v>1209</v>
      </c>
      <c r="E1294" t="str">
        <f t="shared" si="1341"/>
        <v>km/MJ</v>
      </c>
      <c r="F1294" s="1" t="str">
        <f t="shared" si="1364"/>
        <v>-</v>
      </c>
      <c r="G1294" s="1">
        <f t="shared" si="1364"/>
        <v>0.38796990995538694</v>
      </c>
      <c r="H1294" s="1">
        <f t="shared" si="1364"/>
        <v>0.40867309170355126</v>
      </c>
      <c r="I1294" s="1">
        <f t="shared" si="1364"/>
        <v>0.43162900933714227</v>
      </c>
      <c r="J1294" s="1">
        <f t="shared" si="1364"/>
        <v>0.4746719449623904</v>
      </c>
      <c r="K1294" s="1">
        <f t="shared" si="1364"/>
        <v>0.52082819046878648</v>
      </c>
      <c r="L1294" s="1">
        <f t="shared" ref="L1294" si="1377">IFERROR(L1243/L1174,"-")</f>
        <v>0.59843621830129579</v>
      </c>
      <c r="N1294" s="1"/>
    </row>
    <row r="1295" spans="2:14" x14ac:dyDescent="0.35">
      <c r="B1295" s="5" t="str">
        <f t="shared" si="1339"/>
        <v>SPS1</v>
      </c>
      <c r="C1295" s="5" t="str">
        <f t="shared" si="1340"/>
        <v>CH</v>
      </c>
      <c r="D1295" t="s">
        <v>1210</v>
      </c>
      <c r="E1295" t="str">
        <f t="shared" si="1341"/>
        <v>km/MJ</v>
      </c>
      <c r="F1295" s="1" t="str">
        <f t="shared" si="1364"/>
        <v>-</v>
      </c>
      <c r="G1295" s="1">
        <f t="shared" si="1364"/>
        <v>0.39332458747711374</v>
      </c>
      <c r="H1295" s="1">
        <f t="shared" si="1364"/>
        <v>0.41471125547764887</v>
      </c>
      <c r="I1295" s="1">
        <f t="shared" si="1364"/>
        <v>0.43936411642448925</v>
      </c>
      <c r="J1295" s="1">
        <f t="shared" si="1364"/>
        <v>0.51703783082890797</v>
      </c>
      <c r="K1295" s="1">
        <f t="shared" si="1364"/>
        <v>0.56122969263599565</v>
      </c>
      <c r="L1295" s="1">
        <f t="shared" ref="L1295" si="1378">IFERROR(L1244/L1175,"-")</f>
        <v>0.66699074616278309</v>
      </c>
      <c r="N1295" s="1"/>
    </row>
    <row r="1296" spans="2:14" x14ac:dyDescent="0.35">
      <c r="B1296" s="5" t="str">
        <f t="shared" si="1339"/>
        <v>SPS1</v>
      </c>
      <c r="C1296" s="5" t="str">
        <f t="shared" si="1340"/>
        <v>CH</v>
      </c>
      <c r="D1296" t="s">
        <v>1234</v>
      </c>
      <c r="E1296" t="str">
        <f t="shared" si="1341"/>
        <v>km/MJ</v>
      </c>
      <c r="F1296" s="1" t="str">
        <f t="shared" ref="F1296:K1309" si="1379">IFERROR(F1245/F1185,"-")</f>
        <v>-</v>
      </c>
      <c r="G1296" s="1" t="str">
        <f t="shared" si="1379"/>
        <v>-</v>
      </c>
      <c r="H1296" s="1" t="str">
        <f t="shared" si="1379"/>
        <v>-</v>
      </c>
      <c r="I1296" s="1" t="str">
        <f t="shared" si="1379"/>
        <v>-</v>
      </c>
      <c r="J1296" s="1" t="str">
        <f t="shared" si="1379"/>
        <v>-</v>
      </c>
      <c r="K1296" s="1" t="str">
        <f t="shared" si="1379"/>
        <v>-</v>
      </c>
      <c r="L1296" s="1" t="str">
        <f t="shared" ref="L1296" si="1380">IFERROR(L1245/L1185,"-")</f>
        <v>-</v>
      </c>
      <c r="N1296" s="1"/>
    </row>
    <row r="1297" spans="2:14" x14ac:dyDescent="0.35">
      <c r="B1297" s="5" t="str">
        <f t="shared" si="1339"/>
        <v>SPS1</v>
      </c>
      <c r="C1297" s="5" t="str">
        <f t="shared" si="1340"/>
        <v>CH</v>
      </c>
      <c r="D1297" t="s">
        <v>1211</v>
      </c>
      <c r="E1297" t="str">
        <f t="shared" si="1341"/>
        <v>km/MJ</v>
      </c>
      <c r="F1297" s="1">
        <f t="shared" si="1379"/>
        <v>0.41824117647058795</v>
      </c>
      <c r="G1297" s="1">
        <f t="shared" si="1379"/>
        <v>1.6975902875735422</v>
      </c>
      <c r="H1297" s="1">
        <f t="shared" si="1379"/>
        <v>1.6970461014475282</v>
      </c>
      <c r="I1297" s="1">
        <f t="shared" si="1379"/>
        <v>1.6957859464145826</v>
      </c>
      <c r="J1297" s="1">
        <f t="shared" si="1379"/>
        <v>0.92481173831776486</v>
      </c>
      <c r="K1297" s="1">
        <f t="shared" si="1379"/>
        <v>0.92719855914447991</v>
      </c>
      <c r="L1297" s="1">
        <f t="shared" ref="L1297" si="1381">IFERROR(L1246/L1186,"-")</f>
        <v>0.93018817518293373</v>
      </c>
      <c r="N1297" s="1"/>
    </row>
    <row r="1298" spans="2:14" x14ac:dyDescent="0.35">
      <c r="B1298" s="5" t="str">
        <f t="shared" si="1339"/>
        <v>SPS1</v>
      </c>
      <c r="C1298" s="5" t="str">
        <f t="shared" si="1340"/>
        <v>CH</v>
      </c>
      <c r="D1298" t="s">
        <v>1212</v>
      </c>
      <c r="E1298" t="str">
        <f t="shared" si="1341"/>
        <v>km/MJ</v>
      </c>
      <c r="F1298" s="1">
        <f t="shared" si="1379"/>
        <v>1.1735069900851709</v>
      </c>
      <c r="G1298" s="1">
        <f t="shared" si="1379"/>
        <v>2.6814352394669108</v>
      </c>
      <c r="H1298" s="1">
        <f t="shared" si="1379"/>
        <v>2.3409839692782581</v>
      </c>
      <c r="I1298" s="1">
        <f t="shared" si="1379"/>
        <v>2.3243010698539321</v>
      </c>
      <c r="J1298" s="1">
        <f t="shared" si="1379"/>
        <v>1.2266831960913687</v>
      </c>
      <c r="K1298" s="1">
        <f t="shared" si="1379"/>
        <v>0.82245233317049271</v>
      </c>
      <c r="L1298" s="1">
        <f t="shared" ref="L1298" si="1382">IFERROR(L1247/L1187,"-")</f>
        <v>0.85676768312365392</v>
      </c>
      <c r="N1298" s="1"/>
    </row>
    <row r="1299" spans="2:14" x14ac:dyDescent="0.35">
      <c r="B1299" s="5" t="str">
        <f t="shared" si="1339"/>
        <v>SPS1</v>
      </c>
      <c r="C1299" s="5" t="str">
        <f t="shared" si="1340"/>
        <v>CH</v>
      </c>
      <c r="D1299" t="s">
        <v>1213</v>
      </c>
      <c r="E1299" t="str">
        <f t="shared" si="1341"/>
        <v>km/MJ</v>
      </c>
      <c r="F1299" s="1">
        <f t="shared" si="1379"/>
        <v>0.89654749586826543</v>
      </c>
      <c r="G1299" s="1">
        <f t="shared" si="1379"/>
        <v>1.187056746134481</v>
      </c>
      <c r="H1299" s="1">
        <f t="shared" si="1379"/>
        <v>1.1822544798073802</v>
      </c>
      <c r="I1299" s="1">
        <f t="shared" si="1379"/>
        <v>1.256356877201662</v>
      </c>
      <c r="J1299" s="1">
        <f t="shared" si="1379"/>
        <v>1.3749587918956521</v>
      </c>
      <c r="K1299" s="1">
        <f t="shared" si="1379"/>
        <v>0.71266655996953865</v>
      </c>
      <c r="L1299" s="1">
        <f t="shared" ref="L1299" si="1383">IFERROR(L1248/L1188,"-")</f>
        <v>0.7527440206158782</v>
      </c>
      <c r="N1299" s="1"/>
    </row>
    <row r="1300" spans="2:14" x14ac:dyDescent="0.35">
      <c r="B1300" s="5" t="str">
        <f t="shared" si="1339"/>
        <v>SPS1</v>
      </c>
      <c r="C1300" s="5" t="str">
        <f t="shared" si="1340"/>
        <v>CH</v>
      </c>
      <c r="D1300" t="s">
        <v>1214</v>
      </c>
      <c r="E1300" t="str">
        <f t="shared" si="1341"/>
        <v>km/MJ</v>
      </c>
      <c r="F1300" s="1">
        <f t="shared" si="1379"/>
        <v>1.3459530823171177</v>
      </c>
      <c r="G1300" s="1">
        <f t="shared" si="1379"/>
        <v>1.5773105399867682</v>
      </c>
      <c r="H1300" s="1">
        <f t="shared" si="1379"/>
        <v>1.5860217041231466</v>
      </c>
      <c r="I1300" s="1">
        <f t="shared" si="1379"/>
        <v>1.6230124043259515</v>
      </c>
      <c r="J1300" s="1">
        <f t="shared" si="1379"/>
        <v>1.5200252193361123</v>
      </c>
      <c r="K1300" s="1">
        <f t="shared" si="1379"/>
        <v>0.70309405088834198</v>
      </c>
      <c r="L1300" s="1">
        <f t="shared" ref="L1300" si="1384">IFERROR(L1249/L1189,"-")</f>
        <v>0.76341402900310484</v>
      </c>
      <c r="N1300" s="1"/>
    </row>
    <row r="1301" spans="2:14" x14ac:dyDescent="0.35">
      <c r="B1301" s="5" t="str">
        <f t="shared" si="1339"/>
        <v>SPS1</v>
      </c>
      <c r="C1301" s="5" t="str">
        <f t="shared" si="1340"/>
        <v>CH</v>
      </c>
      <c r="D1301" t="s">
        <v>1215</v>
      </c>
      <c r="E1301" t="str">
        <f t="shared" si="1341"/>
        <v>km/MJ</v>
      </c>
      <c r="F1301" s="1">
        <f t="shared" si="1379"/>
        <v>0.33901850024086017</v>
      </c>
      <c r="G1301" s="1">
        <f t="shared" si="1379"/>
        <v>0.35391427166601092</v>
      </c>
      <c r="H1301" s="1">
        <f t="shared" si="1379"/>
        <v>0.3762579288037376</v>
      </c>
      <c r="I1301" s="1">
        <f t="shared" si="1379"/>
        <v>0.41349735736661403</v>
      </c>
      <c r="J1301" s="1" t="str">
        <f t="shared" si="1379"/>
        <v>-</v>
      </c>
      <c r="K1301" s="1" t="str">
        <f t="shared" si="1379"/>
        <v>-</v>
      </c>
      <c r="L1301" s="1" t="str">
        <f t="shared" ref="L1301" si="1385">IFERROR(L1250/L1190,"-")</f>
        <v>-</v>
      </c>
      <c r="N1301" s="1"/>
    </row>
    <row r="1302" spans="2:14" x14ac:dyDescent="0.35">
      <c r="B1302" s="5" t="str">
        <f t="shared" si="1339"/>
        <v>SPS1</v>
      </c>
      <c r="C1302" s="5" t="str">
        <f t="shared" si="1340"/>
        <v>CH</v>
      </c>
      <c r="D1302" t="s">
        <v>1216</v>
      </c>
      <c r="E1302" t="str">
        <f t="shared" si="1341"/>
        <v>km/MJ</v>
      </c>
      <c r="F1302" s="1">
        <f t="shared" si="1379"/>
        <v>0.75059680953457819</v>
      </c>
      <c r="G1302" s="1">
        <f t="shared" si="1379"/>
        <v>0.76634830449136238</v>
      </c>
      <c r="H1302" s="1">
        <f t="shared" si="1379"/>
        <v>0.76813305752830963</v>
      </c>
      <c r="I1302" s="1">
        <f t="shared" si="1379"/>
        <v>0.78698795287682177</v>
      </c>
      <c r="J1302" s="1">
        <f t="shared" si="1379"/>
        <v>0.71258566698970494</v>
      </c>
      <c r="K1302" s="1">
        <f t="shared" si="1379"/>
        <v>0.66043735003972326</v>
      </c>
      <c r="L1302" s="1">
        <f t="shared" ref="L1302" si="1386">IFERROR(L1251/L1191,"-")</f>
        <v>0.6984361246573596</v>
      </c>
      <c r="N1302" s="1"/>
    </row>
    <row r="1303" spans="2:14" x14ac:dyDescent="0.35">
      <c r="B1303" s="5" t="str">
        <f t="shared" si="1339"/>
        <v>SPS1</v>
      </c>
      <c r="C1303" s="5" t="str">
        <f t="shared" si="1340"/>
        <v>CH</v>
      </c>
      <c r="D1303" t="s">
        <v>1217</v>
      </c>
      <c r="E1303" t="str">
        <f t="shared" si="1341"/>
        <v>km/MJ</v>
      </c>
      <c r="F1303" s="1">
        <f t="shared" si="1379"/>
        <v>0.72838086731958096</v>
      </c>
      <c r="G1303" s="1">
        <f t="shared" si="1379"/>
        <v>0.70373613143970304</v>
      </c>
      <c r="H1303" s="1">
        <f t="shared" si="1379"/>
        <v>0.7349862682226328</v>
      </c>
      <c r="I1303" s="1">
        <f t="shared" si="1379"/>
        <v>0.76299190605955858</v>
      </c>
      <c r="J1303" s="1">
        <f t="shared" si="1379"/>
        <v>0.81155932718971968</v>
      </c>
      <c r="K1303" s="1">
        <f t="shared" si="1379"/>
        <v>0.53343882449426927</v>
      </c>
      <c r="L1303" s="1">
        <f t="shared" ref="L1303" si="1387">IFERROR(L1252/L1192,"-")</f>
        <v>0.563850258654926</v>
      </c>
      <c r="N1303" s="1"/>
    </row>
    <row r="1304" spans="2:14" x14ac:dyDescent="0.35">
      <c r="B1304" s="5" t="str">
        <f t="shared" si="1339"/>
        <v>SPS1</v>
      </c>
      <c r="C1304" s="5" t="str">
        <f t="shared" si="1340"/>
        <v>CH</v>
      </c>
      <c r="D1304" t="s">
        <v>1218</v>
      </c>
      <c r="E1304" t="str">
        <f t="shared" si="1341"/>
        <v>km/MJ</v>
      </c>
      <c r="F1304" s="1">
        <f t="shared" si="1379"/>
        <v>0.53867655328579922</v>
      </c>
      <c r="G1304" s="1">
        <f t="shared" si="1379"/>
        <v>0.53241771597990983</v>
      </c>
      <c r="H1304" s="1">
        <f t="shared" si="1379"/>
        <v>0.53195263804654103</v>
      </c>
      <c r="I1304" s="1">
        <f t="shared" si="1379"/>
        <v>0.54121766490475509</v>
      </c>
      <c r="J1304" s="1">
        <f t="shared" si="1379"/>
        <v>0.59028566185533193</v>
      </c>
      <c r="K1304" s="1">
        <f t="shared" si="1379"/>
        <v>0.49278171185422387</v>
      </c>
      <c r="L1304" s="1">
        <f t="shared" ref="L1304" si="1388">IFERROR(L1253/L1193,"-")</f>
        <v>0.52985944176297106</v>
      </c>
      <c r="N1304" s="1"/>
    </row>
    <row r="1305" spans="2:14" x14ac:dyDescent="0.35">
      <c r="B1305" s="5" t="str">
        <f t="shared" si="1339"/>
        <v>SPS1</v>
      </c>
      <c r="C1305" s="5" t="str">
        <f t="shared" si="1340"/>
        <v>CH</v>
      </c>
      <c r="D1305" t="s">
        <v>1219</v>
      </c>
      <c r="E1305" t="str">
        <f t="shared" si="1341"/>
        <v>km/MJ</v>
      </c>
      <c r="F1305" s="1">
        <f t="shared" si="1379"/>
        <v>0.46606405176642995</v>
      </c>
      <c r="G1305" s="1">
        <f t="shared" si="1379"/>
        <v>0.45575016233401461</v>
      </c>
      <c r="H1305" s="1">
        <f t="shared" si="1379"/>
        <v>0.45676843129870365</v>
      </c>
      <c r="I1305" s="1">
        <f t="shared" si="1379"/>
        <v>0.46657123734679612</v>
      </c>
      <c r="J1305" s="1">
        <f t="shared" si="1379"/>
        <v>0.3910909123455541</v>
      </c>
      <c r="K1305" s="1">
        <f t="shared" si="1379"/>
        <v>0.46236494108225989</v>
      </c>
      <c r="L1305" s="1">
        <f t="shared" ref="L1305" si="1389">IFERROR(L1254/L1194,"-")</f>
        <v>0.50205882415437708</v>
      </c>
      <c r="N1305" s="1"/>
    </row>
    <row r="1306" spans="2:14" x14ac:dyDescent="0.35">
      <c r="B1306" s="5" t="str">
        <f t="shared" si="1339"/>
        <v>SPS1</v>
      </c>
      <c r="C1306" s="5" t="str">
        <f t="shared" si="1340"/>
        <v>CH</v>
      </c>
      <c r="D1306" t="s">
        <v>1220</v>
      </c>
      <c r="E1306" t="str">
        <f t="shared" si="1341"/>
        <v>km/MJ</v>
      </c>
      <c r="F1306" s="1" t="str">
        <f t="shared" si="1379"/>
        <v>-</v>
      </c>
      <c r="G1306" s="1">
        <f t="shared" si="1379"/>
        <v>0.56203544748554657</v>
      </c>
      <c r="H1306" s="1">
        <f t="shared" si="1379"/>
        <v>0.58532239371214578</v>
      </c>
      <c r="I1306" s="1">
        <f t="shared" si="1379"/>
        <v>0.64305460187038943</v>
      </c>
      <c r="J1306" s="1">
        <f t="shared" si="1379"/>
        <v>0.65460983374987081</v>
      </c>
      <c r="K1306" s="1">
        <f t="shared" si="1379"/>
        <v>0.66169653902114978</v>
      </c>
      <c r="L1306" s="1">
        <f t="shared" ref="L1306" si="1390">IFERROR(L1255/L1195,"-")</f>
        <v>0.70994560389815053</v>
      </c>
      <c r="N1306" s="1"/>
    </row>
    <row r="1307" spans="2:14" x14ac:dyDescent="0.35">
      <c r="B1307" s="5" t="str">
        <f t="shared" si="1339"/>
        <v>SPS1</v>
      </c>
      <c r="C1307" s="5" t="str">
        <f t="shared" si="1340"/>
        <v>CH</v>
      </c>
      <c r="D1307" t="s">
        <v>1221</v>
      </c>
      <c r="E1307" t="str">
        <f t="shared" si="1341"/>
        <v>km/MJ</v>
      </c>
      <c r="F1307" s="1" t="str">
        <f t="shared" si="1379"/>
        <v>-</v>
      </c>
      <c r="G1307" s="1">
        <f t="shared" si="1379"/>
        <v>0.45210145766281473</v>
      </c>
      <c r="H1307" s="1">
        <f t="shared" si="1379"/>
        <v>0.4725147909241455</v>
      </c>
      <c r="I1307" s="1">
        <f t="shared" si="1379"/>
        <v>0.49813198910047718</v>
      </c>
      <c r="J1307" s="1">
        <f t="shared" si="1379"/>
        <v>0.54827017509191367</v>
      </c>
      <c r="K1307" s="1">
        <f t="shared" si="1379"/>
        <v>0.58668971904442435</v>
      </c>
      <c r="L1307" s="1">
        <f t="shared" ref="L1307" si="1391">IFERROR(L1256/L1196,"-")</f>
        <v>0.63671741549087602</v>
      </c>
      <c r="N1307" s="1"/>
    </row>
    <row r="1308" spans="2:14" x14ac:dyDescent="0.35">
      <c r="B1308" s="5" t="str">
        <f t="shared" si="1339"/>
        <v>SPS1</v>
      </c>
      <c r="C1308" s="5" t="str">
        <f t="shared" si="1340"/>
        <v>CH</v>
      </c>
      <c r="D1308" t="s">
        <v>1222</v>
      </c>
      <c r="E1308" t="str">
        <f t="shared" si="1341"/>
        <v>km/MJ</v>
      </c>
      <c r="F1308" s="1" t="str">
        <f t="shared" si="1379"/>
        <v>-</v>
      </c>
      <c r="G1308" s="1">
        <f t="shared" si="1379"/>
        <v>0.42028149632876888</v>
      </c>
      <c r="H1308" s="1">
        <f t="shared" si="1379"/>
        <v>0.43844334931875101</v>
      </c>
      <c r="I1308" s="1">
        <f t="shared" si="1379"/>
        <v>0.46044011797010065</v>
      </c>
      <c r="J1308" s="1">
        <f t="shared" si="1379"/>
        <v>0.51537038793613121</v>
      </c>
      <c r="K1308" s="1">
        <f t="shared" si="1379"/>
        <v>0.58634300736747524</v>
      </c>
      <c r="L1308" s="1">
        <f t="shared" ref="L1308" si="1392">IFERROR(L1257/L1197,"-")</f>
        <v>0.6813869387941599</v>
      </c>
      <c r="N1308" s="1"/>
    </row>
    <row r="1309" spans="2:14" x14ac:dyDescent="0.35">
      <c r="B1309" s="5" t="str">
        <f t="shared" si="1339"/>
        <v>SPS1</v>
      </c>
      <c r="C1309" s="5" t="str">
        <f t="shared" si="1340"/>
        <v>CH</v>
      </c>
      <c r="D1309" t="s">
        <v>1223</v>
      </c>
      <c r="E1309" t="str">
        <f t="shared" si="1341"/>
        <v>km/MJ</v>
      </c>
      <c r="F1309" s="1" t="str">
        <f t="shared" si="1379"/>
        <v>-</v>
      </c>
      <c r="G1309" s="1">
        <f t="shared" si="1379"/>
        <v>0.3994340392549478</v>
      </c>
      <c r="H1309" s="1">
        <f t="shared" si="1379"/>
        <v>0.41491372869073079</v>
      </c>
      <c r="I1309" s="1">
        <f t="shared" si="1379"/>
        <v>0.43392669084683677</v>
      </c>
      <c r="J1309" s="1">
        <f t="shared" si="1379"/>
        <v>0.47438850033053248</v>
      </c>
      <c r="K1309" s="1">
        <f t="shared" si="1379"/>
        <v>0.52069958026447583</v>
      </c>
      <c r="L1309" s="1">
        <f t="shared" ref="L1309" si="1393">IFERROR(L1258/L1198,"-")</f>
        <v>0.59785337468894406</v>
      </c>
      <c r="N1309" s="1"/>
    </row>
    <row r="1310" spans="2:14" x14ac:dyDescent="0.35">
      <c r="B1310" s="5" t="str">
        <f t="shared" si="1339"/>
        <v>SPS1</v>
      </c>
      <c r="C1310" s="5" t="str">
        <f t="shared" si="1340"/>
        <v>CH</v>
      </c>
      <c r="D1310" t="s">
        <v>1224</v>
      </c>
      <c r="E1310" t="str">
        <f t="shared" si="1341"/>
        <v>km/MJ</v>
      </c>
      <c r="F1310" s="1" t="str">
        <f>IFERROR(F1259/F1208,"-")</f>
        <v>-</v>
      </c>
      <c r="G1310" s="1">
        <f t="shared" ref="G1310:K1314" si="1394">IFERROR(G1259/G1199,"-")</f>
        <v>0</v>
      </c>
      <c r="H1310" s="1">
        <f t="shared" si="1394"/>
        <v>0</v>
      </c>
      <c r="I1310" s="1">
        <f t="shared" si="1394"/>
        <v>0</v>
      </c>
      <c r="J1310" s="1">
        <f t="shared" si="1394"/>
        <v>0</v>
      </c>
      <c r="K1310" s="1">
        <f t="shared" si="1394"/>
        <v>0</v>
      </c>
      <c r="L1310" s="1">
        <f t="shared" ref="L1310" si="1395">IFERROR(L1259/L1199,"-")</f>
        <v>0</v>
      </c>
      <c r="N1310" s="1"/>
    </row>
    <row r="1311" spans="2:14" x14ac:dyDescent="0.35">
      <c r="B1311" s="5" t="str">
        <f t="shared" si="1339"/>
        <v>SPS1</v>
      </c>
      <c r="C1311" s="5" t="str">
        <f t="shared" si="1340"/>
        <v>CH</v>
      </c>
      <c r="D1311" t="s">
        <v>1225</v>
      </c>
      <c r="E1311" t="str">
        <f t="shared" si="1341"/>
        <v>km/MJ</v>
      </c>
      <c r="F1311" s="1">
        <f>IFERROR(F1260/F1209,"-")</f>
        <v>0.61552194130488425</v>
      </c>
      <c r="G1311" s="1">
        <f t="shared" si="1394"/>
        <v>4.9495645683813825</v>
      </c>
      <c r="H1311" s="1">
        <f t="shared" si="1394"/>
        <v>1.194216002174479</v>
      </c>
      <c r="I1311" s="1">
        <f t="shared" si="1394"/>
        <v>6.6926678250348565E-2</v>
      </c>
      <c r="J1311" s="1">
        <f t="shared" si="1394"/>
        <v>1.3720146931365628E-2</v>
      </c>
      <c r="K1311" s="1">
        <f t="shared" si="1394"/>
        <v>1.2321328356383141E-2</v>
      </c>
      <c r="L1311" s="1">
        <f t="shared" ref="L1311" si="1396">IFERROR(L1260/L1200,"-")</f>
        <v>2.6576018207422888E-2</v>
      </c>
      <c r="N1311" s="1"/>
    </row>
    <row r="1312" spans="2:14" x14ac:dyDescent="0.35">
      <c r="B1312" s="5" t="str">
        <f t="shared" si="1339"/>
        <v>SPS1</v>
      </c>
      <c r="C1312" s="5" t="str">
        <f t="shared" si="1340"/>
        <v>CH</v>
      </c>
      <c r="D1312" t="s">
        <v>1226</v>
      </c>
      <c r="E1312" t="str">
        <f t="shared" si="1341"/>
        <v>km/MJ</v>
      </c>
      <c r="F1312" s="1">
        <f>IFERROR(F1261/F1210,"-")</f>
        <v>0.63152885559218142</v>
      </c>
      <c r="G1312" s="1">
        <f t="shared" si="1394"/>
        <v>0.21438142944477662</v>
      </c>
      <c r="H1312" s="1">
        <f t="shared" si="1394"/>
        <v>2.0301393724076827E-2</v>
      </c>
      <c r="I1312" s="1">
        <f t="shared" si="1394"/>
        <v>2.6623870235492211E-5</v>
      </c>
      <c r="J1312" s="1">
        <f t="shared" si="1394"/>
        <v>9.7489411932417286E-6</v>
      </c>
      <c r="K1312" s="1">
        <f t="shared" si="1394"/>
        <v>1.1656075194358005E-5</v>
      </c>
      <c r="L1312" s="1">
        <f t="shared" ref="L1312" si="1397">IFERROR(L1261/L1201,"-")</f>
        <v>1.7034914853501301E-5</v>
      </c>
      <c r="N1312" s="1"/>
    </row>
    <row r="1313" spans="2:16" x14ac:dyDescent="0.35">
      <c r="B1313" s="5" t="str">
        <f t="shared" si="1339"/>
        <v>SPS1</v>
      </c>
      <c r="C1313" s="5" t="str">
        <f t="shared" si="1340"/>
        <v>CH</v>
      </c>
      <c r="D1313" t="s">
        <v>1227</v>
      </c>
      <c r="E1313" t="str">
        <f t="shared" si="1341"/>
        <v>km/MJ</v>
      </c>
      <c r="F1313" s="1">
        <f>IFERROR(F1262/F1211,"-")</f>
        <v>0.46788224248953986</v>
      </c>
      <c r="G1313" s="1">
        <f t="shared" si="1394"/>
        <v>0.11517338067828341</v>
      </c>
      <c r="H1313" s="1">
        <f t="shared" si="1394"/>
        <v>0.13352180004150843</v>
      </c>
      <c r="I1313" s="1">
        <f t="shared" si="1394"/>
        <v>2.2278547052480342E-2</v>
      </c>
      <c r="J1313" s="1">
        <f t="shared" si="1394"/>
        <v>1.8896335933745498E-2</v>
      </c>
      <c r="K1313" s="1">
        <f t="shared" si="1394"/>
        <v>2.8740828375998322E-2</v>
      </c>
      <c r="L1313" s="1">
        <f t="shared" ref="L1313" si="1398">IFERROR(L1262/L1202,"-")</f>
        <v>7.6034739312529923E-2</v>
      </c>
      <c r="N1313" s="1"/>
    </row>
    <row r="1314" spans="2:16" x14ac:dyDescent="0.35">
      <c r="B1314" s="5" t="str">
        <f t="shared" si="1339"/>
        <v>SPS1</v>
      </c>
      <c r="C1314" s="5" t="str">
        <f t="shared" si="1340"/>
        <v>CH</v>
      </c>
      <c r="D1314" t="s">
        <v>1228</v>
      </c>
      <c r="E1314" t="str">
        <f t="shared" si="1341"/>
        <v>km/MJ</v>
      </c>
      <c r="F1314" s="1">
        <f>IFERROR(F1263/F1212,"-")</f>
        <v>0.68268733695678341</v>
      </c>
      <c r="G1314" s="1">
        <f t="shared" si="1394"/>
        <v>0.33145693089277356</v>
      </c>
      <c r="H1314" s="1">
        <f t="shared" si="1394"/>
        <v>0.31817004311601282</v>
      </c>
      <c r="I1314" s="1">
        <f t="shared" si="1394"/>
        <v>8.0471043239644144E-2</v>
      </c>
      <c r="J1314" s="1">
        <f t="shared" si="1394"/>
        <v>0.12642663740770649</v>
      </c>
      <c r="K1314" s="1">
        <f t="shared" si="1394"/>
        <v>0.14896623682588855</v>
      </c>
      <c r="L1314" s="1">
        <f t="shared" ref="L1314" si="1399">IFERROR(L1263/L1203,"-")</f>
        <v>0.19675466701003683</v>
      </c>
      <c r="N1314" s="1"/>
    </row>
    <row r="1315" spans="2:16" x14ac:dyDescent="0.35">
      <c r="B1315" s="9" t="str">
        <f t="shared" ref="B1315" si="1400">B1314</f>
        <v>SPS1</v>
      </c>
      <c r="C1315" s="9" t="str">
        <f t="shared" ref="C1315" si="1401">C1314</f>
        <v>CH</v>
      </c>
      <c r="D1315" s="2" t="s">
        <v>1304</v>
      </c>
      <c r="E1315" s="2" t="s">
        <v>8</v>
      </c>
      <c r="F1315" s="3">
        <f>F1316+F1322+F1327+F1341</f>
        <v>0.75061673597852163</v>
      </c>
      <c r="G1315" s="3">
        <f t="shared" ref="G1315:K1315" si="1402">G1316+G1322+G1327+G1341</f>
        <v>1.2789538637745592</v>
      </c>
      <c r="H1315" s="3">
        <f t="shared" si="1402"/>
        <v>2.1290264164494523</v>
      </c>
      <c r="I1315" s="3">
        <f t="shared" si="1402"/>
        <v>1.760367687050298</v>
      </c>
      <c r="J1315" s="3">
        <f t="shared" si="1402"/>
        <v>1.84680206361272</v>
      </c>
      <c r="K1315" s="3">
        <f t="shared" si="1402"/>
        <v>1.9322605741955658</v>
      </c>
      <c r="L1315" s="3">
        <f t="shared" ref="L1315" si="1403">L1316+L1322+L1327+L1341</f>
        <v>2.0044776823247297</v>
      </c>
      <c r="M1315" s="3"/>
      <c r="N1315" s="1"/>
      <c r="O1315" s="3"/>
      <c r="P1315" s="3"/>
    </row>
    <row r="1316" spans="2:16" x14ac:dyDescent="0.35">
      <c r="B1316" s="5" t="str">
        <f>B1315</f>
        <v>SPS1</v>
      </c>
      <c r="C1316" s="5" t="str">
        <f>C1315</f>
        <v>CH</v>
      </c>
      <c r="D1316" t="s">
        <v>1306</v>
      </c>
      <c r="E1316" t="s">
        <v>8</v>
      </c>
      <c r="F1316" s="1">
        <f>SUM(F1317:F1321)</f>
        <v>7.6869037960242649E-3</v>
      </c>
      <c r="G1316" s="1">
        <f t="shared" ref="G1316:K1316" si="1404">SUM(G1317:G1321)</f>
        <v>1.5218043798864831E-2</v>
      </c>
      <c r="H1316" s="1">
        <f t="shared" si="1404"/>
        <v>1.7121273588221263E-2</v>
      </c>
      <c r="I1316" s="1">
        <f t="shared" si="1404"/>
        <v>0.78854587015221911</v>
      </c>
      <c r="J1316" s="1">
        <f t="shared" si="1404"/>
        <v>0.71781024144432981</v>
      </c>
      <c r="K1316" s="1">
        <f t="shared" si="1404"/>
        <v>0.66047029452107453</v>
      </c>
      <c r="L1316" s="1">
        <f t="shared" ref="L1316" si="1405">SUM(L1317:L1321)</f>
        <v>0.53612971874926352</v>
      </c>
      <c r="N1316" s="1"/>
    </row>
    <row r="1317" spans="2:16" x14ac:dyDescent="0.35">
      <c r="B1317" s="5" t="str">
        <f t="shared" ref="B1317:B1350" si="1406">B1316</f>
        <v>SPS1</v>
      </c>
      <c r="C1317" s="5" t="str">
        <f t="shared" ref="C1317:C1350" si="1407">C1316</f>
        <v>CH</v>
      </c>
      <c r="D1317" t="s">
        <v>1307</v>
      </c>
      <c r="E1317" t="s">
        <v>8</v>
      </c>
      <c r="F1317" s="1" cm="1">
        <f t="array" ref="F1317">SUMPRODUCT(("T_B_u-BeVELCEXT"=[1]OUT_TransportEnergyCons!$A$3:$A$1000)*1,("Var_Fin"=[1]OUT_TransportEnergyCons!$B$3:$B$1000)*1,ISNUMBER(SEARCH("ELC",[1]OUT_TransportEnergyCons!$C$3:$C$1000))*1,[1]OUT_TransportEnergyCons!D$3:D$1000)</f>
        <v>4.7732208229624195E-4</v>
      </c>
      <c r="G1317" s="1" cm="1">
        <f t="array" ref="G1317">SUMPRODUCT(("T_B_u-BeVELCEXT"=[1]OUT_TransportEnergyCons!$A$3:$A$1000)*1,("Var_Fin"=[1]OUT_TransportEnergyCons!$B$3:$B$1000)*1,ISNUMBER(SEARCH("ELC",[1]OUT_TransportEnergyCons!$C$3:$C$1000))*1,[1]OUT_TransportEnergyCons!E$3:E$1000)</f>
        <v>4.7568544773427814E-4</v>
      </c>
      <c r="H1317" s="1" cm="1">
        <f t="array" ref="H1317">SUMPRODUCT(("T_B_u-BeVELCEXT"=[1]OUT_TransportEnergyCons!$A$3:$A$1000)*1,("Var_Fin"=[1]OUT_TransportEnergyCons!$B$3:$B$1000)*1,ISNUMBER(SEARCH("ELC",[1]OUT_TransportEnergyCons!$C$3:$C$1000))*1,[1]OUT_TransportEnergyCons!F$3:F$1000)</f>
        <v>4.6673791165178428E-4</v>
      </c>
      <c r="I1317" s="1" cm="1">
        <f t="array" ref="I1317">SUMPRODUCT(("T_B_u-BeVELCEXT"=[1]OUT_TransportEnergyCons!$A$3:$A$1000)*1,("Var_Fin"=[1]OUT_TransportEnergyCons!$B$3:$B$1000)*1,ISNUMBER(SEARCH("ELC",[1]OUT_TransportEnergyCons!$C$3:$C$1000))*1,[1]OUT_TransportEnergyCons!G$3:G$1000)</f>
        <v>0</v>
      </c>
      <c r="J1317" s="1" cm="1">
        <f t="array" ref="J1317">SUMPRODUCT(("T_B_u-BeVELCEXT"=[2]OUT_TransportEnergyCons!$A$3:$A$1000)*1,("Var_Fin"=[2]OUT_TransportEnergyCons!$B$3:$B$1000)*1,ISNUMBER(SEARCH("ELC",[2]OUT_TransportEnergyCons!$C$3:$C$1000))*1,[2]OUT_TransportEnergyCons!H$3:H$1000)</f>
        <v>0</v>
      </c>
      <c r="K1317" s="1" cm="1">
        <f t="array" ref="K1317">SUMPRODUCT(("T_B_u-BeVELCEXT"=[2]OUT_TransportEnergyCons!$A$3:$A$1000)*1,("Var_Fin"=[2]OUT_TransportEnergyCons!$B$3:$B$1000)*1,ISNUMBER(SEARCH("ELC",[2]OUT_TransportEnergyCons!$C$3:$C$1000))*1,[2]OUT_TransportEnergyCons!I$3:I$1000)</f>
        <v>0</v>
      </c>
      <c r="L1317" s="1" cm="1">
        <f t="array" ref="L1317">SUMPRODUCT(("T_B_u-BeVELCEXT"=[2]OUT_TransportEnergyCons!$A$3:$A$1000)*1,("Var_Fin"=[2]OUT_TransportEnergyCons!$B$3:$B$1000)*1,ISNUMBER(SEARCH("ELC",[2]OUT_TransportEnergyCons!$C$3:$C$1000))*1,[2]OUT_TransportEnergyCons!J$3:J$1000)</f>
        <v>0</v>
      </c>
      <c r="N1317" s="1"/>
    </row>
    <row r="1318" spans="2:16" x14ac:dyDescent="0.35">
      <c r="B1318" s="5" t="str">
        <f t="shared" si="1406"/>
        <v>SPS1</v>
      </c>
      <c r="C1318" s="5" t="str">
        <f t="shared" si="1407"/>
        <v>CH</v>
      </c>
      <c r="D1318" t="s">
        <v>1308</v>
      </c>
      <c r="E1318" t="s">
        <v>8</v>
      </c>
      <c r="F1318" s="1" cm="1">
        <f t="array" ref="F1318">SUMPRODUCT(("T_B_u-BEVELC-S1"=[1]OUT_TransportEnergyCons!$A$3:$A$1000)*1,("Var_Fin"=[1]OUT_TransportEnergyCons!$B$3:$B$1000)*1,ISNUMBER(SEARCH("ELC",[1]OUT_TransportEnergyCons!$C$3:$C$1000))*1,[1]OUT_TransportEnergyCons!D$3:D$1000)</f>
        <v>3.6630631261930826E-7</v>
      </c>
      <c r="G1318" s="1" cm="1">
        <f t="array" ref="G1318">SUMPRODUCT(("T_B_u-BEVELC-S1"=[1]OUT_TransportEnergyCons!$A$3:$A$1000)*1,("Var_Fin"=[1]OUT_TransportEnergyCons!$B$3:$B$1000)*1,ISNUMBER(SEARCH("ELC",[1]OUT_TransportEnergyCons!$C$3:$C$1000))*1,[1]OUT_TransportEnergyCons!E$3:E$1000)</f>
        <v>9.5057828538310646E-4</v>
      </c>
      <c r="H1318" s="1" cm="1">
        <f t="array" ref="H1318">SUMPRODUCT(("T_B_u-BEVELC-S1"=[1]OUT_TransportEnergyCons!$A$3:$A$1000)*1,("Var_Fin"=[1]OUT_TransportEnergyCons!$B$3:$B$1000)*1,ISNUMBER(SEARCH("ELC",[1]OUT_TransportEnergyCons!$C$3:$C$1000))*1,[1]OUT_TransportEnergyCons!F$3:F$1000)</f>
        <v>2.023441791174271E-3</v>
      </c>
      <c r="I1318" s="1" cm="1">
        <f t="array" ref="I1318">SUMPRODUCT(("T_B_u-BEVELC-S1"=[1]OUT_TransportEnergyCons!$A$3:$A$1000)*1,("Var_Fin"=[1]OUT_TransportEnergyCons!$B$3:$B$1000)*1,ISNUMBER(SEARCH("ELC",[1]OUT_TransportEnergyCons!$C$3:$C$1000))*1,[1]OUT_TransportEnergyCons!G$3:G$1000)</f>
        <v>0.24553075850686898</v>
      </c>
      <c r="J1318" s="1" cm="1">
        <f t="array" ref="J1318">SUMPRODUCT(("T_B_u-BEVELC-S1"=[2]OUT_TransportEnergyCons!$A$3:$A$1000)*1,("Var_Fin"=[2]OUT_TransportEnergyCons!$B$3:$B$1000)*1,ISNUMBER(SEARCH("ELC",[2]OUT_TransportEnergyCons!$C$3:$C$1000))*1,[2]OUT_TransportEnergyCons!H$3:H$1000)</f>
        <v>0.24302573296914079</v>
      </c>
      <c r="K1318" s="1" cm="1">
        <f t="array" ref="K1318">SUMPRODUCT(("T_B_u-BEVELC-S1"=[2]OUT_TransportEnergyCons!$A$3:$A$1000)*1,("Var_Fin"=[2]OUT_TransportEnergyCons!$B$3:$B$1000)*1,ISNUMBER(SEARCH("ELC",[2]OUT_TransportEnergyCons!$C$3:$C$1000))*1,[2]OUT_TransportEnergyCons!I$3:I$1000)</f>
        <v>0.25232306940126781</v>
      </c>
      <c r="L1318" s="1" cm="1">
        <f t="array" ref="L1318">SUMPRODUCT(("T_B_u-BEVELC-S1"=[2]OUT_TransportEnergyCons!$A$3:$A$1000)*1,("Var_Fin"=[2]OUT_TransportEnergyCons!$B$3:$B$1000)*1,ISNUMBER(SEARCH("ELC",[2]OUT_TransportEnergyCons!$C$3:$C$1000))*1,[2]OUT_TransportEnergyCons!J$3:J$1000)</f>
        <v>0.24061441845945541</v>
      </c>
      <c r="N1318" s="1"/>
    </row>
    <row r="1319" spans="2:16" x14ac:dyDescent="0.35">
      <c r="B1319" s="5" t="str">
        <f t="shared" si="1406"/>
        <v>SPS1</v>
      </c>
      <c r="C1319" s="5" t="str">
        <f t="shared" si="1407"/>
        <v>CH</v>
      </c>
      <c r="D1319" t="s">
        <v>1309</v>
      </c>
      <c r="E1319" t="s">
        <v>8</v>
      </c>
      <c r="F1319" s="1" cm="1">
        <f t="array" ref="F1319">SUMPRODUCT(("T_B_u-BEVELC-S2"=[1]OUT_TransportEnergyCons!$A$3:$A$1000)*1,("Var_Fin"=[1]OUT_TransportEnergyCons!$B$3:$B$1000)*1,ISNUMBER(SEARCH("ELC",[1]OUT_TransportEnergyCons!$C$3:$C$1000))*1,[1]OUT_TransportEnergyCons!D$3:D$1000)</f>
        <v>1.4679801662237592E-3</v>
      </c>
      <c r="G1319" s="1" cm="1">
        <f t="array" ref="G1319">SUMPRODUCT(("T_B_u-BEVELC-S2"=[1]OUT_TransportEnergyCons!$A$3:$A$1000)*1,("Var_Fin"=[1]OUT_TransportEnergyCons!$B$3:$B$1000)*1,ISNUMBER(SEARCH("ELC",[1]OUT_TransportEnergyCons!$C$3:$C$1000))*1,[1]OUT_TransportEnergyCons!E$3:E$1000)</f>
        <v>2.274246406421316E-3</v>
      </c>
      <c r="H1319" s="1" cm="1">
        <f t="array" ref="H1319">SUMPRODUCT(("T_B_u-BEVELC-S2"=[1]OUT_TransportEnergyCons!$A$3:$A$1000)*1,("Var_Fin"=[1]OUT_TransportEnergyCons!$B$3:$B$1000)*1,ISNUMBER(SEARCH("ELC",[1]OUT_TransportEnergyCons!$C$3:$C$1000))*1,[1]OUT_TransportEnergyCons!F$3:F$1000)</f>
        <v>3.0064512025952017E-3</v>
      </c>
      <c r="I1319" s="1" cm="1">
        <f t="array" ref="I1319">SUMPRODUCT(("T_B_u-BEVELC-S2"=[1]OUT_TransportEnergyCons!$A$3:$A$1000)*1,("Var_Fin"=[1]OUT_TransportEnergyCons!$B$3:$B$1000)*1,ISNUMBER(SEARCH("ELC",[1]OUT_TransportEnergyCons!$C$3:$C$1000))*1,[1]OUT_TransportEnergyCons!G$3:G$1000)</f>
        <v>0.1222392240955199</v>
      </c>
      <c r="J1319" s="1" cm="1">
        <f t="array" ref="J1319">SUMPRODUCT(("T_B_u-BEVELC-S2"=[2]OUT_TransportEnergyCons!$A$3:$A$1000)*1,("Var_Fin"=[2]OUT_TransportEnergyCons!$B$3:$B$1000)*1,ISNUMBER(SEARCH("ELC",[2]OUT_TransportEnergyCons!$C$3:$C$1000))*1,[2]OUT_TransportEnergyCons!H$3:H$1000)</f>
        <v>0.1214406411315679</v>
      </c>
      <c r="K1319" s="1" cm="1">
        <f t="array" ref="K1319">SUMPRODUCT(("T_B_u-BEVELC-S2"=[2]OUT_TransportEnergyCons!$A$3:$A$1000)*1,("Var_Fin"=[2]OUT_TransportEnergyCons!$B$3:$B$1000)*1,ISNUMBER(SEARCH("ELC",[2]OUT_TransportEnergyCons!$C$3:$C$1000))*1,[2]OUT_TransportEnergyCons!I$3:I$1000)</f>
        <v>0.12516878527203862</v>
      </c>
      <c r="L1319" s="1" cm="1">
        <f t="array" ref="L1319">SUMPRODUCT(("T_B_u-BEVELC-S2"=[2]OUT_TransportEnergyCons!$A$3:$A$1000)*1,("Var_Fin"=[2]OUT_TransportEnergyCons!$B$3:$B$1000)*1,ISNUMBER(SEARCH("ELC",[2]OUT_TransportEnergyCons!$C$3:$C$1000))*1,[2]OUT_TransportEnergyCons!J$3:J$1000)</f>
        <v>0.1204636708966323</v>
      </c>
      <c r="N1319" s="1"/>
    </row>
    <row r="1320" spans="2:16" x14ac:dyDescent="0.35">
      <c r="B1320" s="5" t="str">
        <f t="shared" si="1406"/>
        <v>SPS1</v>
      </c>
      <c r="C1320" s="5" t="str">
        <f t="shared" si="1407"/>
        <v>CH</v>
      </c>
      <c r="D1320" t="s">
        <v>1310</v>
      </c>
      <c r="E1320" t="s">
        <v>8</v>
      </c>
      <c r="F1320" s="1" cm="1">
        <f t="array" ref="F1320">SUMPRODUCT(("T_B_u-BEVELC-S3"=[1]OUT_TransportEnergyCons!$A$3:$A$1000)*1,("Var_Fin"=[1]OUT_TransportEnergyCons!$B$3:$B$1000)*1,ISNUMBER(SEARCH("ELC",[1]OUT_TransportEnergyCons!$C$3:$C$1000))*1,[1]OUT_TransportEnergyCons!D$3:D$1000)</f>
        <v>5.6619592285208032E-3</v>
      </c>
      <c r="G1320" s="1" cm="1">
        <f t="array" ref="G1320">SUMPRODUCT(("T_B_u-BEVELC-S3"=[1]OUT_TransportEnergyCons!$A$3:$A$1000)*1,("Var_Fin"=[1]OUT_TransportEnergyCons!$B$3:$B$1000)*1,ISNUMBER(SEARCH("ELC",[1]OUT_TransportEnergyCons!$C$3:$C$1000))*1,[1]OUT_TransportEnergyCons!E$3:E$1000)</f>
        <v>1.1450008509257238E-2</v>
      </c>
      <c r="H1320" s="1" cm="1">
        <f t="array" ref="H1320">SUMPRODUCT(("T_B_u-BEVELC-S3"=[1]OUT_TransportEnergyCons!$A$3:$A$1000)*1,("Var_Fin"=[1]OUT_TransportEnergyCons!$B$3:$B$1000)*1,ISNUMBER(SEARCH("ELC",[1]OUT_TransportEnergyCons!$C$3:$C$1000))*1,[1]OUT_TransportEnergyCons!F$3:F$1000)</f>
        <v>1.1536732170595459E-2</v>
      </c>
      <c r="I1320" s="1" cm="1">
        <f t="array" ref="I1320">SUMPRODUCT(("T_B_u-BEVELC-S3"=[1]OUT_TransportEnergyCons!$A$3:$A$1000)*1,("Var_Fin"=[1]OUT_TransportEnergyCons!$B$3:$B$1000)*1,ISNUMBER(SEARCH("ELC",[1]OUT_TransportEnergyCons!$C$3:$C$1000))*1,[1]OUT_TransportEnergyCons!G$3:G$1000)</f>
        <v>0.42076221892352694</v>
      </c>
      <c r="J1320" s="1" cm="1">
        <f t="array" ref="J1320">SUMPRODUCT(("T_B_u-BEVELC-S3"=[2]OUT_TransportEnergyCons!$A$3:$A$1000)*1,("Var_Fin"=[2]OUT_TransportEnergyCons!$B$3:$B$1000)*1,ISNUMBER(SEARCH("ELC",[2]OUT_TransportEnergyCons!$C$3:$C$1000))*1,[2]OUT_TransportEnergyCons!H$3:H$1000)</f>
        <v>0.35325158319394989</v>
      </c>
      <c r="K1320" s="1" cm="1">
        <f t="array" ref="K1320">SUMPRODUCT(("T_B_u-BEVELC-S3"=[2]OUT_TransportEnergyCons!$A$3:$A$1000)*1,("Var_Fin"=[2]OUT_TransportEnergyCons!$B$3:$B$1000)*1,ISNUMBER(SEARCH("ELC",[2]OUT_TransportEnergyCons!$C$3:$C$1000))*1,[2]OUT_TransportEnergyCons!I$3:I$1000)</f>
        <v>0.28287159161866088</v>
      </c>
      <c r="L1320" s="1" cm="1">
        <f t="array" ref="L1320">SUMPRODUCT(("T_B_u-BEVELC-S3"=[2]OUT_TransportEnergyCons!$A$3:$A$1000)*1,("Var_Fin"=[2]OUT_TransportEnergyCons!$B$3:$B$1000)*1,ISNUMBER(SEARCH("ELC",[2]OUT_TransportEnergyCons!$C$3:$C$1000))*1,[2]OUT_TransportEnergyCons!J$3:J$1000)</f>
        <v>0.1750077990832192</v>
      </c>
      <c r="N1320" s="1"/>
    </row>
    <row r="1321" spans="2:16" x14ac:dyDescent="0.35">
      <c r="B1321" s="5" t="str">
        <f t="shared" si="1406"/>
        <v>SPS1</v>
      </c>
      <c r="C1321" s="5" t="str">
        <f t="shared" si="1407"/>
        <v>CH</v>
      </c>
      <c r="D1321" t="s">
        <v>1311</v>
      </c>
      <c r="E1321" t="s">
        <v>8</v>
      </c>
      <c r="F1321" s="1" cm="1">
        <f t="array" ref="F1321">SUMPRODUCT(("T_B_u-BEVELC-S4"=[1]OUT_TransportEnergyCons!$A$3:$A$1000)*1,("Var_Fin"=[1]OUT_TransportEnergyCons!$B$3:$B$1000)*1,ISNUMBER(SEARCH("ELC",[1]OUT_TransportEnergyCons!$C$3:$C$1000))*1,[1]OUT_TransportEnergyCons!D$3:D$1000)</f>
        <v>7.9276012670841865E-5</v>
      </c>
      <c r="G1321" s="1" cm="1">
        <f t="array" ref="G1321">SUMPRODUCT(("T_B_u-BEVELC-S4"=[1]OUT_TransportEnergyCons!$A$3:$A$1000)*1,("Var_Fin"=[1]OUT_TransportEnergyCons!$B$3:$B$1000)*1,ISNUMBER(SEARCH("ELC",[1]OUT_TransportEnergyCons!$C$3:$C$1000))*1,[1]OUT_TransportEnergyCons!E$3:E$1000)</f>
        <v>6.7525150068892292E-5</v>
      </c>
      <c r="H1321" s="1" cm="1">
        <f t="array" ref="H1321">SUMPRODUCT(("T_B_u-BEVELC-S4"=[1]OUT_TransportEnergyCons!$A$3:$A$1000)*1,("Var_Fin"=[1]OUT_TransportEnergyCons!$B$3:$B$1000)*1,ISNUMBER(SEARCH("ELC",[1]OUT_TransportEnergyCons!$C$3:$C$1000))*1,[1]OUT_TransportEnergyCons!F$3:F$1000)</f>
        <v>8.7910512204545098E-5</v>
      </c>
      <c r="I1321" s="1" cm="1">
        <f t="array" ref="I1321">SUMPRODUCT(("T_B_u-BEVELC-S4"=[1]OUT_TransportEnergyCons!$A$3:$A$1000)*1,("Var_Fin"=[1]OUT_TransportEnergyCons!$B$3:$B$1000)*1,ISNUMBER(SEARCH("ELC",[1]OUT_TransportEnergyCons!$C$3:$C$1000))*1,[1]OUT_TransportEnergyCons!G$3:G$1000)</f>
        <v>1.3668626303285826E-5</v>
      </c>
      <c r="J1321" s="1" cm="1">
        <f t="array" ref="J1321">SUMPRODUCT(("T_B_u-BEVELC-S4"=[2]OUT_TransportEnergyCons!$A$3:$A$1000)*1,("Var_Fin"=[2]OUT_TransportEnergyCons!$B$3:$B$1000)*1,ISNUMBER(SEARCH("ELC",[2]OUT_TransportEnergyCons!$C$3:$C$1000))*1,[2]OUT_TransportEnergyCons!H$3:H$1000)</f>
        <v>9.2284149671177659E-5</v>
      </c>
      <c r="K1321" s="1" cm="1">
        <f t="array" ref="K1321">SUMPRODUCT(("T_B_u-BEVELC-S4"=[2]OUT_TransportEnergyCons!$A$3:$A$1000)*1,("Var_Fin"=[2]OUT_TransportEnergyCons!$B$3:$B$1000)*1,ISNUMBER(SEARCH("ELC",[2]OUT_TransportEnergyCons!$C$3:$C$1000))*1,[2]OUT_TransportEnergyCons!I$3:I$1000)</f>
        <v>1.0684822910722176E-4</v>
      </c>
      <c r="L1321" s="1" cm="1">
        <f t="array" ref="L1321">SUMPRODUCT(("T_B_u-BEVELC-S4"=[2]OUT_TransportEnergyCons!$A$3:$A$1000)*1,("Var_Fin"=[2]OUT_TransportEnergyCons!$B$3:$B$1000)*1,ISNUMBER(SEARCH("ELC",[2]OUT_TransportEnergyCons!$C$3:$C$1000))*1,[2]OUT_TransportEnergyCons!J$3:J$1000)</f>
        <v>4.383030995653607E-5</v>
      </c>
      <c r="N1321" s="1"/>
    </row>
    <row r="1322" spans="2:16" x14ac:dyDescent="0.35">
      <c r="B1322" s="5" t="str">
        <f t="shared" si="1406"/>
        <v>SPS1</v>
      </c>
      <c r="C1322" s="5" t="str">
        <f t="shared" si="1407"/>
        <v>CH</v>
      </c>
      <c r="D1322" t="s">
        <v>1312</v>
      </c>
      <c r="E1322" t="s">
        <v>8</v>
      </c>
      <c r="F1322" s="1">
        <f>SUM(F1323:F1326)</f>
        <v>0</v>
      </c>
      <c r="G1322" s="1">
        <f t="shared" ref="G1322:K1322" si="1408">SUM(G1323:G1326)</f>
        <v>0</v>
      </c>
      <c r="H1322" s="1">
        <f t="shared" si="1408"/>
        <v>0</v>
      </c>
      <c r="I1322" s="1">
        <f t="shared" si="1408"/>
        <v>9.9354672978348863E-7</v>
      </c>
      <c r="J1322" s="1">
        <f t="shared" si="1408"/>
        <v>0</v>
      </c>
      <c r="K1322" s="1">
        <f t="shared" si="1408"/>
        <v>0</v>
      </c>
      <c r="L1322" s="1">
        <f t="shared" ref="L1322" si="1409">SUM(L1323:L1326)</f>
        <v>0</v>
      </c>
      <c r="N1322" s="1"/>
    </row>
    <row r="1323" spans="2:16" x14ac:dyDescent="0.35">
      <c r="B1323" s="5" t="str">
        <f t="shared" si="1406"/>
        <v>SPS1</v>
      </c>
      <c r="C1323" s="5" t="str">
        <f t="shared" si="1407"/>
        <v>CH</v>
      </c>
      <c r="D1323" t="s">
        <v>1313</v>
      </c>
      <c r="E1323" t="s">
        <v>8</v>
      </c>
      <c r="F1323" s="1" cm="1">
        <f t="array" ref="F1323">SUMPRODUCT(("T_B_u-FCLH2O-S1"=[1]OUT_TransportEnergyCons!$A$3:$A$1000)*1,("Var_Fin"=[1]OUT_TransportEnergyCons!$B$3:$B$1000)*1,ISNUMBER(SEARCH("H2",[1]OUT_TransportEnergyCons!$C$3:$C$1000))*1,[1]OUT_TransportEnergyCons!D$3:D$1000)</f>
        <v>0</v>
      </c>
      <c r="G1323" s="1" cm="1">
        <f t="array" ref="G1323">SUMPRODUCT(("T_B_u-FCLH2O-S1"=[1]OUT_TransportEnergyCons!$A$3:$A$1000)*1,("Var_Fin"=[1]OUT_TransportEnergyCons!$B$3:$B$1000)*1,ISNUMBER(SEARCH("H2",[1]OUT_TransportEnergyCons!$C$3:$C$1000))*1,[1]OUT_TransportEnergyCons!E$3:E$1000)</f>
        <v>0</v>
      </c>
      <c r="H1323" s="1" cm="1">
        <f t="array" ref="H1323">SUMPRODUCT(("T_B_u-FCLH2O-S1"=[1]OUT_TransportEnergyCons!$A$3:$A$1000)*1,("Var_Fin"=[1]OUT_TransportEnergyCons!$B$3:$B$1000)*1,ISNUMBER(SEARCH("H2",[1]OUT_TransportEnergyCons!$C$3:$C$1000))*1,[1]OUT_TransportEnergyCons!F$3:F$1000)</f>
        <v>0</v>
      </c>
      <c r="I1323" s="1" cm="1">
        <f t="array" ref="I1323">SUMPRODUCT(("T_B_u-FCLH2O-S1"=[1]OUT_TransportEnergyCons!$A$3:$A$1000)*1,("Var_Fin"=[1]OUT_TransportEnergyCons!$B$3:$B$1000)*1,ISNUMBER(SEARCH("H2",[1]OUT_TransportEnergyCons!$C$3:$C$1000))*1,[1]OUT_TransportEnergyCons!G$3:G$1000)</f>
        <v>3.234711081872664E-7</v>
      </c>
      <c r="J1323" s="1" cm="1">
        <f t="array" ref="J1323">SUMPRODUCT(("T_B_u-FCLH2O-S1"=[2]OUT_TransportEnergyCons!$A$3:$A$1000)*1,("Var_Fin"=[2]OUT_TransportEnergyCons!$B$3:$B$1000)*1,ISNUMBER(SEARCH("H2",[2]OUT_TransportEnergyCons!$C$3:$C$1000))*1,[2]OUT_TransportEnergyCons!H$3:H$1000)</f>
        <v>0</v>
      </c>
      <c r="K1323" s="1" cm="1">
        <f t="array" ref="K1323">SUMPRODUCT(("T_B_u-FCLH2O-S1"=[2]OUT_TransportEnergyCons!$A$3:$A$1000)*1,("Var_Fin"=[2]OUT_TransportEnergyCons!$B$3:$B$1000)*1,ISNUMBER(SEARCH("H2",[2]OUT_TransportEnergyCons!$C$3:$C$1000))*1,[2]OUT_TransportEnergyCons!I$3:I$1000)</f>
        <v>0</v>
      </c>
      <c r="L1323" s="1" cm="1">
        <f t="array" ref="L1323">SUMPRODUCT(("T_B_u-FCLH2O-S1"=[2]OUT_TransportEnergyCons!$A$3:$A$1000)*1,("Var_Fin"=[2]OUT_TransportEnergyCons!$B$3:$B$1000)*1,ISNUMBER(SEARCH("H2",[2]OUT_TransportEnergyCons!$C$3:$C$1000))*1,[2]OUT_TransportEnergyCons!J$3:J$1000)</f>
        <v>0</v>
      </c>
      <c r="N1323" s="1"/>
    </row>
    <row r="1324" spans="2:16" x14ac:dyDescent="0.35">
      <c r="B1324" s="5" t="str">
        <f t="shared" si="1406"/>
        <v>SPS1</v>
      </c>
      <c r="C1324" s="5" t="str">
        <f t="shared" si="1407"/>
        <v>CH</v>
      </c>
      <c r="D1324" t="s">
        <v>1314</v>
      </c>
      <c r="E1324" t="s">
        <v>8</v>
      </c>
      <c r="F1324" s="1" cm="1">
        <f t="array" ref="F1324">SUMPRODUCT(("T_B_u-FCLH2O-S2"=[1]OUT_TransportEnergyCons!$A$3:$A$1000)*1,("Var_Fin"=[1]OUT_TransportEnergyCons!$B$3:$B$1000)*1,ISNUMBER(SEARCH("H2",[1]OUT_TransportEnergyCons!$C$3:$C$1000))*1,[1]OUT_TransportEnergyCons!D$3:D$1000)</f>
        <v>0</v>
      </c>
      <c r="G1324" s="1" cm="1">
        <f t="array" ref="G1324">SUMPRODUCT(("T_B_u-FCLH2O-S2"=[1]OUT_TransportEnergyCons!$A$3:$A$1000)*1,("Var_Fin"=[1]OUT_TransportEnergyCons!$B$3:$B$1000)*1,ISNUMBER(SEARCH("H2",[1]OUT_TransportEnergyCons!$C$3:$C$1000))*1,[1]OUT_TransportEnergyCons!E$3:E$1000)</f>
        <v>0</v>
      </c>
      <c r="H1324" s="1" cm="1">
        <f t="array" ref="H1324">SUMPRODUCT(("T_B_u-FCLH2O-S2"=[1]OUT_TransportEnergyCons!$A$3:$A$1000)*1,("Var_Fin"=[1]OUT_TransportEnergyCons!$B$3:$B$1000)*1,ISNUMBER(SEARCH("H2",[1]OUT_TransportEnergyCons!$C$3:$C$1000))*1,[1]OUT_TransportEnergyCons!F$3:F$1000)</f>
        <v>0</v>
      </c>
      <c r="I1324" s="1" cm="1">
        <f t="array" ref="I1324">SUMPRODUCT(("T_B_u-FCLH2O-S2"=[1]OUT_TransportEnergyCons!$A$3:$A$1000)*1,("Var_Fin"=[1]OUT_TransportEnergyCons!$B$3:$B$1000)*1,ISNUMBER(SEARCH("H2",[1]OUT_TransportEnergyCons!$C$3:$C$1000))*1,[1]OUT_TransportEnergyCons!G$3:G$1000)</f>
        <v>0</v>
      </c>
      <c r="J1324" s="1" cm="1">
        <f t="array" ref="J1324">SUMPRODUCT(("T_B_u-FCLH2O-S2"=[2]OUT_TransportEnergyCons!$A$3:$A$1000)*1,("Var_Fin"=[2]OUT_TransportEnergyCons!$B$3:$B$1000)*1,ISNUMBER(SEARCH("H2",[2]OUT_TransportEnergyCons!$C$3:$C$1000))*1,[2]OUT_TransportEnergyCons!H$3:H$1000)</f>
        <v>0</v>
      </c>
      <c r="K1324" s="1" cm="1">
        <f t="array" ref="K1324">SUMPRODUCT(("T_B_u-FCLH2O-S2"=[2]OUT_TransportEnergyCons!$A$3:$A$1000)*1,("Var_Fin"=[2]OUT_TransportEnergyCons!$B$3:$B$1000)*1,ISNUMBER(SEARCH("H2",[2]OUT_TransportEnergyCons!$C$3:$C$1000))*1,[2]OUT_TransportEnergyCons!I$3:I$1000)</f>
        <v>0</v>
      </c>
      <c r="L1324" s="1" cm="1">
        <f t="array" ref="L1324">SUMPRODUCT(("T_B_u-FCLH2O-S2"=[2]OUT_TransportEnergyCons!$A$3:$A$1000)*1,("Var_Fin"=[2]OUT_TransportEnergyCons!$B$3:$B$1000)*1,ISNUMBER(SEARCH("H2",[2]OUT_TransportEnergyCons!$C$3:$C$1000))*1,[2]OUT_TransportEnergyCons!J$3:J$1000)</f>
        <v>0</v>
      </c>
      <c r="N1324" s="1"/>
    </row>
    <row r="1325" spans="2:16" x14ac:dyDescent="0.35">
      <c r="B1325" s="5" t="str">
        <f t="shared" si="1406"/>
        <v>SPS1</v>
      </c>
      <c r="C1325" s="5" t="str">
        <f t="shared" si="1407"/>
        <v>CH</v>
      </c>
      <c r="D1325" t="s">
        <v>1315</v>
      </c>
      <c r="E1325" t="s">
        <v>8</v>
      </c>
      <c r="F1325" s="1" cm="1">
        <f t="array" ref="F1325">SUMPRODUCT(("T_B_u-FCLH2O-S3"=[1]OUT_TransportEnergyCons!$A$3:$A$1000)*1,("Var_Fin"=[1]OUT_TransportEnergyCons!$B$3:$B$1000)*1,ISNUMBER(SEARCH("H2",[1]OUT_TransportEnergyCons!$C$3:$C$1000))*1,[1]OUT_TransportEnergyCons!D$3:D$1000)</f>
        <v>0</v>
      </c>
      <c r="G1325" s="1" cm="1">
        <f t="array" ref="G1325">SUMPRODUCT(("T_B_u-FCLH2O-S3"=[1]OUT_TransportEnergyCons!$A$3:$A$1000)*1,("Var_Fin"=[1]OUT_TransportEnergyCons!$B$3:$B$1000)*1,ISNUMBER(SEARCH("H2",[1]OUT_TransportEnergyCons!$C$3:$C$1000))*1,[1]OUT_TransportEnergyCons!E$3:E$1000)</f>
        <v>0</v>
      </c>
      <c r="H1325" s="1" cm="1">
        <f t="array" ref="H1325">SUMPRODUCT(("T_B_u-FCLH2O-S3"=[1]OUT_TransportEnergyCons!$A$3:$A$1000)*1,("Var_Fin"=[1]OUT_TransportEnergyCons!$B$3:$B$1000)*1,ISNUMBER(SEARCH("H2",[1]OUT_TransportEnergyCons!$C$3:$C$1000))*1,[1]OUT_TransportEnergyCons!F$3:F$1000)</f>
        <v>0</v>
      </c>
      <c r="I1325" s="1" cm="1">
        <f t="array" ref="I1325">SUMPRODUCT(("T_B_u-FCLH2O-S3"=[1]OUT_TransportEnergyCons!$A$3:$A$1000)*1,("Var_Fin"=[1]OUT_TransportEnergyCons!$B$3:$B$1000)*1,ISNUMBER(SEARCH("H2",[1]OUT_TransportEnergyCons!$C$3:$C$1000))*1,[1]OUT_TransportEnergyCons!G$3:G$1000)</f>
        <v>6.7007562159622218E-7</v>
      </c>
      <c r="J1325" s="1" cm="1">
        <f t="array" ref="J1325">SUMPRODUCT(("T_B_u-FCLH2O-S3"=[2]OUT_TransportEnergyCons!$A$3:$A$1000)*1,("Var_Fin"=[2]OUT_TransportEnergyCons!$B$3:$B$1000)*1,ISNUMBER(SEARCH("H2",[2]OUT_TransportEnergyCons!$C$3:$C$1000))*1,[2]OUT_TransportEnergyCons!H$3:H$1000)</f>
        <v>0</v>
      </c>
      <c r="K1325" s="1" cm="1">
        <f t="array" ref="K1325">SUMPRODUCT(("T_B_u-FCLH2O-S3"=[2]OUT_TransportEnergyCons!$A$3:$A$1000)*1,("Var_Fin"=[2]OUT_TransportEnergyCons!$B$3:$B$1000)*1,ISNUMBER(SEARCH("H2",[2]OUT_TransportEnergyCons!$C$3:$C$1000))*1,[2]OUT_TransportEnergyCons!I$3:I$1000)</f>
        <v>0</v>
      </c>
      <c r="L1325" s="1" cm="1">
        <f t="array" ref="L1325">SUMPRODUCT(("T_B_u-FCLH2O-S3"=[2]OUT_TransportEnergyCons!$A$3:$A$1000)*1,("Var_Fin"=[2]OUT_TransportEnergyCons!$B$3:$B$1000)*1,ISNUMBER(SEARCH("H2",[2]OUT_TransportEnergyCons!$C$3:$C$1000))*1,[2]OUT_TransportEnergyCons!J$3:J$1000)</f>
        <v>0</v>
      </c>
      <c r="N1325" s="1"/>
    </row>
    <row r="1326" spans="2:16" x14ac:dyDescent="0.35">
      <c r="B1326" s="5" t="str">
        <f t="shared" si="1406"/>
        <v>SPS1</v>
      </c>
      <c r="C1326" s="5" t="str">
        <f t="shared" si="1407"/>
        <v>CH</v>
      </c>
      <c r="D1326" t="s">
        <v>1316</v>
      </c>
      <c r="E1326" t="s">
        <v>8</v>
      </c>
      <c r="F1326" s="1" cm="1">
        <f t="array" ref="F1326">SUMPRODUCT(("T_B_u-FCLH2O-S4"=[1]OUT_TransportEnergyCons!$A$3:$A$1000)*1,("Var_Fin"=[1]OUT_TransportEnergyCons!$B$3:$B$1000)*1,ISNUMBER(SEARCH("H2",[1]OUT_TransportEnergyCons!$C$3:$C$1000))*1,[1]OUT_TransportEnergyCons!D$3:D$1000)</f>
        <v>0</v>
      </c>
      <c r="G1326" s="1" cm="1">
        <f t="array" ref="G1326">SUMPRODUCT(("T_B_u-FCLH2O-S4"=[1]OUT_TransportEnergyCons!$A$3:$A$1000)*1,("Var_Fin"=[1]OUT_TransportEnergyCons!$B$3:$B$1000)*1,ISNUMBER(SEARCH("H2",[1]OUT_TransportEnergyCons!$C$3:$C$1000))*1,[1]OUT_TransportEnergyCons!E$3:E$1000)</f>
        <v>0</v>
      </c>
      <c r="H1326" s="1" cm="1">
        <f t="array" ref="H1326">SUMPRODUCT(("T_B_u-FCLH2O-S4"=[1]OUT_TransportEnergyCons!$A$3:$A$1000)*1,("Var_Fin"=[1]OUT_TransportEnergyCons!$B$3:$B$1000)*1,ISNUMBER(SEARCH("H2",[1]OUT_TransportEnergyCons!$C$3:$C$1000))*1,[1]OUT_TransportEnergyCons!F$3:F$1000)</f>
        <v>0</v>
      </c>
      <c r="I1326" s="1" cm="1">
        <f t="array" ref="I1326">SUMPRODUCT(("T_B_u-FCLH2O-S4"=[1]OUT_TransportEnergyCons!$A$3:$A$1000)*1,("Var_Fin"=[1]OUT_TransportEnergyCons!$B$3:$B$1000)*1,ISNUMBER(SEARCH("H2",[1]OUT_TransportEnergyCons!$C$3:$C$1000))*1,[1]OUT_TransportEnergyCons!G$3:G$1000)</f>
        <v>0</v>
      </c>
      <c r="J1326" s="1" cm="1">
        <f t="array" ref="J1326">SUMPRODUCT(("T_B_u-FCLH2O-S4"=[2]OUT_TransportEnergyCons!$A$3:$A$1000)*1,("Var_Fin"=[2]OUT_TransportEnergyCons!$B$3:$B$1000)*1,ISNUMBER(SEARCH("H2",[2]OUT_TransportEnergyCons!$C$3:$C$1000))*1,[2]OUT_TransportEnergyCons!H$3:H$1000)</f>
        <v>0</v>
      </c>
      <c r="K1326" s="1" cm="1">
        <f t="array" ref="K1326">SUMPRODUCT(("T_B_u-FCLH2O-S4"=[2]OUT_TransportEnergyCons!$A$3:$A$1000)*1,("Var_Fin"=[2]OUT_TransportEnergyCons!$B$3:$B$1000)*1,ISNUMBER(SEARCH("H2",[2]OUT_TransportEnergyCons!$C$3:$C$1000))*1,[2]OUT_TransportEnergyCons!I$3:I$1000)</f>
        <v>0</v>
      </c>
      <c r="L1326" s="1" cm="1">
        <f t="array" ref="L1326">SUMPRODUCT(("T_B_u-FCLH2O-S4"=[2]OUT_TransportEnergyCons!$A$3:$A$1000)*1,("Var_Fin"=[2]OUT_TransportEnergyCons!$B$3:$B$1000)*1,ISNUMBER(SEARCH("H2",[2]OUT_TransportEnergyCons!$C$3:$C$1000))*1,[2]OUT_TransportEnergyCons!J$3:J$1000)</f>
        <v>0</v>
      </c>
      <c r="N1326" s="1"/>
    </row>
    <row r="1327" spans="2:16" x14ac:dyDescent="0.35">
      <c r="B1327" s="5" t="str">
        <f t="shared" si="1406"/>
        <v>SPS1</v>
      </c>
      <c r="C1327" s="5" t="str">
        <f t="shared" si="1407"/>
        <v>CH</v>
      </c>
      <c r="D1327" t="s">
        <v>1317</v>
      </c>
      <c r="E1327" t="s">
        <v>8</v>
      </c>
      <c r="F1327" s="1">
        <f>SUM(F1332:F1340)</f>
        <v>0.74261291386652295</v>
      </c>
      <c r="G1327" s="1">
        <f t="shared" ref="G1327:K1327" si="1410">SUM(G1332:G1340)</f>
        <v>1.2633219482526663</v>
      </c>
      <c r="H1327" s="1">
        <f t="shared" si="1410"/>
        <v>2.0919540142821282</v>
      </c>
      <c r="I1327" s="1">
        <f t="shared" si="1410"/>
        <v>0.97182014392918592</v>
      </c>
      <c r="J1327" s="1">
        <f t="shared" si="1410"/>
        <v>1.128991232700876</v>
      </c>
      <c r="K1327" s="1">
        <f t="shared" si="1410"/>
        <v>1.2717893532157158</v>
      </c>
      <c r="L1327" s="1">
        <f t="shared" ref="L1327" si="1411">SUM(L1332:L1340)</f>
        <v>1.4683479635754664</v>
      </c>
      <c r="N1327" s="1"/>
    </row>
    <row r="1328" spans="2:16" x14ac:dyDescent="0.35">
      <c r="B1328" s="5" t="str">
        <f t="shared" si="1406"/>
        <v>SPS1</v>
      </c>
      <c r="C1328" s="5" t="str">
        <f t="shared" si="1407"/>
        <v>CH</v>
      </c>
      <c r="D1328" t="s">
        <v>1318</v>
      </c>
      <c r="E1328" t="s">
        <v>8</v>
      </c>
      <c r="F1328" s="1">
        <f>IF(F1327-F1329&lt;0,0,F1327-F1329)</f>
        <v>0.72403452842603511</v>
      </c>
      <c r="G1328" s="1">
        <f t="shared" ref="G1328:L1328" si="1412">IF(G1327-G1329&lt;0,0,G1327-G1329)</f>
        <v>1.2303988691086341</v>
      </c>
      <c r="H1328" s="1">
        <f t="shared" si="1412"/>
        <v>1.9980707335811829</v>
      </c>
      <c r="I1328" s="1">
        <f t="shared" si="1412"/>
        <v>0.92841629683435056</v>
      </c>
      <c r="J1328" s="1">
        <f t="shared" si="1412"/>
        <v>1.0823797846460339</v>
      </c>
      <c r="K1328" s="1">
        <f t="shared" si="1412"/>
        <v>1.2194124305366212</v>
      </c>
      <c r="L1328" s="1">
        <f t="shared" si="1412"/>
        <v>1.4069074389482799</v>
      </c>
      <c r="N1328" s="1"/>
    </row>
    <row r="1329" spans="2:14" x14ac:dyDescent="0.35">
      <c r="B1329" s="5" t="str">
        <f t="shared" si="1406"/>
        <v>SPS1</v>
      </c>
      <c r="C1329" s="5" t="str">
        <f t="shared" si="1407"/>
        <v>CH</v>
      </c>
      <c r="D1329" t="s">
        <v>1319</v>
      </c>
      <c r="E1329" t="s">
        <v>8</v>
      </c>
      <c r="F1329" s="1">
        <f>SUM(F1330:F1331)</f>
        <v>1.8578385440487889E-2</v>
      </c>
      <c r="G1329" s="1">
        <f t="shared" ref="G1329" si="1413">SUM(G1330:G1331)</f>
        <v>3.2923079144032141E-2</v>
      </c>
      <c r="H1329" s="1">
        <f t="shared" ref="H1329" si="1414">SUM(H1330:H1331)</f>
        <v>9.3883280700945398E-2</v>
      </c>
      <c r="I1329" s="1">
        <f t="shared" ref="I1329" si="1415">SUM(I1330:I1331)</f>
        <v>4.3403847094835322E-2</v>
      </c>
      <c r="J1329" s="1">
        <f t="shared" ref="J1329" si="1416">SUM(J1330:J1331)</f>
        <v>4.6611448054842061E-2</v>
      </c>
      <c r="K1329" s="1">
        <f t="shared" ref="K1329:L1329" si="1417">SUM(K1330:K1331)</f>
        <v>5.2376922679094759E-2</v>
      </c>
      <c r="L1329" s="1">
        <f t="shared" si="1417"/>
        <v>6.1440524627186417E-2</v>
      </c>
      <c r="N1329" s="1"/>
    </row>
    <row r="1330" spans="2:14" x14ac:dyDescent="0.35">
      <c r="B1330" s="5" t="str">
        <f t="shared" si="1406"/>
        <v>SPS1</v>
      </c>
      <c r="C1330" s="5" t="str">
        <f t="shared" si="1407"/>
        <v>CH</v>
      </c>
      <c r="D1330" t="s">
        <v>1321</v>
      </c>
      <c r="E1330" t="s">
        <v>8</v>
      </c>
      <c r="F1330" s="1">
        <f>[1]Transport!B$26/SUM([1]Transport!B$22,[1]Transport!B$26)*F1327*(F$34+F$582)/(F$34+F$582+F$38)</f>
        <v>1.8578385440487889E-2</v>
      </c>
      <c r="G1330" s="1">
        <f>[1]Transport!C$26/SUM([1]Transport!C$22,[1]Transport!C$26)*G1327*(G$34+G$582)/(G$34+G$582+G$38)</f>
        <v>3.2923079144032141E-2</v>
      </c>
      <c r="H1330" s="1">
        <f>[1]Transport!D$26/SUM([1]Transport!D$22,[1]Transport!D$26)*H1327*(H$34+H$582)/(H$34+H$582+H$38)</f>
        <v>9.3883280700945398E-2</v>
      </c>
      <c r="I1330" s="1">
        <f>[1]Transport!E$26/SUM([1]Transport!E$22,[1]Transport!E$26)*I1327*(I$34+I$582)/(I$34+I$582+I$38)</f>
        <v>4.3403847094835322E-2</v>
      </c>
      <c r="J1330" s="1">
        <f>[2]Transport!F$26/SUM([2]Transport!F$22,[2]Transport!F$26)*J1327*(J$34+J$582)/(J$34+J$582+J$38)</f>
        <v>4.6611448054842061E-2</v>
      </c>
      <c r="K1330" s="1">
        <f>[2]Transport!G$26/SUM([2]Transport!G$22,[2]Transport!G$26)*K1327*(K$34+K$582)/(K$34+K$582+K$38)</f>
        <v>5.2376922679094759E-2</v>
      </c>
      <c r="L1330" s="1">
        <f>[2]Transport!H$26/SUM([2]Transport!H$22,[2]Transport!H$26)*L1327*(L$34+L$582)/(L$34+L$582+L$38)</f>
        <v>6.1440524627186417E-2</v>
      </c>
      <c r="N1330" s="1"/>
    </row>
    <row r="1331" spans="2:14" x14ac:dyDescent="0.35">
      <c r="B1331" s="5" t="str">
        <f t="shared" si="1406"/>
        <v>SPS1</v>
      </c>
      <c r="C1331" s="5" t="str">
        <f t="shared" si="1407"/>
        <v>CH</v>
      </c>
      <c r="D1331" t="s">
        <v>1320</v>
      </c>
      <c r="E1331" t="s">
        <v>8</v>
      </c>
      <c r="F1331" s="1">
        <f>(F$38+F$718)/([1]Transport!B$22+[1]Transport!B$26)*F1327</f>
        <v>0</v>
      </c>
      <c r="G1331" s="1">
        <f>(G$38+G$718)/([1]Transport!C$22+[1]Transport!C$26)*G1327</f>
        <v>0</v>
      </c>
      <c r="H1331" s="1">
        <f>(H$38+H$718)/([1]Transport!D$22+[1]Transport!D$26)*H1327</f>
        <v>0</v>
      </c>
      <c r="I1331" s="1">
        <f>(I$38+I$718)/([1]Transport!E$22+[1]Transport!E$26)*I1327</f>
        <v>0</v>
      </c>
      <c r="J1331" s="1">
        <f>(J$38+J$718)/([2]Transport!F$22+[2]Transport!F$26)*J1327</f>
        <v>0</v>
      </c>
      <c r="K1331" s="1">
        <f>(K$38+K$718)/([2]Transport!G$22+[2]Transport!G$26)*K1327</f>
        <v>0</v>
      </c>
      <c r="L1331" s="1">
        <f>(L$38+L$718)/([2]Transport!H$22+[2]Transport!H$26)*L1327</f>
        <v>0</v>
      </c>
      <c r="N1331" s="1"/>
    </row>
    <row r="1332" spans="2:14" x14ac:dyDescent="0.35">
      <c r="B1332" s="5" t="str">
        <f t="shared" si="1406"/>
        <v>SPS1</v>
      </c>
      <c r="C1332" s="5" t="str">
        <f t="shared" si="1407"/>
        <v>CH</v>
      </c>
      <c r="D1332" t="s">
        <v>1322</v>
      </c>
      <c r="E1332" t="s">
        <v>8</v>
      </c>
      <c r="F1332" s="1" cm="1">
        <f t="array" ref="F1332">SUMPRODUCT(("T_B_u-HYBDSL-S1"=[1]OUT_TransportEnergyCons!$A$3:$A$1000)*1,("Var_Fin"=[1]OUT_TransportEnergyCons!$B$3:$B$1000)*1,ISNUMBER(SEARCH("DSL",[1]OUT_TransportEnergyCons!$C$3:$C$1000))*1,[1]OUT_TransportEnergyCons!D$3:D$1000)</f>
        <v>0</v>
      </c>
      <c r="G1332" s="1" cm="1">
        <f t="array" ref="G1332">SUMPRODUCT(("T_B_u-HYBDSL-S1"=[1]OUT_TransportEnergyCons!$A$3:$A$1000)*1,("Var_Fin"=[1]OUT_TransportEnergyCons!$B$3:$B$1000)*1,ISNUMBER(SEARCH("DSL",[1]OUT_TransportEnergyCons!$C$3:$C$1000))*1,[1]OUT_TransportEnergyCons!E$3:E$1000)</f>
        <v>0.21002591431714238</v>
      </c>
      <c r="H1332" s="1" cm="1">
        <f t="array" ref="H1332">SUMPRODUCT(("T_B_u-HYBDSL-S1"=[1]OUT_TransportEnergyCons!$A$3:$A$1000)*1,("Var_Fin"=[1]OUT_TransportEnergyCons!$B$3:$B$1000)*1,ISNUMBER(SEARCH("DSL",[1]OUT_TransportEnergyCons!$C$3:$C$1000))*1,[1]OUT_TransportEnergyCons!F$3:F$1000)</f>
        <v>0.21021136234791268</v>
      </c>
      <c r="I1332" s="1" cm="1">
        <f t="array" ref="I1332">SUMPRODUCT(("T_B_u-HYBDSL-S1"=[1]OUT_TransportEnergyCons!$A$3:$A$1000)*1,("Var_Fin"=[1]OUT_TransportEnergyCons!$B$3:$B$1000)*1,ISNUMBER(SEARCH("DSL",[1]OUT_TransportEnergyCons!$C$3:$C$1000))*1,[1]OUT_TransportEnergyCons!G$3:G$1000)</f>
        <v>1.1561703579173714E-4</v>
      </c>
      <c r="J1332" s="1" cm="1">
        <f t="array" ref="J1332">SUMPRODUCT(("T_B_u-HYBDSL-S1"=[2]OUT_TransportEnergyCons!$A$3:$A$1000)*1,("Var_Fin"=[2]OUT_TransportEnergyCons!$B$3:$B$1000)*1,ISNUMBER(SEARCH("DSL",[2]OUT_TransportEnergyCons!$C$3:$C$1000))*1,[2]OUT_TransportEnergyCons!H$3:H$1000)</f>
        <v>9.2672091853004924E-4</v>
      </c>
      <c r="K1332" s="1" cm="1">
        <f t="array" ref="K1332">SUMPRODUCT(("T_B_u-HYBDSL-S1"=[2]OUT_TransportEnergyCons!$A$3:$A$1000)*1,("Var_Fin"=[2]OUT_TransportEnergyCons!$B$3:$B$1000)*1,ISNUMBER(SEARCH("DSL",[2]OUT_TransportEnergyCons!$C$3:$C$1000))*1,[2]OUT_TransportEnergyCons!I$3:I$1000)</f>
        <v>1.1694671300852518E-3</v>
      </c>
      <c r="L1332" s="1" cm="1">
        <f t="array" ref="L1332">SUMPRODUCT(("T_B_u-HYBDSL-S1"=[2]OUT_TransportEnergyCons!$A$3:$A$1000)*1,("Var_Fin"=[2]OUT_TransportEnergyCons!$B$3:$B$1000)*1,ISNUMBER(SEARCH("DSL",[2]OUT_TransportEnergyCons!$C$3:$C$1000))*1,[2]OUT_TransportEnergyCons!J$3:J$1000)</f>
        <v>1.2746609647636756E-3</v>
      </c>
      <c r="N1332" s="1"/>
    </row>
    <row r="1333" spans="2:14" x14ac:dyDescent="0.35">
      <c r="B1333" s="5" t="str">
        <f t="shared" si="1406"/>
        <v>SPS1</v>
      </c>
      <c r="C1333" s="5" t="str">
        <f t="shared" si="1407"/>
        <v>CH</v>
      </c>
      <c r="D1333" t="s">
        <v>1323</v>
      </c>
      <c r="E1333" t="s">
        <v>8</v>
      </c>
      <c r="F1333" s="1" cm="1">
        <f t="array" ref="F1333">SUMPRODUCT(("T_B_u-HYBDSL-S2"=[1]OUT_TransportEnergyCons!$A$3:$A$1000)*1,("Var_Fin"=[1]OUT_TransportEnergyCons!$B$3:$B$1000)*1,ISNUMBER(SEARCH("DSL",[1]OUT_TransportEnergyCons!$C$3:$C$1000))*1,[1]OUT_TransportEnergyCons!D$3:D$1000)</f>
        <v>0</v>
      </c>
      <c r="G1333" s="1" cm="1">
        <f t="array" ref="G1333">SUMPRODUCT(("T_B_u-HYBDSL-S2"=[1]OUT_TransportEnergyCons!$A$3:$A$1000)*1,("Var_Fin"=[1]OUT_TransportEnergyCons!$B$3:$B$1000)*1,ISNUMBER(SEARCH("DSL",[1]OUT_TransportEnergyCons!$C$3:$C$1000))*1,[1]OUT_TransportEnergyCons!E$3:E$1000)</f>
        <v>3.4347033722350722E-4</v>
      </c>
      <c r="H1333" s="1" cm="1">
        <f t="array" ref="H1333">SUMPRODUCT(("T_B_u-HYBDSL-S2"=[1]OUT_TransportEnergyCons!$A$3:$A$1000)*1,("Var_Fin"=[1]OUT_TransportEnergyCons!$B$3:$B$1000)*1,ISNUMBER(SEARCH("DSL",[1]OUT_TransportEnergyCons!$C$3:$C$1000))*1,[1]OUT_TransportEnergyCons!F$3:F$1000)</f>
        <v>4.5974044234765084E-4</v>
      </c>
      <c r="I1333" s="1" cm="1">
        <f t="array" ref="I1333">SUMPRODUCT(("T_B_u-HYBDSL-S2"=[1]OUT_TransportEnergyCons!$A$3:$A$1000)*1,("Var_Fin"=[1]OUT_TransportEnergyCons!$B$3:$B$1000)*1,ISNUMBER(SEARCH("DSL",[1]OUT_TransportEnergyCons!$C$3:$C$1000))*1,[1]OUT_TransportEnergyCons!G$3:G$1000)</f>
        <v>2.1605496187380093E-4</v>
      </c>
      <c r="J1333" s="1" cm="1">
        <f t="array" ref="J1333">SUMPRODUCT(("T_B_u-HYBDSL-S2"=[2]OUT_TransportEnergyCons!$A$3:$A$1000)*1,("Var_Fin"=[2]OUT_TransportEnergyCons!$B$3:$B$1000)*1,ISNUMBER(SEARCH("DSL",[2]OUT_TransportEnergyCons!$C$3:$C$1000))*1,[2]OUT_TransportEnergyCons!H$3:H$1000)</f>
        <v>9.6811966418634463E-4</v>
      </c>
      <c r="K1333" s="1" cm="1">
        <f t="array" ref="K1333">SUMPRODUCT(("T_B_u-HYBDSL-S2"=[2]OUT_TransportEnergyCons!$A$3:$A$1000)*1,("Var_Fin"=[2]OUT_TransportEnergyCons!$B$3:$B$1000)*1,ISNUMBER(SEARCH("DSL",[2]OUT_TransportEnergyCons!$C$3:$C$1000))*1,[2]OUT_TransportEnergyCons!I$3:I$1000)</f>
        <v>1.0590368241139741E-3</v>
      </c>
      <c r="L1333" s="1" cm="1">
        <f t="array" ref="L1333">SUMPRODUCT(("T_B_u-HYBDSL-S2"=[2]OUT_TransportEnergyCons!$A$3:$A$1000)*1,("Var_Fin"=[2]OUT_TransportEnergyCons!$B$3:$B$1000)*1,ISNUMBER(SEARCH("DSL",[2]OUT_TransportEnergyCons!$C$3:$C$1000))*1,[2]OUT_TransportEnergyCons!J$3:J$1000)</f>
        <v>7.7762951738536454E-4</v>
      </c>
      <c r="N1333" s="1"/>
    </row>
    <row r="1334" spans="2:14" x14ac:dyDescent="0.35">
      <c r="B1334" s="5" t="str">
        <f t="shared" si="1406"/>
        <v>SPS1</v>
      </c>
      <c r="C1334" s="5" t="str">
        <f t="shared" si="1407"/>
        <v>CH</v>
      </c>
      <c r="D1334" t="s">
        <v>1324</v>
      </c>
      <c r="E1334" t="s">
        <v>8</v>
      </c>
      <c r="F1334" s="1" cm="1">
        <f t="array" ref="F1334">SUMPRODUCT(("T_B_u-HYBDSL-S3"=[1]OUT_TransportEnergyCons!$A$3:$A$1000)*1,("Var_Fin"=[1]OUT_TransportEnergyCons!$B$3:$B$1000)*1,ISNUMBER(SEARCH("DSL",[1]OUT_TransportEnergyCons!$C$3:$C$1000))*1,[1]OUT_TransportEnergyCons!D$3:D$1000)</f>
        <v>0</v>
      </c>
      <c r="G1334" s="1" cm="1">
        <f t="array" ref="G1334">SUMPRODUCT(("T_B_u-HYBDSL-S3"=[1]OUT_TransportEnergyCons!$A$3:$A$1000)*1,("Var_Fin"=[1]OUT_TransportEnergyCons!$B$3:$B$1000)*1,ISNUMBER(SEARCH("DSL",[1]OUT_TransportEnergyCons!$C$3:$C$1000))*1,[1]OUT_TransportEnergyCons!E$3:E$1000)</f>
        <v>2.8593265268542955E-2</v>
      </c>
      <c r="H1334" s="1" cm="1">
        <f t="array" ref="H1334">SUMPRODUCT(("T_B_u-HYBDSL-S3"=[1]OUT_TransportEnergyCons!$A$3:$A$1000)*1,("Var_Fin"=[1]OUT_TransportEnergyCons!$B$3:$B$1000)*1,ISNUMBER(SEARCH("DSL",[1]OUT_TransportEnergyCons!$C$3:$C$1000))*1,[1]OUT_TransportEnergyCons!F$3:F$1000)</f>
        <v>0.56703556509144171</v>
      </c>
      <c r="I1334" s="1" cm="1">
        <f t="array" ref="I1334">SUMPRODUCT(("T_B_u-HYBDSL-S3"=[1]OUT_TransportEnergyCons!$A$3:$A$1000)*1,("Var_Fin"=[1]OUT_TransportEnergyCons!$B$3:$B$1000)*1,ISNUMBER(SEARCH("DSL",[1]OUT_TransportEnergyCons!$C$3:$C$1000))*1,[1]OUT_TransportEnergyCons!G$3:G$1000)</f>
        <v>0.9714479325195895</v>
      </c>
      <c r="J1334" s="1" cm="1">
        <f t="array" ref="J1334">SUMPRODUCT(("T_B_u-HYBDSL-S3"=[2]OUT_TransportEnergyCons!$A$3:$A$1000)*1,("Var_Fin"=[2]OUT_TransportEnergyCons!$B$3:$B$1000)*1,ISNUMBER(SEARCH("DSL",[2]OUT_TransportEnergyCons!$C$3:$C$1000))*1,[2]OUT_TransportEnergyCons!H$3:H$1000)</f>
        <v>1.1270525109402951</v>
      </c>
      <c r="K1334" s="1" cm="1">
        <f t="array" ref="K1334">SUMPRODUCT(("T_B_u-HYBDSL-S3"=[2]OUT_TransportEnergyCons!$A$3:$A$1000)*1,("Var_Fin"=[2]OUT_TransportEnergyCons!$B$3:$B$1000)*1,ISNUMBER(SEARCH("DSL",[2]OUT_TransportEnergyCons!$C$3:$C$1000))*1,[2]OUT_TransportEnergyCons!I$3:I$1000)</f>
        <v>1.2695107455819976</v>
      </c>
      <c r="L1334" s="1" cm="1">
        <f t="array" ref="L1334">SUMPRODUCT(("T_B_u-HYBDSL-S3"=[2]OUT_TransportEnergyCons!$A$3:$A$1000)*1,("Var_Fin"=[2]OUT_TransportEnergyCons!$B$3:$B$1000)*1,ISNUMBER(SEARCH("DSL",[2]OUT_TransportEnergyCons!$C$3:$C$1000))*1,[2]OUT_TransportEnergyCons!J$3:J$1000)</f>
        <v>1.4662890559607935</v>
      </c>
      <c r="N1334" s="1"/>
    </row>
    <row r="1335" spans="2:14" x14ac:dyDescent="0.35">
      <c r="B1335" s="5" t="str">
        <f t="shared" si="1406"/>
        <v>SPS1</v>
      </c>
      <c r="C1335" s="5" t="str">
        <f t="shared" si="1407"/>
        <v>CH</v>
      </c>
      <c r="D1335" t="s">
        <v>1325</v>
      </c>
      <c r="E1335" t="s">
        <v>8</v>
      </c>
      <c r="F1335" s="1" cm="1">
        <f t="array" ref="F1335">SUMPRODUCT(("T_B_u-HYBDSL-S4"=[1]OUT_TransportEnergyCons!$A$3:$A$1000)*1,("Var_Fin"=[1]OUT_TransportEnergyCons!$B$3:$B$1000)*1,ISNUMBER(SEARCH("DSL",[1]OUT_TransportEnergyCons!$C$3:$C$1000))*1,[1]OUT_TransportEnergyCons!D$3:D$1000)</f>
        <v>0</v>
      </c>
      <c r="G1335" s="1" cm="1">
        <f t="array" ref="G1335">SUMPRODUCT(("T_B_u-HYBDSL-S4"=[1]OUT_TransportEnergyCons!$A$3:$A$1000)*1,("Var_Fin"=[1]OUT_TransportEnergyCons!$B$3:$B$1000)*1,ISNUMBER(SEARCH("DSL",[1]OUT_TransportEnergyCons!$C$3:$C$1000))*1,[1]OUT_TransportEnergyCons!E$3:E$1000)</f>
        <v>0</v>
      </c>
      <c r="H1335" s="1" cm="1">
        <f t="array" ref="H1335">SUMPRODUCT(("T_B_u-HYBDSL-S4"=[1]OUT_TransportEnergyCons!$A$3:$A$1000)*1,("Var_Fin"=[1]OUT_TransportEnergyCons!$B$3:$B$1000)*1,ISNUMBER(SEARCH("DSL",[1]OUT_TransportEnergyCons!$C$3:$C$1000))*1,[1]OUT_TransportEnergyCons!F$3:F$1000)</f>
        <v>0</v>
      </c>
      <c r="I1335" s="1" cm="1">
        <f t="array" ref="I1335">SUMPRODUCT(("T_B_u-HYBDSL-S4"=[1]OUT_TransportEnergyCons!$A$3:$A$1000)*1,("Var_Fin"=[1]OUT_TransportEnergyCons!$B$3:$B$1000)*1,ISNUMBER(SEARCH("DSL",[1]OUT_TransportEnergyCons!$C$3:$C$1000))*1,[1]OUT_TransportEnergyCons!G$3:G$1000)</f>
        <v>0</v>
      </c>
      <c r="J1335" s="1" cm="1">
        <f t="array" ref="J1335">SUMPRODUCT(("T_B_u-HYBDSL-S4"=[2]OUT_TransportEnergyCons!$A$3:$A$1000)*1,("Var_Fin"=[2]OUT_TransportEnergyCons!$B$3:$B$1000)*1,ISNUMBER(SEARCH("DSL",[2]OUT_TransportEnergyCons!$C$3:$C$1000))*1,[2]OUT_TransportEnergyCons!H$3:H$1000)</f>
        <v>4.3881177864423218E-5</v>
      </c>
      <c r="K1335" s="1" cm="1">
        <f t="array" ref="K1335">SUMPRODUCT(("T_B_u-HYBDSL-S4"=[2]OUT_TransportEnergyCons!$A$3:$A$1000)*1,("Var_Fin"=[2]OUT_TransportEnergyCons!$B$3:$B$1000)*1,ISNUMBER(SEARCH("DSL",[2]OUT_TransportEnergyCons!$C$3:$C$1000))*1,[2]OUT_TransportEnergyCons!I$3:I$1000)</f>
        <v>5.0103679518972169E-5</v>
      </c>
      <c r="L1335" s="1" cm="1">
        <f t="array" ref="L1335">SUMPRODUCT(("T_B_u-HYBDSL-S4"=[2]OUT_TransportEnergyCons!$A$3:$A$1000)*1,("Var_Fin"=[2]OUT_TransportEnergyCons!$B$3:$B$1000)*1,ISNUMBER(SEARCH("DSL",[2]OUT_TransportEnergyCons!$C$3:$C$1000))*1,[2]OUT_TransportEnergyCons!J$3:J$1000)</f>
        <v>6.6171325240219995E-6</v>
      </c>
      <c r="N1335" s="1"/>
    </row>
    <row r="1336" spans="2:14" x14ac:dyDescent="0.35">
      <c r="B1336" s="5" t="str">
        <f t="shared" si="1406"/>
        <v>SPS1</v>
      </c>
      <c r="C1336" s="5" t="str">
        <f t="shared" si="1407"/>
        <v>CH</v>
      </c>
      <c r="D1336" t="s">
        <v>2000</v>
      </c>
      <c r="E1336" t="s">
        <v>8</v>
      </c>
      <c r="F1336" s="1" cm="1">
        <f t="array" ref="F1336">SUMPRODUCT(("T_B_u-ICEDSLEXT"=[1]OUT_TransportEnergyCons!$A$3:$A$1000)*1,("Var_Fin"=[1]OUT_TransportEnergyCons!$B$3:$B$1000)*1,ISNUMBER(SEARCH("DSL",[1]OUT_TransportEnergyCons!$C$3:$C$1000))*1,[1]OUT_TransportEnergyCons!D$3:D$1000)</f>
        <v>1.734020441062115E-2</v>
      </c>
      <c r="G1336" s="1" cm="1">
        <f t="array" ref="G1336">SUMPRODUCT(("T_B_u-ICEDSLEXT"=[1]OUT_TransportEnergyCons!$A$3:$A$1000)*1,("Var_Fin"=[1]OUT_TransportEnergyCons!$B$3:$B$1000)*1,ISNUMBER(SEARCH("DSL",[1]OUT_TransportEnergyCons!$C$3:$C$1000))*1,[1]OUT_TransportEnergyCons!E$3:E$1000)</f>
        <v>1.7318128685537313E-2</v>
      </c>
      <c r="H1336" s="1" cm="1">
        <f t="array" ref="H1336">SUMPRODUCT(("T_B_u-ICEDSLEXT"=[1]OUT_TransportEnergyCons!$A$3:$A$1000)*1,("Var_Fin"=[1]OUT_TransportEnergyCons!$B$3:$B$1000)*1,ISNUMBER(SEARCH("DSL",[1]OUT_TransportEnergyCons!$C$3:$C$1000))*1,[1]OUT_TransportEnergyCons!F$3:F$1000)</f>
        <v>1.7250406276365121E-2</v>
      </c>
      <c r="I1336" s="1" cm="1">
        <f t="array" ref="I1336">SUMPRODUCT(("T_B_u-ICEDSLEXT"=[1]OUT_TransportEnergyCons!$A$3:$A$1000)*1,("Var_Fin"=[1]OUT_TransportEnergyCons!$B$3:$B$1000)*1,ISNUMBER(SEARCH("DSL",[1]OUT_TransportEnergyCons!$C$3:$C$1000))*1,[1]OUT_TransportEnergyCons!G$3:G$1000)</f>
        <v>0</v>
      </c>
      <c r="J1336" s="1" cm="1">
        <f t="array" ref="J1336">SUMPRODUCT(("T_B_u-ICEDSLEXT"=[2]OUT_TransportEnergyCons!$A$3:$A$1000)*1,("Var_Fin"=[2]OUT_TransportEnergyCons!$B$3:$B$1000)*1,ISNUMBER(SEARCH("DSL",[2]OUT_TransportEnergyCons!$C$3:$C$1000))*1,[2]OUT_TransportEnergyCons!H$3:H$1000)</f>
        <v>0</v>
      </c>
      <c r="K1336" s="1" cm="1">
        <f t="array" ref="K1336">SUMPRODUCT(("T_B_u-ICEDSLEXT"=[2]OUT_TransportEnergyCons!$A$3:$A$1000)*1,("Var_Fin"=[2]OUT_TransportEnergyCons!$B$3:$B$1000)*1,ISNUMBER(SEARCH("DSL",[2]OUT_TransportEnergyCons!$C$3:$C$1000))*1,[2]OUT_TransportEnergyCons!I$3:I$1000)</f>
        <v>0</v>
      </c>
      <c r="L1336" s="1" cm="1">
        <f t="array" ref="L1336">SUMPRODUCT(("T_B_u-ICEDSLEXT"=[2]OUT_TransportEnergyCons!$A$3:$A$1000)*1,("Var_Fin"=[2]OUT_TransportEnergyCons!$B$3:$B$1000)*1,ISNUMBER(SEARCH("DSL",[2]OUT_TransportEnergyCons!$C$3:$C$1000))*1,[2]OUT_TransportEnergyCons!J$3:J$1000)</f>
        <v>0</v>
      </c>
      <c r="N1336" s="1"/>
    </row>
    <row r="1337" spans="2:14" x14ac:dyDescent="0.35">
      <c r="B1337" s="5" t="str">
        <f t="shared" si="1406"/>
        <v>SPS1</v>
      </c>
      <c r="C1337" s="5" t="str">
        <f t="shared" si="1407"/>
        <v>CH</v>
      </c>
      <c r="D1337" t="s">
        <v>1326</v>
      </c>
      <c r="E1337" t="s">
        <v>8</v>
      </c>
      <c r="F1337" s="1" cm="1">
        <f t="array" ref="F1337">SUMPRODUCT(("T_B_u-ICEDSL-S1"=[1]OUT_TransportEnergyCons!$A$3:$A$1000)*1,("Var_Fin"=[1]OUT_TransportEnergyCons!$B$3:$B$1000)*1,ISNUMBER(SEARCH("DSL",[1]OUT_TransportEnergyCons!$C$3:$C$1000))*1,[1]OUT_TransportEnergyCons!D$3:D$1000)</f>
        <v>2.6696798025911716E-4</v>
      </c>
      <c r="G1337" s="1" cm="1">
        <f t="array" ref="G1337">SUMPRODUCT(("T_B_u-ICEDSL-S1"=[1]OUT_TransportEnergyCons!$A$3:$A$1000)*1,("Var_Fin"=[1]OUT_TransportEnergyCons!$B$3:$B$1000)*1,ISNUMBER(SEARCH("DSL",[1]OUT_TransportEnergyCons!$C$3:$C$1000))*1,[1]OUT_TransportEnergyCons!E$3:E$1000)</f>
        <v>2.0505342942390352E-3</v>
      </c>
      <c r="H1337" s="1" cm="1">
        <f t="array" ref="H1337">SUMPRODUCT(("T_B_u-ICEDSL-S1"=[1]OUT_TransportEnergyCons!$A$3:$A$1000)*1,("Var_Fin"=[1]OUT_TransportEnergyCons!$B$3:$B$1000)*1,ISNUMBER(SEARCH("DSL",[1]OUT_TransportEnergyCons!$C$3:$C$1000))*1,[1]OUT_TransportEnergyCons!F$3:F$1000)</f>
        <v>0.20565837985425528</v>
      </c>
      <c r="I1337" s="1" cm="1">
        <f t="array" ref="I1337">SUMPRODUCT(("T_B_u-ICEDSL-S1"=[1]OUT_TransportEnergyCons!$A$3:$A$1000)*1,("Var_Fin"=[1]OUT_TransportEnergyCons!$B$3:$B$1000)*1,ISNUMBER(SEARCH("DSL",[1]OUT_TransportEnergyCons!$C$3:$C$1000))*1,[1]OUT_TransportEnergyCons!G$3:G$1000)</f>
        <v>4.0539411930982129E-5</v>
      </c>
      <c r="J1337" s="1" cm="1">
        <f t="array" ref="J1337">SUMPRODUCT(("T_B_u-ICEDSL-S1"=[2]OUT_TransportEnergyCons!$A$3:$A$1000)*1,("Var_Fin"=[2]OUT_TransportEnergyCons!$B$3:$B$1000)*1,ISNUMBER(SEARCH("DSL",[2]OUT_TransportEnergyCons!$C$3:$C$1000))*1,[2]OUT_TransportEnergyCons!H$3:H$1000)</f>
        <v>0</v>
      </c>
      <c r="K1337" s="1" cm="1">
        <f t="array" ref="K1337">SUMPRODUCT(("T_B_u-ICEDSL-S1"=[2]OUT_TransportEnergyCons!$A$3:$A$1000)*1,("Var_Fin"=[2]OUT_TransportEnergyCons!$B$3:$B$1000)*1,ISNUMBER(SEARCH("DSL",[2]OUT_TransportEnergyCons!$C$3:$C$1000))*1,[2]OUT_TransportEnergyCons!I$3:I$1000)</f>
        <v>0</v>
      </c>
      <c r="L1337" s="1" cm="1">
        <f t="array" ref="L1337">SUMPRODUCT(("T_B_u-ICEDSL-S1"=[2]OUT_TransportEnergyCons!$A$3:$A$1000)*1,("Var_Fin"=[2]OUT_TransportEnergyCons!$B$3:$B$1000)*1,ISNUMBER(SEARCH("DSL",[2]OUT_TransportEnergyCons!$C$3:$C$1000))*1,[2]OUT_TransportEnergyCons!J$3:J$1000)</f>
        <v>0</v>
      </c>
      <c r="N1337" s="1"/>
    </row>
    <row r="1338" spans="2:14" x14ac:dyDescent="0.35">
      <c r="B1338" s="5" t="str">
        <f t="shared" si="1406"/>
        <v>SPS1</v>
      </c>
      <c r="C1338" s="5" t="str">
        <f t="shared" si="1407"/>
        <v>CH</v>
      </c>
      <c r="D1338" t="s">
        <v>1327</v>
      </c>
      <c r="E1338" t="s">
        <v>8</v>
      </c>
      <c r="F1338" s="1" cm="1">
        <f t="array" ref="F1338">SUMPRODUCT(("T_B_u-ICEDSL-S2"=[1]OUT_TransportEnergyCons!$A$3:$A$1000)*1,("Var_Fin"=[1]OUT_TransportEnergyCons!$B$3:$B$1000)*1,ISNUMBER(SEARCH("DSL",[1]OUT_TransportEnergyCons!$C$3:$C$1000))*1,[1]OUT_TransportEnergyCons!D$3:D$1000)</f>
        <v>0.1111891794332994</v>
      </c>
      <c r="G1338" s="1" cm="1">
        <f t="array" ref="G1338">SUMPRODUCT(("T_B_u-ICEDSL-S2"=[1]OUT_TransportEnergyCons!$A$3:$A$1000)*1,("Var_Fin"=[1]OUT_TransportEnergyCons!$B$3:$B$1000)*1,ISNUMBER(SEARCH("DSL",[1]OUT_TransportEnergyCons!$C$3:$C$1000))*1,[1]OUT_TransportEnergyCons!E$3:E$1000)</f>
        <v>0.13536964687649622</v>
      </c>
      <c r="H1338" s="1" cm="1">
        <f t="array" ref="H1338">SUMPRODUCT(("T_B_u-ICEDSL-S2"=[1]OUT_TransportEnergyCons!$A$3:$A$1000)*1,("Var_Fin"=[1]OUT_TransportEnergyCons!$B$3:$B$1000)*1,ISNUMBER(SEARCH("DSL",[1]OUT_TransportEnergyCons!$C$3:$C$1000))*1,[1]OUT_TransportEnergyCons!F$3:F$1000)</f>
        <v>0.22147796109758797</v>
      </c>
      <c r="I1338" s="1" cm="1">
        <f t="array" ref="I1338">SUMPRODUCT(("T_B_u-ICEDSL-S2"=[1]OUT_TransportEnergyCons!$A$3:$A$1000)*1,("Var_Fin"=[1]OUT_TransportEnergyCons!$B$3:$B$1000)*1,ISNUMBER(SEARCH("DSL",[1]OUT_TransportEnergyCons!$C$3:$C$1000))*1,[1]OUT_TransportEnergyCons!G$3:G$1000)</f>
        <v>0</v>
      </c>
      <c r="J1338" s="1" cm="1">
        <f t="array" ref="J1338">SUMPRODUCT(("T_B_u-ICEDSL-S2"=[2]OUT_TransportEnergyCons!$A$3:$A$1000)*1,("Var_Fin"=[2]OUT_TransportEnergyCons!$B$3:$B$1000)*1,ISNUMBER(SEARCH("DSL",[2]OUT_TransportEnergyCons!$C$3:$C$1000))*1,[2]OUT_TransportEnergyCons!H$3:H$1000)</f>
        <v>0</v>
      </c>
      <c r="K1338" s="1" cm="1">
        <f t="array" ref="K1338">SUMPRODUCT(("T_B_u-ICEDSL-S2"=[2]OUT_TransportEnergyCons!$A$3:$A$1000)*1,("Var_Fin"=[2]OUT_TransportEnergyCons!$B$3:$B$1000)*1,ISNUMBER(SEARCH("DSL",[2]OUT_TransportEnergyCons!$C$3:$C$1000))*1,[2]OUT_TransportEnergyCons!I$3:I$1000)</f>
        <v>0</v>
      </c>
      <c r="L1338" s="1" cm="1">
        <f t="array" ref="L1338">SUMPRODUCT(("T_B_u-ICEDSL-S2"=[2]OUT_TransportEnergyCons!$A$3:$A$1000)*1,("Var_Fin"=[2]OUT_TransportEnergyCons!$B$3:$B$1000)*1,ISNUMBER(SEARCH("DSL",[2]OUT_TransportEnergyCons!$C$3:$C$1000))*1,[2]OUT_TransportEnergyCons!J$3:J$1000)</f>
        <v>0</v>
      </c>
      <c r="N1338" s="1"/>
    </row>
    <row r="1339" spans="2:14" x14ac:dyDescent="0.35">
      <c r="B1339" s="5" t="str">
        <f t="shared" si="1406"/>
        <v>SPS1</v>
      </c>
      <c r="C1339" s="5" t="str">
        <f t="shared" si="1407"/>
        <v>CH</v>
      </c>
      <c r="D1339" t="s">
        <v>1328</v>
      </c>
      <c r="E1339" t="s">
        <v>8</v>
      </c>
      <c r="F1339" s="1" cm="1">
        <f t="array" ref="F1339">SUMPRODUCT(("T_B_u-ICEDSL-S3"=[1]OUT_TransportEnergyCons!$A$3:$A$1000)*1,("Var_Fin"=[1]OUT_TransportEnergyCons!$B$3:$B$1000)*1,ISNUMBER(SEARCH("DSL",[1]OUT_TransportEnergyCons!$C$3:$C$1000))*1,[1]OUT_TransportEnergyCons!D$3:D$1000)</f>
        <v>0.61108581251506344</v>
      </c>
      <c r="G1339" s="1" cm="1">
        <f t="array" ref="G1339">SUMPRODUCT(("T_B_u-ICEDSL-S3"=[1]OUT_TransportEnergyCons!$A$3:$A$1000)*1,("Var_Fin"=[1]OUT_TransportEnergyCons!$B$3:$B$1000)*1,ISNUMBER(SEARCH("DSL",[1]OUT_TransportEnergyCons!$C$3:$C$1000))*1,[1]OUT_TransportEnergyCons!E$3:E$1000)</f>
        <v>0.8696209884734849</v>
      </c>
      <c r="H1339" s="1" cm="1">
        <f t="array" ref="H1339">SUMPRODUCT(("T_B_u-ICEDSL-S3"=[1]OUT_TransportEnergyCons!$A$3:$A$1000)*1,("Var_Fin"=[1]OUT_TransportEnergyCons!$B$3:$B$1000)*1,ISNUMBER(SEARCH("DSL",[1]OUT_TransportEnergyCons!$C$3:$C$1000))*1,[1]OUT_TransportEnergyCons!F$3:F$1000)</f>
        <v>0.86984131984351143</v>
      </c>
      <c r="I1339" s="1" cm="1">
        <f t="array" ref="I1339">SUMPRODUCT(("T_B_u-ICEDSL-S3"=[1]OUT_TransportEnergyCons!$A$3:$A$1000)*1,("Var_Fin"=[1]OUT_TransportEnergyCons!$B$3:$B$1000)*1,ISNUMBER(SEARCH("DSL",[1]OUT_TransportEnergyCons!$C$3:$C$1000))*1,[1]OUT_TransportEnergyCons!G$3:G$1000)</f>
        <v>0</v>
      </c>
      <c r="J1339" s="1" cm="1">
        <f t="array" ref="J1339">SUMPRODUCT(("T_B_u-ICEDSL-S3"=[2]OUT_TransportEnergyCons!$A$3:$A$1000)*1,("Var_Fin"=[2]OUT_TransportEnergyCons!$B$3:$B$1000)*1,ISNUMBER(SEARCH("DSL",[2]OUT_TransportEnergyCons!$C$3:$C$1000))*1,[2]OUT_TransportEnergyCons!H$3:H$1000)</f>
        <v>0</v>
      </c>
      <c r="K1339" s="1" cm="1">
        <f t="array" ref="K1339">SUMPRODUCT(("T_B_u-ICEDSL-S3"=[2]OUT_TransportEnergyCons!$A$3:$A$1000)*1,("Var_Fin"=[2]OUT_TransportEnergyCons!$B$3:$B$1000)*1,ISNUMBER(SEARCH("DSL",[2]OUT_TransportEnergyCons!$C$3:$C$1000))*1,[2]OUT_TransportEnergyCons!I$3:I$1000)</f>
        <v>0</v>
      </c>
      <c r="L1339" s="1" cm="1">
        <f t="array" ref="L1339">SUMPRODUCT(("T_B_u-ICEDSL-S3"=[2]OUT_TransportEnergyCons!$A$3:$A$1000)*1,("Var_Fin"=[2]OUT_TransportEnergyCons!$B$3:$B$1000)*1,ISNUMBER(SEARCH("DSL",[2]OUT_TransportEnergyCons!$C$3:$C$1000))*1,[2]OUT_TransportEnergyCons!J$3:J$1000)</f>
        <v>0</v>
      </c>
      <c r="N1339" s="1"/>
    </row>
    <row r="1340" spans="2:14" x14ac:dyDescent="0.35">
      <c r="B1340" s="5" t="str">
        <f t="shared" si="1406"/>
        <v>SPS1</v>
      </c>
      <c r="C1340" s="5" t="str">
        <f t="shared" si="1407"/>
        <v>CH</v>
      </c>
      <c r="D1340" t="s">
        <v>1329</v>
      </c>
      <c r="E1340" t="s">
        <v>8</v>
      </c>
      <c r="F1340" s="1" cm="1">
        <f t="array" ref="F1340">SUMPRODUCT(("T_B_u-ICEDSL-S4"=[1]OUT_TransportEnergyCons!$A$3:$A$1000)*1,("Var_Fin"=[1]OUT_TransportEnergyCons!$B$3:$B$1000)*1,ISNUMBER(SEARCH("DSL",[1]OUT_TransportEnergyCons!$C$3:$C$1000))*1,[1]OUT_TransportEnergyCons!D$3:D$1000)</f>
        <v>2.7307495272797899E-3</v>
      </c>
      <c r="G1340" s="1" cm="1">
        <f t="array" ref="G1340">SUMPRODUCT(("T_B_u-ICEDSL-S4"=[1]OUT_TransportEnergyCons!$A$3:$A$1000)*1,("Var_Fin"=[1]OUT_TransportEnergyCons!$B$3:$B$1000)*1,ISNUMBER(SEARCH("DSL",[1]OUT_TransportEnergyCons!$C$3:$C$1000))*1,[1]OUT_TransportEnergyCons!E$3:E$1000)</f>
        <v>0</v>
      </c>
      <c r="H1340" s="1" cm="1">
        <f t="array" ref="H1340">SUMPRODUCT(("T_B_u-ICEDSL-S4"=[1]OUT_TransportEnergyCons!$A$3:$A$1000)*1,("Var_Fin"=[1]OUT_TransportEnergyCons!$B$3:$B$1000)*1,ISNUMBER(SEARCH("DSL",[1]OUT_TransportEnergyCons!$C$3:$C$1000))*1,[1]OUT_TransportEnergyCons!F$3:F$1000)</f>
        <v>1.9279328706352115E-5</v>
      </c>
      <c r="I1340" s="1" cm="1">
        <f t="array" ref="I1340">SUMPRODUCT(("T_B_u-ICEDSL-S4"=[1]OUT_TransportEnergyCons!$A$3:$A$1000)*1,("Var_Fin"=[1]OUT_TransportEnergyCons!$B$3:$B$1000)*1,ISNUMBER(SEARCH("DSL",[1]OUT_TransportEnergyCons!$C$3:$C$1000))*1,[1]OUT_TransportEnergyCons!G$3:G$1000)</f>
        <v>0</v>
      </c>
      <c r="J1340" s="1" cm="1">
        <f t="array" ref="J1340">SUMPRODUCT(("T_B_u-ICEDSL-S4"=[2]OUT_TransportEnergyCons!$A$3:$A$1000)*1,("Var_Fin"=[2]OUT_TransportEnergyCons!$B$3:$B$1000)*1,ISNUMBER(SEARCH("DSL",[2]OUT_TransportEnergyCons!$C$3:$C$1000))*1,[2]OUT_TransportEnergyCons!H$3:H$1000)</f>
        <v>0</v>
      </c>
      <c r="K1340" s="1" cm="1">
        <f t="array" ref="K1340">SUMPRODUCT(("T_B_u-ICEDSL-S4"=[2]OUT_TransportEnergyCons!$A$3:$A$1000)*1,("Var_Fin"=[2]OUT_TransportEnergyCons!$B$3:$B$1000)*1,ISNUMBER(SEARCH("DSL",[2]OUT_TransportEnergyCons!$C$3:$C$1000))*1,[2]OUT_TransportEnergyCons!I$3:I$1000)</f>
        <v>0</v>
      </c>
      <c r="L1340" s="1" cm="1">
        <f t="array" ref="L1340">SUMPRODUCT(("T_B_u-ICEDSL-S4"=[2]OUT_TransportEnergyCons!$A$3:$A$1000)*1,("Var_Fin"=[2]OUT_TransportEnergyCons!$B$3:$B$1000)*1,ISNUMBER(SEARCH("DSL",[2]OUT_TransportEnergyCons!$C$3:$C$1000))*1,[2]OUT_TransportEnergyCons!J$3:J$1000)</f>
        <v>0</v>
      </c>
      <c r="N1340" s="1"/>
    </row>
    <row r="1341" spans="2:14" x14ac:dyDescent="0.35">
      <c r="B1341" s="5" t="str">
        <f t="shared" si="1406"/>
        <v>SPS1</v>
      </c>
      <c r="C1341" s="5" t="str">
        <f t="shared" si="1407"/>
        <v>CH</v>
      </c>
      <c r="D1341" t="s">
        <v>1343</v>
      </c>
      <c r="E1341" t="s">
        <v>8</v>
      </c>
      <c r="F1341" s="1">
        <f>SUM(F1346:F1350)</f>
        <v>3.1691831597449257E-4</v>
      </c>
      <c r="G1341" s="1">
        <f t="shared" ref="G1341:K1341" si="1418">SUM(G1346:G1350)</f>
        <v>4.1387172302789272E-4</v>
      </c>
      <c r="H1341" s="1">
        <f t="shared" si="1418"/>
        <v>1.9951128579102667E-2</v>
      </c>
      <c r="I1341" s="1">
        <f t="shared" si="1418"/>
        <v>6.7942216315705499E-7</v>
      </c>
      <c r="J1341" s="1">
        <f t="shared" si="1418"/>
        <v>5.8946751422486822E-7</v>
      </c>
      <c r="K1341" s="1">
        <f t="shared" si="1418"/>
        <v>9.2645877550116166E-7</v>
      </c>
      <c r="L1341" s="1">
        <f t="shared" ref="L1341" si="1419">SUM(L1346:L1350)</f>
        <v>0</v>
      </c>
      <c r="N1341" s="1"/>
    </row>
    <row r="1342" spans="2:14" x14ac:dyDescent="0.35">
      <c r="B1342" s="5" t="str">
        <f t="shared" si="1406"/>
        <v>SPS1</v>
      </c>
      <c r="C1342" s="5" t="str">
        <f t="shared" si="1407"/>
        <v>CH</v>
      </c>
      <c r="D1342" t="s">
        <v>1344</v>
      </c>
      <c r="E1342" t="s">
        <v>8</v>
      </c>
      <c r="F1342" s="1">
        <f>IF(F1341-F1343&lt;0,0,F1341-F1343)</f>
        <v>2.9320104909773406E-4</v>
      </c>
      <c r="G1342" s="1">
        <f t="shared" ref="G1342:L1342" si="1420">IF(G1341-G1343&lt;0,0,G1341-G1343)</f>
        <v>3.7324199128425185E-4</v>
      </c>
      <c r="H1342" s="1">
        <f t="shared" si="1420"/>
        <v>1.8120067605687757E-2</v>
      </c>
      <c r="I1342" s="1">
        <f t="shared" si="1420"/>
        <v>6.5286035832003786E-7</v>
      </c>
      <c r="J1342" s="1">
        <f t="shared" si="1420"/>
        <v>0</v>
      </c>
      <c r="K1342" s="1">
        <f t="shared" si="1420"/>
        <v>0</v>
      </c>
      <c r="L1342" s="1">
        <f t="shared" si="1420"/>
        <v>0</v>
      </c>
      <c r="N1342" s="1"/>
    </row>
    <row r="1343" spans="2:14" x14ac:dyDescent="0.35">
      <c r="B1343" s="5" t="str">
        <f t="shared" si="1406"/>
        <v>SPS1</v>
      </c>
      <c r="C1343" s="5" t="str">
        <f t="shared" si="1407"/>
        <v>CH</v>
      </c>
      <c r="D1343" t="s">
        <v>1345</v>
      </c>
      <c r="E1343" t="s">
        <v>8</v>
      </c>
      <c r="F1343" s="1">
        <f>SUM(F1344:F1345)</f>
        <v>2.3717266876758502E-5</v>
      </c>
      <c r="G1343" s="1">
        <f t="shared" ref="G1343" si="1421">SUM(G1344:G1345)</f>
        <v>4.062973174364086E-5</v>
      </c>
      <c r="H1343" s="1">
        <f t="shared" ref="H1343" si="1422">SUM(H1344:H1345)</f>
        <v>1.831060973414909E-3</v>
      </c>
      <c r="I1343" s="1">
        <f t="shared" ref="I1343" si="1423">SUM(I1344:I1345)</f>
        <v>2.6561804837017107E-8</v>
      </c>
      <c r="J1343" s="1">
        <f t="shared" ref="J1343" si="1424">SUM(J1344:J1345)</f>
        <v>1.2238854216273609E-4</v>
      </c>
      <c r="K1343" s="1">
        <f t="shared" ref="K1343:L1343" si="1425">SUM(K1344:K1345)</f>
        <v>1.2018221145992314E-5</v>
      </c>
      <c r="L1343" s="1">
        <f t="shared" si="1425"/>
        <v>0</v>
      </c>
      <c r="N1343" s="1"/>
    </row>
    <row r="1344" spans="2:14" x14ac:dyDescent="0.35">
      <c r="B1344" s="5" t="str">
        <f t="shared" si="1406"/>
        <v>SPS1</v>
      </c>
      <c r="C1344" s="5" t="str">
        <f t="shared" si="1407"/>
        <v>CH</v>
      </c>
      <c r="D1344" t="s">
        <v>1346</v>
      </c>
      <c r="E1344" t="s">
        <v>8</v>
      </c>
      <c r="F1344" s="1">
        <f>[1]Transport!B$27/SUM([1]Transport!B$24,[1]Transport!B$27)*F1341*(F$47+F$614)/(F$47+F$614+F$49)</f>
        <v>2.3717266876758502E-5</v>
      </c>
      <c r="G1344" s="1">
        <f>[1]Transport!C$27/SUM([1]Transport!C$24,[1]Transport!C$27)*G1341*(G$47+G$614)/(G$47+G$614+G$49)</f>
        <v>4.062973174364086E-5</v>
      </c>
      <c r="H1344" s="1">
        <f>[1]Transport!D$27/SUM([1]Transport!D$24,[1]Transport!D$27)*H1341*(H$47+H$614)/(H$47+H$614+H$49)</f>
        <v>1.831060973414909E-3</v>
      </c>
      <c r="I1344" s="1">
        <f>[1]Transport!E$27/SUM([1]Transport!E$24,[1]Transport!E$27)*I1341*(I$47+I$614)/(I$47+I$614+I$49)</f>
        <v>2.6561804837017107E-8</v>
      </c>
      <c r="J1344" s="1">
        <f>[2]Transport!F$27/SUM([2]Transport!F$24,[2]Transport!F$27)*J1341*(J$47+J$614)/(J$47+J$614+J$49)</f>
        <v>9.9963844942389148E-8</v>
      </c>
      <c r="K1344" s="1">
        <f>[2]Transport!G$27/SUM([2]Transport!G$24,[2]Transport!G$27)*K1341*(K$47+K$614)/(K$47+K$614+K$49)</f>
        <v>2.0719149971776366E-8</v>
      </c>
      <c r="L1344" s="1">
        <f>[2]Transport!H$27/SUM([2]Transport!H$24,[2]Transport!H$27)*L1341*(L$47+L$614)/(L$47+L$614+L$49)</f>
        <v>0</v>
      </c>
      <c r="N1344" s="1"/>
    </row>
    <row r="1345" spans="2:14" x14ac:dyDescent="0.35">
      <c r="B1345" s="5" t="str">
        <f t="shared" si="1406"/>
        <v>SPS1</v>
      </c>
      <c r="C1345" s="5" t="str">
        <f t="shared" si="1407"/>
        <v>CH</v>
      </c>
      <c r="D1345" t="s">
        <v>1347</v>
      </c>
      <c r="E1345" t="s">
        <v>8</v>
      </c>
      <c r="F1345" s="1">
        <f>(F$49+F$716)/([1]Transport!B$24+[1]Transport!B$27)*F1341</f>
        <v>0</v>
      </c>
      <c r="G1345" s="1">
        <f>(G$49+G$716)/([1]Transport!C$24+[1]Transport!C$27)*G1341</f>
        <v>0</v>
      </c>
      <c r="H1345" s="1">
        <f>(H$49+H$716)/([1]Transport!D$24+[1]Transport!D$27)*H1341</f>
        <v>0</v>
      </c>
      <c r="I1345" s="1">
        <f>(I$49+I$716)/([1]Transport!E$24+[1]Transport!E$27)*I1341</f>
        <v>0</v>
      </c>
      <c r="J1345" s="1">
        <f>(J$49+J$716)/([2]Transport!F$24+[2]Transport!F$27)*J1341</f>
        <v>1.2228857831779371E-4</v>
      </c>
      <c r="K1345" s="1">
        <f>(K$49+K$716)/([2]Transport!G$24+[2]Transport!G$27)*K1341</f>
        <v>1.1997501996020538E-5</v>
      </c>
      <c r="L1345" s="1">
        <f>(L$49+L$716)/([2]Transport!H$24+[2]Transport!H$27)*L1341</f>
        <v>0</v>
      </c>
      <c r="N1345" s="1"/>
    </row>
    <row r="1346" spans="2:14" x14ac:dyDescent="0.35">
      <c r="B1346" s="5" t="str">
        <f t="shared" si="1406"/>
        <v>SPS1</v>
      </c>
      <c r="C1346" s="5" t="str">
        <f t="shared" si="1407"/>
        <v>CH</v>
      </c>
      <c r="D1346" t="s">
        <v>2004</v>
      </c>
      <c r="E1346" t="s">
        <v>8</v>
      </c>
      <c r="F1346" s="1" cm="1">
        <f t="array" ref="F1346">SUMPRODUCT(("T_B_u-ICEngaEXT"=[1]OUT_TransportEnergyCons!$A$3:$A$1000)*1,("Var_Fin"=[1]OUT_TransportEnergyCons!$B$3:$B$1000)*1,ISNUMBER(SEARCH("nga",[1]OUT_TransportEnergyCons!$C$3:$C$1000))*1,[1]OUT_TransportEnergyCons!D$3:D$1000)</f>
        <v>3.1691831597449257E-4</v>
      </c>
      <c r="G1346" s="1" cm="1">
        <f t="array" ref="G1346">SUMPRODUCT(("T_B_u-ICEngaEXT"=[1]OUT_TransportEnergyCons!$A$3:$A$1000)*1,("Var_Fin"=[1]OUT_TransportEnergyCons!$B$3:$B$1000)*1,ISNUMBER(SEARCH("nga",[1]OUT_TransportEnergyCons!$C$3:$C$1000))*1,[1]OUT_TransportEnergyCons!E$3:E$1000)</f>
        <v>3.1703731276118408E-4</v>
      </c>
      <c r="H1346" s="1" cm="1">
        <f t="array" ref="H1346">SUMPRODUCT(("T_B_u-ICEngaEXT"=[1]OUT_TransportEnergyCons!$A$3:$A$1000)*1,("Var_Fin"=[1]OUT_TransportEnergyCons!$B$3:$B$1000)*1,ISNUMBER(SEARCH("nga",[1]OUT_TransportEnergyCons!$C$3:$C$1000))*1,[1]OUT_TransportEnergyCons!F$3:F$1000)</f>
        <v>3.1601171693079684E-4</v>
      </c>
      <c r="I1346" s="1" cm="1">
        <f t="array" ref="I1346">SUMPRODUCT(("T_B_u-ICEngaEXT"=[1]OUT_TransportEnergyCons!$A$3:$A$1000)*1,("Var_Fin"=[1]OUT_TransportEnergyCons!$B$3:$B$1000)*1,ISNUMBER(SEARCH("nga",[1]OUT_TransportEnergyCons!$C$3:$C$1000))*1,[1]OUT_TransportEnergyCons!G$3:G$1000)</f>
        <v>0</v>
      </c>
      <c r="J1346" s="1" cm="1">
        <f t="array" ref="J1346">SUMPRODUCT(("T_B_u-ICEngaEXT"=[2]OUT_TransportEnergyCons!$A$3:$A$1000)*1,("Var_Fin"=[2]OUT_TransportEnergyCons!$B$3:$B$1000)*1,ISNUMBER(SEARCH("nga",[2]OUT_TransportEnergyCons!$C$3:$C$1000))*1,[2]OUT_TransportEnergyCons!H$3:H$1000)</f>
        <v>0</v>
      </c>
      <c r="K1346" s="1" cm="1">
        <f t="array" ref="K1346">SUMPRODUCT(("T_B_u-ICEngaEXT"=[2]OUT_TransportEnergyCons!$A$3:$A$1000)*1,("Var_Fin"=[2]OUT_TransportEnergyCons!$B$3:$B$1000)*1,ISNUMBER(SEARCH("nga",[2]OUT_TransportEnergyCons!$C$3:$C$1000))*1,[2]OUT_TransportEnergyCons!I$3:I$1000)</f>
        <v>0</v>
      </c>
      <c r="L1346" s="1" cm="1">
        <f t="array" ref="L1346">SUMPRODUCT(("T_B_u-ICEngaEXT"=[2]OUT_TransportEnergyCons!$A$3:$A$1000)*1,("Var_Fin"=[2]OUT_TransportEnergyCons!$B$3:$B$1000)*1,ISNUMBER(SEARCH("nga",[2]OUT_TransportEnergyCons!$C$3:$C$1000))*1,[2]OUT_TransportEnergyCons!J$3:J$1000)</f>
        <v>0</v>
      </c>
      <c r="N1346" s="1"/>
    </row>
    <row r="1347" spans="2:14" x14ac:dyDescent="0.35">
      <c r="B1347" s="5" t="str">
        <f t="shared" si="1406"/>
        <v>SPS1</v>
      </c>
      <c r="C1347" s="5" t="str">
        <f t="shared" si="1407"/>
        <v>CH</v>
      </c>
      <c r="D1347" t="s">
        <v>1339</v>
      </c>
      <c r="E1347" t="s">
        <v>8</v>
      </c>
      <c r="F1347" s="1" cm="1">
        <f t="array" ref="F1347">SUMPRODUCT(("T_B_u-ICEnga-S1"=[1]OUT_TransportEnergyCons!$A$3:$A$1000)*1,("Var_Fin"=[1]OUT_TransportEnergyCons!$B$3:$B$1000)*1,ISNUMBER(SEARCH("nga",[1]OUT_TransportEnergyCons!$C$3:$C$1000))*1,[1]OUT_TransportEnergyCons!D$3:D$1000)</f>
        <v>0</v>
      </c>
      <c r="G1347" s="1" cm="1">
        <f t="array" ref="G1347">SUMPRODUCT(("T_B_u-ICEnga-S1"=[1]OUT_TransportEnergyCons!$A$3:$A$1000)*1,("Var_Fin"=[1]OUT_TransportEnergyCons!$B$3:$B$1000)*1,ISNUMBER(SEARCH("nga",[1]OUT_TransportEnergyCons!$C$3:$C$1000))*1,[1]OUT_TransportEnergyCons!E$3:E$1000)</f>
        <v>5.5822031598798761E-5</v>
      </c>
      <c r="H1347" s="1" cm="1">
        <f t="array" ref="H1347">SUMPRODUCT(("T_B_u-ICEnga-S1"=[1]OUT_TransportEnergyCons!$A$3:$A$1000)*1,("Var_Fin"=[1]OUT_TransportEnergyCons!$B$3:$B$1000)*1,ISNUMBER(SEARCH("nga",[1]OUT_TransportEnergyCons!$C$3:$C$1000))*1,[1]OUT_TransportEnergyCons!F$3:F$1000)</f>
        <v>3.4893262771444855E-4</v>
      </c>
      <c r="I1347" s="1" cm="1">
        <f t="array" ref="I1347">SUMPRODUCT(("T_B_u-ICEnga-S1"=[1]OUT_TransportEnergyCons!$A$3:$A$1000)*1,("Var_Fin"=[1]OUT_TransportEnergyCons!$B$3:$B$1000)*1,ISNUMBER(SEARCH("nga",[1]OUT_TransportEnergyCons!$C$3:$C$1000))*1,[1]OUT_TransportEnergyCons!G$3:G$1000)</f>
        <v>0</v>
      </c>
      <c r="J1347" s="1" cm="1">
        <f t="array" ref="J1347">SUMPRODUCT(("T_B_u-ICEnga-S1"=[2]OUT_TransportEnergyCons!$A$3:$A$1000)*1,("Var_Fin"=[2]OUT_TransportEnergyCons!$B$3:$B$1000)*1,ISNUMBER(SEARCH("nga",[2]OUT_TransportEnergyCons!$C$3:$C$1000))*1,[2]OUT_TransportEnergyCons!H$3:H$1000)</f>
        <v>5.8946751422486822E-7</v>
      </c>
      <c r="K1347" s="1" cm="1">
        <f t="array" ref="K1347">SUMPRODUCT(("T_B_u-ICEnga-S1"=[2]OUT_TransportEnergyCons!$A$3:$A$1000)*1,("Var_Fin"=[2]OUT_TransportEnergyCons!$B$3:$B$1000)*1,ISNUMBER(SEARCH("nga",[2]OUT_TransportEnergyCons!$C$3:$C$1000))*1,[2]OUT_TransportEnergyCons!I$3:I$1000)</f>
        <v>9.2645877550116166E-7</v>
      </c>
      <c r="L1347" s="1" cm="1">
        <f t="array" ref="L1347">SUMPRODUCT(("T_B_u-ICEnga-S1"=[2]OUT_TransportEnergyCons!$A$3:$A$1000)*1,("Var_Fin"=[2]OUT_TransportEnergyCons!$B$3:$B$1000)*1,ISNUMBER(SEARCH("nga",[2]OUT_TransportEnergyCons!$C$3:$C$1000))*1,[2]OUT_TransportEnergyCons!J$3:J$1000)</f>
        <v>0</v>
      </c>
      <c r="N1347" s="1"/>
    </row>
    <row r="1348" spans="2:14" x14ac:dyDescent="0.35">
      <c r="B1348" s="5" t="str">
        <f t="shared" si="1406"/>
        <v>SPS1</v>
      </c>
      <c r="C1348" s="5" t="str">
        <f t="shared" si="1407"/>
        <v>CH</v>
      </c>
      <c r="D1348" t="s">
        <v>1340</v>
      </c>
      <c r="E1348" t="s">
        <v>8</v>
      </c>
      <c r="F1348" s="1" cm="1">
        <f t="array" ref="F1348">SUMPRODUCT(("T_B_u-ICEnga-S2"=[1]OUT_TransportEnergyCons!$A$3:$A$1000)*1,("Var_Fin"=[1]OUT_TransportEnergyCons!$B$3:$B$1000)*1,ISNUMBER(SEARCH("nga",[1]OUT_TransportEnergyCons!$C$3:$C$1000))*1,[1]OUT_TransportEnergyCons!D$3:D$1000)</f>
        <v>0</v>
      </c>
      <c r="G1348" s="1" cm="1">
        <f t="array" ref="G1348">SUMPRODUCT(("T_B_u-ICEnga-S2"=[1]OUT_TransportEnergyCons!$A$3:$A$1000)*1,("Var_Fin"=[1]OUT_TransportEnergyCons!$B$3:$B$1000)*1,ISNUMBER(SEARCH("nga",[1]OUT_TransportEnergyCons!$C$3:$C$1000))*1,[1]OUT_TransportEnergyCons!E$3:E$1000)</f>
        <v>2.9117340425768286E-5</v>
      </c>
      <c r="H1348" s="1" cm="1">
        <f t="array" ref="H1348">SUMPRODUCT(("T_B_u-ICEnga-S2"=[1]OUT_TransportEnergyCons!$A$3:$A$1000)*1,("Var_Fin"=[1]OUT_TransportEnergyCons!$B$3:$B$1000)*1,ISNUMBER(SEARCH("nga",[1]OUT_TransportEnergyCons!$C$3:$C$1000))*1,[1]OUT_TransportEnergyCons!F$3:F$1000)</f>
        <v>1.9154330899662019E-2</v>
      </c>
      <c r="I1348" s="1" cm="1">
        <f t="array" ref="I1348">SUMPRODUCT(("T_B_u-ICEnga-S2"=[1]OUT_TransportEnergyCons!$A$3:$A$1000)*1,("Var_Fin"=[1]OUT_TransportEnergyCons!$B$3:$B$1000)*1,ISNUMBER(SEARCH("nga",[1]OUT_TransportEnergyCons!$C$3:$C$1000))*1,[1]OUT_TransportEnergyCons!G$3:G$1000)</f>
        <v>0</v>
      </c>
      <c r="J1348" s="1" cm="1">
        <f t="array" ref="J1348">SUMPRODUCT(("T_B_u-ICEnga-S2"=[2]OUT_TransportEnergyCons!$A$3:$A$1000)*1,("Var_Fin"=[2]OUT_TransportEnergyCons!$B$3:$B$1000)*1,ISNUMBER(SEARCH("nga",[2]OUT_TransportEnergyCons!$C$3:$C$1000))*1,[2]OUT_TransportEnergyCons!H$3:H$1000)</f>
        <v>0</v>
      </c>
      <c r="K1348" s="1" cm="1">
        <f t="array" ref="K1348">SUMPRODUCT(("T_B_u-ICEnga-S2"=[2]OUT_TransportEnergyCons!$A$3:$A$1000)*1,("Var_Fin"=[2]OUT_TransportEnergyCons!$B$3:$B$1000)*1,ISNUMBER(SEARCH("nga",[2]OUT_TransportEnergyCons!$C$3:$C$1000))*1,[2]OUT_TransportEnergyCons!I$3:I$1000)</f>
        <v>0</v>
      </c>
      <c r="L1348" s="1" cm="1">
        <f t="array" ref="L1348">SUMPRODUCT(("T_B_u-ICEnga-S2"=[2]OUT_TransportEnergyCons!$A$3:$A$1000)*1,("Var_Fin"=[2]OUT_TransportEnergyCons!$B$3:$B$1000)*1,ISNUMBER(SEARCH("nga",[2]OUT_TransportEnergyCons!$C$3:$C$1000))*1,[2]OUT_TransportEnergyCons!J$3:J$1000)</f>
        <v>0</v>
      </c>
      <c r="N1348" s="1"/>
    </row>
    <row r="1349" spans="2:14" x14ac:dyDescent="0.35">
      <c r="B1349" s="5" t="str">
        <f t="shared" si="1406"/>
        <v>SPS1</v>
      </c>
      <c r="C1349" s="5" t="str">
        <f t="shared" si="1407"/>
        <v>CH</v>
      </c>
      <c r="D1349" t="s">
        <v>1341</v>
      </c>
      <c r="E1349" t="s">
        <v>8</v>
      </c>
      <c r="F1349" s="1" cm="1">
        <f t="array" ref="F1349">SUMPRODUCT(("T_B_u-ICEnga-S3"=[1]OUT_TransportEnergyCons!$A$3:$A$1000)*1,("Var_Fin"=[1]OUT_TransportEnergyCons!$B$3:$B$1000)*1,ISNUMBER(SEARCH("nga",[1]OUT_TransportEnergyCons!$C$3:$C$1000))*1,[1]OUT_TransportEnergyCons!D$3:D$1000)</f>
        <v>0</v>
      </c>
      <c r="G1349" s="1" cm="1">
        <f t="array" ref="G1349">SUMPRODUCT(("T_B_u-ICEnga-S3"=[1]OUT_TransportEnergyCons!$A$3:$A$1000)*1,("Var_Fin"=[1]OUT_TransportEnergyCons!$B$3:$B$1000)*1,ISNUMBER(SEARCH("nga",[1]OUT_TransportEnergyCons!$C$3:$C$1000))*1,[1]OUT_TransportEnergyCons!E$3:E$1000)</f>
        <v>1.1895038242141623E-5</v>
      </c>
      <c r="H1349" s="1" cm="1">
        <f t="array" ref="H1349">SUMPRODUCT(("T_B_u-ICEnga-S3"=[1]OUT_TransportEnergyCons!$A$3:$A$1000)*1,("Var_Fin"=[1]OUT_TransportEnergyCons!$B$3:$B$1000)*1,ISNUMBER(SEARCH("nga",[1]OUT_TransportEnergyCons!$C$3:$C$1000))*1,[1]OUT_TransportEnergyCons!F$3:F$1000)</f>
        <v>1.3185333479540242E-4</v>
      </c>
      <c r="I1349" s="1" cm="1">
        <f t="array" ref="I1349">SUMPRODUCT(("T_B_u-ICEnga-S3"=[1]OUT_TransportEnergyCons!$A$3:$A$1000)*1,("Var_Fin"=[1]OUT_TransportEnergyCons!$B$3:$B$1000)*1,ISNUMBER(SEARCH("nga",[1]OUT_TransportEnergyCons!$C$3:$C$1000))*1,[1]OUT_TransportEnergyCons!G$3:G$1000)</f>
        <v>6.7942216315705499E-7</v>
      </c>
      <c r="J1349" s="1" cm="1">
        <f t="array" ref="J1349">SUMPRODUCT(("T_B_u-ICEnga-S3"=[2]OUT_TransportEnergyCons!$A$3:$A$1000)*1,("Var_Fin"=[2]OUT_TransportEnergyCons!$B$3:$B$1000)*1,ISNUMBER(SEARCH("nga",[2]OUT_TransportEnergyCons!$C$3:$C$1000))*1,[2]OUT_TransportEnergyCons!H$3:H$1000)</f>
        <v>0</v>
      </c>
      <c r="K1349" s="1" cm="1">
        <f t="array" ref="K1349">SUMPRODUCT(("T_B_u-ICEnga-S3"=[2]OUT_TransportEnergyCons!$A$3:$A$1000)*1,("Var_Fin"=[2]OUT_TransportEnergyCons!$B$3:$B$1000)*1,ISNUMBER(SEARCH("nga",[2]OUT_TransportEnergyCons!$C$3:$C$1000))*1,[2]OUT_TransportEnergyCons!I$3:I$1000)</f>
        <v>0</v>
      </c>
      <c r="L1349" s="1" cm="1">
        <f t="array" ref="L1349">SUMPRODUCT(("T_B_u-ICEnga-S3"=[2]OUT_TransportEnergyCons!$A$3:$A$1000)*1,("Var_Fin"=[2]OUT_TransportEnergyCons!$B$3:$B$1000)*1,ISNUMBER(SEARCH("nga",[2]OUT_TransportEnergyCons!$C$3:$C$1000))*1,[2]OUT_TransportEnergyCons!J$3:J$1000)</f>
        <v>0</v>
      </c>
      <c r="N1349" s="1"/>
    </row>
    <row r="1350" spans="2:14" x14ac:dyDescent="0.35">
      <c r="B1350" s="5" t="str">
        <f t="shared" si="1406"/>
        <v>SPS1</v>
      </c>
      <c r="C1350" s="5" t="str">
        <f t="shared" si="1407"/>
        <v>CH</v>
      </c>
      <c r="D1350" t="s">
        <v>1342</v>
      </c>
      <c r="E1350" t="s">
        <v>8</v>
      </c>
      <c r="F1350" s="1" cm="1">
        <f t="array" ref="F1350">SUMPRODUCT(("T_B_u-ICEnga-S4"=[1]OUT_TransportEnergyCons!$A$3:$A$1000)*1,("Var_Fin"=[1]OUT_TransportEnergyCons!$B$3:$B$1000)*1,ISNUMBER(SEARCH("nga",[1]OUT_TransportEnergyCons!$C$3:$C$1000))*1,[1]OUT_TransportEnergyCons!D$3:D$1000)</f>
        <v>0</v>
      </c>
      <c r="G1350" s="1" cm="1">
        <f t="array" ref="G1350">SUMPRODUCT(("T_B_u-ICEnga-S4"=[1]OUT_TransportEnergyCons!$A$3:$A$1000)*1,("Var_Fin"=[1]OUT_TransportEnergyCons!$B$3:$B$1000)*1,ISNUMBER(SEARCH("nga",[1]OUT_TransportEnergyCons!$C$3:$C$1000))*1,[1]OUT_TransportEnergyCons!E$3:E$1000)</f>
        <v>0</v>
      </c>
      <c r="H1350" s="1" cm="1">
        <f t="array" ref="H1350">SUMPRODUCT(("T_B_u-ICEnga-S4"=[1]OUT_TransportEnergyCons!$A$3:$A$1000)*1,("Var_Fin"=[1]OUT_TransportEnergyCons!$B$3:$B$1000)*1,ISNUMBER(SEARCH("nga",[1]OUT_TransportEnergyCons!$C$3:$C$1000))*1,[1]OUT_TransportEnergyCons!F$3:F$1000)</f>
        <v>0</v>
      </c>
      <c r="I1350" s="1" cm="1">
        <f t="array" ref="I1350">SUMPRODUCT(("T_B_u-ICEnga-S4"=[1]OUT_TransportEnergyCons!$A$3:$A$1000)*1,("Var_Fin"=[1]OUT_TransportEnergyCons!$B$3:$B$1000)*1,ISNUMBER(SEARCH("nga",[1]OUT_TransportEnergyCons!$C$3:$C$1000))*1,[1]OUT_TransportEnergyCons!G$3:G$1000)</f>
        <v>0</v>
      </c>
      <c r="J1350" s="1" cm="1">
        <f t="array" ref="J1350">SUMPRODUCT(("T_B_u-ICEnga-S4"=[2]OUT_TransportEnergyCons!$A$3:$A$1000)*1,("Var_Fin"=[2]OUT_TransportEnergyCons!$B$3:$B$1000)*1,ISNUMBER(SEARCH("nga",[2]OUT_TransportEnergyCons!$C$3:$C$1000))*1,[2]OUT_TransportEnergyCons!H$3:H$1000)</f>
        <v>0</v>
      </c>
      <c r="K1350" s="1" cm="1">
        <f t="array" ref="K1350">SUMPRODUCT(("T_B_u-ICEnga-S4"=[2]OUT_TransportEnergyCons!$A$3:$A$1000)*1,("Var_Fin"=[2]OUT_TransportEnergyCons!$B$3:$B$1000)*1,ISNUMBER(SEARCH("nga",[2]OUT_TransportEnergyCons!$C$3:$C$1000))*1,[2]OUT_TransportEnergyCons!I$3:I$1000)</f>
        <v>0</v>
      </c>
      <c r="L1350" s="1" cm="1">
        <f t="array" ref="L1350">SUMPRODUCT(("T_B_u-ICEnga-S4"=[2]OUT_TransportEnergyCons!$A$3:$A$1000)*1,("Var_Fin"=[2]OUT_TransportEnergyCons!$B$3:$B$1000)*1,ISNUMBER(SEARCH("nga",[2]OUT_TransportEnergyCons!$C$3:$C$1000))*1,[2]OUT_TransportEnergyCons!J$3:J$1000)</f>
        <v>0</v>
      </c>
      <c r="N1350" s="1"/>
    </row>
    <row r="1351" spans="2:14" x14ac:dyDescent="0.35">
      <c r="B1351" s="5" t="str">
        <f>B1350</f>
        <v>SPS1</v>
      </c>
      <c r="C1351" s="5" t="str">
        <f>C1350</f>
        <v>CH</v>
      </c>
      <c r="D1351" s="2" t="s">
        <v>1348</v>
      </c>
      <c r="E1351" s="2" t="s">
        <v>1131</v>
      </c>
      <c r="F1351" s="3">
        <f>SUM(F1352:F1374)</f>
        <v>0.29537272433911166</v>
      </c>
      <c r="G1351" s="3">
        <f t="shared" ref="G1351:K1351" si="1426">SUM(G1352:G1374)</f>
        <v>0.30114724037046664</v>
      </c>
      <c r="H1351" s="3">
        <f t="shared" si="1426"/>
        <v>0.30907101307033052</v>
      </c>
      <c r="I1351" s="3">
        <f t="shared" si="1426"/>
        <v>0.32278696297761839</v>
      </c>
      <c r="J1351" s="3">
        <f t="shared" si="1426"/>
        <v>0.33687962396943566</v>
      </c>
      <c r="K1351" s="3">
        <f t="shared" si="1426"/>
        <v>0.35121110964647606</v>
      </c>
      <c r="L1351" s="3">
        <f t="shared" ref="L1351" si="1427">SUM(L1352:L1374)</f>
        <v>0.37570111134881284</v>
      </c>
      <c r="N1351" s="1"/>
    </row>
    <row r="1352" spans="2:14" x14ac:dyDescent="0.35">
      <c r="B1352" s="5" t="str">
        <f>B1351</f>
        <v>SPS1</v>
      </c>
      <c r="C1352" s="5" t="str">
        <f>C1351</f>
        <v>CH</v>
      </c>
      <c r="D1352" t="s">
        <v>1349</v>
      </c>
      <c r="E1352" t="str">
        <f>E1351</f>
        <v>billion km/yr.</v>
      </c>
      <c r="F1352" s="1" cm="1">
        <f t="array" ref="F1352">SUMPRODUCT(("T_B_u-BeVELCEXT"=[1]OUT_TransportEnergyCons!$A$3:$A$1000)*1,("var_fout"=[1]OUT_TransportEnergyCons!$B$3:$B$1000)*1,ISNUMBER(SEARCH("tpbsu",[1]OUT_TransportEnergyCons!$C$3:$C$1000))*1,[1]OUT_TransportEnergyCons!D$3:D$1000)</f>
        <v>2.0002679297283338E-3</v>
      </c>
      <c r="G1352" s="1" cm="1">
        <f t="array" ref="G1352">SUMPRODUCT(("T_B_u-BeVELCEXT"=[1]OUT_TransportEnergyCons!$A$3:$A$1000)*1,("var_fout"=[1]OUT_TransportEnergyCons!$B$3:$B$1000)*1,ISNUMBER(SEARCH("tpbsu",[1]OUT_TransportEnergyCons!$C$3:$C$1000))*1,[1]OUT_TransportEnergyCons!E$3:E$1000)</f>
        <v>1.6048441278206048E-3</v>
      </c>
      <c r="H1352" s="1" cm="1">
        <f t="array" ref="H1352">SUMPRODUCT(("T_B_u-BeVELCEXT"=[1]OUT_TransportEnergyCons!$A$3:$A$1000)*1,("var_fout"=[1]OUT_TransportEnergyCons!$B$3:$B$1000)*1,ISNUMBER(SEARCH("tpbsu",[1]OUT_TransportEnergyCons!$C$3:$C$1000))*1,[1]OUT_TransportEnergyCons!F$3:F$1000)</f>
        <v>1.0027726390878812E-3</v>
      </c>
      <c r="I1352" s="1" cm="1">
        <f t="array" ref="I1352">SUMPRODUCT(("T_B_u-BeVELCEXT"=[1]OUT_TransportEnergyCons!$A$3:$A$1000)*1,("var_fout"=[1]OUT_TransportEnergyCons!$B$3:$B$1000)*1,ISNUMBER(SEARCH("tpbsu",[1]OUT_TransportEnergyCons!$C$3:$C$1000))*1,[1]OUT_TransportEnergyCons!G$3:G$1000)</f>
        <v>0</v>
      </c>
      <c r="J1352" s="1" cm="1">
        <f t="array" ref="J1352">SUMPRODUCT(("T_B_u-BeVELCEXT"=[2]OUT_TransportEnergyCons!$A$3:$A$1000)*1,("var_fout"=[2]OUT_TransportEnergyCons!$B$3:$B$1000)*1,ISNUMBER(SEARCH("tpbsu",[2]OUT_TransportEnergyCons!$C$3:$C$1000))*1,[2]OUT_TransportEnergyCons!H$3:H$1000)</f>
        <v>0</v>
      </c>
      <c r="K1352" s="1" cm="1">
        <f t="array" ref="K1352">SUMPRODUCT(("T_B_u-BeVELCEXT"=[2]OUT_TransportEnergyCons!$A$3:$A$1000)*1,("var_fout"=[2]OUT_TransportEnergyCons!$B$3:$B$1000)*1,ISNUMBER(SEARCH("tpbsu",[2]OUT_TransportEnergyCons!$C$3:$C$1000))*1,[2]OUT_TransportEnergyCons!I$3:I$1000)</f>
        <v>0</v>
      </c>
      <c r="L1352" s="1" cm="1">
        <f t="array" ref="L1352">SUMPRODUCT(("T_B_u-BeVELCEXT"=[2]OUT_TransportEnergyCons!$A$3:$A$1000)*1,("var_fout"=[2]OUT_TransportEnergyCons!$B$3:$B$1000)*1,ISNUMBER(SEARCH("tpbsu",[2]OUT_TransportEnergyCons!$C$3:$C$1000))*1,[2]OUT_TransportEnergyCons!J$3:J$1000)</f>
        <v>0</v>
      </c>
      <c r="N1352" s="1"/>
    </row>
    <row r="1353" spans="2:14" x14ac:dyDescent="0.35">
      <c r="B1353" s="5" t="str">
        <f t="shared" ref="B1353:B1374" si="1428">B1352</f>
        <v>SPS1</v>
      </c>
      <c r="C1353" s="5" t="str">
        <f t="shared" ref="C1353:C1374" si="1429">C1352</f>
        <v>CH</v>
      </c>
      <c r="D1353" t="s">
        <v>1350</v>
      </c>
      <c r="E1353" t="str">
        <f t="shared" ref="E1353:E1374" si="1430">E1352</f>
        <v>billion km/yr.</v>
      </c>
      <c r="F1353" s="1" cm="1">
        <f t="array" ref="F1353">SUMPRODUCT(("T_B_u-BEVELC-S1"=[1]OUT_TransportEnergyCons!$A$3:$A$1000)*1,("var_fout"=[1]OUT_TransportEnergyCons!$B$3:$B$1000)*1,ISNUMBER(SEARCH("tpbsu",[1]OUT_TransportEnergyCons!$C$3:$C$1000))*1,[1]OUT_TransportEnergyCons!D$3:D$1000)</f>
        <v>1.3871771594006989E-7</v>
      </c>
      <c r="G1353" s="1" cm="1">
        <f t="array" ref="G1353">SUMPRODUCT(("T_B_u-BEVELC-S1"=[1]OUT_TransportEnergyCons!$A$3:$A$1000)*1,("var_fout"=[1]OUT_TransportEnergyCons!$B$3:$B$1000)*1,ISNUMBER(SEARCH("tpbsu",[1]OUT_TransportEnergyCons!$C$3:$C$1000))*1,[1]OUT_TransportEnergyCons!E$3:E$1000)</f>
        <v>3.7302369468714878E-4</v>
      </c>
      <c r="H1353" s="1" cm="1">
        <f t="array" ref="H1353">SUMPRODUCT(("T_B_u-BEVELC-S1"=[1]OUT_TransportEnergyCons!$A$3:$A$1000)*1,("var_fout"=[1]OUT_TransportEnergyCons!$B$3:$B$1000)*1,ISNUMBER(SEARCH("tpbsu",[1]OUT_TransportEnergyCons!$C$3:$C$1000))*1,[1]OUT_TransportEnergyCons!F$3:F$1000)</f>
        <v>8.162563980251556E-4</v>
      </c>
      <c r="I1353" s="1" cm="1">
        <f t="array" ref="I1353">SUMPRODUCT(("T_B_u-BEVELC-S1"=[1]OUT_TransportEnergyCons!$A$3:$A$1000)*1,("var_fout"=[1]OUT_TransportEnergyCons!$B$3:$B$1000)*1,ISNUMBER(SEARCH("tpbsu",[1]OUT_TransportEnergyCons!$C$3:$C$1000))*1,[1]OUT_TransportEnergyCons!G$3:G$1000)</f>
        <v>0.10983276372356061</v>
      </c>
      <c r="J1353" s="1" cm="1">
        <f t="array" ref="J1353">SUMPRODUCT(("T_B_u-BEVELC-S1"=[2]OUT_TransportEnergyCons!$A$3:$A$1000)*1,("var_fout"=[2]OUT_TransportEnergyCons!$B$3:$B$1000)*1,ISNUMBER(SEARCH("tpbsu",[2]OUT_TransportEnergyCons!$C$3:$C$1000))*1,[2]OUT_TransportEnergyCons!H$3:H$1000)</f>
        <v>0.11446556447501598</v>
      </c>
      <c r="K1353" s="1" cm="1">
        <f t="array" ref="K1353">SUMPRODUCT(("T_B_u-BEVELC-S1"=[2]OUT_TransportEnergyCons!$A$3:$A$1000)*1,("var_fout"=[2]OUT_TransportEnergyCons!$B$3:$B$1000)*1,ISNUMBER(SEARCH("tpbsu",[2]OUT_TransportEnergyCons!$C$3:$C$1000))*1,[2]OUT_TransportEnergyCons!I$3:I$1000)</f>
        <v>0.11928599563683298</v>
      </c>
      <c r="L1353" s="1" cm="1">
        <f t="array" ref="L1353">SUMPRODUCT(("T_B_u-BEVELC-S1"=[2]OUT_TransportEnergyCons!$A$3:$A$1000)*1,("var_fout"=[2]OUT_TransportEnergyCons!$B$3:$B$1000)*1,ISNUMBER(SEARCH("tpbsu",[2]OUT_TransportEnergyCons!$C$3:$C$1000))*1,[2]OUT_TransportEnergyCons!J$3:J$1000)</f>
        <v>0.12758613110042663</v>
      </c>
      <c r="N1353" s="1"/>
    </row>
    <row r="1354" spans="2:14" x14ac:dyDescent="0.35">
      <c r="B1354" s="5" t="str">
        <f t="shared" si="1428"/>
        <v>SPS1</v>
      </c>
      <c r="C1354" s="5" t="str">
        <f t="shared" si="1429"/>
        <v>CH</v>
      </c>
      <c r="D1354" t="s">
        <v>1351</v>
      </c>
      <c r="E1354" t="str">
        <f t="shared" si="1430"/>
        <v>billion km/yr.</v>
      </c>
      <c r="F1354" s="1" cm="1">
        <f t="array" ref="F1354">SUMPRODUCT(("T_B_u-BEVELC-S2"=[1]OUT_TransportEnergyCons!$A$3:$A$1000)*1,("var_fout"=[1]OUT_TransportEnergyCons!$B$3:$B$1000)*1,ISNUMBER(SEARCH("tpbsu",[1]OUT_TransportEnergyCons!$C$3:$C$1000))*1,[1]OUT_TransportEnergyCons!D$3:D$1000)</f>
        <v>4.0395981701595479E-4</v>
      </c>
      <c r="G1354" s="1" cm="1">
        <f t="array" ref="G1354">SUMPRODUCT(("T_B_u-BEVELC-S2"=[1]OUT_TransportEnergyCons!$A$3:$A$1000)*1,("var_fout"=[1]OUT_TransportEnergyCons!$B$3:$B$1000)*1,ISNUMBER(SEARCH("tpbsu",[1]OUT_TransportEnergyCons!$C$3:$C$1000))*1,[1]OUT_TransportEnergyCons!E$3:E$1000)</f>
        <v>6.3040913327459943E-4</v>
      </c>
      <c r="H1354" s="1" cm="1">
        <f t="array" ref="H1354">SUMPRODUCT(("T_B_u-BEVELC-S2"=[1]OUT_TransportEnergyCons!$A$3:$A$1000)*1,("var_fout"=[1]OUT_TransportEnergyCons!$B$3:$B$1000)*1,ISNUMBER(SEARCH("tpbsu",[1]OUT_TransportEnergyCons!$C$3:$C$1000))*1,[1]OUT_TransportEnergyCons!F$3:F$1000)</f>
        <v>8.4994376226906648E-4</v>
      </c>
      <c r="I1354" s="1" cm="1">
        <f t="array" ref="I1354">SUMPRODUCT(("T_B_u-BEVELC-S2"=[1]OUT_TransportEnergyCons!$A$3:$A$1000)*1,("var_fout"=[1]OUT_TransportEnergyCons!$B$3:$B$1000)*1,ISNUMBER(SEARCH("tpbsu",[1]OUT_TransportEnergyCons!$C$3:$C$1000))*1,[1]OUT_TransportEnergyCons!G$3:G$1000)</f>
        <v>3.9620259407942546E-2</v>
      </c>
      <c r="J1354" s="1" cm="1">
        <f t="array" ref="J1354">SUMPRODUCT(("T_B_u-BEVELC-S2"=[2]OUT_TransportEnergyCons!$A$3:$A$1000)*1,("var_fout"=[2]OUT_TransportEnergyCons!$B$3:$B$1000)*1,ISNUMBER(SEARCH("tpbsu",[2]OUT_TransportEnergyCons!$C$3:$C$1000))*1,[2]OUT_TransportEnergyCons!H$3:H$1000)</f>
        <v>4.1248276970966773E-2</v>
      </c>
      <c r="K1354" s="1" cm="1">
        <f t="array" ref="K1354">SUMPRODUCT(("T_B_u-BEVELC-S2"=[2]OUT_TransportEnergyCons!$A$3:$A$1000)*1,("var_fout"=[2]OUT_TransportEnergyCons!$B$3:$B$1000)*1,ISNUMBER(SEARCH("tpbsu",[2]OUT_TransportEnergyCons!$C$3:$C$1000))*1,[2]OUT_TransportEnergyCons!I$3:I$1000)</f>
        <v>4.2988992205895186E-2</v>
      </c>
      <c r="L1354" s="1" cm="1">
        <f t="array" ref="L1354">SUMPRODUCT(("T_B_u-BEVELC-S2"=[2]OUT_TransportEnergyCons!$A$3:$A$1000)*1,("var_fout"=[2]OUT_TransportEnergyCons!$B$3:$B$1000)*1,ISNUMBER(SEARCH("tpbsu",[2]OUT_TransportEnergyCons!$C$3:$C$1000))*1,[2]OUT_TransportEnergyCons!J$3:J$1000)</f>
        <v>4.602745776823474E-2</v>
      </c>
      <c r="N1354" s="1"/>
    </row>
    <row r="1355" spans="2:14" x14ac:dyDescent="0.35">
      <c r="B1355" s="5" t="str">
        <f t="shared" si="1428"/>
        <v>SPS1</v>
      </c>
      <c r="C1355" s="5" t="str">
        <f t="shared" si="1429"/>
        <v>CH</v>
      </c>
      <c r="D1355" t="s">
        <v>1352</v>
      </c>
      <c r="E1355" t="str">
        <f t="shared" si="1430"/>
        <v>billion km/yr.</v>
      </c>
      <c r="F1355" s="1" cm="1">
        <f t="array" ref="F1355">SUMPRODUCT(("T_B_u-BEVELC-S3"=[1]OUT_TransportEnergyCons!$A$3:$A$1000)*1,("var_fout"=[1]OUT_TransportEnergyCons!$B$3:$B$1000)*1,ISNUMBER(SEARCH("tpbsu",[1]OUT_TransportEnergyCons!$C$3:$C$1000))*1,[1]OUT_TransportEnergyCons!D$3:D$1000)</f>
        <v>1.0359709852208185E-3</v>
      </c>
      <c r="G1355" s="1" cm="1">
        <f t="array" ref="G1355">SUMPRODUCT(("T_B_u-BEVELC-S3"=[1]OUT_TransportEnergyCons!$A$3:$A$1000)*1,("var_fout"=[1]OUT_TransportEnergyCons!$B$3:$B$1000)*1,ISNUMBER(SEARCH("tpbsu",[1]OUT_TransportEnergyCons!$C$3:$C$1000))*1,[1]OUT_TransportEnergyCons!E$3:E$1000)</f>
        <v>2.107864430161293E-3</v>
      </c>
      <c r="H1355" s="1" cm="1">
        <f t="array" ref="H1355">SUMPRODUCT(("T_B_u-BEVELC-S3"=[1]OUT_TransportEnergyCons!$A$3:$A$1000)*1,("var_fout"=[1]OUT_TransportEnergyCons!$B$3:$B$1000)*1,ISNUMBER(SEARCH("tpbsu",[1]OUT_TransportEnergyCons!$C$3:$C$1000))*1,[1]OUT_TransportEnergyCons!F$3:F$1000)</f>
        <v>2.1270489264796615E-3</v>
      </c>
      <c r="I1355" s="1" cm="1">
        <f t="array" ref="I1355">SUMPRODUCT(("T_B_u-BEVELC-S3"=[1]OUT_TransportEnergyCons!$A$3:$A$1000)*1,("var_fout"=[1]OUT_TransportEnergyCons!$B$3:$B$1000)*1,ISNUMBER(SEARCH("tpbsu",[1]OUT_TransportEnergyCons!$C$3:$C$1000))*1,[1]OUT_TransportEnergyCons!G$3:G$1000)</f>
        <v>9.0740214424851307E-2</v>
      </c>
      <c r="J1355" s="1" cm="1">
        <f t="array" ref="J1355">SUMPRODUCT(("T_B_u-BEVELC-S3"=[2]OUT_TransportEnergyCons!$A$3:$A$1000)*1,("var_fout"=[2]OUT_TransportEnergyCons!$B$3:$B$1000)*1,ISNUMBER(SEARCH("tpbsu",[2]OUT_TransportEnergyCons!$C$3:$C$1000))*1,[2]OUT_TransportEnergyCons!H$3:H$1000)</f>
        <v>7.7039953899687139E-2</v>
      </c>
      <c r="K1355" s="1" cm="1">
        <f t="array" ref="K1355">SUMPRODUCT(("T_B_u-BEVELC-S3"=[2]OUT_TransportEnergyCons!$A$3:$A$1000)*1,("var_fout"=[2]OUT_TransportEnergyCons!$B$3:$B$1000)*1,ISNUMBER(SEARCH("tpbsu",[2]OUT_TransportEnergyCons!$C$3:$C$1000))*1,[2]OUT_TransportEnergyCons!I$3:I$1000)</f>
        <v>6.6895790768332228E-2</v>
      </c>
      <c r="L1355" s="1" cm="1">
        <f t="array" ref="L1355">SUMPRODUCT(("T_B_u-BEVELC-S3"=[2]OUT_TransportEnergyCons!$A$3:$A$1000)*1,("var_fout"=[2]OUT_TransportEnergyCons!$B$3:$B$1000)*1,ISNUMBER(SEARCH("tpbsu",[2]OUT_TransportEnergyCons!$C$3:$C$1000))*1,[2]OUT_TransportEnergyCons!J$3:J$1000)</f>
        <v>4.4144373396399234E-2</v>
      </c>
      <c r="N1355" s="1"/>
    </row>
    <row r="1356" spans="2:14" x14ac:dyDescent="0.35">
      <c r="B1356" s="5" t="str">
        <f t="shared" si="1428"/>
        <v>SPS1</v>
      </c>
      <c r="C1356" s="5" t="str">
        <f t="shared" si="1429"/>
        <v>CH</v>
      </c>
      <c r="D1356" t="s">
        <v>1353</v>
      </c>
      <c r="E1356" t="str">
        <f t="shared" si="1430"/>
        <v>billion km/yr.</v>
      </c>
      <c r="F1356" s="1" cm="1">
        <f t="array" ref="F1356">SUMPRODUCT(("T_B_u-BEVELC-S4"=[1]OUT_TransportEnergyCons!$A$3:$A$1000)*1,("var_fout"=[1]OUT_TransportEnergyCons!$B$3:$B$1000)*1,ISNUMBER(SEARCH("tpbsu",[1]OUT_TransportEnergyCons!$C$3:$C$1000))*1,[1]OUT_TransportEnergyCons!D$3:D$1000)</f>
        <v>9.6706513972493786E-6</v>
      </c>
      <c r="G1356" s="1" cm="1">
        <f t="array" ref="G1356">SUMPRODUCT(("T_B_u-BEVELC-S4"=[1]OUT_TransportEnergyCons!$A$3:$A$1000)*1,("var_fout"=[1]OUT_TransportEnergyCons!$B$3:$B$1000)*1,ISNUMBER(SEARCH("tpbsu",[1]OUT_TransportEnergyCons!$C$3:$C$1000))*1,[1]OUT_TransportEnergyCons!E$3:E$1000)</f>
        <v>8.401996551761254E-6</v>
      </c>
      <c r="H1356" s="1" cm="1">
        <f t="array" ref="H1356">SUMPRODUCT(("T_B_u-BEVELC-S4"=[1]OUT_TransportEnergyCons!$A$3:$A$1000)*1,("var_fout"=[1]OUT_TransportEnergyCons!$B$3:$B$1000)*1,ISNUMBER(SEARCH("tpbsu",[1]OUT_TransportEnergyCons!$C$3:$C$1000))*1,[1]OUT_TransportEnergyCons!F$3:F$1000)</f>
        <v>1.1246556460085396E-5</v>
      </c>
      <c r="I1356" s="1" cm="1">
        <f t="array" ref="I1356">SUMPRODUCT(("T_B_u-BEVELC-S4"=[1]OUT_TransportEnergyCons!$A$3:$A$1000)*1,("var_fout"=[1]OUT_TransportEnergyCons!$B$3:$B$1000)*1,ISNUMBER(SEARCH("tpbsu",[1]OUT_TransportEnergyCons!$C$3:$C$1000))*1,[1]OUT_TransportEnergyCons!G$3:G$1000)</f>
        <v>1.9713306901173698E-6</v>
      </c>
      <c r="J1356" s="1" cm="1">
        <f t="array" ref="J1356">SUMPRODUCT(("T_B_u-BEVELC-S4"=[2]OUT_TransportEnergyCons!$A$3:$A$1000)*1,("var_fout"=[2]OUT_TransportEnergyCons!$B$3:$B$1000)*1,ISNUMBER(SEARCH("tpbsu",[2]OUT_TransportEnergyCons!$C$3:$C$1000))*1,[2]OUT_TransportEnergyCons!H$3:H$1000)</f>
        <v>1.3933009013812736E-5</v>
      </c>
      <c r="K1356" s="1" cm="1">
        <f t="array" ref="K1356">SUMPRODUCT(("T_B_u-BEVELC-S4"=[2]OUT_TransportEnergyCons!$A$3:$A$1000)*1,("var_fout"=[2]OUT_TransportEnergyCons!$B$3:$B$1000)*1,ISNUMBER(SEARCH("tpbsu",[2]OUT_TransportEnergyCons!$C$3:$C$1000))*1,[2]OUT_TransportEnergyCons!I$3:I$1000)</f>
        <v>1.6762906260062759E-5</v>
      </c>
      <c r="L1356" s="1" cm="1">
        <f t="array" ref="L1356">SUMPRODUCT(("T_B_u-BEVELC-S4"=[2]OUT_TransportEnergyCons!$A$3:$A$1000)*1,("var_fout"=[2]OUT_TransportEnergyCons!$B$3:$B$1000)*1,ISNUMBER(SEARCH("tpbsu",[2]OUT_TransportEnergyCons!$C$3:$C$1000))*1,[2]OUT_TransportEnergyCons!J$3:J$1000)</f>
        <v>7.5081251085249861E-6</v>
      </c>
      <c r="N1356" s="1"/>
    </row>
    <row r="1357" spans="2:14" x14ac:dyDescent="0.35">
      <c r="B1357" s="5" t="str">
        <f t="shared" si="1428"/>
        <v>SPS1</v>
      </c>
      <c r="C1357" s="5" t="str">
        <f t="shared" si="1429"/>
        <v>CH</v>
      </c>
      <c r="D1357" t="s">
        <v>1354</v>
      </c>
      <c r="E1357" t="str">
        <f t="shared" si="1430"/>
        <v>billion km/yr.</v>
      </c>
      <c r="F1357" s="1" cm="1">
        <f t="array" ref="F1357">SUMPRODUCT(("T_B_u-FCLH2O-S1"=[1]OUT_TransportEnergyCons!$A$3:$A$1000)*1,("var_fout"=[1]OUT_TransportEnergyCons!$B$3:$B$1000)*1,ISNUMBER(SEARCH("tpbsu",[1]OUT_TransportEnergyCons!$C$3:$C$1000))*1,[1]OUT_TransportEnergyCons!D$3:D$1000)</f>
        <v>0</v>
      </c>
      <c r="G1357" s="1" cm="1">
        <f t="array" ref="G1357">SUMPRODUCT(("T_B_u-FCLH2O-S1"=[1]OUT_TransportEnergyCons!$A$3:$A$1000)*1,("var_fout"=[1]OUT_TransportEnergyCons!$B$3:$B$1000)*1,ISNUMBER(SEARCH("tpbsu",[1]OUT_TransportEnergyCons!$C$3:$C$1000))*1,[1]OUT_TransportEnergyCons!E$3:E$1000)</f>
        <v>0</v>
      </c>
      <c r="H1357" s="1" cm="1">
        <f t="array" ref="H1357">SUMPRODUCT(("T_B_u-FCLH2O-S1"=[1]OUT_TransportEnergyCons!$A$3:$A$1000)*1,("var_fout"=[1]OUT_TransportEnergyCons!$B$3:$B$1000)*1,ISNUMBER(SEARCH("tpbsu",[1]OUT_TransportEnergyCons!$C$3:$C$1000))*1,[1]OUT_TransportEnergyCons!F$3:F$1000)</f>
        <v>0</v>
      </c>
      <c r="I1357" s="1" cm="1">
        <f t="array" ref="I1357">SUMPRODUCT(("T_B_u-FCLH2O-S1"=[1]OUT_TransportEnergyCons!$A$3:$A$1000)*1,("var_fout"=[1]OUT_TransportEnergyCons!$B$3:$B$1000)*1,ISNUMBER(SEARCH("tpbsu",[1]OUT_TransportEnergyCons!$C$3:$C$1000))*1,[1]OUT_TransportEnergyCons!G$3:G$1000)</f>
        <v>7.5822197632521908E-8</v>
      </c>
      <c r="J1357" s="1" cm="1">
        <f t="array" ref="J1357">SUMPRODUCT(("T_B_u-FCLH2O-S1"=[2]OUT_TransportEnergyCons!$A$3:$A$1000)*1,("var_fout"=[2]OUT_TransportEnergyCons!$B$3:$B$1000)*1,ISNUMBER(SEARCH("tpbsu",[2]OUT_TransportEnergyCons!$C$3:$C$1000))*1,[2]OUT_TransportEnergyCons!H$3:H$1000)</f>
        <v>0</v>
      </c>
      <c r="K1357" s="1" cm="1">
        <f t="array" ref="K1357">SUMPRODUCT(("T_B_u-FCLH2O-S1"=[2]OUT_TransportEnergyCons!$A$3:$A$1000)*1,("var_fout"=[2]OUT_TransportEnergyCons!$B$3:$B$1000)*1,ISNUMBER(SEARCH("tpbsu",[2]OUT_TransportEnergyCons!$C$3:$C$1000))*1,[2]OUT_TransportEnergyCons!I$3:I$1000)</f>
        <v>0</v>
      </c>
      <c r="L1357" s="1" cm="1">
        <f t="array" ref="L1357">SUMPRODUCT(("T_B_u-FCLH2O-S1"=[2]OUT_TransportEnergyCons!$A$3:$A$1000)*1,("var_fout"=[2]OUT_TransportEnergyCons!$B$3:$B$1000)*1,ISNUMBER(SEARCH("tpbsu",[2]OUT_TransportEnergyCons!$C$3:$C$1000))*1,[2]OUT_TransportEnergyCons!J$3:J$1000)</f>
        <v>0</v>
      </c>
      <c r="N1357" s="1"/>
    </row>
    <row r="1358" spans="2:14" x14ac:dyDescent="0.35">
      <c r="B1358" s="5" t="str">
        <f t="shared" si="1428"/>
        <v>SPS1</v>
      </c>
      <c r="C1358" s="5" t="str">
        <f t="shared" si="1429"/>
        <v>CH</v>
      </c>
      <c r="D1358" t="s">
        <v>1355</v>
      </c>
      <c r="E1358" t="str">
        <f t="shared" si="1430"/>
        <v>billion km/yr.</v>
      </c>
      <c r="F1358" s="1" cm="1">
        <f t="array" ref="F1358">SUMPRODUCT(("T_B_u-FCLH2O-S2"=[1]OUT_TransportEnergyCons!$A$3:$A$1000)*1,("var_fout"=[1]OUT_TransportEnergyCons!$B$3:$B$1000)*1,ISNUMBER(SEARCH("tpbsu",[1]OUT_TransportEnergyCons!$C$3:$C$1000))*1,[1]OUT_TransportEnergyCons!D$3:D$1000)</f>
        <v>0</v>
      </c>
      <c r="G1358" s="1" cm="1">
        <f t="array" ref="G1358">SUMPRODUCT(("T_B_u-FCLH2O-S2"=[1]OUT_TransportEnergyCons!$A$3:$A$1000)*1,("var_fout"=[1]OUT_TransportEnergyCons!$B$3:$B$1000)*1,ISNUMBER(SEARCH("tpbsu",[1]OUT_TransportEnergyCons!$C$3:$C$1000))*1,[1]OUT_TransportEnergyCons!E$3:E$1000)</f>
        <v>0</v>
      </c>
      <c r="H1358" s="1" cm="1">
        <f t="array" ref="H1358">SUMPRODUCT(("T_B_u-FCLH2O-S2"=[1]OUT_TransportEnergyCons!$A$3:$A$1000)*1,("var_fout"=[1]OUT_TransportEnergyCons!$B$3:$B$1000)*1,ISNUMBER(SEARCH("tpbsu",[1]OUT_TransportEnergyCons!$C$3:$C$1000))*1,[1]OUT_TransportEnergyCons!F$3:F$1000)</f>
        <v>0</v>
      </c>
      <c r="I1358" s="1" cm="1">
        <f t="array" ref="I1358">SUMPRODUCT(("T_B_u-FCLH2O-S2"=[1]OUT_TransportEnergyCons!$A$3:$A$1000)*1,("var_fout"=[1]OUT_TransportEnergyCons!$B$3:$B$1000)*1,ISNUMBER(SEARCH("tpbsu",[1]OUT_TransportEnergyCons!$C$3:$C$1000))*1,[1]OUT_TransportEnergyCons!G$3:G$1000)</f>
        <v>0</v>
      </c>
      <c r="J1358" s="1" cm="1">
        <f t="array" ref="J1358">SUMPRODUCT(("T_B_u-FCLH2O-S2"=[2]OUT_TransportEnergyCons!$A$3:$A$1000)*1,("var_fout"=[2]OUT_TransportEnergyCons!$B$3:$B$1000)*1,ISNUMBER(SEARCH("tpbsu",[2]OUT_TransportEnergyCons!$C$3:$C$1000))*1,[2]OUT_TransportEnergyCons!H$3:H$1000)</f>
        <v>0</v>
      </c>
      <c r="K1358" s="1" cm="1">
        <f t="array" ref="K1358">SUMPRODUCT(("T_B_u-FCLH2O-S2"=[2]OUT_TransportEnergyCons!$A$3:$A$1000)*1,("var_fout"=[2]OUT_TransportEnergyCons!$B$3:$B$1000)*1,ISNUMBER(SEARCH("tpbsu",[2]OUT_TransportEnergyCons!$C$3:$C$1000))*1,[2]OUT_TransportEnergyCons!I$3:I$1000)</f>
        <v>0</v>
      </c>
      <c r="L1358" s="1" cm="1">
        <f t="array" ref="L1358">SUMPRODUCT(("T_B_u-FCLH2O-S2"=[2]OUT_TransportEnergyCons!$A$3:$A$1000)*1,("var_fout"=[2]OUT_TransportEnergyCons!$B$3:$B$1000)*1,ISNUMBER(SEARCH("tpbsu",[2]OUT_TransportEnergyCons!$C$3:$C$1000))*1,[2]OUT_TransportEnergyCons!J$3:J$1000)</f>
        <v>0</v>
      </c>
      <c r="N1358" s="1"/>
    </row>
    <row r="1359" spans="2:14" x14ac:dyDescent="0.35">
      <c r="B1359" s="5" t="str">
        <f t="shared" si="1428"/>
        <v>SPS1</v>
      </c>
      <c r="C1359" s="5" t="str">
        <f t="shared" si="1429"/>
        <v>CH</v>
      </c>
      <c r="D1359" t="s">
        <v>1356</v>
      </c>
      <c r="E1359" t="str">
        <f t="shared" si="1430"/>
        <v>billion km/yr.</v>
      </c>
      <c r="F1359" s="1" cm="1">
        <f t="array" ref="F1359">SUMPRODUCT(("T_B_u-FCLH2O-S3"=[1]OUT_TransportEnergyCons!$A$3:$A$1000)*1,("var_fout"=[1]OUT_TransportEnergyCons!$B$3:$B$1000)*1,ISNUMBER(SEARCH("tpbsu",[1]OUT_TransportEnergyCons!$C$3:$C$1000))*1,[1]OUT_TransportEnergyCons!D$3:D$1000)</f>
        <v>0</v>
      </c>
      <c r="G1359" s="1" cm="1">
        <f t="array" ref="G1359">SUMPRODUCT(("T_B_u-FCLH2O-S3"=[1]OUT_TransportEnergyCons!$A$3:$A$1000)*1,("var_fout"=[1]OUT_TransportEnergyCons!$B$3:$B$1000)*1,ISNUMBER(SEARCH("tpbsu",[1]OUT_TransportEnergyCons!$C$3:$C$1000))*1,[1]OUT_TransportEnergyCons!E$3:E$1000)</f>
        <v>0</v>
      </c>
      <c r="H1359" s="1" cm="1">
        <f t="array" ref="H1359">SUMPRODUCT(("T_B_u-FCLH2O-S3"=[1]OUT_TransportEnergyCons!$A$3:$A$1000)*1,("var_fout"=[1]OUT_TransportEnergyCons!$B$3:$B$1000)*1,ISNUMBER(SEARCH("tpbsu",[1]OUT_TransportEnergyCons!$C$3:$C$1000))*1,[1]OUT_TransportEnergyCons!F$3:F$1000)</f>
        <v>0</v>
      </c>
      <c r="I1359" s="1" cm="1">
        <f t="array" ref="I1359">SUMPRODUCT(("T_B_u-FCLH2O-S3"=[1]OUT_TransportEnergyCons!$A$3:$A$1000)*1,("var_fout"=[1]OUT_TransportEnergyCons!$B$3:$B$1000)*1,ISNUMBER(SEARCH("tpbsu",[1]OUT_TransportEnergyCons!$C$3:$C$1000))*1,[1]OUT_TransportEnergyCons!G$3:G$1000)</f>
        <v>7.5791175657496203E-8</v>
      </c>
      <c r="J1359" s="1" cm="1">
        <f t="array" ref="J1359">SUMPRODUCT(("T_B_u-FCLH2O-S3"=[2]OUT_TransportEnergyCons!$A$3:$A$1000)*1,("var_fout"=[2]OUT_TransportEnergyCons!$B$3:$B$1000)*1,ISNUMBER(SEARCH("tpbsu",[2]OUT_TransportEnergyCons!$C$3:$C$1000))*1,[2]OUT_TransportEnergyCons!H$3:H$1000)</f>
        <v>0</v>
      </c>
      <c r="K1359" s="1" cm="1">
        <f t="array" ref="K1359">SUMPRODUCT(("T_B_u-FCLH2O-S3"=[2]OUT_TransportEnergyCons!$A$3:$A$1000)*1,("var_fout"=[2]OUT_TransportEnergyCons!$B$3:$B$1000)*1,ISNUMBER(SEARCH("tpbsu",[2]OUT_TransportEnergyCons!$C$3:$C$1000))*1,[2]OUT_TransportEnergyCons!I$3:I$1000)</f>
        <v>0</v>
      </c>
      <c r="L1359" s="1" cm="1">
        <f t="array" ref="L1359">SUMPRODUCT(("T_B_u-FCLH2O-S3"=[2]OUT_TransportEnergyCons!$A$3:$A$1000)*1,("var_fout"=[2]OUT_TransportEnergyCons!$B$3:$B$1000)*1,ISNUMBER(SEARCH("tpbsu",[2]OUT_TransportEnergyCons!$C$3:$C$1000))*1,[2]OUT_TransportEnergyCons!J$3:J$1000)</f>
        <v>0</v>
      </c>
      <c r="N1359" s="1"/>
    </row>
    <row r="1360" spans="2:14" x14ac:dyDescent="0.35">
      <c r="B1360" s="5" t="str">
        <f t="shared" si="1428"/>
        <v>SPS1</v>
      </c>
      <c r="C1360" s="5" t="str">
        <f t="shared" si="1429"/>
        <v>CH</v>
      </c>
      <c r="D1360" t="s">
        <v>1357</v>
      </c>
      <c r="E1360" t="str">
        <f t="shared" si="1430"/>
        <v>billion km/yr.</v>
      </c>
      <c r="F1360" s="1" cm="1">
        <f t="array" ref="F1360">SUMPRODUCT(("T_B_u-FCLH2O-S4"=[1]OUT_TransportEnergyCons!$A$3:$A$1000)*1,("var_fout"=[1]OUT_TransportEnergyCons!$B$3:$B$1000)*1,ISNUMBER(SEARCH("tpbsu",[1]OUT_TransportEnergyCons!$C$3:$C$1000))*1,[1]OUT_TransportEnergyCons!D$3:D$1000)</f>
        <v>0</v>
      </c>
      <c r="G1360" s="1" cm="1">
        <f t="array" ref="G1360">SUMPRODUCT(("T_B_u-FCLH2O-S4"=[1]OUT_TransportEnergyCons!$A$3:$A$1000)*1,("var_fout"=[1]OUT_TransportEnergyCons!$B$3:$B$1000)*1,ISNUMBER(SEARCH("tpbsu",[1]OUT_TransportEnergyCons!$C$3:$C$1000))*1,[1]OUT_TransportEnergyCons!E$3:E$1000)</f>
        <v>0</v>
      </c>
      <c r="H1360" s="1" cm="1">
        <f t="array" ref="H1360">SUMPRODUCT(("T_B_u-FCLH2O-S4"=[1]OUT_TransportEnergyCons!$A$3:$A$1000)*1,("var_fout"=[1]OUT_TransportEnergyCons!$B$3:$B$1000)*1,ISNUMBER(SEARCH("tpbsu",[1]OUT_TransportEnergyCons!$C$3:$C$1000))*1,[1]OUT_TransportEnergyCons!F$3:F$1000)</f>
        <v>0</v>
      </c>
      <c r="I1360" s="1" cm="1">
        <f t="array" ref="I1360">SUMPRODUCT(("T_B_u-FCLH2O-S4"=[1]OUT_TransportEnergyCons!$A$3:$A$1000)*1,("var_fout"=[1]OUT_TransportEnergyCons!$B$3:$B$1000)*1,ISNUMBER(SEARCH("tpbsu",[1]OUT_TransportEnergyCons!$C$3:$C$1000))*1,[1]OUT_TransportEnergyCons!G$3:G$1000)</f>
        <v>0</v>
      </c>
      <c r="J1360" s="1" cm="1">
        <f t="array" ref="J1360">SUMPRODUCT(("T_B_u-FCLH2O-S4"=[2]OUT_TransportEnergyCons!$A$3:$A$1000)*1,("var_fout"=[2]OUT_TransportEnergyCons!$B$3:$B$1000)*1,ISNUMBER(SEARCH("tpbsu",[2]OUT_TransportEnergyCons!$C$3:$C$1000))*1,[2]OUT_TransportEnergyCons!H$3:H$1000)</f>
        <v>0</v>
      </c>
      <c r="K1360" s="1" cm="1">
        <f t="array" ref="K1360">SUMPRODUCT(("T_B_u-FCLH2O-S4"=[2]OUT_TransportEnergyCons!$A$3:$A$1000)*1,("var_fout"=[2]OUT_TransportEnergyCons!$B$3:$B$1000)*1,ISNUMBER(SEARCH("tpbsu",[2]OUT_TransportEnergyCons!$C$3:$C$1000))*1,[2]OUT_TransportEnergyCons!I$3:I$1000)</f>
        <v>0</v>
      </c>
      <c r="L1360" s="1" cm="1">
        <f t="array" ref="L1360">SUMPRODUCT(("T_B_u-FCLH2O-S4"=[2]OUT_TransportEnergyCons!$A$3:$A$1000)*1,("var_fout"=[2]OUT_TransportEnergyCons!$B$3:$B$1000)*1,ISNUMBER(SEARCH("tpbsu",[2]OUT_TransportEnergyCons!$C$3:$C$1000))*1,[2]OUT_TransportEnergyCons!J$3:J$1000)</f>
        <v>0</v>
      </c>
      <c r="N1360" s="1"/>
    </row>
    <row r="1361" spans="2:14" x14ac:dyDescent="0.35">
      <c r="B1361" s="5" t="str">
        <f t="shared" si="1428"/>
        <v>SPS1</v>
      </c>
      <c r="C1361" s="5" t="str">
        <f t="shared" si="1429"/>
        <v>CH</v>
      </c>
      <c r="D1361" t="s">
        <v>1358</v>
      </c>
      <c r="E1361" t="str">
        <f t="shared" si="1430"/>
        <v>billion km/yr.</v>
      </c>
      <c r="F1361" s="1" cm="1">
        <f t="array" ref="F1361">SUMPRODUCT(("T_B_u-HYBDSL-S1"=[1]OUT_TransportEnergyCons!$A$3:$A$1000)*1,("var_fout"=[1]OUT_TransportEnergyCons!$B$3:$B$1000)*1,ISNUMBER(SEARCH("tpbsu",[1]OUT_TransportEnergyCons!$C$3:$C$1000))*1,[1]OUT_TransportEnergyCons!D$3:D$1000)</f>
        <v>0</v>
      </c>
      <c r="G1361" s="1" cm="1">
        <f t="array" ref="G1361">SUMPRODUCT(("T_B_u-HYBDSL-S1"=[1]OUT_TransportEnergyCons!$A$3:$A$1000)*1,("var_fout"=[1]OUT_TransportEnergyCons!$B$3:$B$1000)*1,ISNUMBER(SEARCH("tpbsu",[1]OUT_TransportEnergyCons!$C$3:$C$1000))*1,[1]OUT_TransportEnergyCons!E$3:E$1000)</f>
        <v>3.4132088366209817E-2</v>
      </c>
      <c r="H1361" s="1" cm="1">
        <f t="array" ref="H1361">SUMPRODUCT(("T_B_u-HYBDSL-S1"=[1]OUT_TransportEnergyCons!$A$3:$A$1000)*1,("var_fout"=[1]OUT_TransportEnergyCons!$B$3:$B$1000)*1,ISNUMBER(SEARCH("tpbsu",[1]OUT_TransportEnergyCons!$C$3:$C$1000))*1,[1]OUT_TransportEnergyCons!F$3:F$1000)</f>
        <v>3.416377688260009E-2</v>
      </c>
      <c r="I1361" s="1" cm="1">
        <f t="array" ref="I1361">SUMPRODUCT(("T_B_u-HYBDSL-S1"=[1]OUT_TransportEnergyCons!$A$3:$A$1000)*1,("var_fout"=[1]OUT_TransportEnergyCons!$B$3:$B$1000)*1,ISNUMBER(SEARCH("tpbsu",[1]OUT_TransportEnergyCons!$C$3:$C$1000))*1,[1]OUT_TransportEnergyCons!G$3:G$1000)</f>
        <v>2.0325306011045868E-5</v>
      </c>
      <c r="J1361" s="1" cm="1">
        <f t="array" ref="J1361">SUMPRODUCT(("T_B_u-HYBDSL-S1"=[2]OUT_TransportEnergyCons!$A$3:$A$1000)*1,("var_fout"=[2]OUT_TransportEnergyCons!$B$3:$B$1000)*1,ISNUMBER(SEARCH("tpbsu",[2]OUT_TransportEnergyCons!$C$3:$C$1000))*1,[2]OUT_TransportEnergyCons!H$3:H$1000)</f>
        <v>1.7679998333587624E-4</v>
      </c>
      <c r="K1361" s="1" cm="1">
        <f t="array" ref="K1361">SUMPRODUCT(("T_B_u-HYBDSL-S1"=[2]OUT_TransportEnergyCons!$A$3:$A$1000)*1,("var_fout"=[2]OUT_TransportEnergyCons!$B$3:$B$1000)*1,ISNUMBER(SEARCH("tpbsu",[2]OUT_TransportEnergyCons!$C$3:$C$1000))*1,[2]OUT_TransportEnergyCons!I$3:I$1000)</f>
        <v>2.3154018063689281E-4</v>
      </c>
      <c r="L1361" s="1" cm="1">
        <f t="array" ref="L1361">SUMPRODUCT(("T_B_u-HYBDSL-S1"=[2]OUT_TransportEnergyCons!$A$3:$A$1000)*1,("var_fout"=[2]OUT_TransportEnergyCons!$B$3:$B$1000)*1,ISNUMBER(SEARCH("tpbsu",[2]OUT_TransportEnergyCons!$C$3:$C$1000))*1,[2]OUT_TransportEnergyCons!J$3:J$1000)</f>
        <v>2.7890332345437867E-4</v>
      </c>
      <c r="N1361" s="1"/>
    </row>
    <row r="1362" spans="2:14" x14ac:dyDescent="0.35">
      <c r="B1362" s="5" t="str">
        <f t="shared" si="1428"/>
        <v>SPS1</v>
      </c>
      <c r="C1362" s="5" t="str">
        <f t="shared" si="1429"/>
        <v>CH</v>
      </c>
      <c r="D1362" t="s">
        <v>1359</v>
      </c>
      <c r="E1362" t="str">
        <f t="shared" si="1430"/>
        <v>billion km/yr.</v>
      </c>
      <c r="F1362" s="1" cm="1">
        <f t="array" ref="F1362">SUMPRODUCT(("T_B_u-HYBDSL-S2"=[1]OUT_TransportEnergyCons!$A$3:$A$1000)*1,("var_fout"=[1]OUT_TransportEnergyCons!$B$3:$B$1000)*1,ISNUMBER(SEARCH("tpbsu",[1]OUT_TransportEnergyCons!$C$3:$C$1000))*1,[1]OUT_TransportEnergyCons!D$3:D$1000)</f>
        <v>0</v>
      </c>
      <c r="G1362" s="1" cm="1">
        <f t="array" ref="G1362">SUMPRODUCT(("T_B_u-HYBDSL-S2"=[1]OUT_TransportEnergyCons!$A$3:$A$1000)*1,("var_fout"=[1]OUT_TransportEnergyCons!$B$3:$B$1000)*1,ISNUMBER(SEARCH("tpbsu",[1]OUT_TransportEnergyCons!$C$3:$C$1000))*1,[1]OUT_TransportEnergyCons!E$3:E$1000)</f>
        <v>4.0012210918243492E-5</v>
      </c>
      <c r="H1362" s="1" cm="1">
        <f t="array" ref="H1362">SUMPRODUCT(("T_B_u-HYBDSL-S2"=[1]OUT_TransportEnergyCons!$A$3:$A$1000)*1,("var_fout"=[1]OUT_TransportEnergyCons!$B$3:$B$1000)*1,ISNUMBER(SEARCH("tpbsu",[1]OUT_TransportEnergyCons!$C$3:$C$1000))*1,[1]OUT_TransportEnergyCons!F$3:F$1000)</f>
        <v>5.4219810261387699E-5</v>
      </c>
      <c r="I1362" s="1" cm="1">
        <f t="array" ref="I1362">SUMPRODUCT(("T_B_u-HYBDSL-S2"=[1]OUT_TransportEnergyCons!$A$3:$A$1000)*1,("var_fout"=[1]OUT_TransportEnergyCons!$B$3:$B$1000)*1,ISNUMBER(SEARCH("tpbsu",[1]OUT_TransportEnergyCons!$C$3:$C$1000))*1,[1]OUT_TransportEnergyCons!G$3:G$1000)</f>
        <v>2.6902939670903176E-5</v>
      </c>
      <c r="J1362" s="1" cm="1">
        <f t="array" ref="J1362">SUMPRODUCT(("T_B_u-HYBDSL-S2"=[2]OUT_TransportEnergyCons!$A$3:$A$1000)*1,("var_fout"=[2]OUT_TransportEnergyCons!$B$3:$B$1000)*1,ISNUMBER(SEARCH("tpbsu",[2]OUT_TransportEnergyCons!$C$3:$C$1000))*1,[2]OUT_TransportEnergyCons!H$3:H$1000)</f>
        <v>1.3089023040501756E-4</v>
      </c>
      <c r="K1362" s="1" cm="1">
        <f t="array" ref="K1362">SUMPRODUCT(("T_B_u-HYBDSL-S2"=[2]OUT_TransportEnergyCons!$A$3:$A$1000)*1,("var_fout"=[2]OUT_TransportEnergyCons!$B$3:$B$1000)*1,ISNUMBER(SEARCH("tpbsu",[2]OUT_TransportEnergyCons!$C$3:$C$1000))*1,[2]OUT_TransportEnergyCons!I$3:I$1000)</f>
        <v>1.5035057784154579E-4</v>
      </c>
      <c r="L1362" s="1" cm="1">
        <f t="array" ref="L1362">SUMPRODUCT(("T_B_u-HYBDSL-S2"=[2]OUT_TransportEnergyCons!$A$3:$A$1000)*1,("var_fout"=[2]OUT_TransportEnergyCons!$B$3:$B$1000)*1,ISNUMBER(SEARCH("tpbsu",[2]OUT_TransportEnergyCons!$C$3:$C$1000))*1,[2]OUT_TransportEnergyCons!J$3:J$1000)</f>
        <v>1.2015970172603644E-4</v>
      </c>
      <c r="N1362" s="1"/>
    </row>
    <row r="1363" spans="2:14" x14ac:dyDescent="0.35">
      <c r="B1363" s="5" t="str">
        <f t="shared" si="1428"/>
        <v>SPS1</v>
      </c>
      <c r="C1363" s="5" t="str">
        <f t="shared" si="1429"/>
        <v>CH</v>
      </c>
      <c r="D1363" t="s">
        <v>1360</v>
      </c>
      <c r="E1363" t="str">
        <f t="shared" si="1430"/>
        <v>billion km/yr.</v>
      </c>
      <c r="F1363" s="1" cm="1">
        <f t="array" ref="F1363">SUMPRODUCT(("T_B_u-HYBDSL-S3"=[1]OUT_TransportEnergyCons!$A$3:$A$1000)*1,("var_fout"=[1]OUT_TransportEnergyCons!$B$3:$B$1000)*1,ISNUMBER(SEARCH("tpbsu",[1]OUT_TransportEnergyCons!$C$3:$C$1000))*1,[1]OUT_TransportEnergyCons!D$3:D$1000)</f>
        <v>0</v>
      </c>
      <c r="G1363" s="1" cm="1">
        <f t="array" ref="G1363">SUMPRODUCT(("T_B_u-HYBDSL-S3"=[1]OUT_TransportEnergyCons!$A$3:$A$1000)*1,("var_fout"=[1]OUT_TransportEnergyCons!$B$3:$B$1000)*1,ISNUMBER(SEARCH("tpbsu",[1]OUT_TransportEnergyCons!$C$3:$C$1000))*1,[1]OUT_TransportEnergyCons!E$3:E$1000)</f>
        <v>2.2370177882139472E-3</v>
      </c>
      <c r="H1363" s="1" cm="1">
        <f t="array" ref="H1363">SUMPRODUCT(("T_B_u-HYBDSL-S3"=[1]OUT_TransportEnergyCons!$A$3:$A$1000)*1,("var_fout"=[1]OUT_TransportEnergyCons!$B$3:$B$1000)*1,ISNUMBER(SEARCH("tpbsu",[1]OUT_TransportEnergyCons!$C$3:$C$1000))*1,[1]OUT_TransportEnergyCons!F$3:F$1000)</f>
        <v>4.6498445682507501E-2</v>
      </c>
      <c r="I1363" s="1" cm="1">
        <f t="array" ref="I1363">SUMPRODUCT(("T_B_u-HYBDSL-S3"=[1]OUT_TransportEnergyCons!$A$3:$A$1000)*1,("var_fout"=[1]OUT_TransportEnergyCons!$B$3:$B$1000)*1,ISNUMBER(SEARCH("tpbsu",[1]OUT_TransportEnergyCons!$C$3:$C$1000))*1,[1]OUT_TransportEnergyCons!G$3:G$1000)</f>
        <v>8.2539310293134008E-2</v>
      </c>
      <c r="J1363" s="1" cm="1">
        <f t="array" ref="J1363">SUMPRODUCT(("T_B_u-HYBDSL-S3"=[2]OUT_TransportEnergyCons!$A$3:$A$1000)*1,("var_fout"=[2]OUT_TransportEnergyCons!$B$3:$B$1000)*1,ISNUMBER(SEARCH("tpbsu",[2]OUT_TransportEnergyCons!$C$3:$C$1000))*1,[2]OUT_TransportEnergyCons!H$3:H$1000)</f>
        <v>0.10380134217042135</v>
      </c>
      <c r="K1363" s="1" cm="1">
        <f t="array" ref="K1363">SUMPRODUCT(("T_B_u-HYBDSL-S3"=[2]OUT_TransportEnergyCons!$A$3:$A$1000)*1,("var_fout"=[2]OUT_TransportEnergyCons!$B$3:$B$1000)*1,ISNUMBER(SEARCH("tpbsu",[2]OUT_TransportEnergyCons!$C$3:$C$1000))*1,[2]OUT_TransportEnergyCons!I$3:I$1000)</f>
        <v>0.12163827679143599</v>
      </c>
      <c r="L1363" s="1" cm="1">
        <f t="array" ref="L1363">SUMPRODUCT(("T_B_u-HYBDSL-S3"=[2]OUT_TransportEnergyCons!$A$3:$A$1000)*1,("var_fout"=[2]OUT_TransportEnergyCons!$B$3:$B$1000)*1,ISNUMBER(SEARCH("tpbsu",[2]OUT_TransportEnergyCons!$C$3:$C$1000))*1,[2]OUT_TransportEnergyCons!J$3:J$1000)</f>
        <v>0.15753609652624087</v>
      </c>
      <c r="N1363" s="1"/>
    </row>
    <row r="1364" spans="2:14" x14ac:dyDescent="0.35">
      <c r="B1364" s="5" t="str">
        <f t="shared" si="1428"/>
        <v>SPS1</v>
      </c>
      <c r="C1364" s="5" t="str">
        <f t="shared" si="1429"/>
        <v>CH</v>
      </c>
      <c r="D1364" t="s">
        <v>1361</v>
      </c>
      <c r="E1364" t="str">
        <f t="shared" si="1430"/>
        <v>billion km/yr.</v>
      </c>
      <c r="F1364" s="1" cm="1">
        <f t="array" ref="F1364">SUMPRODUCT(("T_B_u-HYBDSL-S4"=[1]OUT_TransportEnergyCons!$A$3:$A$1000)*1,("var_fout"=[1]OUT_TransportEnergyCons!$B$3:$B$1000)*1,ISNUMBER(SEARCH("tpbsu",[1]OUT_TransportEnergyCons!$C$3:$C$1000))*1,[1]OUT_TransportEnergyCons!D$3:D$1000)</f>
        <v>0</v>
      </c>
      <c r="G1364" s="1" cm="1">
        <f t="array" ref="G1364">SUMPRODUCT(("T_B_u-HYBDSL-S4"=[1]OUT_TransportEnergyCons!$A$3:$A$1000)*1,("var_fout"=[1]OUT_TransportEnergyCons!$B$3:$B$1000)*1,ISNUMBER(SEARCH("tpbsu",[1]OUT_TransportEnergyCons!$C$3:$C$1000))*1,[1]OUT_TransportEnergyCons!E$3:E$1000)</f>
        <v>0</v>
      </c>
      <c r="H1364" s="1" cm="1">
        <f t="array" ref="H1364">SUMPRODUCT(("T_B_u-HYBDSL-S4"=[1]OUT_TransportEnergyCons!$A$3:$A$1000)*1,("var_fout"=[1]OUT_TransportEnergyCons!$B$3:$B$1000)*1,ISNUMBER(SEARCH("tpbsu",[1]OUT_TransportEnergyCons!$C$3:$C$1000))*1,[1]OUT_TransportEnergyCons!F$3:F$1000)</f>
        <v>0</v>
      </c>
      <c r="I1364" s="1" cm="1">
        <f t="array" ref="I1364">SUMPRODUCT(("T_B_u-HYBDSL-S4"=[1]OUT_TransportEnergyCons!$A$3:$A$1000)*1,("var_fout"=[1]OUT_TransportEnergyCons!$B$3:$B$1000)*1,ISNUMBER(SEARCH("tpbsu",[1]OUT_TransportEnergyCons!$C$3:$C$1000))*1,[1]OUT_TransportEnergyCons!G$3:G$1000)</f>
        <v>0</v>
      </c>
      <c r="J1364" s="1" cm="1">
        <f t="array" ref="J1364">SUMPRODUCT(("T_B_u-HYBDSL-S4"=[2]OUT_TransportEnergyCons!$A$3:$A$1000)*1,("var_fout"=[2]OUT_TransportEnergyCons!$B$3:$B$1000)*1,ISNUMBER(SEARCH("tpbsu",[2]OUT_TransportEnergyCons!$C$3:$C$1000))*1,[2]OUT_TransportEnergyCons!H$3:H$1000)</f>
        <v>2.7775665116103703E-6</v>
      </c>
      <c r="K1364" s="1" cm="1">
        <f t="array" ref="K1364">SUMPRODUCT(("T_B_u-HYBDSL-S4"=[2]OUT_TransportEnergyCons!$A$3:$A$1000)*1,("var_fout"=[2]OUT_TransportEnergyCons!$B$3:$B$1000)*1,ISNUMBER(SEARCH("tpbsu",[2]OUT_TransportEnergyCons!$C$3:$C$1000))*1,[2]OUT_TransportEnergyCons!I$3:I$1000)</f>
        <v>3.258914536816683E-6</v>
      </c>
      <c r="L1364" s="1" cm="1">
        <f t="array" ref="L1364">SUMPRODUCT(("T_B_u-HYBDSL-S4"=[2]OUT_TransportEnergyCons!$A$3:$A$1000)*1,("var_fout"=[2]OUT_TransportEnergyCons!$B$3:$B$1000)*1,ISNUMBER(SEARCH("tpbsu",[2]OUT_TransportEnergyCons!$C$3:$C$1000))*1,[2]OUT_TransportEnergyCons!J$3:J$1000)</f>
        <v>4.8140722243790121E-7</v>
      </c>
      <c r="N1364" s="1"/>
    </row>
    <row r="1365" spans="2:14" x14ac:dyDescent="0.35">
      <c r="B1365" s="5" t="str">
        <f t="shared" si="1428"/>
        <v>SPS1</v>
      </c>
      <c r="C1365" s="5" t="str">
        <f t="shared" si="1429"/>
        <v>CH</v>
      </c>
      <c r="D1365" t="s">
        <v>2001</v>
      </c>
      <c r="E1365" t="str">
        <f t="shared" si="1430"/>
        <v>billion km/yr.</v>
      </c>
      <c r="F1365" s="1" cm="1">
        <f t="array" ref="F1365">SUMPRODUCT(("T_B_u-ICEDSLEXT"=[1]OUT_TransportEnergyCons!$A$3:$A$1000)*1,("var_fout"=[1]OUT_TransportEnergyCons!$B$3:$B$1000)*1,ISNUMBER(SEARCH("tpbsu",[1]OUT_TransportEnergyCons!$C$3:$C$1000))*1,[1]OUT_TransportEnergyCons!D$3:D$1000)</f>
        <v>0.24221977894283864</v>
      </c>
      <c r="G1365" s="1" cm="1">
        <f t="array" ref="G1365">SUMPRODUCT(("T_B_u-ICEDSLEXT"=[1]OUT_TransportEnergyCons!$A$3:$A$1000)*1,("var_fout"=[1]OUT_TransportEnergyCons!$B$3:$B$1000)*1,ISNUMBER(SEARCH("tpbsu",[1]OUT_TransportEnergyCons!$C$3:$C$1000))*1,[1]OUT_TransportEnergyCons!E$3:E$1000)</f>
        <v>0.19378287284498624</v>
      </c>
      <c r="H1365" s="1" cm="1">
        <f t="array" ref="H1365">SUMPRODUCT(("T_B_u-ICEDSLEXT"=[1]OUT_TransportEnergyCons!$A$3:$A$1000)*1,("var_fout"=[1]OUT_TransportEnergyCons!$B$3:$B$1000)*1,ISNUMBER(SEARCH("tpbsu",[1]OUT_TransportEnergyCons!$C$3:$C$1000))*1,[1]OUT_TransportEnergyCons!F$3:F$1000)</f>
        <v>0.12111458980889132</v>
      </c>
      <c r="I1365" s="1" cm="1">
        <f t="array" ref="I1365">SUMPRODUCT(("T_B_u-ICEDSLEXT"=[1]OUT_TransportEnergyCons!$A$3:$A$1000)*1,("var_fout"=[1]OUT_TransportEnergyCons!$B$3:$B$1000)*1,ISNUMBER(SEARCH("tpbsu",[1]OUT_TransportEnergyCons!$C$3:$C$1000))*1,[1]OUT_TransportEnergyCons!G$3:G$1000)</f>
        <v>0</v>
      </c>
      <c r="J1365" s="1" cm="1">
        <f t="array" ref="J1365">SUMPRODUCT(("T_B_u-ICEDSLEXT"=[2]OUT_TransportEnergyCons!$A$3:$A$1000)*1,("var_fout"=[2]OUT_TransportEnergyCons!$B$3:$B$1000)*1,ISNUMBER(SEARCH("tpbsu",[2]OUT_TransportEnergyCons!$C$3:$C$1000))*1,[2]OUT_TransportEnergyCons!H$3:H$1000)</f>
        <v>0</v>
      </c>
      <c r="K1365" s="1" cm="1">
        <f t="array" ref="K1365">SUMPRODUCT(("T_B_u-ICEDSLEXT"=[2]OUT_TransportEnergyCons!$A$3:$A$1000)*1,("var_fout"=[2]OUT_TransportEnergyCons!$B$3:$B$1000)*1,ISNUMBER(SEARCH("tpbsu",[2]OUT_TransportEnergyCons!$C$3:$C$1000))*1,[2]OUT_TransportEnergyCons!I$3:I$1000)</f>
        <v>0</v>
      </c>
      <c r="L1365" s="1" cm="1">
        <f t="array" ref="L1365">SUMPRODUCT(("T_B_u-ICEDSLEXT"=[2]OUT_TransportEnergyCons!$A$3:$A$1000)*1,("var_fout"=[2]OUT_TransportEnergyCons!$B$3:$B$1000)*1,ISNUMBER(SEARCH("tpbsu",[2]OUT_TransportEnergyCons!$C$3:$C$1000))*1,[2]OUT_TransportEnergyCons!J$3:J$1000)</f>
        <v>0</v>
      </c>
      <c r="N1365" s="1"/>
    </row>
    <row r="1366" spans="2:14" x14ac:dyDescent="0.35">
      <c r="B1366" s="5" t="str">
        <f t="shared" si="1428"/>
        <v>SPS1</v>
      </c>
      <c r="C1366" s="5" t="str">
        <f t="shared" si="1429"/>
        <v>CH</v>
      </c>
      <c r="D1366" t="s">
        <v>1362</v>
      </c>
      <c r="E1366" t="str">
        <f t="shared" si="1430"/>
        <v>billion km/yr.</v>
      </c>
      <c r="F1366" s="1" cm="1">
        <f t="array" ref="F1366">SUMPRODUCT(("T_B_u-ICEDSL-S1"=[1]OUT_TransportEnergyCons!$A$3:$A$1000)*1,("var_fout"=[1]OUT_TransportEnergyCons!$B$3:$B$1000)*1,ISNUMBER(SEARCH("tpbsu",[1]OUT_TransportEnergyCons!$C$3:$C$1000))*1,[1]OUT_TransportEnergyCons!D$3:D$1000)</f>
        <v>3.308244985912206E-5</v>
      </c>
      <c r="G1366" s="1" cm="1">
        <f t="array" ref="G1366">SUMPRODUCT(("T_B_u-ICEDSL-S1"=[1]OUT_TransportEnergyCons!$A$3:$A$1000)*1,("var_fout"=[1]OUT_TransportEnergyCons!$B$3:$B$1000)*1,ISNUMBER(SEARCH("tpbsu",[1]OUT_TransportEnergyCons!$C$3:$C$1000))*1,[1]OUT_TransportEnergyCons!E$3:E$1000)</f>
        <v>2.622403828861115E-4</v>
      </c>
      <c r="H1366" s="1" cm="1">
        <f t="array" ref="H1366">SUMPRODUCT(("T_B_u-ICEDSL-S1"=[1]OUT_TransportEnergyCons!$A$3:$A$1000)*1,("var_fout"=[1]OUT_TransportEnergyCons!$B$3:$B$1000)*1,ISNUMBER(SEARCH("tpbsu",[1]OUT_TransportEnergyCons!$C$3:$C$1000))*1,[1]OUT_TransportEnergyCons!F$3:F$1000)</f>
        <v>2.7832647581648891E-2</v>
      </c>
      <c r="I1366" s="1" cm="1">
        <f t="array" ref="I1366">SUMPRODUCT(("T_B_u-ICEDSL-S1"=[1]OUT_TransportEnergyCons!$A$3:$A$1000)*1,("var_fout"=[1]OUT_TransportEnergyCons!$B$3:$B$1000)*1,ISNUMBER(SEARCH("tpbsu",[1]OUT_TransportEnergyCons!$C$3:$C$1000))*1,[1]OUT_TransportEnergyCons!G$3:G$1000)</f>
        <v>5.0236101768583088E-6</v>
      </c>
      <c r="J1366" s="1" cm="1">
        <f t="array" ref="J1366">SUMPRODUCT(("T_B_u-ICEDSL-S1"=[2]OUT_TransportEnergyCons!$A$3:$A$1000)*1,("var_fout"=[2]OUT_TransportEnergyCons!$B$3:$B$1000)*1,ISNUMBER(SEARCH("tpbsu",[2]OUT_TransportEnergyCons!$C$3:$C$1000))*1,[2]OUT_TransportEnergyCons!H$3:H$1000)</f>
        <v>0</v>
      </c>
      <c r="K1366" s="1" cm="1">
        <f t="array" ref="K1366">SUMPRODUCT(("T_B_u-ICEDSL-S1"=[2]OUT_TransportEnergyCons!$A$3:$A$1000)*1,("var_fout"=[2]OUT_TransportEnergyCons!$B$3:$B$1000)*1,ISNUMBER(SEARCH("tpbsu",[2]OUT_TransportEnergyCons!$C$3:$C$1000))*1,[2]OUT_TransportEnergyCons!I$3:I$1000)</f>
        <v>0</v>
      </c>
      <c r="L1366" s="1" cm="1">
        <f t="array" ref="L1366">SUMPRODUCT(("T_B_u-ICEDSL-S1"=[2]OUT_TransportEnergyCons!$A$3:$A$1000)*1,("var_fout"=[2]OUT_TransportEnergyCons!$B$3:$B$1000)*1,ISNUMBER(SEARCH("tpbsu",[2]OUT_TransportEnergyCons!$C$3:$C$1000))*1,[2]OUT_TransportEnergyCons!J$3:J$1000)</f>
        <v>0</v>
      </c>
      <c r="N1366" s="1"/>
    </row>
    <row r="1367" spans="2:14" x14ac:dyDescent="0.35">
      <c r="B1367" s="5" t="str">
        <f t="shared" si="1428"/>
        <v>SPS1</v>
      </c>
      <c r="C1367" s="5" t="str">
        <f t="shared" si="1429"/>
        <v>CH</v>
      </c>
      <c r="D1367" t="s">
        <v>1363</v>
      </c>
      <c r="E1367" t="str">
        <f t="shared" si="1430"/>
        <v>billion km/yr.</v>
      </c>
      <c r="F1367" s="1" cm="1">
        <f t="array" ref="F1367">SUMPRODUCT(("T_B_u-ICEDSL-S2"=[1]OUT_TransportEnergyCons!$A$3:$A$1000)*1,("var_fout"=[1]OUT_TransportEnergyCons!$B$3:$B$1000)*1,ISNUMBER(SEARCH("tpbsu",[1]OUT_TransportEnergyCons!$C$3:$C$1000))*1,[1]OUT_TransportEnergyCons!D$3:D$1000)</f>
        <v>9.7252558214827485E-3</v>
      </c>
      <c r="G1367" s="1" cm="1">
        <f t="array" ref="G1367">SUMPRODUCT(("T_B_u-ICEDSL-S2"=[1]OUT_TransportEnergyCons!$A$3:$A$1000)*1,("var_fout"=[1]OUT_TransportEnergyCons!$B$3:$B$1000)*1,ISNUMBER(SEARCH("tpbsu",[1]OUT_TransportEnergyCons!$C$3:$C$1000))*1,[1]OUT_TransportEnergyCons!E$3:E$1000)</f>
        <v>1.1883038662334217E-2</v>
      </c>
      <c r="H1367" s="1" cm="1">
        <f t="array" ref="H1367">SUMPRODUCT(("T_B_u-ICEDSL-S2"=[1]OUT_TransportEnergyCons!$A$3:$A$1000)*1,("var_fout"=[1]OUT_TransportEnergyCons!$B$3:$B$1000)*1,ISNUMBER(SEARCH("tpbsu",[1]OUT_TransportEnergyCons!$C$3:$C$1000))*1,[1]OUT_TransportEnergyCons!F$3:F$1000)</f>
        <v>2.0076317199409274E-2</v>
      </c>
      <c r="I1367" s="1" cm="1">
        <f t="array" ref="I1367">SUMPRODUCT(("T_B_u-ICEDSL-S2"=[1]OUT_TransportEnergyCons!$A$3:$A$1000)*1,("var_fout"=[1]OUT_TransportEnergyCons!$B$3:$B$1000)*1,ISNUMBER(SEARCH("tpbsu",[1]OUT_TransportEnergyCons!$C$3:$C$1000))*1,[1]OUT_TransportEnergyCons!G$3:G$1000)</f>
        <v>0</v>
      </c>
      <c r="J1367" s="1" cm="1">
        <f t="array" ref="J1367">SUMPRODUCT(("T_B_u-ICEDSL-S2"=[2]OUT_TransportEnergyCons!$A$3:$A$1000)*1,("var_fout"=[2]OUT_TransportEnergyCons!$B$3:$B$1000)*1,ISNUMBER(SEARCH("tpbsu",[2]OUT_TransportEnergyCons!$C$3:$C$1000))*1,[2]OUT_TransportEnergyCons!H$3:H$1000)</f>
        <v>0</v>
      </c>
      <c r="K1367" s="1" cm="1">
        <f t="array" ref="K1367">SUMPRODUCT(("T_B_u-ICEDSL-S2"=[2]OUT_TransportEnergyCons!$A$3:$A$1000)*1,("var_fout"=[2]OUT_TransportEnergyCons!$B$3:$B$1000)*1,ISNUMBER(SEARCH("tpbsu",[2]OUT_TransportEnergyCons!$C$3:$C$1000))*1,[2]OUT_TransportEnergyCons!I$3:I$1000)</f>
        <v>0</v>
      </c>
      <c r="L1367" s="1" cm="1">
        <f t="array" ref="L1367">SUMPRODUCT(("T_B_u-ICEDSL-S2"=[2]OUT_TransportEnergyCons!$A$3:$A$1000)*1,("var_fout"=[2]OUT_TransportEnergyCons!$B$3:$B$1000)*1,ISNUMBER(SEARCH("tpbsu",[2]OUT_TransportEnergyCons!$C$3:$C$1000))*1,[2]OUT_TransportEnergyCons!J$3:J$1000)</f>
        <v>0</v>
      </c>
      <c r="N1367" s="1"/>
    </row>
    <row r="1368" spans="2:14" x14ac:dyDescent="0.35">
      <c r="B1368" s="5" t="str">
        <f t="shared" si="1428"/>
        <v>SPS1</v>
      </c>
      <c r="C1368" s="5" t="str">
        <f t="shared" si="1429"/>
        <v>CH</v>
      </c>
      <c r="D1368" t="s">
        <v>1364</v>
      </c>
      <c r="E1368" t="str">
        <f t="shared" si="1430"/>
        <v>billion km/yr.</v>
      </c>
      <c r="F1368" s="1" cm="1">
        <f t="array" ref="F1368">SUMPRODUCT(("T_B_u-ICEDSL-S3"=[1]OUT_TransportEnergyCons!$A$3:$A$1000)*1,("var_fout"=[1]OUT_TransportEnergyCons!$B$3:$B$1000)*1,ISNUMBER(SEARCH("tpbsu",[1]OUT_TransportEnergyCons!$C$3:$C$1000))*1,[1]OUT_TransportEnergyCons!D$3:D$1000)</f>
        <v>3.5412134394524439E-2</v>
      </c>
      <c r="G1368" s="1" cm="1">
        <f t="array" ref="G1368">SUMPRODUCT(("T_B_u-ICEDSL-S3"=[1]OUT_TransportEnergyCons!$A$3:$A$1000)*1,("var_fout"=[1]OUT_TransportEnergyCons!$B$3:$B$1000)*1,ISNUMBER(SEARCH("tpbsu",[1]OUT_TransportEnergyCons!$C$3:$C$1000))*1,[1]OUT_TransportEnergyCons!E$3:E$1000)</f>
        <v>5.0528873594463612E-2</v>
      </c>
      <c r="H1368" s="1" cm="1">
        <f t="array" ref="H1368">SUMPRODUCT(("T_B_u-ICEDSL-S3"=[1]OUT_TransportEnergyCons!$A$3:$A$1000)*1,("var_fout"=[1]OUT_TransportEnergyCons!$B$3:$B$1000)*1,ISNUMBER(SEARCH("tpbsu",[1]OUT_TransportEnergyCons!$C$3:$C$1000))*1,[1]OUT_TransportEnergyCons!F$3:F$1000)</f>
        <v>5.0542130690975594E-2</v>
      </c>
      <c r="I1368" s="1" cm="1">
        <f t="array" ref="I1368">SUMPRODUCT(("T_B_u-ICEDSL-S3"=[1]OUT_TransportEnergyCons!$A$3:$A$1000)*1,("var_fout"=[1]OUT_TransportEnergyCons!$B$3:$B$1000)*1,ISNUMBER(SEARCH("tpbsu",[1]OUT_TransportEnergyCons!$C$3:$C$1000))*1,[1]OUT_TransportEnergyCons!G$3:G$1000)</f>
        <v>0</v>
      </c>
      <c r="J1368" s="1" cm="1">
        <f t="array" ref="J1368">SUMPRODUCT(("T_B_u-ICEDSL-S3"=[2]OUT_TransportEnergyCons!$A$3:$A$1000)*1,("var_fout"=[2]OUT_TransportEnergyCons!$B$3:$B$1000)*1,ISNUMBER(SEARCH("tpbsu",[2]OUT_TransportEnergyCons!$C$3:$C$1000))*1,[2]OUT_TransportEnergyCons!H$3:H$1000)</f>
        <v>0</v>
      </c>
      <c r="K1368" s="1" cm="1">
        <f t="array" ref="K1368">SUMPRODUCT(("T_B_u-ICEDSL-S3"=[2]OUT_TransportEnergyCons!$A$3:$A$1000)*1,("var_fout"=[2]OUT_TransportEnergyCons!$B$3:$B$1000)*1,ISNUMBER(SEARCH("tpbsu",[2]OUT_TransportEnergyCons!$C$3:$C$1000))*1,[2]OUT_TransportEnergyCons!I$3:I$1000)</f>
        <v>0</v>
      </c>
      <c r="L1368" s="1" cm="1">
        <f t="array" ref="L1368">SUMPRODUCT(("T_B_u-ICEDSL-S3"=[2]OUT_TransportEnergyCons!$A$3:$A$1000)*1,("var_fout"=[2]OUT_TransportEnergyCons!$B$3:$B$1000)*1,ISNUMBER(SEARCH("tpbsu",[2]OUT_TransportEnergyCons!$C$3:$C$1000))*1,[2]OUT_TransportEnergyCons!J$3:J$1000)</f>
        <v>0</v>
      </c>
      <c r="N1368" s="1"/>
    </row>
    <row r="1369" spans="2:14" x14ac:dyDescent="0.35">
      <c r="B1369" s="5" t="str">
        <f t="shared" si="1428"/>
        <v>SPS1</v>
      </c>
      <c r="C1369" s="5" t="str">
        <f t="shared" si="1429"/>
        <v>CH</v>
      </c>
      <c r="D1369" t="s">
        <v>1365</v>
      </c>
      <c r="E1369" t="str">
        <f t="shared" si="1430"/>
        <v>billion km/yr.</v>
      </c>
      <c r="F1369" s="1" cm="1">
        <f t="array" ref="F1369">SUMPRODUCT(("T_B_u-ICEDSL-S4"=[1]OUT_TransportEnergyCons!$A$3:$A$1000)*1,("var_fout"=[1]OUT_TransportEnergyCons!$B$3:$B$1000)*1,ISNUMBER(SEARCH("tpbsu",[1]OUT_TransportEnergyCons!$C$3:$C$1000))*1,[1]OUT_TransportEnergyCons!D$3:D$1000)</f>
        <v>1.0553386078116482E-4</v>
      </c>
      <c r="G1369" s="1" cm="1">
        <f t="array" ref="G1369">SUMPRODUCT(("T_B_u-ICEDSL-S4"=[1]OUT_TransportEnergyCons!$A$3:$A$1000)*1,("var_fout"=[1]OUT_TransportEnergyCons!$B$3:$B$1000)*1,ISNUMBER(SEARCH("tpbsu",[1]OUT_TransportEnergyCons!$C$3:$C$1000))*1,[1]OUT_TransportEnergyCons!E$3:E$1000)</f>
        <v>0</v>
      </c>
      <c r="H1369" s="1" cm="1">
        <f t="array" ref="H1369">SUMPRODUCT(("T_B_u-ICEDSL-S4"=[1]OUT_TransportEnergyCons!$A$3:$A$1000)*1,("var_fout"=[1]OUT_TransportEnergyCons!$B$3:$B$1000)*1,ISNUMBER(SEARCH("tpbsu",[1]OUT_TransportEnergyCons!$C$3:$C$1000))*1,[1]OUT_TransportEnergyCons!F$3:F$1000)</f>
        <v>7.4946294012063805E-7</v>
      </c>
      <c r="I1369" s="1" cm="1">
        <f t="array" ref="I1369">SUMPRODUCT(("T_B_u-ICEDSL-S4"=[1]OUT_TransportEnergyCons!$A$3:$A$1000)*1,("var_fout"=[1]OUT_TransportEnergyCons!$B$3:$B$1000)*1,ISNUMBER(SEARCH("tpbsu",[1]OUT_TransportEnergyCons!$C$3:$C$1000))*1,[1]OUT_TransportEnergyCons!G$3:G$1000)</f>
        <v>0</v>
      </c>
      <c r="J1369" s="1" cm="1">
        <f t="array" ref="J1369">SUMPRODUCT(("T_B_u-ICEDSL-S4"=[2]OUT_TransportEnergyCons!$A$3:$A$1000)*1,("var_fout"=[2]OUT_TransportEnergyCons!$B$3:$B$1000)*1,ISNUMBER(SEARCH("tpbsu",[2]OUT_TransportEnergyCons!$C$3:$C$1000))*1,[2]OUT_TransportEnergyCons!H$3:H$1000)</f>
        <v>0</v>
      </c>
      <c r="K1369" s="1" cm="1">
        <f t="array" ref="K1369">SUMPRODUCT(("T_B_u-ICEDSL-S4"=[2]OUT_TransportEnergyCons!$A$3:$A$1000)*1,("var_fout"=[2]OUT_TransportEnergyCons!$B$3:$B$1000)*1,ISNUMBER(SEARCH("tpbsu",[2]OUT_TransportEnergyCons!$C$3:$C$1000))*1,[2]OUT_TransportEnergyCons!I$3:I$1000)</f>
        <v>0</v>
      </c>
      <c r="L1369" s="1" cm="1">
        <f t="array" ref="L1369">SUMPRODUCT(("T_B_u-ICEDSL-S4"=[2]OUT_TransportEnergyCons!$A$3:$A$1000)*1,("var_fout"=[2]OUT_TransportEnergyCons!$B$3:$B$1000)*1,ISNUMBER(SEARCH("tpbsu",[2]OUT_TransportEnergyCons!$C$3:$C$1000))*1,[2]OUT_TransportEnergyCons!J$3:J$1000)</f>
        <v>0</v>
      </c>
      <c r="N1369" s="1"/>
    </row>
    <row r="1370" spans="2:14" x14ac:dyDescent="0.35">
      <c r="B1370" s="5" t="str">
        <f t="shared" si="1428"/>
        <v>SPS1</v>
      </c>
      <c r="C1370" s="5" t="str">
        <f t="shared" si="1429"/>
        <v>CH</v>
      </c>
      <c r="D1370" t="s">
        <v>2005</v>
      </c>
      <c r="E1370" t="str">
        <f t="shared" si="1430"/>
        <v>billion km/yr.</v>
      </c>
      <c r="F1370" s="1" cm="1">
        <f t="array" ref="F1370">SUMPRODUCT(("T_B_u-ICEngaEXT"=[1]OUT_TransportEnergyCons!$A$3:$A$1000)*1,("var_fout"=[1]OUT_TransportEnergyCons!$B$3:$B$1000)*1,ISNUMBER(SEARCH("tpbsu",[1]OUT_TransportEnergyCons!$C$3:$C$1000))*1,[1]OUT_TransportEnergyCons!D$3:D$1000)</f>
        <v>4.426930768547296E-3</v>
      </c>
      <c r="G1370" s="1" cm="1">
        <f t="array" ref="G1370">SUMPRODUCT(("T_B_u-ICEngaEXT"=[1]OUT_TransportEnergyCons!$A$3:$A$1000)*1,("var_fout"=[1]OUT_TransportEnergyCons!$B$3:$B$1000)*1,ISNUMBER(SEARCH("tpbsu",[1]OUT_TransportEnergyCons!$C$3:$C$1000))*1,[1]OUT_TransportEnergyCons!E$3:E$1000)</f>
        <v>3.5466951739758553E-3</v>
      </c>
      <c r="H1370" s="1" cm="1">
        <f t="array" ref="H1370">SUMPRODUCT(("T_B_u-ICEngaEXT"=[1]OUT_TransportEnergyCons!$A$3:$A$1000)*1,("var_fout"=[1]OUT_TransportEnergyCons!$B$3:$B$1000)*1,ISNUMBER(SEARCH("tpbsu",[1]OUT_TransportEnergyCons!$C$3:$C$1000))*1,[1]OUT_TransportEnergyCons!F$3:F$1000)</f>
        <v>2.2166544296587658E-3</v>
      </c>
      <c r="I1370" s="1" cm="1">
        <f t="array" ref="I1370">SUMPRODUCT(("T_B_u-ICEngaEXT"=[1]OUT_TransportEnergyCons!$A$3:$A$1000)*1,("var_fout"=[1]OUT_TransportEnergyCons!$B$3:$B$1000)*1,ISNUMBER(SEARCH("tpbsu",[1]OUT_TransportEnergyCons!$C$3:$C$1000))*1,[1]OUT_TransportEnergyCons!G$3:G$1000)</f>
        <v>0</v>
      </c>
      <c r="J1370" s="1" cm="1">
        <f t="array" ref="J1370">SUMPRODUCT(("T_B_u-ICEngaEXT"=[2]OUT_TransportEnergyCons!$A$3:$A$1000)*1,("var_fout"=[2]OUT_TransportEnergyCons!$B$3:$B$1000)*1,ISNUMBER(SEARCH("tpbsu",[2]OUT_TransportEnergyCons!$C$3:$C$1000))*1,[2]OUT_TransportEnergyCons!H$3:H$1000)</f>
        <v>0</v>
      </c>
      <c r="K1370" s="1" cm="1">
        <f t="array" ref="K1370">SUMPRODUCT(("T_B_u-ICEngaEXT"=[2]OUT_TransportEnergyCons!$A$3:$A$1000)*1,("var_fout"=[2]OUT_TransportEnergyCons!$B$3:$B$1000)*1,ISNUMBER(SEARCH("tpbsu",[2]OUT_TransportEnergyCons!$C$3:$C$1000))*1,[2]OUT_TransportEnergyCons!I$3:I$1000)</f>
        <v>0</v>
      </c>
      <c r="L1370" s="1" cm="1">
        <f t="array" ref="L1370">SUMPRODUCT(("T_B_u-ICEngaEXT"=[2]OUT_TransportEnergyCons!$A$3:$A$1000)*1,("var_fout"=[2]OUT_TransportEnergyCons!$B$3:$B$1000)*1,ISNUMBER(SEARCH("tpbsu",[2]OUT_TransportEnergyCons!$C$3:$C$1000))*1,[2]OUT_TransportEnergyCons!J$3:J$1000)</f>
        <v>0</v>
      </c>
      <c r="N1370" s="1"/>
    </row>
    <row r="1371" spans="2:14" x14ac:dyDescent="0.35">
      <c r="B1371" s="5" t="str">
        <f t="shared" si="1428"/>
        <v>SPS1</v>
      </c>
      <c r="C1371" s="5" t="str">
        <f t="shared" si="1429"/>
        <v>CH</v>
      </c>
      <c r="D1371" t="s">
        <v>1366</v>
      </c>
      <c r="E1371" t="str">
        <f t="shared" si="1430"/>
        <v>billion km/yr.</v>
      </c>
      <c r="F1371" s="1" cm="1">
        <f t="array" ref="F1371">SUMPRODUCT(("T_B_u-ICEnga-S1"=[1]OUT_TransportEnergyCons!$A$3:$A$1000)*1,("var_fout"=[1]OUT_TransportEnergyCons!$B$3:$B$1000)*1,ISNUMBER(SEARCH("tpbsu",[1]OUT_TransportEnergyCons!$C$3:$C$1000))*1,[1]OUT_TransportEnergyCons!D$3:D$1000)</f>
        <v>0</v>
      </c>
      <c r="G1371" s="1" cm="1">
        <f t="array" ref="G1371">SUMPRODUCT(("T_B_u-ICEnga-S1"=[1]OUT_TransportEnergyCons!$A$3:$A$1000)*1,("var_fout"=[1]OUT_TransportEnergyCons!$B$3:$B$1000)*1,ISNUMBER(SEARCH("tpbsu",[1]OUT_TransportEnergyCons!$C$3:$C$1000))*1,[1]OUT_TransportEnergyCons!E$3:E$1000)</f>
        <v>6.7119026267604095E-6</v>
      </c>
      <c r="H1371" s="1" cm="1">
        <f t="array" ref="H1371">SUMPRODUCT(("T_B_u-ICEnga-S1"=[1]OUT_TransportEnergyCons!$A$3:$A$1000)*1,("var_fout"=[1]OUT_TransportEnergyCons!$B$3:$B$1000)*1,ISNUMBER(SEARCH("tpbsu",[1]OUT_TransportEnergyCons!$C$3:$C$1000))*1,[1]OUT_TransportEnergyCons!F$3:F$1000)</f>
        <v>4.3801010248246218E-5</v>
      </c>
      <c r="I1371" s="1" cm="1">
        <f t="array" ref="I1371">SUMPRODUCT(("T_B_u-ICEnga-S1"=[1]OUT_TransportEnergyCons!$A$3:$A$1000)*1,("var_fout"=[1]OUT_TransportEnergyCons!$B$3:$B$1000)*1,ISNUMBER(SEARCH("tpbsu",[1]OUT_TransportEnergyCons!$C$3:$C$1000))*1,[1]OUT_TransportEnergyCons!G$3:G$1000)</f>
        <v>0</v>
      </c>
      <c r="J1371" s="1" cm="1">
        <f t="array" ref="J1371">SUMPRODUCT(("T_B_u-ICEnga-S1"=[2]OUT_TransportEnergyCons!$A$3:$A$1000)*1,("var_fout"=[2]OUT_TransportEnergyCons!$B$3:$B$1000)*1,ISNUMBER(SEARCH("tpbsu",[2]OUT_TransportEnergyCons!$C$3:$C$1000))*1,[2]OUT_TransportEnergyCons!H$3:H$1000)</f>
        <v>8.5664078117634887E-8</v>
      </c>
      <c r="K1371" s="1" cm="1">
        <f t="array" ref="K1371">SUMPRODUCT(("T_B_u-ICEnga-S1"=[2]OUT_TransportEnergyCons!$A$3:$A$1000)*1,("var_fout"=[2]OUT_TransportEnergyCons!$B$3:$B$1000)*1,ISNUMBER(SEARCH("tpbsu",[2]OUT_TransportEnergyCons!$C$3:$C$1000))*1,[2]OUT_TransportEnergyCons!I$3:I$1000)</f>
        <v>1.4166470438313656E-7</v>
      </c>
      <c r="L1371" s="1" cm="1">
        <f t="array" ref="L1371">SUMPRODUCT(("T_B_u-ICEnga-S1"=[2]OUT_TransportEnergyCons!$A$3:$A$1000)*1,("var_fout"=[2]OUT_TransportEnergyCons!$B$3:$B$1000)*1,ISNUMBER(SEARCH("tpbsu",[2]OUT_TransportEnergyCons!$C$3:$C$1000))*1,[2]OUT_TransportEnergyCons!J$3:J$1000)</f>
        <v>0</v>
      </c>
      <c r="N1371" s="1"/>
    </row>
    <row r="1372" spans="2:14" x14ac:dyDescent="0.35">
      <c r="B1372" s="5" t="str">
        <f t="shared" si="1428"/>
        <v>SPS1</v>
      </c>
      <c r="C1372" s="5" t="str">
        <f t="shared" si="1429"/>
        <v>CH</v>
      </c>
      <c r="D1372" t="s">
        <v>1367</v>
      </c>
      <c r="E1372" t="str">
        <f t="shared" si="1430"/>
        <v>billion km/yr.</v>
      </c>
      <c r="F1372" s="1" cm="1">
        <f t="array" ref="F1372">SUMPRODUCT(("T_B_u-ICEnga-S2"=[1]OUT_TransportEnergyCons!$A$3:$A$1000)*1,("var_fout"=[1]OUT_TransportEnergyCons!$B$3:$B$1000)*1,ISNUMBER(SEARCH("tpbsu",[1]OUT_TransportEnergyCons!$C$3:$C$1000))*1,[1]OUT_TransportEnergyCons!D$3:D$1000)</f>
        <v>0</v>
      </c>
      <c r="G1372" s="1" cm="1">
        <f t="array" ref="G1372">SUMPRODUCT(("T_B_u-ICEnga-S2"=[1]OUT_TransportEnergyCons!$A$3:$A$1000)*1,("var_fout"=[1]OUT_TransportEnergyCons!$B$3:$B$1000)*1,ISNUMBER(SEARCH("tpbsu",[1]OUT_TransportEnergyCons!$C$3:$C$1000))*1,[1]OUT_TransportEnergyCons!E$3:E$1000)</f>
        <v>2.4749179212293925E-6</v>
      </c>
      <c r="H1372" s="1" cm="1">
        <f t="array" ref="H1372">SUMPRODUCT(("T_B_u-ICEnga-S2"=[1]OUT_TransportEnergyCons!$A$3:$A$1000)*1,("var_fout"=[1]OUT_TransportEnergyCons!$B$3:$B$1000)*1,ISNUMBER(SEARCH("tpbsu",[1]OUT_TransportEnergyCons!$C$3:$C$1000))*1,[1]OUT_TransportEnergyCons!F$3:F$1000)</f>
        <v>1.7126554728049922E-3</v>
      </c>
      <c r="I1372" s="1" cm="1">
        <f t="array" ref="I1372">SUMPRODUCT(("T_B_u-ICEnga-S2"=[1]OUT_TransportEnergyCons!$A$3:$A$1000)*1,("var_fout"=[1]OUT_TransportEnergyCons!$B$3:$B$1000)*1,ISNUMBER(SEARCH("tpbsu",[1]OUT_TransportEnergyCons!$C$3:$C$1000))*1,[1]OUT_TransportEnergyCons!G$3:G$1000)</f>
        <v>0</v>
      </c>
      <c r="J1372" s="1" cm="1">
        <f t="array" ref="J1372">SUMPRODUCT(("T_B_u-ICEnga-S2"=[2]OUT_TransportEnergyCons!$A$3:$A$1000)*1,("var_fout"=[2]OUT_TransportEnergyCons!$B$3:$B$1000)*1,ISNUMBER(SEARCH("tpbsu",[2]OUT_TransportEnergyCons!$C$3:$C$1000))*1,[2]OUT_TransportEnergyCons!H$3:H$1000)</f>
        <v>0</v>
      </c>
      <c r="K1372" s="1" cm="1">
        <f t="array" ref="K1372">SUMPRODUCT(("T_B_u-ICEnga-S2"=[2]OUT_TransportEnergyCons!$A$3:$A$1000)*1,("var_fout"=[2]OUT_TransportEnergyCons!$B$3:$B$1000)*1,ISNUMBER(SEARCH("tpbsu",[2]OUT_TransportEnergyCons!$C$3:$C$1000))*1,[2]OUT_TransportEnergyCons!I$3:I$1000)</f>
        <v>0</v>
      </c>
      <c r="L1372" s="1" cm="1">
        <f t="array" ref="L1372">SUMPRODUCT(("T_B_u-ICEnga-S2"=[2]OUT_TransportEnergyCons!$A$3:$A$1000)*1,("var_fout"=[2]OUT_TransportEnergyCons!$B$3:$B$1000)*1,ISNUMBER(SEARCH("tpbsu",[2]OUT_TransportEnergyCons!$C$3:$C$1000))*1,[2]OUT_TransportEnergyCons!J$3:J$1000)</f>
        <v>0</v>
      </c>
      <c r="N1372" s="1"/>
    </row>
    <row r="1373" spans="2:14" x14ac:dyDescent="0.35">
      <c r="B1373" s="5" t="str">
        <f t="shared" si="1428"/>
        <v>SPS1</v>
      </c>
      <c r="C1373" s="5" t="str">
        <f t="shared" si="1429"/>
        <v>CH</v>
      </c>
      <c r="D1373" t="s">
        <v>1368</v>
      </c>
      <c r="E1373" t="str">
        <f t="shared" si="1430"/>
        <v>billion km/yr.</v>
      </c>
      <c r="F1373" s="1" cm="1">
        <f t="array" ref="F1373">SUMPRODUCT(("T_B_u-ICEnga-S3"=[1]OUT_TransportEnergyCons!$A$3:$A$1000)*1,("var_fout"=[1]OUT_TransportEnergyCons!$B$3:$B$1000)*1,ISNUMBER(SEARCH("tpbsu",[1]OUT_TransportEnergyCons!$C$3:$C$1000))*1,[1]OUT_TransportEnergyCons!D$3:D$1000)</f>
        <v>0</v>
      </c>
      <c r="G1373" s="1" cm="1">
        <f t="array" ref="G1373">SUMPRODUCT(("T_B_u-ICEnga-S3"=[1]OUT_TransportEnergyCons!$A$3:$A$1000)*1,("var_fout"=[1]OUT_TransportEnergyCons!$B$3:$B$1000)*1,ISNUMBER(SEARCH("tpbsu",[1]OUT_TransportEnergyCons!$C$3:$C$1000))*1,[1]OUT_TransportEnergyCons!E$3:E$1000)</f>
        <v>6.7114343522463391E-7</v>
      </c>
      <c r="H1373" s="1" cm="1">
        <f t="array" ref="H1373">SUMPRODUCT(("T_B_u-ICEnga-S3"=[1]OUT_TransportEnergyCons!$A$3:$A$1000)*1,("var_fout"=[1]OUT_TransportEnergyCons!$B$3:$B$1000)*1,ISNUMBER(SEARCH("tpbsu",[1]OUT_TransportEnergyCons!$C$3:$C$1000))*1,[1]OUT_TransportEnergyCons!F$3:F$1000)</f>
        <v>7.7567560625122881E-6</v>
      </c>
      <c r="I1373" s="1" cm="1">
        <f t="array" ref="I1373">SUMPRODUCT(("T_B_u-ICEnga-S3"=[1]OUT_TransportEnergyCons!$A$3:$A$1000)*1,("var_fout"=[1]OUT_TransportEnergyCons!$B$3:$B$1000)*1,ISNUMBER(SEARCH("tpbsu",[1]OUT_TransportEnergyCons!$C$3:$C$1000))*1,[1]OUT_TransportEnergyCons!G$3:G$1000)</f>
        <v>4.03282076970115E-8</v>
      </c>
      <c r="J1373" s="1" cm="1">
        <f t="array" ref="J1373">SUMPRODUCT(("T_B_u-ICEnga-S3"=[2]OUT_TransportEnergyCons!$A$3:$A$1000)*1,("var_fout"=[2]OUT_TransportEnergyCons!$B$3:$B$1000)*1,ISNUMBER(SEARCH("tpbsu",[2]OUT_TransportEnergyCons!$C$3:$C$1000))*1,[2]OUT_TransportEnergyCons!H$3:H$1000)</f>
        <v>0</v>
      </c>
      <c r="K1373" s="1" cm="1">
        <f t="array" ref="K1373">SUMPRODUCT(("T_B_u-ICEnga-S3"=[2]OUT_TransportEnergyCons!$A$3:$A$1000)*1,("var_fout"=[2]OUT_TransportEnergyCons!$B$3:$B$1000)*1,ISNUMBER(SEARCH("tpbsu",[2]OUT_TransportEnergyCons!$C$3:$C$1000))*1,[2]OUT_TransportEnergyCons!I$3:I$1000)</f>
        <v>0</v>
      </c>
      <c r="L1373" s="1" cm="1">
        <f t="array" ref="L1373">SUMPRODUCT(("T_B_u-ICEnga-S3"=[2]OUT_TransportEnergyCons!$A$3:$A$1000)*1,("var_fout"=[2]OUT_TransportEnergyCons!$B$3:$B$1000)*1,ISNUMBER(SEARCH("tpbsu",[2]OUT_TransportEnergyCons!$C$3:$C$1000))*1,[2]OUT_TransportEnergyCons!J$3:J$1000)</f>
        <v>0</v>
      </c>
      <c r="N1373" s="1"/>
    </row>
    <row r="1374" spans="2:14" x14ac:dyDescent="0.35">
      <c r="B1374" s="5" t="str">
        <f t="shared" si="1428"/>
        <v>SPS1</v>
      </c>
      <c r="C1374" s="5" t="str">
        <f t="shared" si="1429"/>
        <v>CH</v>
      </c>
      <c r="D1374" t="s">
        <v>1369</v>
      </c>
      <c r="E1374" t="str">
        <f t="shared" si="1430"/>
        <v>billion km/yr.</v>
      </c>
      <c r="F1374" s="1" cm="1">
        <f t="array" ref="F1374">SUMPRODUCT(("T_B_u-ICEnga-S4"=[1]OUT_TransportEnergyCons!$A$3:$A$1000)*1,("var_fout"=[1]OUT_TransportEnergyCons!$B$3:$B$1000)*1,ISNUMBER(SEARCH("tpbsu",[1]OUT_TransportEnergyCons!$C$3:$C$1000))*1,[1]OUT_TransportEnergyCons!D$3:D$1000)</f>
        <v>0</v>
      </c>
      <c r="G1374" s="1" cm="1">
        <f t="array" ref="G1374">SUMPRODUCT(("T_B_u-ICEnga-S4"=[1]OUT_TransportEnergyCons!$A$3:$A$1000)*1,("var_fout"=[1]OUT_TransportEnergyCons!$B$3:$B$1000)*1,ISNUMBER(SEARCH("tpbsu",[1]OUT_TransportEnergyCons!$C$3:$C$1000))*1,[1]OUT_TransportEnergyCons!E$3:E$1000)</f>
        <v>0</v>
      </c>
      <c r="H1374" s="1" cm="1">
        <f t="array" ref="H1374">SUMPRODUCT(("T_B_u-ICEnga-S4"=[1]OUT_TransportEnergyCons!$A$3:$A$1000)*1,("var_fout"=[1]OUT_TransportEnergyCons!$B$3:$B$1000)*1,ISNUMBER(SEARCH("tpbsu",[1]OUT_TransportEnergyCons!$C$3:$C$1000))*1,[1]OUT_TransportEnergyCons!F$3:F$1000)</f>
        <v>0</v>
      </c>
      <c r="I1374" s="1" cm="1">
        <f t="array" ref="I1374">SUMPRODUCT(("T_B_u-ICEnga-S4"=[1]OUT_TransportEnergyCons!$A$3:$A$1000)*1,("var_fout"=[1]OUT_TransportEnergyCons!$B$3:$B$1000)*1,ISNUMBER(SEARCH("tpbsu",[1]OUT_TransportEnergyCons!$C$3:$C$1000))*1,[1]OUT_TransportEnergyCons!G$3:G$1000)</f>
        <v>0</v>
      </c>
      <c r="J1374" s="1" cm="1">
        <f t="array" ref="J1374">SUMPRODUCT(("T_B_u-ICEnga-S4"=[2]OUT_TransportEnergyCons!$A$3:$A$1000)*1,("var_fout"=[2]OUT_TransportEnergyCons!$B$3:$B$1000)*1,ISNUMBER(SEARCH("tpbsu",[2]OUT_TransportEnergyCons!$C$3:$C$1000))*1,[2]OUT_TransportEnergyCons!H$3:H$1000)</f>
        <v>0</v>
      </c>
      <c r="K1374" s="1" cm="1">
        <f t="array" ref="K1374">SUMPRODUCT(("T_B_u-ICEnga-S4"=[2]OUT_TransportEnergyCons!$A$3:$A$1000)*1,("var_fout"=[2]OUT_TransportEnergyCons!$B$3:$B$1000)*1,ISNUMBER(SEARCH("tpbsu",[2]OUT_TransportEnergyCons!$C$3:$C$1000))*1,[2]OUT_TransportEnergyCons!I$3:I$1000)</f>
        <v>0</v>
      </c>
      <c r="L1374" s="1" cm="1">
        <f t="array" ref="L1374">SUMPRODUCT(("T_B_u-ICEnga-S4"=[2]OUT_TransportEnergyCons!$A$3:$A$1000)*1,("var_fout"=[2]OUT_TransportEnergyCons!$B$3:$B$1000)*1,ISNUMBER(SEARCH("tpbsu",[2]OUT_TransportEnergyCons!$C$3:$C$1000))*1,[2]OUT_TransportEnergyCons!J$3:J$1000)</f>
        <v>0</v>
      </c>
      <c r="N1374" s="1"/>
    </row>
    <row r="1375" spans="2:14" x14ac:dyDescent="0.35">
      <c r="B1375" s="5" t="str">
        <f>B1374</f>
        <v>SPS1</v>
      </c>
      <c r="C1375" s="5" t="str">
        <f>C1374</f>
        <v>CH</v>
      </c>
      <c r="D1375" s="2" t="s">
        <v>1370</v>
      </c>
      <c r="E1375" s="2" t="s">
        <v>1229</v>
      </c>
      <c r="F1375" s="22" t="s">
        <v>292</v>
      </c>
      <c r="G1375" s="22" t="s">
        <v>292</v>
      </c>
      <c r="H1375" s="22" t="s">
        <v>292</v>
      </c>
      <c r="I1375" s="22" t="s">
        <v>292</v>
      </c>
      <c r="J1375" s="22" t="s">
        <v>292</v>
      </c>
      <c r="K1375" s="22" t="s">
        <v>292</v>
      </c>
      <c r="L1375" s="22" t="s">
        <v>292</v>
      </c>
      <c r="N1375" s="1"/>
    </row>
    <row r="1376" spans="2:14" x14ac:dyDescent="0.35">
      <c r="B1376" s="5" t="str">
        <f t="shared" ref="B1376:B1398" si="1431">B1375</f>
        <v>SPS1</v>
      </c>
      <c r="C1376" s="5" t="str">
        <f t="shared" ref="C1376:C1398" si="1432">C1375</f>
        <v>CH</v>
      </c>
      <c r="D1376" t="s">
        <v>1371</v>
      </c>
      <c r="E1376" t="s">
        <v>1229</v>
      </c>
      <c r="F1376" s="1">
        <f>IFERROR(F1352/F1317,"-")</f>
        <v>4.190604214466032</v>
      </c>
      <c r="G1376" s="1">
        <f t="shared" ref="G1376:K1376" si="1433">IFERROR(G1352/G1317,"-")</f>
        <v>3.3737507326839316</v>
      </c>
      <c r="H1376" s="1">
        <f t="shared" si="1433"/>
        <v>2.1484705100107924</v>
      </c>
      <c r="I1376" s="1" t="str">
        <f t="shared" si="1433"/>
        <v>-</v>
      </c>
      <c r="J1376" s="1" t="str">
        <f t="shared" si="1433"/>
        <v>-</v>
      </c>
      <c r="K1376" s="1" t="str">
        <f t="shared" si="1433"/>
        <v>-</v>
      </c>
      <c r="L1376" s="1" t="str">
        <f t="shared" ref="L1376" si="1434">IFERROR(L1352/L1317,"-")</f>
        <v>-</v>
      </c>
      <c r="N1376" s="1"/>
    </row>
    <row r="1377" spans="2:14" x14ac:dyDescent="0.35">
      <c r="B1377" s="5" t="str">
        <f t="shared" si="1431"/>
        <v>SPS1</v>
      </c>
      <c r="C1377" s="5" t="str">
        <f t="shared" si="1432"/>
        <v>CH</v>
      </c>
      <c r="D1377" t="s">
        <v>1372</v>
      </c>
      <c r="E1377" t="s">
        <v>1229</v>
      </c>
      <c r="F1377" s="1">
        <f t="shared" ref="F1377:K1377" si="1435">IFERROR(F1353/F1318,"-")</f>
        <v>0.37869321701871755</v>
      </c>
      <c r="G1377" s="1">
        <f t="shared" si="1435"/>
        <v>0.3924176476814964</v>
      </c>
      <c r="H1377" s="1">
        <f t="shared" si="1435"/>
        <v>0.4033999898516748</v>
      </c>
      <c r="I1377" s="1">
        <f t="shared" si="1435"/>
        <v>0.44732792091499984</v>
      </c>
      <c r="J1377" s="1">
        <f t="shared" si="1435"/>
        <v>0.47100182798152784</v>
      </c>
      <c r="K1377" s="1">
        <f t="shared" si="1435"/>
        <v>0.47275104856596845</v>
      </c>
      <c r="L1377" s="1">
        <f t="shared" ref="L1377" si="1436">IFERROR(L1353/L1318,"-")</f>
        <v>0.53025139522935716</v>
      </c>
      <c r="N1377" s="1"/>
    </row>
    <row r="1378" spans="2:14" x14ac:dyDescent="0.35">
      <c r="B1378" s="5" t="str">
        <f t="shared" si="1431"/>
        <v>SPS1</v>
      </c>
      <c r="C1378" s="5" t="str">
        <f t="shared" si="1432"/>
        <v>CH</v>
      </c>
      <c r="D1378" t="s">
        <v>1373</v>
      </c>
      <c r="E1378" t="s">
        <v>1229</v>
      </c>
      <c r="F1378" s="1">
        <f t="shared" ref="F1378:K1378" si="1437">IFERROR(F1354/F1319,"-")</f>
        <v>0.2751807049649066</v>
      </c>
      <c r="G1378" s="1">
        <f t="shared" si="1437"/>
        <v>0.27719473646067744</v>
      </c>
      <c r="H1378" s="1">
        <f t="shared" si="1437"/>
        <v>0.28270665478800577</v>
      </c>
      <c r="I1378" s="1">
        <f t="shared" si="1437"/>
        <v>0.32412067158559982</v>
      </c>
      <c r="J1378" s="1">
        <f t="shared" si="1437"/>
        <v>0.339657931534458</v>
      </c>
      <c r="K1378" s="1">
        <f t="shared" si="1437"/>
        <v>0.34344818568354735</v>
      </c>
      <c r="L1378" s="1">
        <f t="shared" ref="L1378" si="1438">IFERROR(L1354/L1319,"-")</f>
        <v>0.38208579753251976</v>
      </c>
      <c r="N1378" s="1"/>
    </row>
    <row r="1379" spans="2:14" x14ac:dyDescent="0.35">
      <c r="B1379" s="5" t="str">
        <f t="shared" si="1431"/>
        <v>SPS1</v>
      </c>
      <c r="C1379" s="5" t="str">
        <f t="shared" si="1432"/>
        <v>CH</v>
      </c>
      <c r="D1379" t="s">
        <v>1374</v>
      </c>
      <c r="E1379" t="s">
        <v>1229</v>
      </c>
      <c r="F1379" s="1">
        <f t="shared" ref="F1379:K1379" si="1439">IFERROR(F1355/F1320,"-")</f>
        <v>0.18297040713439891</v>
      </c>
      <c r="G1379" s="1">
        <f t="shared" si="1439"/>
        <v>0.18409282652122938</v>
      </c>
      <c r="H1379" s="1">
        <f t="shared" si="1439"/>
        <v>0.18437187368369631</v>
      </c>
      <c r="I1379" s="1">
        <f t="shared" si="1439"/>
        <v>0.21565675420431044</v>
      </c>
      <c r="J1379" s="1">
        <f t="shared" si="1439"/>
        <v>0.21808806404524728</v>
      </c>
      <c r="K1379" s="1">
        <f t="shared" si="1439"/>
        <v>0.23648819022630743</v>
      </c>
      <c r="L1379" s="1">
        <f t="shared" ref="L1379" si="1440">IFERROR(L1355/L1320,"-")</f>
        <v>0.25224232078598868</v>
      </c>
      <c r="N1379" s="1"/>
    </row>
    <row r="1380" spans="2:14" x14ac:dyDescent="0.35">
      <c r="B1380" s="5" t="str">
        <f t="shared" si="1431"/>
        <v>SPS1</v>
      </c>
      <c r="C1380" s="5" t="str">
        <f t="shared" si="1432"/>
        <v>CH</v>
      </c>
      <c r="D1380" t="s">
        <v>1375</v>
      </c>
      <c r="E1380" t="s">
        <v>1229</v>
      </c>
      <c r="F1380" s="1">
        <f t="shared" ref="F1380:K1380" si="1441">IFERROR(F1356/F1321,"-")</f>
        <v>0.12198710645807108</v>
      </c>
      <c r="G1380" s="1">
        <f t="shared" si="1441"/>
        <v>0.12442766203687289</v>
      </c>
      <c r="H1380" s="1">
        <f t="shared" si="1441"/>
        <v>0.12793187274256301</v>
      </c>
      <c r="I1380" s="1">
        <f t="shared" si="1441"/>
        <v>0.14422302917473703</v>
      </c>
      <c r="J1380" s="1">
        <f t="shared" si="1441"/>
        <v>0.15097943756818638</v>
      </c>
      <c r="K1380" s="1">
        <f t="shared" si="1441"/>
        <v>0.15688520437003453</v>
      </c>
      <c r="L1380" s="1">
        <f t="shared" ref="L1380" si="1442">IFERROR(L1356/L1321,"-")</f>
        <v>0.17129984058908893</v>
      </c>
      <c r="N1380" s="1"/>
    </row>
    <row r="1381" spans="2:14" x14ac:dyDescent="0.35">
      <c r="B1381" s="5" t="str">
        <f t="shared" si="1431"/>
        <v>SPS1</v>
      </c>
      <c r="C1381" s="5" t="str">
        <f t="shared" si="1432"/>
        <v>CH</v>
      </c>
      <c r="D1381" t="s">
        <v>1376</v>
      </c>
      <c r="E1381" t="s">
        <v>1229</v>
      </c>
      <c r="F1381" s="1" t="str">
        <f>IFERROR(F1357/F1323,"-")</f>
        <v>-</v>
      </c>
      <c r="G1381" s="1" t="str">
        <f t="shared" ref="G1381:K1381" si="1443">IFERROR(G1357/G1323,"-")</f>
        <v>-</v>
      </c>
      <c r="H1381" s="1" t="str">
        <f t="shared" si="1443"/>
        <v>-</v>
      </c>
      <c r="I1381" s="1">
        <f t="shared" si="1443"/>
        <v>0.23440176174444097</v>
      </c>
      <c r="J1381" s="1" t="str">
        <f t="shared" si="1443"/>
        <v>-</v>
      </c>
      <c r="K1381" s="1" t="str">
        <f t="shared" si="1443"/>
        <v>-</v>
      </c>
      <c r="L1381" s="1" t="str">
        <f t="shared" ref="L1381" si="1444">IFERROR(L1357/L1323,"-")</f>
        <v>-</v>
      </c>
      <c r="N1381" s="1"/>
    </row>
    <row r="1382" spans="2:14" x14ac:dyDescent="0.35">
      <c r="B1382" s="5" t="str">
        <f t="shared" si="1431"/>
        <v>SPS1</v>
      </c>
      <c r="C1382" s="5" t="str">
        <f t="shared" si="1432"/>
        <v>CH</v>
      </c>
      <c r="D1382" t="s">
        <v>1377</v>
      </c>
      <c r="E1382" t="s">
        <v>1229</v>
      </c>
      <c r="F1382" s="1" t="str">
        <f t="shared" ref="F1382:K1382" si="1445">IFERROR(F1358/F1324,"-")</f>
        <v>-</v>
      </c>
      <c r="G1382" s="1" t="str">
        <f t="shared" si="1445"/>
        <v>-</v>
      </c>
      <c r="H1382" s="1" t="str">
        <f t="shared" si="1445"/>
        <v>-</v>
      </c>
      <c r="I1382" s="1" t="str">
        <f t="shared" si="1445"/>
        <v>-</v>
      </c>
      <c r="J1382" s="1" t="str">
        <f t="shared" si="1445"/>
        <v>-</v>
      </c>
      <c r="K1382" s="1" t="str">
        <f t="shared" si="1445"/>
        <v>-</v>
      </c>
      <c r="L1382" s="1" t="str">
        <f t="shared" ref="L1382" si="1446">IFERROR(L1358/L1324,"-")</f>
        <v>-</v>
      </c>
      <c r="N1382" s="1"/>
    </row>
    <row r="1383" spans="2:14" x14ac:dyDescent="0.35">
      <c r="B1383" s="5" t="str">
        <f t="shared" si="1431"/>
        <v>SPS1</v>
      </c>
      <c r="C1383" s="5" t="str">
        <f t="shared" si="1432"/>
        <v>CH</v>
      </c>
      <c r="D1383" t="s">
        <v>1378</v>
      </c>
      <c r="E1383" t="s">
        <v>1229</v>
      </c>
      <c r="F1383" s="1" t="str">
        <f t="shared" ref="F1383:K1383" si="1447">IFERROR(F1359/F1325,"-")</f>
        <v>-</v>
      </c>
      <c r="G1383" s="1" t="str">
        <f t="shared" si="1447"/>
        <v>-</v>
      </c>
      <c r="H1383" s="1" t="str">
        <f t="shared" si="1447"/>
        <v>-</v>
      </c>
      <c r="I1383" s="1">
        <f t="shared" si="1447"/>
        <v>0.11310839137372299</v>
      </c>
      <c r="J1383" s="1" t="str">
        <f t="shared" si="1447"/>
        <v>-</v>
      </c>
      <c r="K1383" s="1" t="str">
        <f t="shared" si="1447"/>
        <v>-</v>
      </c>
      <c r="L1383" s="1" t="str">
        <f t="shared" ref="L1383" si="1448">IFERROR(L1359/L1325,"-")</f>
        <v>-</v>
      </c>
      <c r="N1383" s="1"/>
    </row>
    <row r="1384" spans="2:14" x14ac:dyDescent="0.35">
      <c r="B1384" s="5" t="str">
        <f t="shared" si="1431"/>
        <v>SPS1</v>
      </c>
      <c r="C1384" s="5" t="str">
        <f t="shared" si="1432"/>
        <v>CH</v>
      </c>
      <c r="D1384" t="s">
        <v>1379</v>
      </c>
      <c r="E1384" t="s">
        <v>1229</v>
      </c>
      <c r="F1384" s="1" t="str">
        <f t="shared" ref="F1384:K1384" si="1449">IFERROR(F1360/F1326,"-")</f>
        <v>-</v>
      </c>
      <c r="G1384" s="1" t="str">
        <f t="shared" si="1449"/>
        <v>-</v>
      </c>
      <c r="H1384" s="1" t="str">
        <f t="shared" si="1449"/>
        <v>-</v>
      </c>
      <c r="I1384" s="1" t="str">
        <f t="shared" si="1449"/>
        <v>-</v>
      </c>
      <c r="J1384" s="1" t="str">
        <f t="shared" si="1449"/>
        <v>-</v>
      </c>
      <c r="K1384" s="1" t="str">
        <f t="shared" si="1449"/>
        <v>-</v>
      </c>
      <c r="L1384" s="1" t="str">
        <f t="shared" ref="L1384" si="1450">IFERROR(L1360/L1326,"-")</f>
        <v>-</v>
      </c>
      <c r="N1384" s="1"/>
    </row>
    <row r="1385" spans="2:14" x14ac:dyDescent="0.35">
      <c r="B1385" s="5" t="str">
        <f t="shared" si="1431"/>
        <v>SPS1</v>
      </c>
      <c r="C1385" s="5" t="str">
        <f t="shared" si="1432"/>
        <v>CH</v>
      </c>
      <c r="D1385" t="s">
        <v>1380</v>
      </c>
      <c r="E1385" t="s">
        <v>1229</v>
      </c>
      <c r="F1385" s="1" t="str">
        <f>IFERROR(F1361/F1332,"-")</f>
        <v>-</v>
      </c>
      <c r="G1385" s="1">
        <f t="shared" ref="G1385:K1385" si="1451">IFERROR(G1361/G1332,"-")</f>
        <v>0.16251369968883858</v>
      </c>
      <c r="H1385" s="1">
        <f t="shared" si="1451"/>
        <v>0.16252107641097413</v>
      </c>
      <c r="I1385" s="1">
        <f t="shared" si="1451"/>
        <v>0.1757985393057315</v>
      </c>
      <c r="J1385" s="1">
        <f t="shared" si="1451"/>
        <v>0.19078017966435215</v>
      </c>
      <c r="K1385" s="1">
        <f t="shared" si="1451"/>
        <v>0.19798776270010598</v>
      </c>
      <c r="L1385" s="1">
        <f t="shared" ref="L1385" si="1452">IFERROR(L1361/L1332,"-")</f>
        <v>0.21880588734125694</v>
      </c>
      <c r="N1385" s="1"/>
    </row>
    <row r="1386" spans="2:14" x14ac:dyDescent="0.35">
      <c r="B1386" s="5" t="str">
        <f t="shared" si="1431"/>
        <v>SPS1</v>
      </c>
      <c r="C1386" s="5" t="str">
        <f t="shared" si="1432"/>
        <v>CH</v>
      </c>
      <c r="D1386" t="s">
        <v>1381</v>
      </c>
      <c r="E1386" t="s">
        <v>1229</v>
      </c>
      <c r="F1386" s="1" t="str">
        <f t="shared" ref="F1386:K1386" si="1453">IFERROR(F1362/F1333,"-")</f>
        <v>-</v>
      </c>
      <c r="G1386" s="1">
        <f t="shared" si="1453"/>
        <v>0.11649393435744135</v>
      </c>
      <c r="H1386" s="1">
        <f t="shared" si="1453"/>
        <v>0.11793569864011932</v>
      </c>
      <c r="I1386" s="1">
        <f t="shared" si="1453"/>
        <v>0.12451896238614206</v>
      </c>
      <c r="J1386" s="1">
        <f t="shared" si="1453"/>
        <v>0.13520046668510152</v>
      </c>
      <c r="K1386" s="1">
        <f t="shared" si="1453"/>
        <v>0.14196916898270667</v>
      </c>
      <c r="L1386" s="1">
        <f t="shared" ref="L1386" si="1454">IFERROR(L1362/L1333,"-")</f>
        <v>0.15452049985197477</v>
      </c>
      <c r="N1386" s="1"/>
    </row>
    <row r="1387" spans="2:14" x14ac:dyDescent="0.35">
      <c r="B1387" s="5" t="str">
        <f t="shared" si="1431"/>
        <v>SPS1</v>
      </c>
      <c r="C1387" s="5" t="str">
        <f t="shared" si="1432"/>
        <v>CH</v>
      </c>
      <c r="D1387" t="s">
        <v>1382</v>
      </c>
      <c r="E1387" t="s">
        <v>1229</v>
      </c>
      <c r="F1387" s="1" t="str">
        <f t="shared" ref="F1387:K1387" si="1455">IFERROR(F1363/F1334,"-")</f>
        <v>-</v>
      </c>
      <c r="G1387" s="1">
        <f t="shared" si="1455"/>
        <v>7.8235828164578858E-2</v>
      </c>
      <c r="H1387" s="1">
        <f t="shared" si="1455"/>
        <v>8.2002697088337018E-2</v>
      </c>
      <c r="I1387" s="1">
        <f t="shared" si="1455"/>
        <v>8.4965243663709764E-2</v>
      </c>
      <c r="J1387" s="1">
        <f t="shared" si="1455"/>
        <v>9.2099827792247527E-2</v>
      </c>
      <c r="K1387" s="1">
        <f t="shared" si="1455"/>
        <v>9.5815082475471158E-2</v>
      </c>
      <c r="L1387" s="1">
        <f t="shared" ref="L1387" si="1456">IFERROR(L1363/L1334,"-")</f>
        <v>0.10743863625376003</v>
      </c>
      <c r="N1387" s="1"/>
    </row>
    <row r="1388" spans="2:14" x14ac:dyDescent="0.35">
      <c r="B1388" s="5" t="str">
        <f t="shared" si="1431"/>
        <v>SPS1</v>
      </c>
      <c r="C1388" s="5" t="str">
        <f t="shared" si="1432"/>
        <v>CH</v>
      </c>
      <c r="D1388" t="s">
        <v>1383</v>
      </c>
      <c r="E1388" t="s">
        <v>1229</v>
      </c>
      <c r="F1388" s="1" t="str">
        <f t="shared" ref="F1388:K1388" si="1457">IFERROR(F1364/F1335,"-")</f>
        <v>-</v>
      </c>
      <c r="G1388" s="1" t="str">
        <f t="shared" si="1457"/>
        <v>-</v>
      </c>
      <c r="H1388" s="1" t="str">
        <f t="shared" si="1457"/>
        <v>-</v>
      </c>
      <c r="I1388" s="1" t="str">
        <f t="shared" si="1457"/>
        <v>-</v>
      </c>
      <c r="J1388" s="1">
        <f t="shared" si="1457"/>
        <v>6.3297446577027502E-2</v>
      </c>
      <c r="K1388" s="1">
        <f t="shared" si="1457"/>
        <v>6.504341733190809E-2</v>
      </c>
      <c r="L1388" s="1">
        <f t="shared" ref="L1388" si="1458">IFERROR(L1364/L1335,"-")</f>
        <v>7.2751636859358856E-2</v>
      </c>
      <c r="N1388" s="1"/>
    </row>
    <row r="1389" spans="2:14" x14ac:dyDescent="0.35">
      <c r="B1389" s="5" t="str">
        <f t="shared" si="1431"/>
        <v>SPS1</v>
      </c>
      <c r="C1389" s="5" t="str">
        <f t="shared" si="1432"/>
        <v>CH</v>
      </c>
      <c r="D1389" t="s">
        <v>2002</v>
      </c>
      <c r="E1389" t="s">
        <v>1229</v>
      </c>
      <c r="F1389" s="1">
        <f>IFERROR(F1365/F1336,"-")</f>
        <v>13.968680714886798</v>
      </c>
      <c r="G1389" s="1">
        <f t="shared" ref="G1389:K1389" si="1459">IFERROR(G1365/G1336,"-")</f>
        <v>11.189596541502656</v>
      </c>
      <c r="H1389" s="1">
        <f t="shared" si="1459"/>
        <v>7.020970281426421</v>
      </c>
      <c r="I1389" s="1" t="str">
        <f t="shared" si="1459"/>
        <v>-</v>
      </c>
      <c r="J1389" s="1" t="str">
        <f t="shared" si="1459"/>
        <v>-</v>
      </c>
      <c r="K1389" s="1" t="str">
        <f t="shared" si="1459"/>
        <v>-</v>
      </c>
      <c r="L1389" s="1" t="str">
        <f t="shared" ref="L1389" si="1460">IFERROR(L1365/L1336,"-")</f>
        <v>-</v>
      </c>
      <c r="N1389" s="1"/>
    </row>
    <row r="1390" spans="2:14" x14ac:dyDescent="0.35">
      <c r="B1390" s="5" t="str">
        <f t="shared" si="1431"/>
        <v>SPS1</v>
      </c>
      <c r="C1390" s="5" t="str">
        <f t="shared" si="1432"/>
        <v>CH</v>
      </c>
      <c r="D1390" t="s">
        <v>1384</v>
      </c>
      <c r="E1390" t="s">
        <v>1229</v>
      </c>
      <c r="F1390" s="1">
        <f t="shared" ref="F1390:K1390" si="1461">IFERROR(F1366/F1337,"-")</f>
        <v>0.1239191674859752</v>
      </c>
      <c r="G1390" s="1">
        <f t="shared" si="1461"/>
        <v>0.12788880616280079</v>
      </c>
      <c r="H1390" s="1">
        <f t="shared" si="1461"/>
        <v>0.13533437150177474</v>
      </c>
      <c r="I1390" s="1">
        <f t="shared" si="1461"/>
        <v>0.12391916748597503</v>
      </c>
      <c r="J1390" s="1" t="str">
        <f t="shared" si="1461"/>
        <v>-</v>
      </c>
      <c r="K1390" s="1" t="str">
        <f t="shared" si="1461"/>
        <v>-</v>
      </c>
      <c r="L1390" s="1" t="str">
        <f t="shared" ref="L1390" si="1462">IFERROR(L1366/L1337,"-")</f>
        <v>-</v>
      </c>
      <c r="N1390" s="1"/>
    </row>
    <row r="1391" spans="2:14" x14ac:dyDescent="0.35">
      <c r="B1391" s="5" t="str">
        <f t="shared" si="1431"/>
        <v>SPS1</v>
      </c>
      <c r="C1391" s="5" t="str">
        <f t="shared" si="1432"/>
        <v>CH</v>
      </c>
      <c r="D1391" t="s">
        <v>1385</v>
      </c>
      <c r="E1391" t="s">
        <v>1229</v>
      </c>
      <c r="F1391" s="1">
        <f t="shared" ref="F1391:K1391" si="1463">IFERROR(F1367/F1338,"-")</f>
        <v>8.7465847585616666E-2</v>
      </c>
      <c r="G1391" s="1">
        <f t="shared" si="1463"/>
        <v>8.7782150109142601E-2</v>
      </c>
      <c r="H1391" s="1">
        <f t="shared" si="1463"/>
        <v>9.0647020136523718E-2</v>
      </c>
      <c r="I1391" s="1" t="str">
        <f t="shared" si="1463"/>
        <v>-</v>
      </c>
      <c r="J1391" s="1" t="str">
        <f t="shared" si="1463"/>
        <v>-</v>
      </c>
      <c r="K1391" s="1" t="str">
        <f t="shared" si="1463"/>
        <v>-</v>
      </c>
      <c r="L1391" s="1" t="str">
        <f t="shared" ref="L1391" si="1464">IFERROR(L1367/L1338,"-")</f>
        <v>-</v>
      </c>
      <c r="N1391" s="1"/>
    </row>
    <row r="1392" spans="2:14" x14ac:dyDescent="0.35">
      <c r="B1392" s="5" t="str">
        <f t="shared" si="1431"/>
        <v>SPS1</v>
      </c>
      <c r="C1392" s="5" t="str">
        <f t="shared" si="1432"/>
        <v>CH</v>
      </c>
      <c r="D1392" t="s">
        <v>1386</v>
      </c>
      <c r="E1392" t="s">
        <v>1229</v>
      </c>
      <c r="F1392" s="1">
        <f t="shared" ref="F1392:K1392" si="1465">IFERROR(F1368/F1339,"-")</f>
        <v>5.7949527986548566E-2</v>
      </c>
      <c r="G1392" s="1">
        <f t="shared" si="1465"/>
        <v>5.8104478001572819E-2</v>
      </c>
      <c r="H1392" s="1">
        <f t="shared" si="1465"/>
        <v>5.8105000921396054E-2</v>
      </c>
      <c r="I1392" s="1" t="str">
        <f t="shared" si="1465"/>
        <v>-</v>
      </c>
      <c r="J1392" s="1" t="str">
        <f t="shared" si="1465"/>
        <v>-</v>
      </c>
      <c r="K1392" s="1" t="str">
        <f t="shared" si="1465"/>
        <v>-</v>
      </c>
      <c r="L1392" s="1" t="str">
        <f t="shared" ref="L1392" si="1466">IFERROR(L1368/L1339,"-")</f>
        <v>-</v>
      </c>
      <c r="N1392" s="1"/>
    </row>
    <row r="1393" spans="2:14" x14ac:dyDescent="0.35">
      <c r="B1393" s="5" t="str">
        <f t="shared" si="1431"/>
        <v>SPS1</v>
      </c>
      <c r="C1393" s="5" t="str">
        <f t="shared" si="1432"/>
        <v>CH</v>
      </c>
      <c r="D1393" t="s">
        <v>1387</v>
      </c>
      <c r="E1393" t="s">
        <v>1229</v>
      </c>
      <c r="F1393" s="1">
        <f t="shared" ref="F1393:K1393" si="1467">IFERROR(F1369/F1340,"-")</f>
        <v>3.8646481387947497E-2</v>
      </c>
      <c r="G1393" s="1" t="str">
        <f t="shared" si="1467"/>
        <v>-</v>
      </c>
      <c r="H1393" s="1">
        <f t="shared" si="1467"/>
        <v>3.8873912652036817E-2</v>
      </c>
      <c r="I1393" s="1" t="str">
        <f t="shared" si="1467"/>
        <v>-</v>
      </c>
      <c r="J1393" s="1" t="str">
        <f t="shared" si="1467"/>
        <v>-</v>
      </c>
      <c r="K1393" s="1" t="str">
        <f t="shared" si="1467"/>
        <v>-</v>
      </c>
      <c r="L1393" s="1" t="str">
        <f t="shared" ref="L1393" si="1468">IFERROR(L1369/L1340,"-")</f>
        <v>-</v>
      </c>
      <c r="N1393" s="1"/>
    </row>
    <row r="1394" spans="2:14" x14ac:dyDescent="0.35">
      <c r="B1394" s="5" t="str">
        <f t="shared" si="1431"/>
        <v>SPS1</v>
      </c>
      <c r="C1394" s="5" t="str">
        <f t="shared" si="1432"/>
        <v>CH</v>
      </c>
      <c r="D1394" t="s">
        <v>2006</v>
      </c>
      <c r="E1394" t="s">
        <v>1229</v>
      </c>
      <c r="F1394" s="1">
        <f>IFERROR(F1370/F1346,"-")</f>
        <v>13.968680714886801</v>
      </c>
      <c r="G1394" s="1">
        <f t="shared" ref="G1394:K1394" si="1469">IFERROR(G1370/G1346,"-")</f>
        <v>11.186996076539067</v>
      </c>
      <c r="H1394" s="1">
        <f t="shared" si="1469"/>
        <v>7.0144691190174733</v>
      </c>
      <c r="I1394" s="1" t="str">
        <f t="shared" si="1469"/>
        <v>-</v>
      </c>
      <c r="J1394" s="1" t="str">
        <f t="shared" si="1469"/>
        <v>-</v>
      </c>
      <c r="K1394" s="1" t="str">
        <f t="shared" si="1469"/>
        <v>-</v>
      </c>
      <c r="L1394" s="1" t="str">
        <f t="shared" ref="L1394" si="1470">IFERROR(L1370/L1346,"-")</f>
        <v>-</v>
      </c>
      <c r="N1394" s="1"/>
    </row>
    <row r="1395" spans="2:14" x14ac:dyDescent="0.35">
      <c r="B1395" s="5" t="str">
        <f t="shared" si="1431"/>
        <v>SPS1</v>
      </c>
      <c r="C1395" s="5" t="str">
        <f t="shared" si="1432"/>
        <v>CH</v>
      </c>
      <c r="D1395" t="s">
        <v>1388</v>
      </c>
      <c r="E1395" t="s">
        <v>1229</v>
      </c>
      <c r="F1395" s="1" t="str">
        <f t="shared" ref="F1395:K1395" si="1471">IFERROR(F1371/F1347,"-")</f>
        <v>-</v>
      </c>
      <c r="G1395" s="1">
        <f t="shared" si="1471"/>
        <v>0.12023751974847227</v>
      </c>
      <c r="H1395" s="1">
        <f t="shared" si="1471"/>
        <v>0.12552855986884404</v>
      </c>
      <c r="I1395" s="1" t="str">
        <f t="shared" si="1471"/>
        <v>-</v>
      </c>
      <c r="J1395" s="1">
        <f t="shared" si="1471"/>
        <v>0.14532451076677319</v>
      </c>
      <c r="K1395" s="1">
        <f t="shared" si="1471"/>
        <v>0.15290988452940499</v>
      </c>
      <c r="L1395" s="1" t="str">
        <f t="shared" ref="L1395" si="1472">IFERROR(L1371/L1347,"-")</f>
        <v>-</v>
      </c>
      <c r="N1395" s="1"/>
    </row>
    <row r="1396" spans="2:14" x14ac:dyDescent="0.35">
      <c r="B1396" s="5" t="str">
        <f t="shared" si="1431"/>
        <v>SPS1</v>
      </c>
      <c r="C1396" s="5" t="str">
        <f t="shared" si="1432"/>
        <v>CH</v>
      </c>
      <c r="D1396" t="s">
        <v>1389</v>
      </c>
      <c r="E1396" t="s">
        <v>1229</v>
      </c>
      <c r="F1396" s="1" t="str">
        <f t="shared" ref="F1396:K1396" si="1473">IFERROR(F1372/F1348,"-")</f>
        <v>-</v>
      </c>
      <c r="G1396" s="1">
        <f t="shared" si="1473"/>
        <v>8.4998076233608819E-2</v>
      </c>
      <c r="H1396" s="1">
        <f t="shared" si="1473"/>
        <v>8.9413484698398535E-2</v>
      </c>
      <c r="I1396" s="1" t="str">
        <f t="shared" si="1473"/>
        <v>-</v>
      </c>
      <c r="J1396" s="1" t="str">
        <f t="shared" si="1473"/>
        <v>-</v>
      </c>
      <c r="K1396" s="1" t="str">
        <f t="shared" si="1473"/>
        <v>-</v>
      </c>
      <c r="L1396" s="1" t="str">
        <f t="shared" ref="L1396" si="1474">IFERROR(L1372/L1348,"-")</f>
        <v>-</v>
      </c>
      <c r="N1396" s="1"/>
    </row>
    <row r="1397" spans="2:14" x14ac:dyDescent="0.35">
      <c r="B1397" s="5" t="str">
        <f t="shared" si="1431"/>
        <v>SPS1</v>
      </c>
      <c r="C1397" s="5" t="str">
        <f t="shared" si="1432"/>
        <v>CH</v>
      </c>
      <c r="D1397" t="s">
        <v>1390</v>
      </c>
      <c r="E1397" t="s">
        <v>1229</v>
      </c>
      <c r="F1397" s="1" t="str">
        <f t="shared" ref="F1397:K1397" si="1475">IFERROR(F1373/F1349,"-")</f>
        <v>-</v>
      </c>
      <c r="G1397" s="1">
        <f t="shared" si="1475"/>
        <v>5.642213346123711E-2</v>
      </c>
      <c r="H1397" s="1">
        <f t="shared" si="1475"/>
        <v>5.8828668038988105E-2</v>
      </c>
      <c r="I1397" s="1">
        <f t="shared" si="1475"/>
        <v>5.93566266805595E-2</v>
      </c>
      <c r="J1397" s="1" t="str">
        <f t="shared" si="1475"/>
        <v>-</v>
      </c>
      <c r="K1397" s="1" t="str">
        <f t="shared" si="1475"/>
        <v>-</v>
      </c>
      <c r="L1397" s="1" t="str">
        <f t="shared" ref="L1397" si="1476">IFERROR(L1373/L1349,"-")</f>
        <v>-</v>
      </c>
      <c r="N1397" s="1"/>
    </row>
    <row r="1398" spans="2:14" x14ac:dyDescent="0.35">
      <c r="B1398" s="5" t="str">
        <f t="shared" si="1431"/>
        <v>SPS1</v>
      </c>
      <c r="C1398" s="5" t="str">
        <f t="shared" si="1432"/>
        <v>CH</v>
      </c>
      <c r="D1398" t="s">
        <v>1391</v>
      </c>
      <c r="E1398" t="s">
        <v>1229</v>
      </c>
      <c r="F1398" s="1" t="str">
        <f t="shared" ref="F1398:K1398" si="1477">IFERROR(F1374/F1350,"-")</f>
        <v>-</v>
      </c>
      <c r="G1398" s="1" t="str">
        <f t="shared" si="1477"/>
        <v>-</v>
      </c>
      <c r="H1398" s="1" t="str">
        <f t="shared" si="1477"/>
        <v>-</v>
      </c>
      <c r="I1398" s="1" t="str">
        <f t="shared" si="1477"/>
        <v>-</v>
      </c>
      <c r="J1398" s="1" t="str">
        <f t="shared" si="1477"/>
        <v>-</v>
      </c>
      <c r="K1398" s="1" t="str">
        <f t="shared" si="1477"/>
        <v>-</v>
      </c>
      <c r="L1398" s="1" t="str">
        <f t="shared" ref="L1398" si="1478">IFERROR(L1374/L1350,"-")</f>
        <v>-</v>
      </c>
      <c r="N1398" s="1"/>
    </row>
    <row r="1399" spans="2:14" x14ac:dyDescent="0.35">
      <c r="B1399" s="9" t="str">
        <f>B1398</f>
        <v>SPS1</v>
      </c>
      <c r="C1399" s="9" t="str">
        <f>C1398</f>
        <v>CH</v>
      </c>
      <c r="D1399" s="2" t="s">
        <v>1394</v>
      </c>
      <c r="E1399" s="2" t="s">
        <v>8</v>
      </c>
      <c r="F1399" s="3">
        <f>F1400+F1406+F1411+F1425</f>
        <v>0.80845950770930741</v>
      </c>
      <c r="G1399" s="3">
        <f t="shared" ref="G1399" si="1479">G1400+G1406+G1411+G1425</f>
        <v>0.84201472136105548</v>
      </c>
      <c r="H1399" s="3">
        <f t="shared" ref="H1399" si="1480">H1400+H1406+H1411+H1425</f>
        <v>1.0097387375160651</v>
      </c>
      <c r="I1399" s="3">
        <f t="shared" ref="I1399" si="1481">I1400+I1406+I1411+I1425</f>
        <v>0.62143291912277565</v>
      </c>
      <c r="J1399" s="3">
        <f t="shared" ref="J1399" si="1482">J1400+J1406+J1411+J1425</f>
        <v>0.60956667759603145</v>
      </c>
      <c r="K1399" s="3">
        <f t="shared" ref="K1399:L1399" si="1483">K1400+K1406+K1411+K1425</f>
        <v>0.55943927347060562</v>
      </c>
      <c r="L1399" s="3">
        <f t="shared" si="1483"/>
        <v>0.46638580437514765</v>
      </c>
      <c r="N1399" s="1"/>
    </row>
    <row r="1400" spans="2:14" x14ac:dyDescent="0.35">
      <c r="B1400" s="5" t="str">
        <f>B1399</f>
        <v>SPS1</v>
      </c>
      <c r="C1400" s="5" t="str">
        <f>C1399</f>
        <v>CH</v>
      </c>
      <c r="D1400" t="s">
        <v>1395</v>
      </c>
      <c r="E1400" t="s">
        <v>8</v>
      </c>
      <c r="F1400" s="1">
        <f>SUM(F1401:F1405)</f>
        <v>2.3618032803568488E-3</v>
      </c>
      <c r="G1400" s="1">
        <f t="shared" ref="G1400" si="1484">SUM(G1401:G1405)</f>
        <v>3.8582500395671865E-3</v>
      </c>
      <c r="H1400" s="1">
        <f t="shared" ref="H1400" si="1485">SUM(H1401:H1405)</f>
        <v>3.9819696954325372E-3</v>
      </c>
      <c r="I1400" s="1">
        <f t="shared" ref="I1400" si="1486">SUM(I1401:I1405)</f>
        <v>0.21468365379476073</v>
      </c>
      <c r="J1400" s="1">
        <f t="shared" ref="J1400" si="1487">SUM(J1401:J1405)</f>
        <v>0.20386402117733035</v>
      </c>
      <c r="K1400" s="1">
        <f t="shared" ref="K1400:L1400" si="1488">SUM(K1401:K1405)</f>
        <v>0.21096234453388729</v>
      </c>
      <c r="L1400" s="1">
        <f t="shared" si="1488"/>
        <v>0.20682055914912539</v>
      </c>
      <c r="N1400" s="1"/>
    </row>
    <row r="1401" spans="2:14" x14ac:dyDescent="0.35">
      <c r="B1401" s="5" t="str">
        <f t="shared" ref="B1401:B1434" si="1489">B1400</f>
        <v>SPS1</v>
      </c>
      <c r="C1401" s="5" t="str">
        <f t="shared" ref="C1401:C1434" si="1490">C1400</f>
        <v>CH</v>
      </c>
      <c r="D1401" t="s">
        <v>1396</v>
      </c>
      <c r="E1401" t="s">
        <v>8</v>
      </c>
      <c r="F1401" s="1" cm="1">
        <f t="array" ref="F1401">SUMPRODUCT(("T_B_c-BeVELCEXT"=[1]OUT_TransportEnergyCons!$A$3:$A$1000)*1,("Var_Fin"=[1]OUT_TransportEnergyCons!$B$3:$B$1000)*1,ISNUMBER(SEARCH("ELC",[1]OUT_TransportEnergyCons!$C$3:$C$1000))*1,[1]OUT_TransportEnergyCons!D$3:D$1000)</f>
        <v>0</v>
      </c>
      <c r="G1401" s="1" cm="1">
        <f t="array" ref="G1401">SUMPRODUCT(("T_B_c-BeVELCEXT"=[1]OUT_TransportEnergyCons!$A$3:$A$1000)*1,("Var_Fin"=[1]OUT_TransportEnergyCons!$B$3:$B$1000)*1,ISNUMBER(SEARCH("ELC",[1]OUT_TransportEnergyCons!$C$3:$C$1000))*1,[1]OUT_TransportEnergyCons!E$3:E$1000)</f>
        <v>0</v>
      </c>
      <c r="H1401" s="1" cm="1">
        <f t="array" ref="H1401">SUMPRODUCT(("T_B_c-BeVELCEXT"=[1]OUT_TransportEnergyCons!$A$3:$A$1000)*1,("Var_Fin"=[1]OUT_TransportEnergyCons!$B$3:$B$1000)*1,ISNUMBER(SEARCH("ELC",[1]OUT_TransportEnergyCons!$C$3:$C$1000))*1,[1]OUT_TransportEnergyCons!F$3:F$1000)</f>
        <v>0</v>
      </c>
      <c r="I1401" s="1" cm="1">
        <f t="array" ref="I1401">SUMPRODUCT(("T_B_c-BeVELCEXT"=[1]OUT_TransportEnergyCons!$A$3:$A$1000)*1,("Var_Fin"=[1]OUT_TransportEnergyCons!$B$3:$B$1000)*1,ISNUMBER(SEARCH("ELC",[1]OUT_TransportEnergyCons!$C$3:$C$1000))*1,[1]OUT_TransportEnergyCons!G$3:G$1000)</f>
        <v>0</v>
      </c>
      <c r="J1401" s="1" cm="1">
        <f t="array" ref="J1401">SUMPRODUCT(("T_B_c-BeVELCEXT"=[2]OUT_TransportEnergyCons!$A$3:$A$1000)*1,("Var_Fin"=[2]OUT_TransportEnergyCons!$B$3:$B$1000)*1,ISNUMBER(SEARCH("ELC",[2]OUT_TransportEnergyCons!$C$3:$C$1000))*1,[2]OUT_TransportEnergyCons!H$3:H$1000)</f>
        <v>0</v>
      </c>
      <c r="K1401" s="1" cm="1">
        <f t="array" ref="K1401">SUMPRODUCT(("T_B_c-BeVELCEXT"=[2]OUT_TransportEnergyCons!$A$3:$A$1000)*1,("Var_Fin"=[2]OUT_TransportEnergyCons!$B$3:$B$1000)*1,ISNUMBER(SEARCH("ELC",[2]OUT_TransportEnergyCons!$C$3:$C$1000))*1,[2]OUT_TransportEnergyCons!I$3:I$1000)</f>
        <v>0</v>
      </c>
      <c r="L1401" s="1" cm="1">
        <f t="array" ref="L1401">SUMPRODUCT(("T_B_c-BeVELCEXT"=[2]OUT_TransportEnergyCons!$A$3:$A$1000)*1,("Var_Fin"=[2]OUT_TransportEnergyCons!$B$3:$B$1000)*1,ISNUMBER(SEARCH("ELC",[2]OUT_TransportEnergyCons!$C$3:$C$1000))*1,[2]OUT_TransportEnergyCons!J$3:J$1000)</f>
        <v>0</v>
      </c>
      <c r="N1401" s="1"/>
    </row>
    <row r="1402" spans="2:14" x14ac:dyDescent="0.35">
      <c r="B1402" s="5" t="str">
        <f t="shared" si="1489"/>
        <v>SPS1</v>
      </c>
      <c r="C1402" s="5" t="str">
        <f t="shared" si="1490"/>
        <v>CH</v>
      </c>
      <c r="D1402" t="s">
        <v>1397</v>
      </c>
      <c r="E1402" t="s">
        <v>8</v>
      </c>
      <c r="F1402" s="1" cm="1">
        <f t="array" ref="F1402">SUMPRODUCT(("T_B_c-BEVELC-S1"=[1]OUT_TransportEnergyCons!$A$3:$A$1000)*1,("Var_Fin"=[1]OUT_TransportEnergyCons!$B$3:$B$1000)*1,ISNUMBER(SEARCH("ELC",[1]OUT_TransportEnergyCons!$C$3:$C$1000))*1,[1]OUT_TransportEnergyCons!D$3:D$1000)</f>
        <v>4.1006209874996344E-4</v>
      </c>
      <c r="G1402" s="1" cm="1">
        <f t="array" ref="G1402">SUMPRODUCT(("T_B_c-BEVELC-S1"=[1]OUT_TransportEnergyCons!$A$3:$A$1000)*1,("Var_Fin"=[1]OUT_TransportEnergyCons!$B$3:$B$1000)*1,ISNUMBER(SEARCH("ELC",[1]OUT_TransportEnergyCons!$C$3:$C$1000))*1,[1]OUT_TransportEnergyCons!E$3:E$1000)</f>
        <v>8.7242349075469555E-4</v>
      </c>
      <c r="H1402" s="1" cm="1">
        <f t="array" ref="H1402">SUMPRODUCT(("T_B_c-BEVELC-S1"=[1]OUT_TransportEnergyCons!$A$3:$A$1000)*1,("Var_Fin"=[1]OUT_TransportEnergyCons!$B$3:$B$1000)*1,ISNUMBER(SEARCH("ELC",[1]OUT_TransportEnergyCons!$C$3:$C$1000))*1,[1]OUT_TransportEnergyCons!F$3:F$1000)</f>
        <v>8.1300033119696474E-4</v>
      </c>
      <c r="I1402" s="1" cm="1">
        <f t="array" ref="I1402">SUMPRODUCT(("T_B_c-BEVELC-S1"=[1]OUT_TransportEnergyCons!$A$3:$A$1000)*1,("Var_Fin"=[1]OUT_TransportEnergyCons!$B$3:$B$1000)*1,ISNUMBER(SEARCH("ELC",[1]OUT_TransportEnergyCons!$C$3:$C$1000))*1,[1]OUT_TransportEnergyCons!G$3:G$1000)</f>
        <v>0.14452453550198582</v>
      </c>
      <c r="J1402" s="1" cm="1">
        <f t="array" ref="J1402">SUMPRODUCT(("T_B_c-BEVELC-S1"=[2]OUT_TransportEnergyCons!$A$3:$A$1000)*1,("Var_Fin"=[2]OUT_TransportEnergyCons!$B$3:$B$1000)*1,ISNUMBER(SEARCH("ELC",[2]OUT_TransportEnergyCons!$C$3:$C$1000))*1,[2]OUT_TransportEnergyCons!H$3:H$1000)</f>
        <v>0.12676171335465294</v>
      </c>
      <c r="K1402" s="1" cm="1">
        <f t="array" ref="K1402">SUMPRODUCT(("T_B_c-BEVELC-S1"=[2]OUT_TransportEnergyCons!$A$3:$A$1000)*1,("Var_Fin"=[2]OUT_TransportEnergyCons!$B$3:$B$1000)*1,ISNUMBER(SEARCH("ELC",[2]OUT_TransportEnergyCons!$C$3:$C$1000))*1,[2]OUT_TransportEnergyCons!I$3:I$1000)</f>
        <v>0.10056743905455559</v>
      </c>
      <c r="L1402" s="1" cm="1">
        <f t="array" ref="L1402">SUMPRODUCT(("T_B_c-BEVELC-S1"=[2]OUT_TransportEnergyCons!$A$3:$A$1000)*1,("Var_Fin"=[2]OUT_TransportEnergyCons!$B$3:$B$1000)*1,ISNUMBER(SEARCH("ELC",[2]OUT_TransportEnergyCons!$C$3:$C$1000))*1,[2]OUT_TransportEnergyCons!J$3:J$1000)</f>
        <v>5.3939280226256041E-2</v>
      </c>
      <c r="N1402" s="1"/>
    </row>
    <row r="1403" spans="2:14" x14ac:dyDescent="0.35">
      <c r="B1403" s="5" t="str">
        <f t="shared" si="1489"/>
        <v>SPS1</v>
      </c>
      <c r="C1403" s="5" t="str">
        <f t="shared" si="1490"/>
        <v>CH</v>
      </c>
      <c r="D1403" t="s">
        <v>1398</v>
      </c>
      <c r="E1403" t="s">
        <v>8</v>
      </c>
      <c r="F1403" s="1" cm="1">
        <f t="array" ref="F1403">SUMPRODUCT(("T_B_c-BEVELC-S2"=[1]OUT_TransportEnergyCons!$A$3:$A$1000)*1,("Var_Fin"=[1]OUT_TransportEnergyCons!$B$3:$B$1000)*1,ISNUMBER(SEARCH("ELC",[1]OUT_TransportEnergyCons!$C$3:$C$1000))*1,[1]OUT_TransportEnergyCons!D$3:D$1000)</f>
        <v>1.5980531832089182E-3</v>
      </c>
      <c r="G1403" s="1" cm="1">
        <f t="array" ref="G1403">SUMPRODUCT(("T_B_c-BEVELC-S2"=[1]OUT_TransportEnergyCons!$A$3:$A$1000)*1,("Var_Fin"=[1]OUT_TransportEnergyCons!$B$3:$B$1000)*1,ISNUMBER(SEARCH("ELC",[1]OUT_TransportEnergyCons!$C$3:$C$1000))*1,[1]OUT_TransportEnergyCons!E$3:E$1000)</f>
        <v>2.1362121886500792E-3</v>
      </c>
      <c r="H1403" s="1" cm="1">
        <f t="array" ref="H1403">SUMPRODUCT(("T_B_c-BEVELC-S2"=[1]OUT_TransportEnergyCons!$A$3:$A$1000)*1,("Var_Fin"=[1]OUT_TransportEnergyCons!$B$3:$B$1000)*1,ISNUMBER(SEARCH("ELC",[1]OUT_TransportEnergyCons!$C$3:$C$1000))*1,[1]OUT_TransportEnergyCons!F$3:F$1000)</f>
        <v>2.2533216617448655E-3</v>
      </c>
      <c r="I1403" s="1" cm="1">
        <f t="array" ref="I1403">SUMPRODUCT(("T_B_c-BEVELC-S2"=[1]OUT_TransportEnergyCons!$A$3:$A$1000)*1,("Var_Fin"=[1]OUT_TransportEnergyCons!$B$3:$B$1000)*1,ISNUMBER(SEARCH("ELC",[1]OUT_TransportEnergyCons!$C$3:$C$1000))*1,[1]OUT_TransportEnergyCons!G$3:G$1000)</f>
        <v>6.9527367291210979E-2</v>
      </c>
      <c r="J1403" s="1" cm="1">
        <f t="array" ref="J1403">SUMPRODUCT(("T_B_c-BEVELC-S2"=[2]OUT_TransportEnergyCons!$A$3:$A$1000)*1,("Var_Fin"=[2]OUT_TransportEnergyCons!$B$3:$B$1000)*1,ISNUMBER(SEARCH("ELC",[2]OUT_TransportEnergyCons!$C$3:$C$1000))*1,[2]OUT_TransportEnergyCons!H$3:H$1000)</f>
        <v>7.3247518855355506E-2</v>
      </c>
      <c r="K1403" s="1" cm="1">
        <f t="array" ref="K1403">SUMPRODUCT(("T_B_c-BEVELC-S2"=[2]OUT_TransportEnergyCons!$A$3:$A$1000)*1,("Var_Fin"=[2]OUT_TransportEnergyCons!$B$3:$B$1000)*1,ISNUMBER(SEARCH("ELC",[2]OUT_TransportEnergyCons!$C$3:$C$1000))*1,[2]OUT_TransportEnergyCons!I$3:I$1000)</f>
        <v>0.1047168857957822</v>
      </c>
      <c r="L1403" s="1" cm="1">
        <f t="array" ref="L1403">SUMPRODUCT(("T_B_c-BEVELC-S2"=[2]OUT_TransportEnergyCons!$A$3:$A$1000)*1,("Var_Fin"=[2]OUT_TransportEnergyCons!$B$3:$B$1000)*1,ISNUMBER(SEARCH("ELC",[2]OUT_TransportEnergyCons!$C$3:$C$1000))*1,[2]OUT_TransportEnergyCons!J$3:J$1000)</f>
        <v>0.12512037886239136</v>
      </c>
      <c r="N1403" s="1"/>
    </row>
    <row r="1404" spans="2:14" x14ac:dyDescent="0.35">
      <c r="B1404" s="5" t="str">
        <f t="shared" si="1489"/>
        <v>SPS1</v>
      </c>
      <c r="C1404" s="5" t="str">
        <f t="shared" si="1490"/>
        <v>CH</v>
      </c>
      <c r="D1404" t="s">
        <v>1399</v>
      </c>
      <c r="E1404" t="s">
        <v>8</v>
      </c>
      <c r="F1404" s="1" cm="1">
        <f t="array" ref="F1404">SUMPRODUCT(("T_B_c-BEVELC-S3"=[1]OUT_TransportEnergyCons!$A$3:$A$1000)*1,("Var_Fin"=[1]OUT_TransportEnergyCons!$B$3:$B$1000)*1,ISNUMBER(SEARCH("ELC",[1]OUT_TransportEnergyCons!$C$3:$C$1000))*1,[1]OUT_TransportEnergyCons!D$3:D$1000)</f>
        <v>3.5368799839796715E-4</v>
      </c>
      <c r="G1404" s="1" cm="1">
        <f t="array" ref="G1404">SUMPRODUCT(("T_B_c-BEVELC-S3"=[1]OUT_TransportEnergyCons!$A$3:$A$1000)*1,("Var_Fin"=[1]OUT_TransportEnergyCons!$B$3:$B$1000)*1,ISNUMBER(SEARCH("ELC",[1]OUT_TransportEnergyCons!$C$3:$C$1000))*1,[1]OUT_TransportEnergyCons!E$3:E$1000)</f>
        <v>8.2768741452316256E-4</v>
      </c>
      <c r="H1404" s="1" cm="1">
        <f t="array" ref="H1404">SUMPRODUCT(("T_B_c-BEVELC-S3"=[1]OUT_TransportEnergyCons!$A$3:$A$1000)*1,("Var_Fin"=[1]OUT_TransportEnergyCons!$B$3:$B$1000)*1,ISNUMBER(SEARCH("ELC",[1]OUT_TransportEnergyCons!$C$3:$C$1000))*1,[1]OUT_TransportEnergyCons!F$3:F$1000)</f>
        <v>8.7916250479403238E-4</v>
      </c>
      <c r="I1404" s="1" cm="1">
        <f t="array" ref="I1404">SUMPRODUCT(("T_B_c-BEVELC-S3"=[1]OUT_TransportEnergyCons!$A$3:$A$1000)*1,("Var_Fin"=[1]OUT_TransportEnergyCons!$B$3:$B$1000)*1,ISNUMBER(SEARCH("ELC",[1]OUT_TransportEnergyCons!$C$3:$C$1000))*1,[1]OUT_TransportEnergyCons!G$3:G$1000)</f>
        <v>6.112284327403671E-4</v>
      </c>
      <c r="J1404" s="1" cm="1">
        <f t="array" ref="J1404">SUMPRODUCT(("T_B_c-BEVELC-S3"=[2]OUT_TransportEnergyCons!$A$3:$A$1000)*1,("Var_Fin"=[2]OUT_TransportEnergyCons!$B$3:$B$1000)*1,ISNUMBER(SEARCH("ELC",[2]OUT_TransportEnergyCons!$C$3:$C$1000))*1,[2]OUT_TransportEnergyCons!H$3:H$1000)</f>
        <v>3.7611734126751784E-3</v>
      </c>
      <c r="K1404" s="1" cm="1">
        <f t="array" ref="K1404">SUMPRODUCT(("T_B_c-BEVELC-S3"=[2]OUT_TransportEnergyCons!$A$3:$A$1000)*1,("Var_Fin"=[2]OUT_TransportEnergyCons!$B$3:$B$1000)*1,ISNUMBER(SEARCH("ELC",[2]OUT_TransportEnergyCons!$C$3:$C$1000))*1,[2]OUT_TransportEnergyCons!I$3:I$1000)</f>
        <v>5.5517456066942689E-3</v>
      </c>
      <c r="L1404" s="1" cm="1">
        <f t="array" ref="L1404">SUMPRODUCT(("T_B_c-BEVELC-S3"=[2]OUT_TransportEnergyCons!$A$3:$A$1000)*1,("Var_Fin"=[2]OUT_TransportEnergyCons!$B$3:$B$1000)*1,ISNUMBER(SEARCH("ELC",[2]OUT_TransportEnergyCons!$C$3:$C$1000))*1,[2]OUT_TransportEnergyCons!J$3:J$1000)</f>
        <v>2.7722968857396717E-2</v>
      </c>
      <c r="N1404" s="1"/>
    </row>
    <row r="1405" spans="2:14" x14ac:dyDescent="0.35">
      <c r="B1405" s="5" t="str">
        <f t="shared" si="1489"/>
        <v>SPS1</v>
      </c>
      <c r="C1405" s="5" t="str">
        <f t="shared" si="1490"/>
        <v>CH</v>
      </c>
      <c r="D1405" t="s">
        <v>1400</v>
      </c>
      <c r="E1405" t="s">
        <v>8</v>
      </c>
      <c r="F1405" s="1" cm="1">
        <f t="array" ref="F1405">SUMPRODUCT(("T_B_c-BEVELC-S4"=[1]OUT_TransportEnergyCons!$A$3:$A$1000)*1,("Var_Fin"=[1]OUT_TransportEnergyCons!$B$3:$B$1000)*1,ISNUMBER(SEARCH("ELC",[1]OUT_TransportEnergyCons!$C$3:$C$1000))*1,[1]OUT_TransportEnergyCons!D$3:D$1000)</f>
        <v>0</v>
      </c>
      <c r="G1405" s="1" cm="1">
        <f t="array" ref="G1405">SUMPRODUCT(("T_B_c-BEVELC-S4"=[1]OUT_TransportEnergyCons!$A$3:$A$1000)*1,("Var_Fin"=[1]OUT_TransportEnergyCons!$B$3:$B$1000)*1,ISNUMBER(SEARCH("ELC",[1]OUT_TransportEnergyCons!$C$3:$C$1000))*1,[1]OUT_TransportEnergyCons!E$3:E$1000)</f>
        <v>2.1926945639249644E-5</v>
      </c>
      <c r="H1405" s="1" cm="1">
        <f t="array" ref="H1405">SUMPRODUCT(("T_B_c-BEVELC-S4"=[1]OUT_TransportEnergyCons!$A$3:$A$1000)*1,("Var_Fin"=[1]OUT_TransportEnergyCons!$B$3:$B$1000)*1,ISNUMBER(SEARCH("ELC",[1]OUT_TransportEnergyCons!$C$3:$C$1000))*1,[1]OUT_TransportEnergyCons!F$3:F$1000)</f>
        <v>3.6485197696673973E-5</v>
      </c>
      <c r="I1405" s="1" cm="1">
        <f t="array" ref="I1405">SUMPRODUCT(("T_B_c-BEVELC-S4"=[1]OUT_TransportEnergyCons!$A$3:$A$1000)*1,("Var_Fin"=[1]OUT_TransportEnergyCons!$B$3:$B$1000)*1,ISNUMBER(SEARCH("ELC",[1]OUT_TransportEnergyCons!$C$3:$C$1000))*1,[1]OUT_TransportEnergyCons!G$3:G$1000)</f>
        <v>2.0522568823553507E-5</v>
      </c>
      <c r="J1405" s="1" cm="1">
        <f t="array" ref="J1405">SUMPRODUCT(("T_B_c-BEVELC-S4"=[2]OUT_TransportEnergyCons!$A$3:$A$1000)*1,("Var_Fin"=[2]OUT_TransportEnergyCons!$B$3:$B$1000)*1,ISNUMBER(SEARCH("ELC",[2]OUT_TransportEnergyCons!$C$3:$C$1000))*1,[2]OUT_TransportEnergyCons!H$3:H$1000)</f>
        <v>9.3615554646744986E-5</v>
      </c>
      <c r="K1405" s="1" cm="1">
        <f t="array" ref="K1405">SUMPRODUCT(("T_B_c-BEVELC-S4"=[2]OUT_TransportEnergyCons!$A$3:$A$1000)*1,("Var_Fin"=[2]OUT_TransportEnergyCons!$B$3:$B$1000)*1,ISNUMBER(SEARCH("ELC",[2]OUT_TransportEnergyCons!$C$3:$C$1000))*1,[2]OUT_TransportEnergyCons!I$3:I$1000)</f>
        <v>1.2627407685523778E-4</v>
      </c>
      <c r="L1405" s="1" cm="1">
        <f t="array" ref="L1405">SUMPRODUCT(("T_B_c-BEVELC-S4"=[2]OUT_TransportEnergyCons!$A$3:$A$1000)*1,("Var_Fin"=[2]OUT_TransportEnergyCons!$B$3:$B$1000)*1,ISNUMBER(SEARCH("ELC",[2]OUT_TransportEnergyCons!$C$3:$C$1000))*1,[2]OUT_TransportEnergyCons!J$3:J$1000)</f>
        <v>3.7931203081256631E-5</v>
      </c>
      <c r="N1405" s="1"/>
    </row>
    <row r="1406" spans="2:14" x14ac:dyDescent="0.35">
      <c r="B1406" s="5" t="str">
        <f t="shared" si="1489"/>
        <v>SPS1</v>
      </c>
      <c r="C1406" s="5" t="str">
        <f t="shared" si="1490"/>
        <v>CH</v>
      </c>
      <c r="D1406" t="s">
        <v>1401</v>
      </c>
      <c r="E1406" t="s">
        <v>8</v>
      </c>
      <c r="F1406" s="1">
        <f>SUM(F1407:F1410)</f>
        <v>0</v>
      </c>
      <c r="G1406" s="1">
        <f t="shared" ref="G1406" si="1491">SUM(G1407:G1410)</f>
        <v>0</v>
      </c>
      <c r="H1406" s="1">
        <f t="shared" ref="H1406" si="1492">SUM(H1407:H1410)</f>
        <v>0</v>
      </c>
      <c r="I1406" s="1">
        <f t="shared" ref="I1406" si="1493">SUM(I1407:I1410)</f>
        <v>0</v>
      </c>
      <c r="J1406" s="1">
        <f t="shared" ref="J1406" si="1494">SUM(J1407:J1410)</f>
        <v>0</v>
      </c>
      <c r="K1406" s="1">
        <f t="shared" ref="K1406:L1406" si="1495">SUM(K1407:K1410)</f>
        <v>0</v>
      </c>
      <c r="L1406" s="1">
        <f t="shared" si="1495"/>
        <v>0</v>
      </c>
      <c r="N1406" s="1"/>
    </row>
    <row r="1407" spans="2:14" x14ac:dyDescent="0.35">
      <c r="B1407" s="5" t="str">
        <f t="shared" si="1489"/>
        <v>SPS1</v>
      </c>
      <c r="C1407" s="5" t="str">
        <f t="shared" si="1490"/>
        <v>CH</v>
      </c>
      <c r="D1407" t="s">
        <v>1402</v>
      </c>
      <c r="E1407" t="s">
        <v>8</v>
      </c>
      <c r="F1407" s="1" cm="1">
        <f t="array" ref="F1407">SUMPRODUCT(("T_B_c-FCLH2O-S1"=[1]OUT_TransportEnergyCons!$A$3:$A$1000)*1,("Var_Fin"=[1]OUT_TransportEnergyCons!$B$3:$B$1000)*1,ISNUMBER(SEARCH("H2",[1]OUT_TransportEnergyCons!$C$3:$C$1000))*1,[1]OUT_TransportEnergyCons!D$3:D$1000)</f>
        <v>0</v>
      </c>
      <c r="G1407" s="1" cm="1">
        <f t="array" ref="G1407">SUMPRODUCT(("T_B_c-FCLH2O-S1"=[1]OUT_TransportEnergyCons!$A$3:$A$1000)*1,("Var_Fin"=[1]OUT_TransportEnergyCons!$B$3:$B$1000)*1,ISNUMBER(SEARCH("H2",[1]OUT_TransportEnergyCons!$C$3:$C$1000))*1,[1]OUT_TransportEnergyCons!E$3:E$1000)</f>
        <v>0</v>
      </c>
      <c r="H1407" s="1" cm="1">
        <f t="array" ref="H1407">SUMPRODUCT(("T_B_c-FCLH2O-S1"=[1]OUT_TransportEnergyCons!$A$3:$A$1000)*1,("Var_Fin"=[1]OUT_TransportEnergyCons!$B$3:$B$1000)*1,ISNUMBER(SEARCH("H2",[1]OUT_TransportEnergyCons!$C$3:$C$1000))*1,[1]OUT_TransportEnergyCons!F$3:F$1000)</f>
        <v>0</v>
      </c>
      <c r="I1407" s="1" cm="1">
        <f t="array" ref="I1407">SUMPRODUCT(("T_B_c-FCLH2O-S1"=[1]OUT_TransportEnergyCons!$A$3:$A$1000)*1,("Var_Fin"=[1]OUT_TransportEnergyCons!$B$3:$B$1000)*1,ISNUMBER(SEARCH("H2",[1]OUT_TransportEnergyCons!$C$3:$C$1000))*1,[1]OUT_TransportEnergyCons!G$3:G$1000)</f>
        <v>0</v>
      </c>
      <c r="J1407" s="1" cm="1">
        <f t="array" ref="J1407">SUMPRODUCT(("T_B_c-FCLH2O-S1"=[2]OUT_TransportEnergyCons!$A$3:$A$1000)*1,("Var_Fin"=[2]OUT_TransportEnergyCons!$B$3:$B$1000)*1,ISNUMBER(SEARCH("H2",[2]OUT_TransportEnergyCons!$C$3:$C$1000))*1,[2]OUT_TransportEnergyCons!H$3:H$1000)</f>
        <v>0</v>
      </c>
      <c r="K1407" s="1" cm="1">
        <f t="array" ref="K1407">SUMPRODUCT(("T_B_c-FCLH2O-S1"=[2]OUT_TransportEnergyCons!$A$3:$A$1000)*1,("Var_Fin"=[2]OUT_TransportEnergyCons!$B$3:$B$1000)*1,ISNUMBER(SEARCH("H2",[2]OUT_TransportEnergyCons!$C$3:$C$1000))*1,[2]OUT_TransportEnergyCons!I$3:I$1000)</f>
        <v>0</v>
      </c>
      <c r="L1407" s="1" cm="1">
        <f t="array" ref="L1407">SUMPRODUCT(("T_B_c-FCLH2O-S1"=[2]OUT_TransportEnergyCons!$A$3:$A$1000)*1,("Var_Fin"=[2]OUT_TransportEnergyCons!$B$3:$B$1000)*1,ISNUMBER(SEARCH("H2",[2]OUT_TransportEnergyCons!$C$3:$C$1000))*1,[2]OUT_TransportEnergyCons!J$3:J$1000)</f>
        <v>0</v>
      </c>
      <c r="N1407" s="1"/>
    </row>
    <row r="1408" spans="2:14" x14ac:dyDescent="0.35">
      <c r="B1408" s="5" t="str">
        <f t="shared" si="1489"/>
        <v>SPS1</v>
      </c>
      <c r="C1408" s="5" t="str">
        <f t="shared" si="1490"/>
        <v>CH</v>
      </c>
      <c r="D1408" t="s">
        <v>1403</v>
      </c>
      <c r="E1408" t="s">
        <v>8</v>
      </c>
      <c r="F1408" s="1" cm="1">
        <f t="array" ref="F1408">SUMPRODUCT(("T_B_c-FCLH2O-S2"=[1]OUT_TransportEnergyCons!$A$3:$A$1000)*1,("Var_Fin"=[1]OUT_TransportEnergyCons!$B$3:$B$1000)*1,ISNUMBER(SEARCH("H2",[1]OUT_TransportEnergyCons!$C$3:$C$1000))*1,[1]OUT_TransportEnergyCons!D$3:D$1000)</f>
        <v>0</v>
      </c>
      <c r="G1408" s="1" cm="1">
        <f t="array" ref="G1408">SUMPRODUCT(("T_B_c-FCLH2O-S2"=[1]OUT_TransportEnergyCons!$A$3:$A$1000)*1,("Var_Fin"=[1]OUT_TransportEnergyCons!$B$3:$B$1000)*1,ISNUMBER(SEARCH("H2",[1]OUT_TransportEnergyCons!$C$3:$C$1000))*1,[1]OUT_TransportEnergyCons!E$3:E$1000)</f>
        <v>0</v>
      </c>
      <c r="H1408" s="1" cm="1">
        <f t="array" ref="H1408">SUMPRODUCT(("T_B_c-FCLH2O-S2"=[1]OUT_TransportEnergyCons!$A$3:$A$1000)*1,("Var_Fin"=[1]OUT_TransportEnergyCons!$B$3:$B$1000)*1,ISNUMBER(SEARCH("H2",[1]OUT_TransportEnergyCons!$C$3:$C$1000))*1,[1]OUT_TransportEnergyCons!F$3:F$1000)</f>
        <v>0</v>
      </c>
      <c r="I1408" s="1" cm="1">
        <f t="array" ref="I1408">SUMPRODUCT(("T_B_c-FCLH2O-S2"=[1]OUT_TransportEnergyCons!$A$3:$A$1000)*1,("Var_Fin"=[1]OUT_TransportEnergyCons!$B$3:$B$1000)*1,ISNUMBER(SEARCH("H2",[1]OUT_TransportEnergyCons!$C$3:$C$1000))*1,[1]OUT_TransportEnergyCons!G$3:G$1000)</f>
        <v>0</v>
      </c>
      <c r="J1408" s="1" cm="1">
        <f t="array" ref="J1408">SUMPRODUCT(("T_B_c-FCLH2O-S2"=[2]OUT_TransportEnergyCons!$A$3:$A$1000)*1,("Var_Fin"=[2]OUT_TransportEnergyCons!$B$3:$B$1000)*1,ISNUMBER(SEARCH("H2",[2]OUT_TransportEnergyCons!$C$3:$C$1000))*1,[2]OUT_TransportEnergyCons!H$3:H$1000)</f>
        <v>0</v>
      </c>
      <c r="K1408" s="1" cm="1">
        <f t="array" ref="K1408">SUMPRODUCT(("T_B_c-FCLH2O-S2"=[2]OUT_TransportEnergyCons!$A$3:$A$1000)*1,("Var_Fin"=[2]OUT_TransportEnergyCons!$B$3:$B$1000)*1,ISNUMBER(SEARCH("H2",[2]OUT_TransportEnergyCons!$C$3:$C$1000))*1,[2]OUT_TransportEnergyCons!I$3:I$1000)</f>
        <v>0</v>
      </c>
      <c r="L1408" s="1" cm="1">
        <f t="array" ref="L1408">SUMPRODUCT(("T_B_c-FCLH2O-S2"=[2]OUT_TransportEnergyCons!$A$3:$A$1000)*1,("Var_Fin"=[2]OUT_TransportEnergyCons!$B$3:$B$1000)*1,ISNUMBER(SEARCH("H2",[2]OUT_TransportEnergyCons!$C$3:$C$1000))*1,[2]OUT_TransportEnergyCons!J$3:J$1000)</f>
        <v>0</v>
      </c>
      <c r="N1408" s="1"/>
    </row>
    <row r="1409" spans="2:14" x14ac:dyDescent="0.35">
      <c r="B1409" s="5" t="str">
        <f t="shared" si="1489"/>
        <v>SPS1</v>
      </c>
      <c r="C1409" s="5" t="str">
        <f t="shared" si="1490"/>
        <v>CH</v>
      </c>
      <c r="D1409" t="s">
        <v>1404</v>
      </c>
      <c r="E1409" t="s">
        <v>8</v>
      </c>
      <c r="F1409" s="1" cm="1">
        <f t="array" ref="F1409">SUMPRODUCT(("T_B_c-FCLH2O-S3"=[1]OUT_TransportEnergyCons!$A$3:$A$1000)*1,("Var_Fin"=[1]OUT_TransportEnergyCons!$B$3:$B$1000)*1,ISNUMBER(SEARCH("H2",[1]OUT_TransportEnergyCons!$C$3:$C$1000))*1,[1]OUT_TransportEnergyCons!D$3:D$1000)</f>
        <v>0</v>
      </c>
      <c r="G1409" s="1" cm="1">
        <f t="array" ref="G1409">SUMPRODUCT(("T_B_c-FCLH2O-S3"=[1]OUT_TransportEnergyCons!$A$3:$A$1000)*1,("Var_Fin"=[1]OUT_TransportEnergyCons!$B$3:$B$1000)*1,ISNUMBER(SEARCH("H2",[1]OUT_TransportEnergyCons!$C$3:$C$1000))*1,[1]OUT_TransportEnergyCons!E$3:E$1000)</f>
        <v>0</v>
      </c>
      <c r="H1409" s="1" cm="1">
        <f t="array" ref="H1409">SUMPRODUCT(("T_B_c-FCLH2O-S3"=[1]OUT_TransportEnergyCons!$A$3:$A$1000)*1,("Var_Fin"=[1]OUT_TransportEnergyCons!$B$3:$B$1000)*1,ISNUMBER(SEARCH("H2",[1]OUT_TransportEnergyCons!$C$3:$C$1000))*1,[1]OUT_TransportEnergyCons!F$3:F$1000)</f>
        <v>0</v>
      </c>
      <c r="I1409" s="1" cm="1">
        <f t="array" ref="I1409">SUMPRODUCT(("T_B_c-FCLH2O-S3"=[1]OUT_TransportEnergyCons!$A$3:$A$1000)*1,("Var_Fin"=[1]OUT_TransportEnergyCons!$B$3:$B$1000)*1,ISNUMBER(SEARCH("H2",[1]OUT_TransportEnergyCons!$C$3:$C$1000))*1,[1]OUT_TransportEnergyCons!G$3:G$1000)</f>
        <v>0</v>
      </c>
      <c r="J1409" s="1" cm="1">
        <f t="array" ref="J1409">SUMPRODUCT(("T_B_c-FCLH2O-S3"=[2]OUT_TransportEnergyCons!$A$3:$A$1000)*1,("Var_Fin"=[2]OUT_TransportEnergyCons!$B$3:$B$1000)*1,ISNUMBER(SEARCH("H2",[2]OUT_TransportEnergyCons!$C$3:$C$1000))*1,[2]OUT_TransportEnergyCons!H$3:H$1000)</f>
        <v>0</v>
      </c>
      <c r="K1409" s="1" cm="1">
        <f t="array" ref="K1409">SUMPRODUCT(("T_B_c-FCLH2O-S3"=[2]OUT_TransportEnergyCons!$A$3:$A$1000)*1,("Var_Fin"=[2]OUT_TransportEnergyCons!$B$3:$B$1000)*1,ISNUMBER(SEARCH("H2",[2]OUT_TransportEnergyCons!$C$3:$C$1000))*1,[2]OUT_TransportEnergyCons!I$3:I$1000)</f>
        <v>0</v>
      </c>
      <c r="L1409" s="1" cm="1">
        <f t="array" ref="L1409">SUMPRODUCT(("T_B_c-FCLH2O-S3"=[2]OUT_TransportEnergyCons!$A$3:$A$1000)*1,("Var_Fin"=[2]OUT_TransportEnergyCons!$B$3:$B$1000)*1,ISNUMBER(SEARCH("H2",[2]OUT_TransportEnergyCons!$C$3:$C$1000))*1,[2]OUT_TransportEnergyCons!J$3:J$1000)</f>
        <v>0</v>
      </c>
      <c r="N1409" s="1"/>
    </row>
    <row r="1410" spans="2:14" x14ac:dyDescent="0.35">
      <c r="B1410" s="5" t="str">
        <f t="shared" si="1489"/>
        <v>SPS1</v>
      </c>
      <c r="C1410" s="5" t="str">
        <f t="shared" si="1490"/>
        <v>CH</v>
      </c>
      <c r="D1410" t="s">
        <v>1405</v>
      </c>
      <c r="E1410" t="s">
        <v>8</v>
      </c>
      <c r="F1410" s="1" cm="1">
        <f t="array" ref="F1410">SUMPRODUCT(("T_B_c-FCLH2O-S4"=[1]OUT_TransportEnergyCons!$A$3:$A$1000)*1,("Var_Fin"=[1]OUT_TransportEnergyCons!$B$3:$B$1000)*1,ISNUMBER(SEARCH("H2",[1]OUT_TransportEnergyCons!$C$3:$C$1000))*1,[1]OUT_TransportEnergyCons!D$3:D$1000)</f>
        <v>0</v>
      </c>
      <c r="G1410" s="1" cm="1">
        <f t="array" ref="G1410">SUMPRODUCT(("T_B_c-FCLH2O-S4"=[1]OUT_TransportEnergyCons!$A$3:$A$1000)*1,("Var_Fin"=[1]OUT_TransportEnergyCons!$B$3:$B$1000)*1,ISNUMBER(SEARCH("H2",[1]OUT_TransportEnergyCons!$C$3:$C$1000))*1,[1]OUT_TransportEnergyCons!E$3:E$1000)</f>
        <v>0</v>
      </c>
      <c r="H1410" s="1" cm="1">
        <f t="array" ref="H1410">SUMPRODUCT(("T_B_c-FCLH2O-S4"=[1]OUT_TransportEnergyCons!$A$3:$A$1000)*1,("Var_Fin"=[1]OUT_TransportEnergyCons!$B$3:$B$1000)*1,ISNUMBER(SEARCH("H2",[1]OUT_TransportEnergyCons!$C$3:$C$1000))*1,[1]OUT_TransportEnergyCons!F$3:F$1000)</f>
        <v>0</v>
      </c>
      <c r="I1410" s="1" cm="1">
        <f t="array" ref="I1410">SUMPRODUCT(("T_B_c-FCLH2O-S4"=[1]OUT_TransportEnergyCons!$A$3:$A$1000)*1,("Var_Fin"=[1]OUT_TransportEnergyCons!$B$3:$B$1000)*1,ISNUMBER(SEARCH("H2",[1]OUT_TransportEnergyCons!$C$3:$C$1000))*1,[1]OUT_TransportEnergyCons!G$3:G$1000)</f>
        <v>0</v>
      </c>
      <c r="J1410" s="1" cm="1">
        <f t="array" ref="J1410">SUMPRODUCT(("T_B_c-FCLH2O-S4"=[2]OUT_TransportEnergyCons!$A$3:$A$1000)*1,("Var_Fin"=[2]OUT_TransportEnergyCons!$B$3:$B$1000)*1,ISNUMBER(SEARCH("H2",[2]OUT_TransportEnergyCons!$C$3:$C$1000))*1,[2]OUT_TransportEnergyCons!H$3:H$1000)</f>
        <v>0</v>
      </c>
      <c r="K1410" s="1" cm="1">
        <f t="array" ref="K1410">SUMPRODUCT(("T_B_c-FCLH2O-S4"=[2]OUT_TransportEnergyCons!$A$3:$A$1000)*1,("Var_Fin"=[2]OUT_TransportEnergyCons!$B$3:$B$1000)*1,ISNUMBER(SEARCH("H2",[2]OUT_TransportEnergyCons!$C$3:$C$1000))*1,[2]OUT_TransportEnergyCons!I$3:I$1000)</f>
        <v>0</v>
      </c>
      <c r="L1410" s="1" cm="1">
        <f t="array" ref="L1410">SUMPRODUCT(("T_B_c-FCLH2O-S4"=[2]OUT_TransportEnergyCons!$A$3:$A$1000)*1,("Var_Fin"=[2]OUT_TransportEnergyCons!$B$3:$B$1000)*1,ISNUMBER(SEARCH("H2",[2]OUT_TransportEnergyCons!$C$3:$C$1000))*1,[2]OUT_TransportEnergyCons!J$3:J$1000)</f>
        <v>0</v>
      </c>
      <c r="N1410" s="1"/>
    </row>
    <row r="1411" spans="2:14" x14ac:dyDescent="0.35">
      <c r="B1411" s="5" t="str">
        <f t="shared" si="1489"/>
        <v>SPS1</v>
      </c>
      <c r="C1411" s="5" t="str">
        <f t="shared" si="1490"/>
        <v>CH</v>
      </c>
      <c r="D1411" t="s">
        <v>1406</v>
      </c>
      <c r="E1411" t="s">
        <v>8</v>
      </c>
      <c r="F1411" s="1">
        <f>SUM(F1416:F1424)</f>
        <v>0.80595962013140543</v>
      </c>
      <c r="G1411" s="1">
        <f t="shared" ref="G1411:K1411" si="1496">SUM(G1416:G1424)</f>
        <v>0.83792971000995231</v>
      </c>
      <c r="H1411" s="1">
        <f t="shared" si="1496"/>
        <v>1.0050982124705423</v>
      </c>
      <c r="I1411" s="1">
        <f t="shared" si="1496"/>
        <v>0.40674926532801498</v>
      </c>
      <c r="J1411" s="1">
        <f t="shared" si="1496"/>
        <v>0.40570265641870112</v>
      </c>
      <c r="K1411" s="1">
        <f t="shared" si="1496"/>
        <v>0.34847692893671833</v>
      </c>
      <c r="L1411" s="1">
        <f t="shared" ref="L1411" si="1497">SUM(L1416:L1424)</f>
        <v>0.25956524522602226</v>
      </c>
      <c r="N1411" s="1"/>
    </row>
    <row r="1412" spans="2:14" x14ac:dyDescent="0.35">
      <c r="B1412" s="5" t="str">
        <f t="shared" si="1489"/>
        <v>SPS1</v>
      </c>
      <c r="C1412" s="5" t="str">
        <f t="shared" si="1490"/>
        <v>CH</v>
      </c>
      <c r="D1412" t="s">
        <v>1407</v>
      </c>
      <c r="E1412" t="s">
        <v>8</v>
      </c>
      <c r="F1412" s="1">
        <f>IF(F1411-F1413&lt;0,0,F1411-F1413)</f>
        <v>0.78579645276294541</v>
      </c>
      <c r="G1412" s="1">
        <f t="shared" ref="G1412:L1412" si="1498">IF(G1411-G1413&lt;0,0,G1411-G1413)</f>
        <v>0.81609265873576986</v>
      </c>
      <c r="H1412" s="1">
        <f t="shared" si="1498"/>
        <v>0.95999114177531408</v>
      </c>
      <c r="I1412" s="1">
        <f t="shared" si="1498"/>
        <v>0.38858285559827366</v>
      </c>
      <c r="J1412" s="1">
        <f t="shared" si="1498"/>
        <v>0.38895284672342778</v>
      </c>
      <c r="K1412" s="1">
        <f t="shared" si="1498"/>
        <v>0.3341253784097255</v>
      </c>
      <c r="L1412" s="1">
        <f t="shared" si="1498"/>
        <v>0.24870417875044537</v>
      </c>
      <c r="N1412" s="1"/>
    </row>
    <row r="1413" spans="2:14" x14ac:dyDescent="0.35">
      <c r="B1413" s="5" t="str">
        <f t="shared" si="1489"/>
        <v>SPS1</v>
      </c>
      <c r="C1413" s="5" t="str">
        <f t="shared" si="1490"/>
        <v>CH</v>
      </c>
      <c r="D1413" t="s">
        <v>1408</v>
      </c>
      <c r="E1413" t="s">
        <v>8</v>
      </c>
      <c r="F1413" s="1">
        <f>SUM(F1414:F1415)</f>
        <v>2.0163167368459974E-2</v>
      </c>
      <c r="G1413" s="1">
        <f t="shared" ref="G1413" si="1499">SUM(G1414:G1415)</f>
        <v>2.1837051274182465E-2</v>
      </c>
      <c r="H1413" s="1">
        <f t="shared" ref="H1413" si="1500">SUM(H1414:H1415)</f>
        <v>4.5107070695228201E-2</v>
      </c>
      <c r="I1413" s="1">
        <f t="shared" ref="I1413" si="1501">SUM(I1414:I1415)</f>
        <v>1.816640972974131E-2</v>
      </c>
      <c r="J1413" s="1">
        <f t="shared" ref="J1413" si="1502">SUM(J1414:J1415)</f>
        <v>1.6749809695273333E-2</v>
      </c>
      <c r="K1413" s="1">
        <f t="shared" ref="K1413:L1413" si="1503">SUM(K1414:K1415)</f>
        <v>1.4351550526992843E-2</v>
      </c>
      <c r="L1413" s="1">
        <f t="shared" si="1503"/>
        <v>1.0861066475576895E-2</v>
      </c>
      <c r="N1413" s="1"/>
    </row>
    <row r="1414" spans="2:14" x14ac:dyDescent="0.35">
      <c r="B1414" s="5" t="str">
        <f t="shared" si="1489"/>
        <v>SPS1</v>
      </c>
      <c r="C1414" s="5" t="str">
        <f t="shared" si="1490"/>
        <v>CH</v>
      </c>
      <c r="D1414" t="s">
        <v>1409</v>
      </c>
      <c r="E1414" t="s">
        <v>8</v>
      </c>
      <c r="F1414" s="1">
        <f>[1]Transport!B$26/SUM([1]Transport!B$22,[1]Transport!B$26)*F1411*(F$34+F$582)/(F$34+F$582+F$38)</f>
        <v>2.0163167368459974E-2</v>
      </c>
      <c r="G1414" s="1">
        <f>[1]Transport!C$26/SUM([1]Transport!C$22,[1]Transport!C$26)*G1411*(G$34+G$582)/(G$34+G$582+G$38)</f>
        <v>2.1837051274182465E-2</v>
      </c>
      <c r="H1414" s="1">
        <f>[1]Transport!D$26/SUM([1]Transport!D$22,[1]Transport!D$26)*H1411*(H$34+H$582)/(H$34+H$582+H$38)</f>
        <v>4.5107070695228201E-2</v>
      </c>
      <c r="I1414" s="1">
        <f>[1]Transport!E$26/SUM([1]Transport!E$22,[1]Transport!E$26)*I1411*(I$34+I$582)/(I$34+I$582+I$38)</f>
        <v>1.816640972974131E-2</v>
      </c>
      <c r="J1414" s="1">
        <f>[2]Transport!F$26/SUM([2]Transport!F$22,[2]Transport!F$26)*J1411*(J$34+J$582)/(J$34+J$582+J$38)</f>
        <v>1.6749809695273333E-2</v>
      </c>
      <c r="K1414" s="1">
        <f>[2]Transport!G$26/SUM([2]Transport!G$22,[2]Transport!G$26)*K1411*(K$34+K$582)/(K$34+K$582+K$38)</f>
        <v>1.4351550526992843E-2</v>
      </c>
      <c r="L1414" s="1">
        <f>[2]Transport!H$26/SUM([2]Transport!H$22,[2]Transport!H$26)*L1411*(L$34+L$582)/(L$34+L$582+L$38)</f>
        <v>1.0861066475576895E-2</v>
      </c>
      <c r="N1414" s="1"/>
    </row>
    <row r="1415" spans="2:14" x14ac:dyDescent="0.35">
      <c r="B1415" s="5" t="str">
        <f t="shared" si="1489"/>
        <v>SPS1</v>
      </c>
      <c r="C1415" s="5" t="str">
        <f t="shared" si="1490"/>
        <v>CH</v>
      </c>
      <c r="D1415" t="s">
        <v>1410</v>
      </c>
      <c r="E1415" t="s">
        <v>8</v>
      </c>
      <c r="F1415" s="1">
        <f>(F$38+F$718)/([1]Transport!B$22+[1]Transport!B$26)*F1411</f>
        <v>0</v>
      </c>
      <c r="G1415" s="1">
        <f>(G$38+G$718)/([1]Transport!C$22+[1]Transport!C$26)*G1411</f>
        <v>0</v>
      </c>
      <c r="H1415" s="1">
        <f>(H$38+H$718)/([1]Transport!D$22+[1]Transport!D$26)*H1411</f>
        <v>0</v>
      </c>
      <c r="I1415" s="1">
        <f>(I$38+I$718)/([1]Transport!E$22+[1]Transport!E$26)*I1411</f>
        <v>0</v>
      </c>
      <c r="J1415" s="1">
        <f>(J$38+J$718)/([2]Transport!F$22+[2]Transport!F$26)*J1411</f>
        <v>0</v>
      </c>
      <c r="K1415" s="1">
        <f>(K$38+K$718)/([2]Transport!G$22+[2]Transport!G$26)*K1411</f>
        <v>0</v>
      </c>
      <c r="L1415" s="1">
        <f>(L$38+L$718)/([2]Transport!H$22+[2]Transport!H$26)*L1411</f>
        <v>0</v>
      </c>
      <c r="N1415" s="1"/>
    </row>
    <row r="1416" spans="2:14" x14ac:dyDescent="0.35">
      <c r="B1416" s="5" t="str">
        <f t="shared" si="1489"/>
        <v>SPS1</v>
      </c>
      <c r="C1416" s="5" t="str">
        <f t="shared" si="1490"/>
        <v>CH</v>
      </c>
      <c r="D1416" t="s">
        <v>1411</v>
      </c>
      <c r="E1416" t="s">
        <v>8</v>
      </c>
      <c r="F1416" s="1" cm="1">
        <f t="array" ref="F1416">SUMPRODUCT(("T_B_c-HYBDSL-S1"=[1]OUT_TransportEnergyCons!$A$3:$A$1000)*1,("Var_Fin"=[1]OUT_TransportEnergyCons!$B$3:$B$1000)*1,ISNUMBER(SEARCH("DSL",[1]OUT_TransportEnergyCons!$C$3:$C$1000))*1,[1]OUT_TransportEnergyCons!D$3:D$1000)</f>
        <v>0</v>
      </c>
      <c r="G1416" s="1" cm="1">
        <f t="array" ref="G1416">SUMPRODUCT(("T_B_c-HYBDSL-S1"=[1]OUT_TransportEnergyCons!$A$3:$A$1000)*1,("Var_Fin"=[1]OUT_TransportEnergyCons!$B$3:$B$1000)*1,ISNUMBER(SEARCH("DSL",[1]OUT_TransportEnergyCons!$C$3:$C$1000))*1,[1]OUT_TransportEnergyCons!E$3:E$1000)</f>
        <v>2.6586566152188118E-3</v>
      </c>
      <c r="H1416" s="1" cm="1">
        <f t="array" ref="H1416">SUMPRODUCT(("T_B_c-HYBDSL-S1"=[1]OUT_TransportEnergyCons!$A$3:$A$1000)*1,("Var_Fin"=[1]OUT_TransportEnergyCons!$B$3:$B$1000)*1,ISNUMBER(SEARCH("DSL",[1]OUT_TransportEnergyCons!$C$3:$C$1000))*1,[1]OUT_TransportEnergyCons!F$3:F$1000)</f>
        <v>2.8702651638815154E-3</v>
      </c>
      <c r="I1416" s="1" cm="1">
        <f t="array" ref="I1416">SUMPRODUCT(("T_B_c-HYBDSL-S1"=[1]OUT_TransportEnergyCons!$A$3:$A$1000)*1,("Var_Fin"=[1]OUT_TransportEnergyCons!$B$3:$B$1000)*1,ISNUMBER(SEARCH("DSL",[1]OUT_TransportEnergyCons!$C$3:$C$1000))*1,[1]OUT_TransportEnergyCons!G$3:G$1000)</f>
        <v>4.8569114254573364E-4</v>
      </c>
      <c r="J1416" s="1" cm="1">
        <f t="array" ref="J1416">SUMPRODUCT(("T_B_c-HYBDSL-S1"=[2]OUT_TransportEnergyCons!$A$3:$A$1000)*1,("Var_Fin"=[2]OUT_TransportEnergyCons!$B$3:$B$1000)*1,ISNUMBER(SEARCH("DSL",[2]OUT_TransportEnergyCons!$C$3:$C$1000))*1,[2]OUT_TransportEnergyCons!H$3:H$1000)</f>
        <v>2.9811174337648801E-2</v>
      </c>
      <c r="K1416" s="1" cm="1">
        <f t="array" ref="K1416">SUMPRODUCT(("T_B_c-HYBDSL-S1"=[2]OUT_TransportEnergyCons!$A$3:$A$1000)*1,("Var_Fin"=[2]OUT_TransportEnergyCons!$B$3:$B$1000)*1,ISNUMBER(SEARCH("DSL",[2]OUT_TransportEnergyCons!$C$3:$C$1000))*1,[2]OUT_TransportEnergyCons!I$3:I$1000)</f>
        <v>8.6824834299855783E-2</v>
      </c>
      <c r="L1416" s="1" cm="1">
        <f t="array" ref="L1416">SUMPRODUCT(("T_B_c-HYBDSL-S1"=[2]OUT_TransportEnergyCons!$A$3:$A$1000)*1,("Var_Fin"=[2]OUT_TransportEnergyCons!$B$3:$B$1000)*1,ISNUMBER(SEARCH("DSL",[2]OUT_TransportEnergyCons!$C$3:$C$1000))*1,[2]OUT_TransportEnergyCons!J$3:J$1000)</f>
        <v>0.15812929600084505</v>
      </c>
      <c r="N1416" s="1"/>
    </row>
    <row r="1417" spans="2:14" x14ac:dyDescent="0.35">
      <c r="B1417" s="5" t="str">
        <f t="shared" si="1489"/>
        <v>SPS1</v>
      </c>
      <c r="C1417" s="5" t="str">
        <f t="shared" si="1490"/>
        <v>CH</v>
      </c>
      <c r="D1417" t="s">
        <v>1412</v>
      </c>
      <c r="E1417" t="s">
        <v>8</v>
      </c>
      <c r="F1417" s="1" cm="1">
        <f t="array" ref="F1417">SUMPRODUCT(("T_B_c-HYBDSL-S2"=[1]OUT_TransportEnergyCons!$A$3:$A$1000)*1,("Var_Fin"=[1]OUT_TransportEnergyCons!$B$3:$B$1000)*1,ISNUMBER(SEARCH("DSL",[1]OUT_TransportEnergyCons!$C$3:$C$1000))*1,[1]OUT_TransportEnergyCons!D$3:D$1000)</f>
        <v>0</v>
      </c>
      <c r="G1417" s="1" cm="1">
        <f t="array" ref="G1417">SUMPRODUCT(("T_B_c-HYBDSL-S2"=[1]OUT_TransportEnergyCons!$A$3:$A$1000)*1,("Var_Fin"=[1]OUT_TransportEnergyCons!$B$3:$B$1000)*1,ISNUMBER(SEARCH("DSL",[1]OUT_TransportEnergyCons!$C$3:$C$1000))*1,[1]OUT_TransportEnergyCons!E$3:E$1000)</f>
        <v>1.6185825672894509E-4</v>
      </c>
      <c r="H1417" s="1" cm="1">
        <f t="array" ref="H1417">SUMPRODUCT(("T_B_c-HYBDSL-S2"=[1]OUT_TransportEnergyCons!$A$3:$A$1000)*1,("Var_Fin"=[1]OUT_TransportEnergyCons!$B$3:$B$1000)*1,ISNUMBER(SEARCH("DSL",[1]OUT_TransportEnergyCons!$C$3:$C$1000))*1,[1]OUT_TransportEnergyCons!F$3:F$1000)</f>
        <v>6.2944290518806442E-2</v>
      </c>
      <c r="I1417" s="1" cm="1">
        <f t="array" ref="I1417">SUMPRODUCT(("T_B_c-HYBDSL-S2"=[1]OUT_TransportEnergyCons!$A$3:$A$1000)*1,("Var_Fin"=[1]OUT_TransportEnergyCons!$B$3:$B$1000)*1,ISNUMBER(SEARCH("DSL",[1]OUT_TransportEnergyCons!$C$3:$C$1000))*1,[1]OUT_TransportEnergyCons!G$3:G$1000)</f>
        <v>0.26910052711643589</v>
      </c>
      <c r="J1417" s="1" cm="1">
        <f t="array" ref="J1417">SUMPRODUCT(("T_B_c-HYBDSL-S2"=[2]OUT_TransportEnergyCons!$A$3:$A$1000)*1,("Var_Fin"=[2]OUT_TransportEnergyCons!$B$3:$B$1000)*1,ISNUMBER(SEARCH("DSL",[2]OUT_TransportEnergyCons!$C$3:$C$1000))*1,[2]OUT_TransportEnergyCons!H$3:H$1000)</f>
        <v>0.24848892278297899</v>
      </c>
      <c r="K1417" s="1" cm="1">
        <f t="array" ref="K1417">SUMPRODUCT(("T_B_c-HYBDSL-S2"=[2]OUT_TransportEnergyCons!$A$3:$A$1000)*1,("Var_Fin"=[2]OUT_TransportEnergyCons!$B$3:$B$1000)*1,ISNUMBER(SEARCH("DSL",[2]OUT_TransportEnergyCons!$C$3:$C$1000))*1,[2]OUT_TransportEnergyCons!I$3:I$1000)</f>
        <v>0.14859849825589039</v>
      </c>
      <c r="L1417" s="1" cm="1">
        <f t="array" ref="L1417">SUMPRODUCT(("T_B_c-HYBDSL-S2"=[2]OUT_TransportEnergyCons!$A$3:$A$1000)*1,("Var_Fin"=[2]OUT_TransportEnergyCons!$B$3:$B$1000)*1,ISNUMBER(SEARCH("DSL",[2]OUT_TransportEnergyCons!$C$3:$C$1000))*1,[2]OUT_TransportEnergyCons!J$3:J$1000)</f>
        <v>5.5228220622988523E-2</v>
      </c>
      <c r="N1417" s="1"/>
    </row>
    <row r="1418" spans="2:14" x14ac:dyDescent="0.35">
      <c r="B1418" s="5" t="str">
        <f t="shared" si="1489"/>
        <v>SPS1</v>
      </c>
      <c r="C1418" s="5" t="str">
        <f t="shared" si="1490"/>
        <v>CH</v>
      </c>
      <c r="D1418" t="s">
        <v>1413</v>
      </c>
      <c r="E1418" t="s">
        <v>8</v>
      </c>
      <c r="F1418" s="1" cm="1">
        <f t="array" ref="F1418">SUMPRODUCT(("T_B_c-HYBDSL-S3"=[1]OUT_TransportEnergyCons!$A$3:$A$1000)*1,("Var_Fin"=[1]OUT_TransportEnergyCons!$B$3:$B$1000)*1,ISNUMBER(SEARCH("DSL",[1]OUT_TransportEnergyCons!$C$3:$C$1000))*1,[1]OUT_TransportEnergyCons!D$3:D$1000)</f>
        <v>0</v>
      </c>
      <c r="G1418" s="1" cm="1">
        <f t="array" ref="G1418">SUMPRODUCT(("T_B_c-HYBDSL-S3"=[1]OUT_TransportEnergyCons!$A$3:$A$1000)*1,("Var_Fin"=[1]OUT_TransportEnergyCons!$B$3:$B$1000)*1,ISNUMBER(SEARCH("DSL",[1]OUT_TransportEnergyCons!$C$3:$C$1000))*1,[1]OUT_TransportEnergyCons!E$3:E$1000)</f>
        <v>1.0109093957214246E-4</v>
      </c>
      <c r="H1418" s="1" cm="1">
        <f t="array" ref="H1418">SUMPRODUCT(("T_B_c-HYBDSL-S3"=[1]OUT_TransportEnergyCons!$A$3:$A$1000)*1,("Var_Fin"=[1]OUT_TransportEnergyCons!$B$3:$B$1000)*1,ISNUMBER(SEARCH("DSL",[1]OUT_TransportEnergyCons!$C$3:$C$1000))*1,[1]OUT_TransportEnergyCons!F$3:F$1000)</f>
        <v>3.7976024822860104E-3</v>
      </c>
      <c r="I1418" s="1" cm="1">
        <f t="array" ref="I1418">SUMPRODUCT(("T_B_c-HYBDSL-S3"=[1]OUT_TransportEnergyCons!$A$3:$A$1000)*1,("Var_Fin"=[1]OUT_TransportEnergyCons!$B$3:$B$1000)*1,ISNUMBER(SEARCH("DSL",[1]OUT_TransportEnergyCons!$C$3:$C$1000))*1,[1]OUT_TransportEnergyCons!G$3:G$1000)</f>
        <v>0.13716236096582204</v>
      </c>
      <c r="J1418" s="1" cm="1">
        <f t="array" ref="J1418">SUMPRODUCT(("T_B_c-HYBDSL-S3"=[2]OUT_TransportEnergyCons!$A$3:$A$1000)*1,("Var_Fin"=[2]OUT_TransportEnergyCons!$B$3:$B$1000)*1,ISNUMBER(SEARCH("DSL",[2]OUT_TransportEnergyCons!$C$3:$C$1000))*1,[2]OUT_TransportEnergyCons!H$3:H$1000)</f>
        <v>0.12734989692860593</v>
      </c>
      <c r="K1418" s="1" cm="1">
        <f t="array" ref="K1418">SUMPRODUCT(("T_B_c-HYBDSL-S3"=[2]OUT_TransportEnergyCons!$A$3:$A$1000)*1,("Var_Fin"=[2]OUT_TransportEnergyCons!$B$3:$B$1000)*1,ISNUMBER(SEARCH("DSL",[2]OUT_TransportEnergyCons!$C$3:$C$1000))*1,[2]OUT_TransportEnergyCons!I$3:I$1000)</f>
        <v>0.11297758087461357</v>
      </c>
      <c r="L1418" s="1" cm="1">
        <f t="array" ref="L1418">SUMPRODUCT(("T_B_c-HYBDSL-S3"=[2]OUT_TransportEnergyCons!$A$3:$A$1000)*1,("Var_Fin"=[2]OUT_TransportEnergyCons!$B$3:$B$1000)*1,ISNUMBER(SEARCH("DSL",[2]OUT_TransportEnergyCons!$C$3:$C$1000))*1,[2]OUT_TransportEnergyCons!J$3:J$1000)</f>
        <v>4.6195365304911418E-2</v>
      </c>
      <c r="N1418" s="1"/>
    </row>
    <row r="1419" spans="2:14" x14ac:dyDescent="0.35">
      <c r="B1419" s="5" t="str">
        <f t="shared" si="1489"/>
        <v>SPS1</v>
      </c>
      <c r="C1419" s="5" t="str">
        <f t="shared" si="1490"/>
        <v>CH</v>
      </c>
      <c r="D1419" t="s">
        <v>1414</v>
      </c>
      <c r="E1419" t="s">
        <v>8</v>
      </c>
      <c r="F1419" s="1" cm="1">
        <f t="array" ref="F1419">SUMPRODUCT(("T_B_c-HYBDSL-S4"=[1]OUT_TransportEnergyCons!$A$3:$A$1000)*1,("Var_Fin"=[1]OUT_TransportEnergyCons!$B$3:$B$1000)*1,ISNUMBER(SEARCH("DSL",[1]OUT_TransportEnergyCons!$C$3:$C$1000))*1,[1]OUT_TransportEnergyCons!D$3:D$1000)</f>
        <v>0</v>
      </c>
      <c r="G1419" s="1" cm="1">
        <f t="array" ref="G1419">SUMPRODUCT(("T_B_c-HYBDSL-S4"=[1]OUT_TransportEnergyCons!$A$3:$A$1000)*1,("Var_Fin"=[1]OUT_TransportEnergyCons!$B$3:$B$1000)*1,ISNUMBER(SEARCH("DSL",[1]OUT_TransportEnergyCons!$C$3:$C$1000))*1,[1]OUT_TransportEnergyCons!E$3:E$1000)</f>
        <v>1.6464181171022282E-6</v>
      </c>
      <c r="H1419" s="1" cm="1">
        <f t="array" ref="H1419">SUMPRODUCT(("T_B_c-HYBDSL-S4"=[1]OUT_TransportEnergyCons!$A$3:$A$1000)*1,("Var_Fin"=[1]OUT_TransportEnergyCons!$B$3:$B$1000)*1,ISNUMBER(SEARCH("DSL",[1]OUT_TransportEnergyCons!$C$3:$C$1000))*1,[1]OUT_TransportEnergyCons!F$3:F$1000)</f>
        <v>4.1839956548336759E-6</v>
      </c>
      <c r="I1419" s="1" cm="1">
        <f t="array" ref="I1419">SUMPRODUCT(("T_B_c-HYBDSL-S4"=[1]OUT_TransportEnergyCons!$A$3:$A$1000)*1,("Var_Fin"=[1]OUT_TransportEnergyCons!$B$3:$B$1000)*1,ISNUMBER(SEARCH("DSL",[1]OUT_TransportEnergyCons!$C$3:$C$1000))*1,[1]OUT_TransportEnergyCons!G$3:G$1000)</f>
        <v>6.8610321132282097E-7</v>
      </c>
      <c r="J1419" s="1" cm="1">
        <f t="array" ref="J1419">SUMPRODUCT(("T_B_c-HYBDSL-S4"=[2]OUT_TransportEnergyCons!$A$3:$A$1000)*1,("Var_Fin"=[2]OUT_TransportEnergyCons!$B$3:$B$1000)*1,ISNUMBER(SEARCH("DSL",[2]OUT_TransportEnergyCons!$C$3:$C$1000))*1,[2]OUT_TransportEnergyCons!H$3:H$1000)</f>
        <v>5.2662369467404552E-5</v>
      </c>
      <c r="K1419" s="1" cm="1">
        <f t="array" ref="K1419">SUMPRODUCT(("T_B_c-HYBDSL-S4"=[2]OUT_TransportEnergyCons!$A$3:$A$1000)*1,("Var_Fin"=[2]OUT_TransportEnergyCons!$B$3:$B$1000)*1,ISNUMBER(SEARCH("DSL",[2]OUT_TransportEnergyCons!$C$3:$C$1000))*1,[2]OUT_TransportEnergyCons!I$3:I$1000)</f>
        <v>7.6015506358602654E-5</v>
      </c>
      <c r="L1419" s="1" cm="1">
        <f t="array" ref="L1419">SUMPRODUCT(("T_B_c-HYBDSL-S4"=[2]OUT_TransportEnergyCons!$A$3:$A$1000)*1,("Var_Fin"=[2]OUT_TransportEnergyCons!$B$3:$B$1000)*1,ISNUMBER(SEARCH("DSL",[2]OUT_TransportEnergyCons!$C$3:$C$1000))*1,[2]OUT_TransportEnergyCons!J$3:J$1000)</f>
        <v>1.2363297277293472E-5</v>
      </c>
      <c r="N1419" s="1"/>
    </row>
    <row r="1420" spans="2:14" x14ac:dyDescent="0.35">
      <c r="B1420" s="5" t="str">
        <f t="shared" si="1489"/>
        <v>SPS1</v>
      </c>
      <c r="C1420" s="5" t="str">
        <f t="shared" si="1490"/>
        <v>CH</v>
      </c>
      <c r="D1420" t="s">
        <v>2115</v>
      </c>
      <c r="E1420" t="s">
        <v>8</v>
      </c>
      <c r="F1420" s="1" cm="1">
        <f t="array" ref="F1420">SUMPRODUCT(("T_B_c-ICEDSLEXT"=[1]OUT_TransportEnergyCons!$A$3:$A$1000)*1,("Var_Fin"=[1]OUT_TransportEnergyCons!$B$3:$B$1000)*1,ISNUMBER(SEARCH("DSL",[1]OUT_TransportEnergyCons!$C$3:$C$1000))*1,[1]OUT_TransportEnergyCons!D$3:D$1000)</f>
        <v>6.0284054559699256E-3</v>
      </c>
      <c r="G1420" s="1" cm="1">
        <f t="array" ref="G1420">SUMPRODUCT(("T_B_c-ICEDSLEXT"=[1]OUT_TransportEnergyCons!$A$3:$A$1000)*1,("Var_Fin"=[1]OUT_TransportEnergyCons!$B$3:$B$1000)*1,ISNUMBER(SEARCH("DSL",[1]OUT_TransportEnergyCons!$C$3:$C$1000))*1,[1]OUT_TransportEnergyCons!E$3:E$1000)</f>
        <v>6.0132794579021058E-3</v>
      </c>
      <c r="H1420" s="1" cm="1">
        <f t="array" ref="H1420">SUMPRODUCT(("T_B_c-ICEDSLEXT"=[1]OUT_TransportEnergyCons!$A$3:$A$1000)*1,("Var_Fin"=[1]OUT_TransportEnergyCons!$B$3:$B$1000)*1,ISNUMBER(SEARCH("DSL",[1]OUT_TransportEnergyCons!$C$3:$C$1000))*1,[1]OUT_TransportEnergyCons!F$3:F$1000)</f>
        <v>5.9694863009311832E-3</v>
      </c>
      <c r="I1420" s="1" cm="1">
        <f t="array" ref="I1420">SUMPRODUCT(("T_B_c-ICEDSLEXT"=[1]OUT_TransportEnergyCons!$A$3:$A$1000)*1,("Var_Fin"=[1]OUT_TransportEnergyCons!$B$3:$B$1000)*1,ISNUMBER(SEARCH("DSL",[1]OUT_TransportEnergyCons!$C$3:$C$1000))*1,[1]OUT_TransportEnergyCons!G$3:G$1000)</f>
        <v>0</v>
      </c>
      <c r="J1420" s="1" cm="1">
        <f t="array" ref="J1420">SUMPRODUCT(("T_B_c-ICEDSLEXT"=[2]OUT_TransportEnergyCons!$A$3:$A$1000)*1,("Var_Fin"=[2]OUT_TransportEnergyCons!$B$3:$B$1000)*1,ISNUMBER(SEARCH("DSL",[2]OUT_TransportEnergyCons!$C$3:$C$1000))*1,[2]OUT_TransportEnergyCons!H$3:H$1000)</f>
        <v>0</v>
      </c>
      <c r="K1420" s="1" cm="1">
        <f t="array" ref="K1420">SUMPRODUCT(("T_B_c-ICEDSLEXT"=[2]OUT_TransportEnergyCons!$A$3:$A$1000)*1,("Var_Fin"=[2]OUT_TransportEnergyCons!$B$3:$B$1000)*1,ISNUMBER(SEARCH("DSL",[2]OUT_TransportEnergyCons!$C$3:$C$1000))*1,[2]OUT_TransportEnergyCons!I$3:I$1000)</f>
        <v>0</v>
      </c>
      <c r="L1420" s="1" cm="1">
        <f t="array" ref="L1420">SUMPRODUCT(("T_B_c-ICEDSLEXT"=[2]OUT_TransportEnergyCons!$A$3:$A$1000)*1,("Var_Fin"=[2]OUT_TransportEnergyCons!$B$3:$B$1000)*1,ISNUMBER(SEARCH("DSL",[2]OUT_TransportEnergyCons!$C$3:$C$1000))*1,[2]OUT_TransportEnergyCons!J$3:J$1000)</f>
        <v>0</v>
      </c>
      <c r="N1420" s="1"/>
    </row>
    <row r="1421" spans="2:14" x14ac:dyDescent="0.35">
      <c r="B1421" s="5" t="str">
        <f t="shared" si="1489"/>
        <v>SPS1</v>
      </c>
      <c r="C1421" s="5" t="str">
        <f t="shared" si="1490"/>
        <v>CH</v>
      </c>
      <c r="D1421" t="s">
        <v>1415</v>
      </c>
      <c r="E1421" t="s">
        <v>8</v>
      </c>
      <c r="F1421" s="1" cm="1">
        <f t="array" ref="F1421">SUMPRODUCT(("T_B_c-ICEDSL-S1"=[1]OUT_TransportEnergyCons!$A$3:$A$1000)*1,("Var_Fin"=[1]OUT_TransportEnergyCons!$B$3:$B$1000)*1,ISNUMBER(SEARCH("DSL",[1]OUT_TransportEnergyCons!$C$3:$C$1000))*1,[1]OUT_TransportEnergyCons!D$3:D$1000)</f>
        <v>0.11351927366804251</v>
      </c>
      <c r="G1421" s="1" cm="1">
        <f t="array" ref="G1421">SUMPRODUCT(("T_B_c-ICEDSL-S1"=[1]OUT_TransportEnergyCons!$A$3:$A$1000)*1,("Var_Fin"=[1]OUT_TransportEnergyCons!$B$3:$B$1000)*1,ISNUMBER(SEARCH("DSL",[1]OUT_TransportEnergyCons!$C$3:$C$1000))*1,[1]OUT_TransportEnergyCons!E$3:E$1000)</f>
        <v>0.30770355501881519</v>
      </c>
      <c r="H1421" s="1" cm="1">
        <f t="array" ref="H1421">SUMPRODUCT(("T_B_c-ICEDSL-S1"=[1]OUT_TransportEnergyCons!$A$3:$A$1000)*1,("Var_Fin"=[1]OUT_TransportEnergyCons!$B$3:$B$1000)*1,ISNUMBER(SEARCH("DSL",[1]OUT_TransportEnergyCons!$C$3:$C$1000))*1,[1]OUT_TransportEnergyCons!F$3:F$1000)</f>
        <v>0.37651715314243267</v>
      </c>
      <c r="I1421" s="1" cm="1">
        <f t="array" ref="I1421">SUMPRODUCT(("T_B_c-ICEDSL-S1"=[1]OUT_TransportEnergyCons!$A$3:$A$1000)*1,("Var_Fin"=[1]OUT_TransportEnergyCons!$B$3:$B$1000)*1,ISNUMBER(SEARCH("DSL",[1]OUT_TransportEnergyCons!$C$3:$C$1000))*1,[1]OUT_TransportEnergyCons!G$3:G$1000)</f>
        <v>0</v>
      </c>
      <c r="J1421" s="1" cm="1">
        <f t="array" ref="J1421">SUMPRODUCT(("T_B_c-ICEDSL-S1"=[2]OUT_TransportEnergyCons!$A$3:$A$1000)*1,("Var_Fin"=[2]OUT_TransportEnergyCons!$B$3:$B$1000)*1,ISNUMBER(SEARCH("DSL",[2]OUT_TransportEnergyCons!$C$3:$C$1000))*1,[2]OUT_TransportEnergyCons!H$3:H$1000)</f>
        <v>0</v>
      </c>
      <c r="K1421" s="1" cm="1">
        <f t="array" ref="K1421">SUMPRODUCT(("T_B_c-ICEDSL-S1"=[2]OUT_TransportEnergyCons!$A$3:$A$1000)*1,("Var_Fin"=[2]OUT_TransportEnergyCons!$B$3:$B$1000)*1,ISNUMBER(SEARCH("DSL",[2]OUT_TransportEnergyCons!$C$3:$C$1000))*1,[2]OUT_TransportEnergyCons!I$3:I$1000)</f>
        <v>0</v>
      </c>
      <c r="L1421" s="1" cm="1">
        <f t="array" ref="L1421">SUMPRODUCT(("T_B_c-ICEDSL-S1"=[2]OUT_TransportEnergyCons!$A$3:$A$1000)*1,("Var_Fin"=[2]OUT_TransportEnergyCons!$B$3:$B$1000)*1,ISNUMBER(SEARCH("DSL",[2]OUT_TransportEnergyCons!$C$3:$C$1000))*1,[2]OUT_TransportEnergyCons!J$3:J$1000)</f>
        <v>0</v>
      </c>
      <c r="N1421" s="1"/>
    </row>
    <row r="1422" spans="2:14" x14ac:dyDescent="0.35">
      <c r="B1422" s="5" t="str">
        <f t="shared" si="1489"/>
        <v>SPS1</v>
      </c>
      <c r="C1422" s="5" t="str">
        <f t="shared" si="1490"/>
        <v>CH</v>
      </c>
      <c r="D1422" t="s">
        <v>1416</v>
      </c>
      <c r="E1422" t="s">
        <v>8</v>
      </c>
      <c r="F1422" s="1" cm="1">
        <f t="array" ref="F1422">SUMPRODUCT(("T_B_c-ICEDSL-S2"=[1]OUT_TransportEnergyCons!$A$3:$A$1000)*1,("Var_Fin"=[1]OUT_TransportEnergyCons!$B$3:$B$1000)*1,ISNUMBER(SEARCH("DSL",[1]OUT_TransportEnergyCons!$C$3:$C$1000))*1,[1]OUT_TransportEnergyCons!D$3:D$1000)</f>
        <v>0.51966274584757577</v>
      </c>
      <c r="G1422" s="1" cm="1">
        <f t="array" ref="G1422">SUMPRODUCT(("T_B_c-ICEDSL-S2"=[1]OUT_TransportEnergyCons!$A$3:$A$1000)*1,("Var_Fin"=[1]OUT_TransportEnergyCons!$B$3:$B$1000)*1,ISNUMBER(SEARCH("DSL",[1]OUT_TransportEnergyCons!$C$3:$C$1000))*1,[1]OUT_TransportEnergyCons!E$3:E$1000)</f>
        <v>0.39448322727181573</v>
      </c>
      <c r="H1422" s="1" cm="1">
        <f t="array" ref="H1422">SUMPRODUCT(("T_B_c-ICEDSL-S2"=[1]OUT_TransportEnergyCons!$A$3:$A$1000)*1,("Var_Fin"=[1]OUT_TransportEnergyCons!$B$3:$B$1000)*1,ISNUMBER(SEARCH("DSL",[1]OUT_TransportEnergyCons!$C$3:$C$1000))*1,[1]OUT_TransportEnergyCons!F$3:F$1000)</f>
        <v>0.401055274110033</v>
      </c>
      <c r="I1422" s="1" cm="1">
        <f t="array" ref="I1422">SUMPRODUCT(("T_B_c-ICEDSL-S2"=[1]OUT_TransportEnergyCons!$A$3:$A$1000)*1,("Var_Fin"=[1]OUT_TransportEnergyCons!$B$3:$B$1000)*1,ISNUMBER(SEARCH("DSL",[1]OUT_TransportEnergyCons!$C$3:$C$1000))*1,[1]OUT_TransportEnergyCons!G$3:G$1000)</f>
        <v>0</v>
      </c>
      <c r="J1422" s="1" cm="1">
        <f t="array" ref="J1422">SUMPRODUCT(("T_B_c-ICEDSL-S2"=[2]OUT_TransportEnergyCons!$A$3:$A$1000)*1,("Var_Fin"=[2]OUT_TransportEnergyCons!$B$3:$B$1000)*1,ISNUMBER(SEARCH("DSL",[2]OUT_TransportEnergyCons!$C$3:$C$1000))*1,[2]OUT_TransportEnergyCons!H$3:H$1000)</f>
        <v>0</v>
      </c>
      <c r="K1422" s="1" cm="1">
        <f t="array" ref="K1422">SUMPRODUCT(("T_B_c-ICEDSL-S2"=[2]OUT_TransportEnergyCons!$A$3:$A$1000)*1,("Var_Fin"=[2]OUT_TransportEnergyCons!$B$3:$B$1000)*1,ISNUMBER(SEARCH("DSL",[2]OUT_TransportEnergyCons!$C$3:$C$1000))*1,[2]OUT_TransportEnergyCons!I$3:I$1000)</f>
        <v>0</v>
      </c>
      <c r="L1422" s="1" cm="1">
        <f t="array" ref="L1422">SUMPRODUCT(("T_B_c-ICEDSL-S2"=[2]OUT_TransportEnergyCons!$A$3:$A$1000)*1,("Var_Fin"=[2]OUT_TransportEnergyCons!$B$3:$B$1000)*1,ISNUMBER(SEARCH("DSL",[2]OUT_TransportEnergyCons!$C$3:$C$1000))*1,[2]OUT_TransportEnergyCons!J$3:J$1000)</f>
        <v>0</v>
      </c>
      <c r="N1422" s="1"/>
    </row>
    <row r="1423" spans="2:14" x14ac:dyDescent="0.35">
      <c r="B1423" s="5" t="str">
        <f t="shared" si="1489"/>
        <v>SPS1</v>
      </c>
      <c r="C1423" s="5" t="str">
        <f t="shared" si="1490"/>
        <v>CH</v>
      </c>
      <c r="D1423" t="s">
        <v>1417</v>
      </c>
      <c r="E1423" t="s">
        <v>8</v>
      </c>
      <c r="F1423" s="1" cm="1">
        <f t="array" ref="F1423">SUMPRODUCT(("T_B_c-ICEDSL-S3"=[1]OUT_TransportEnergyCons!$A$3:$A$1000)*1,("Var_Fin"=[1]OUT_TransportEnergyCons!$B$3:$B$1000)*1,ISNUMBER(SEARCH("DSL",[1]OUT_TransportEnergyCons!$C$3:$C$1000))*1,[1]OUT_TransportEnergyCons!D$3:D$1000)</f>
        <v>0.1542093149920131</v>
      </c>
      <c r="G1423" s="1" cm="1">
        <f t="array" ref="G1423">SUMPRODUCT(("T_B_c-ICEDSL-S3"=[1]OUT_TransportEnergyCons!$A$3:$A$1000)*1,("Var_Fin"=[1]OUT_TransportEnergyCons!$B$3:$B$1000)*1,ISNUMBER(SEARCH("DSL",[1]OUT_TransportEnergyCons!$C$3:$C$1000))*1,[1]OUT_TransportEnergyCons!E$3:E$1000)</f>
        <v>0.12680639603178218</v>
      </c>
      <c r="H1423" s="1" cm="1">
        <f t="array" ref="H1423">SUMPRODUCT(("T_B_c-ICEDSL-S3"=[1]OUT_TransportEnergyCons!$A$3:$A$1000)*1,("Var_Fin"=[1]OUT_TransportEnergyCons!$B$3:$B$1000)*1,ISNUMBER(SEARCH("DSL",[1]OUT_TransportEnergyCons!$C$3:$C$1000))*1,[1]OUT_TransportEnergyCons!F$3:F$1000)</f>
        <v>0.15192268146059132</v>
      </c>
      <c r="I1423" s="1" cm="1">
        <f t="array" ref="I1423">SUMPRODUCT(("T_B_c-ICEDSL-S3"=[1]OUT_TransportEnergyCons!$A$3:$A$1000)*1,("Var_Fin"=[1]OUT_TransportEnergyCons!$B$3:$B$1000)*1,ISNUMBER(SEARCH("DSL",[1]OUT_TransportEnergyCons!$C$3:$C$1000))*1,[1]OUT_TransportEnergyCons!G$3:G$1000)</f>
        <v>0</v>
      </c>
      <c r="J1423" s="1" cm="1">
        <f t="array" ref="J1423">SUMPRODUCT(("T_B_c-ICEDSL-S3"=[2]OUT_TransportEnergyCons!$A$3:$A$1000)*1,("Var_Fin"=[2]OUT_TransportEnergyCons!$B$3:$B$1000)*1,ISNUMBER(SEARCH("DSL",[2]OUT_TransportEnergyCons!$C$3:$C$1000))*1,[2]OUT_TransportEnergyCons!H$3:H$1000)</f>
        <v>0</v>
      </c>
      <c r="K1423" s="1" cm="1">
        <f t="array" ref="K1423">SUMPRODUCT(("T_B_c-ICEDSL-S3"=[2]OUT_TransportEnergyCons!$A$3:$A$1000)*1,("Var_Fin"=[2]OUT_TransportEnergyCons!$B$3:$B$1000)*1,ISNUMBER(SEARCH("DSL",[2]OUT_TransportEnergyCons!$C$3:$C$1000))*1,[2]OUT_TransportEnergyCons!I$3:I$1000)</f>
        <v>0</v>
      </c>
      <c r="L1423" s="1" cm="1">
        <f t="array" ref="L1423">SUMPRODUCT(("T_B_c-ICEDSL-S3"=[2]OUT_TransportEnergyCons!$A$3:$A$1000)*1,("Var_Fin"=[2]OUT_TransportEnergyCons!$B$3:$B$1000)*1,ISNUMBER(SEARCH("DSL",[2]OUT_TransportEnergyCons!$C$3:$C$1000))*1,[2]OUT_TransportEnergyCons!J$3:J$1000)</f>
        <v>0</v>
      </c>
      <c r="N1423" s="1"/>
    </row>
    <row r="1424" spans="2:14" x14ac:dyDescent="0.35">
      <c r="B1424" s="5" t="str">
        <f t="shared" si="1489"/>
        <v>SPS1</v>
      </c>
      <c r="C1424" s="5" t="str">
        <f t="shared" si="1490"/>
        <v>CH</v>
      </c>
      <c r="D1424" t="s">
        <v>1418</v>
      </c>
      <c r="E1424" t="s">
        <v>8</v>
      </c>
      <c r="F1424" s="1" cm="1">
        <f t="array" ref="F1424">SUMPRODUCT(("T_B_c-ICEDSL-S4"=[1]OUT_TransportEnergyCons!$A$3:$A$1000)*1,("Var_Fin"=[1]OUT_TransportEnergyCons!$B$3:$B$1000)*1,ISNUMBER(SEARCH("DSL",[1]OUT_TransportEnergyCons!$C$3:$C$1000))*1,[1]OUT_TransportEnergyCons!D$3:D$1000)</f>
        <v>1.2539880167804156E-2</v>
      </c>
      <c r="G1424" s="1" cm="1">
        <f t="array" ref="G1424">SUMPRODUCT(("T_B_c-ICEDSL-S4"=[1]OUT_TransportEnergyCons!$A$3:$A$1000)*1,("Var_Fin"=[1]OUT_TransportEnergyCons!$B$3:$B$1000)*1,ISNUMBER(SEARCH("DSL",[1]OUT_TransportEnergyCons!$C$3:$C$1000))*1,[1]OUT_TransportEnergyCons!E$3:E$1000)</f>
        <v>0</v>
      </c>
      <c r="H1424" s="1" cm="1">
        <f t="array" ref="H1424">SUMPRODUCT(("T_B_c-ICEDSL-S4"=[1]OUT_TransportEnergyCons!$A$3:$A$1000)*1,("Var_Fin"=[1]OUT_TransportEnergyCons!$B$3:$B$1000)*1,ISNUMBER(SEARCH("DSL",[1]OUT_TransportEnergyCons!$C$3:$C$1000))*1,[1]OUT_TransportEnergyCons!F$3:F$1000)</f>
        <v>1.727529592541557E-5</v>
      </c>
      <c r="I1424" s="1" cm="1">
        <f t="array" ref="I1424">SUMPRODUCT(("T_B_c-ICEDSL-S4"=[1]OUT_TransportEnergyCons!$A$3:$A$1000)*1,("Var_Fin"=[1]OUT_TransportEnergyCons!$B$3:$B$1000)*1,ISNUMBER(SEARCH("DSL",[1]OUT_TransportEnergyCons!$C$3:$C$1000))*1,[1]OUT_TransportEnergyCons!G$3:G$1000)</f>
        <v>0</v>
      </c>
      <c r="J1424" s="1" cm="1">
        <f t="array" ref="J1424">SUMPRODUCT(("T_B_c-ICEDSL-S4"=[2]OUT_TransportEnergyCons!$A$3:$A$1000)*1,("Var_Fin"=[2]OUT_TransportEnergyCons!$B$3:$B$1000)*1,ISNUMBER(SEARCH("DSL",[2]OUT_TransportEnergyCons!$C$3:$C$1000))*1,[2]OUT_TransportEnergyCons!H$3:H$1000)</f>
        <v>0</v>
      </c>
      <c r="K1424" s="1" cm="1">
        <f t="array" ref="K1424">SUMPRODUCT(("T_B_c-ICEDSL-S4"=[2]OUT_TransportEnergyCons!$A$3:$A$1000)*1,("Var_Fin"=[2]OUT_TransportEnergyCons!$B$3:$B$1000)*1,ISNUMBER(SEARCH("DSL",[2]OUT_TransportEnergyCons!$C$3:$C$1000))*1,[2]OUT_TransportEnergyCons!I$3:I$1000)</f>
        <v>0</v>
      </c>
      <c r="L1424" s="1" cm="1">
        <f t="array" ref="L1424">SUMPRODUCT(("T_B_c-ICEDSL-S4"=[2]OUT_TransportEnergyCons!$A$3:$A$1000)*1,("Var_Fin"=[2]OUT_TransportEnergyCons!$B$3:$B$1000)*1,ISNUMBER(SEARCH("DSL",[2]OUT_TransportEnergyCons!$C$3:$C$1000))*1,[2]OUT_TransportEnergyCons!J$3:J$1000)</f>
        <v>0</v>
      </c>
      <c r="N1424" s="1"/>
    </row>
    <row r="1425" spans="2:14" x14ac:dyDescent="0.35">
      <c r="B1425" s="5" t="str">
        <f t="shared" si="1489"/>
        <v>SPS1</v>
      </c>
      <c r="C1425" s="5" t="str">
        <f t="shared" si="1490"/>
        <v>CH</v>
      </c>
      <c r="D1425" t="s">
        <v>1419</v>
      </c>
      <c r="E1425" t="s">
        <v>8</v>
      </c>
      <c r="F1425" s="1">
        <f>SUM(F1430:F1434)</f>
        <v>1.3808429754510126E-4</v>
      </c>
      <c r="G1425" s="1">
        <f t="shared" ref="G1425" si="1504">SUM(G1430:G1434)</f>
        <v>2.2676131153601754E-4</v>
      </c>
      <c r="H1425" s="1">
        <f t="shared" ref="H1425" si="1505">SUM(H1430:H1434)</f>
        <v>6.585553500901793E-4</v>
      </c>
      <c r="I1425" s="1">
        <f t="shared" ref="I1425" si="1506">SUM(I1430:I1434)</f>
        <v>0</v>
      </c>
      <c r="J1425" s="1">
        <f t="shared" ref="J1425" si="1507">SUM(J1430:J1434)</f>
        <v>0</v>
      </c>
      <c r="K1425" s="1">
        <f t="shared" ref="K1425:L1425" si="1508">SUM(K1430:K1434)</f>
        <v>0</v>
      </c>
      <c r="L1425" s="1">
        <f t="shared" si="1508"/>
        <v>0</v>
      </c>
      <c r="N1425" s="1"/>
    </row>
    <row r="1426" spans="2:14" x14ac:dyDescent="0.35">
      <c r="B1426" s="5" t="str">
        <f t="shared" si="1489"/>
        <v>SPS1</v>
      </c>
      <c r="C1426" s="5" t="str">
        <f t="shared" si="1490"/>
        <v>CH</v>
      </c>
      <c r="D1426" t="s">
        <v>1420</v>
      </c>
      <c r="E1426" t="s">
        <v>8</v>
      </c>
      <c r="F1426" s="1">
        <f>IF(F1425-F1427&lt;0,0,F1425-F1427)</f>
        <v>1.2775046080771785E-4</v>
      </c>
      <c r="G1426" s="1">
        <f t="shared" ref="G1426:L1426" si="1509">IF(G1425-G1427&lt;0,0,G1425-G1427)</f>
        <v>2.0450018388482104E-4</v>
      </c>
      <c r="H1426" s="1">
        <f t="shared" si="1509"/>
        <v>5.9811490956057623E-4</v>
      </c>
      <c r="I1426" s="1">
        <f t="shared" si="1509"/>
        <v>0</v>
      </c>
      <c r="J1426" s="1">
        <f t="shared" si="1509"/>
        <v>0</v>
      </c>
      <c r="K1426" s="1">
        <f t="shared" si="1509"/>
        <v>0</v>
      </c>
      <c r="L1426" s="1">
        <f t="shared" si="1509"/>
        <v>0</v>
      </c>
      <c r="N1426" s="1"/>
    </row>
    <row r="1427" spans="2:14" x14ac:dyDescent="0.35">
      <c r="B1427" s="5" t="str">
        <f t="shared" si="1489"/>
        <v>SPS1</v>
      </c>
      <c r="C1427" s="5" t="str">
        <f t="shared" si="1490"/>
        <v>CH</v>
      </c>
      <c r="D1427" t="s">
        <v>1421</v>
      </c>
      <c r="E1427" t="s">
        <v>8</v>
      </c>
      <c r="F1427" s="1">
        <f>SUM(F1428:F1429)</f>
        <v>1.0333836737383408E-5</v>
      </c>
      <c r="G1427" s="1">
        <f t="shared" ref="G1427" si="1510">SUM(G1428:G1429)</f>
        <v>2.2261127651196511E-5</v>
      </c>
      <c r="H1427" s="1">
        <f t="shared" ref="H1427" si="1511">SUM(H1428:H1429)</f>
        <v>6.0440440529603116E-5</v>
      </c>
      <c r="I1427" s="1">
        <f t="shared" ref="I1427" si="1512">SUM(I1428:I1429)</f>
        <v>0</v>
      </c>
      <c r="J1427" s="1">
        <f t="shared" ref="J1427" si="1513">SUM(J1428:J1429)</f>
        <v>0</v>
      </c>
      <c r="K1427" s="1">
        <f t="shared" ref="K1427:L1427" si="1514">SUM(K1428:K1429)</f>
        <v>0</v>
      </c>
      <c r="L1427" s="1">
        <f t="shared" si="1514"/>
        <v>0</v>
      </c>
      <c r="N1427" s="1"/>
    </row>
    <row r="1428" spans="2:14" x14ac:dyDescent="0.35">
      <c r="B1428" s="5" t="str">
        <f t="shared" si="1489"/>
        <v>SPS1</v>
      </c>
      <c r="C1428" s="5" t="str">
        <f t="shared" si="1490"/>
        <v>CH</v>
      </c>
      <c r="D1428" t="s">
        <v>1422</v>
      </c>
      <c r="E1428" t="s">
        <v>8</v>
      </c>
      <c r="F1428" s="1">
        <f>[1]Transport!B$27/SUM([1]Transport!B$24,[1]Transport!B$27)*F1425*(F$47+F$614)/(F$47+F$614+F$49)</f>
        <v>1.0333836737383408E-5</v>
      </c>
      <c r="G1428" s="1">
        <f>[1]Transport!C$27/SUM([1]Transport!C$24,[1]Transport!C$27)*G1425*(G$47+G$614)/(G$47+G$614+G$49)</f>
        <v>2.2261127651196511E-5</v>
      </c>
      <c r="H1428" s="1">
        <f>[1]Transport!D$27/SUM([1]Transport!D$24,[1]Transport!D$27)*H1425*(H$47+H$614)/(H$47+H$614+H$49)</f>
        <v>6.0440440529603116E-5</v>
      </c>
      <c r="I1428" s="1">
        <f>[1]Transport!E$27/SUM([1]Transport!E$24,[1]Transport!E$27)*I1425*(I$47+I$614)/(I$47+I$614+I$49)</f>
        <v>0</v>
      </c>
      <c r="J1428" s="1">
        <f>[2]Transport!F$27/SUM([2]Transport!F$24,[2]Transport!F$27)*J1425*(J$47+J$614)/(J$47+J$614+J$49)</f>
        <v>0</v>
      </c>
      <c r="K1428" s="1">
        <f>[2]Transport!G$27/SUM([2]Transport!G$24,[2]Transport!G$27)*K1425*(K$47+K$614)/(K$47+K$614+K$49)</f>
        <v>0</v>
      </c>
      <c r="L1428" s="1">
        <f>[2]Transport!H$27/SUM([2]Transport!H$24,[2]Transport!H$27)*L1425*(L$47+L$614)/(L$47+L$614+L$49)</f>
        <v>0</v>
      </c>
      <c r="N1428" s="1"/>
    </row>
    <row r="1429" spans="2:14" x14ac:dyDescent="0.35">
      <c r="B1429" s="5" t="str">
        <f t="shared" si="1489"/>
        <v>SPS1</v>
      </c>
      <c r="C1429" s="5" t="str">
        <f t="shared" si="1490"/>
        <v>CH</v>
      </c>
      <c r="D1429" t="s">
        <v>1423</v>
      </c>
      <c r="E1429" t="s">
        <v>8</v>
      </c>
      <c r="F1429" s="1">
        <f>(F$49+F$716)/([1]Transport!B$24+[1]Transport!B$27)*F1425</f>
        <v>0</v>
      </c>
      <c r="G1429" s="1">
        <f>(G$49+G$716)/([1]Transport!C$24+[1]Transport!C$27)*G1425</f>
        <v>0</v>
      </c>
      <c r="H1429" s="1">
        <f>(H$49+H$716)/([1]Transport!D$24+[1]Transport!D$27)*H1425</f>
        <v>0</v>
      </c>
      <c r="I1429" s="1">
        <f>(I$49+I$716)/([1]Transport!E$24+[1]Transport!E$27)*I1425</f>
        <v>0</v>
      </c>
      <c r="J1429" s="1">
        <f>(J$49+J$716)/([2]Transport!F$24+[2]Transport!F$27)*J1425</f>
        <v>0</v>
      </c>
      <c r="K1429" s="1">
        <f>(K$49+K$716)/([2]Transport!G$24+[2]Transport!G$27)*K1425</f>
        <v>0</v>
      </c>
      <c r="L1429" s="1">
        <f>(L$49+L$716)/([2]Transport!H$24+[2]Transport!H$27)*L1425</f>
        <v>0</v>
      </c>
      <c r="N1429" s="1"/>
    </row>
    <row r="1430" spans="2:14" x14ac:dyDescent="0.35">
      <c r="B1430" s="5" t="str">
        <f t="shared" si="1489"/>
        <v>SPS1</v>
      </c>
      <c r="C1430" s="5" t="str">
        <f t="shared" si="1490"/>
        <v>CH</v>
      </c>
      <c r="D1430" t="s">
        <v>2118</v>
      </c>
      <c r="E1430" t="s">
        <v>8</v>
      </c>
      <c r="F1430" s="1" cm="1">
        <f t="array" ref="F1430">SUMPRODUCT(("T_B_c-ICEngaEXT"=[1]OUT_TransportEnergyCons!$A$3:$A$1000)*1,("Var_Fin"=[1]OUT_TransportEnergyCons!$B$3:$B$1000)*1,ISNUMBER(SEARCH("nga",[1]OUT_TransportEnergyCons!$C$3:$C$1000))*1,[1]OUT_TransportEnergyCons!D$3:D$1000)</f>
        <v>1.3808429754510126E-4</v>
      </c>
      <c r="G1430" s="1" cm="1">
        <f t="array" ref="G1430">SUMPRODUCT(("T_B_c-ICEngaEXT"=[1]OUT_TransportEnergyCons!$A$3:$A$1000)*1,("Var_Fin"=[1]OUT_TransportEnergyCons!$B$3:$B$1000)*1,ISNUMBER(SEARCH("nga",[1]OUT_TransportEnergyCons!$C$3:$C$1000))*1,[1]OUT_TransportEnergyCons!E$3:E$1000)</f>
        <v>1.3756229190803917E-4</v>
      </c>
      <c r="H1430" s="1" cm="1">
        <f t="array" ref="H1430">SUMPRODUCT(("T_B_c-ICEngaEXT"=[1]OUT_TransportEnergyCons!$A$3:$A$1000)*1,("Var_Fin"=[1]OUT_TransportEnergyCons!$B$3:$B$1000)*1,ISNUMBER(SEARCH("nga",[1]OUT_TransportEnergyCons!$C$3:$C$1000))*1,[1]OUT_TransportEnergyCons!F$3:F$1000)</f>
        <v>1.3656497470851268E-4</v>
      </c>
      <c r="I1430" s="1" cm="1">
        <f t="array" ref="I1430">SUMPRODUCT(("T_B_c-ICEngaEXT"=[1]OUT_TransportEnergyCons!$A$3:$A$1000)*1,("Var_Fin"=[1]OUT_TransportEnergyCons!$B$3:$B$1000)*1,ISNUMBER(SEARCH("nga",[1]OUT_TransportEnergyCons!$C$3:$C$1000))*1,[1]OUT_TransportEnergyCons!G$3:G$1000)</f>
        <v>0</v>
      </c>
      <c r="J1430" s="1" cm="1">
        <f t="array" ref="J1430">SUMPRODUCT(("T_B_c-ICEngaEXT"=[2]OUT_TransportEnergyCons!$A$3:$A$1000)*1,("Var_Fin"=[2]OUT_TransportEnergyCons!$B$3:$B$1000)*1,ISNUMBER(SEARCH("nga",[2]OUT_TransportEnergyCons!$C$3:$C$1000))*1,[2]OUT_TransportEnergyCons!H$3:H$1000)</f>
        <v>0</v>
      </c>
      <c r="K1430" s="1" cm="1">
        <f t="array" ref="K1430">SUMPRODUCT(("T_B_c-ICEngaEXT"=[2]OUT_TransportEnergyCons!$A$3:$A$1000)*1,("Var_Fin"=[2]OUT_TransportEnergyCons!$B$3:$B$1000)*1,ISNUMBER(SEARCH("nga",[2]OUT_TransportEnergyCons!$C$3:$C$1000))*1,[2]OUT_TransportEnergyCons!I$3:I$1000)</f>
        <v>0</v>
      </c>
      <c r="L1430" s="1" cm="1">
        <f t="array" ref="L1430">SUMPRODUCT(("T_B_c-ICEngaEXT"=[2]OUT_TransportEnergyCons!$A$3:$A$1000)*1,("Var_Fin"=[2]OUT_TransportEnergyCons!$B$3:$B$1000)*1,ISNUMBER(SEARCH("nga",[2]OUT_TransportEnergyCons!$C$3:$C$1000))*1,[2]OUT_TransportEnergyCons!J$3:J$1000)</f>
        <v>0</v>
      </c>
      <c r="N1430" s="1"/>
    </row>
    <row r="1431" spans="2:14" x14ac:dyDescent="0.35">
      <c r="B1431" s="5" t="str">
        <f t="shared" si="1489"/>
        <v>SPS1</v>
      </c>
      <c r="C1431" s="5" t="str">
        <f t="shared" si="1490"/>
        <v>CH</v>
      </c>
      <c r="D1431" t="s">
        <v>1424</v>
      </c>
      <c r="E1431" t="s">
        <v>8</v>
      </c>
      <c r="F1431" s="1" cm="1">
        <f t="array" ref="F1431">SUMPRODUCT(("T_B_c-ICEnga-S1"=[1]OUT_TransportEnergyCons!$A$3:$A$1000)*1,("Var_Fin"=[1]OUT_TransportEnergyCons!$B$3:$B$1000)*1,ISNUMBER(SEARCH("nga",[1]OUT_TransportEnergyCons!$C$3:$C$1000))*1,[1]OUT_TransportEnergyCons!D$3:D$1000)</f>
        <v>0</v>
      </c>
      <c r="G1431" s="1" cm="1">
        <f t="array" ref="G1431">SUMPRODUCT(("T_B_c-ICEnga-S1"=[1]OUT_TransportEnergyCons!$A$3:$A$1000)*1,("Var_Fin"=[1]OUT_TransportEnergyCons!$B$3:$B$1000)*1,ISNUMBER(SEARCH("nga",[1]OUT_TransportEnergyCons!$C$3:$C$1000))*1,[1]OUT_TransportEnergyCons!E$3:E$1000)</f>
        <v>4.9961597969117362E-5</v>
      </c>
      <c r="H1431" s="1" cm="1">
        <f t="array" ref="H1431">SUMPRODUCT(("T_B_c-ICEnga-S1"=[1]OUT_TransportEnergyCons!$A$3:$A$1000)*1,("Var_Fin"=[1]OUT_TransportEnergyCons!$B$3:$B$1000)*1,ISNUMBER(SEARCH("nga",[1]OUT_TransportEnergyCons!$C$3:$C$1000))*1,[1]OUT_TransportEnergyCons!F$3:F$1000)</f>
        <v>2.3819934200076449E-4</v>
      </c>
      <c r="I1431" s="1" cm="1">
        <f t="array" ref="I1431">SUMPRODUCT(("T_B_c-ICEnga-S1"=[1]OUT_TransportEnergyCons!$A$3:$A$1000)*1,("Var_Fin"=[1]OUT_TransportEnergyCons!$B$3:$B$1000)*1,ISNUMBER(SEARCH("nga",[1]OUT_TransportEnergyCons!$C$3:$C$1000))*1,[1]OUT_TransportEnergyCons!G$3:G$1000)</f>
        <v>0</v>
      </c>
      <c r="J1431" s="1" cm="1">
        <f t="array" ref="J1431">SUMPRODUCT(("T_B_c-ICEnga-S1"=[2]OUT_TransportEnergyCons!$A$3:$A$1000)*1,("Var_Fin"=[2]OUT_TransportEnergyCons!$B$3:$B$1000)*1,ISNUMBER(SEARCH("nga",[2]OUT_TransportEnergyCons!$C$3:$C$1000))*1,[2]OUT_TransportEnergyCons!H$3:H$1000)</f>
        <v>0</v>
      </c>
      <c r="K1431" s="1" cm="1">
        <f t="array" ref="K1431">SUMPRODUCT(("T_B_c-ICEnga-S1"=[2]OUT_TransportEnergyCons!$A$3:$A$1000)*1,("Var_Fin"=[2]OUT_TransportEnergyCons!$B$3:$B$1000)*1,ISNUMBER(SEARCH("nga",[2]OUT_TransportEnergyCons!$C$3:$C$1000))*1,[2]OUT_TransportEnergyCons!I$3:I$1000)</f>
        <v>0</v>
      </c>
      <c r="L1431" s="1" cm="1">
        <f t="array" ref="L1431">SUMPRODUCT(("T_B_c-ICEnga-S1"=[2]OUT_TransportEnergyCons!$A$3:$A$1000)*1,("Var_Fin"=[2]OUT_TransportEnergyCons!$B$3:$B$1000)*1,ISNUMBER(SEARCH("nga",[2]OUT_TransportEnergyCons!$C$3:$C$1000))*1,[2]OUT_TransportEnergyCons!J$3:J$1000)</f>
        <v>0</v>
      </c>
      <c r="N1431" s="1"/>
    </row>
    <row r="1432" spans="2:14" x14ac:dyDescent="0.35">
      <c r="B1432" s="5" t="str">
        <f t="shared" si="1489"/>
        <v>SPS1</v>
      </c>
      <c r="C1432" s="5" t="str">
        <f t="shared" si="1490"/>
        <v>CH</v>
      </c>
      <c r="D1432" t="s">
        <v>1425</v>
      </c>
      <c r="E1432" t="s">
        <v>8</v>
      </c>
      <c r="F1432" s="1" cm="1">
        <f t="array" ref="F1432">SUMPRODUCT(("T_B_c-ICEnga-S2"=[1]OUT_TransportEnergyCons!$A$3:$A$1000)*1,("Var_Fin"=[1]OUT_TransportEnergyCons!$B$3:$B$1000)*1,ISNUMBER(SEARCH("nga",[1]OUT_TransportEnergyCons!$C$3:$C$1000))*1,[1]OUT_TransportEnergyCons!D$3:D$1000)</f>
        <v>0</v>
      </c>
      <c r="G1432" s="1" cm="1">
        <f t="array" ref="G1432">SUMPRODUCT(("T_B_c-ICEnga-S2"=[1]OUT_TransportEnergyCons!$A$3:$A$1000)*1,("Var_Fin"=[1]OUT_TransportEnergyCons!$B$3:$B$1000)*1,ISNUMBER(SEARCH("nga",[1]OUT_TransportEnergyCons!$C$3:$C$1000))*1,[1]OUT_TransportEnergyCons!E$3:E$1000)</f>
        <v>2.3221869559247504E-5</v>
      </c>
      <c r="H1432" s="1" cm="1">
        <f t="array" ref="H1432">SUMPRODUCT(("T_B_c-ICEnga-S2"=[1]OUT_TransportEnergyCons!$A$3:$A$1000)*1,("Var_Fin"=[1]OUT_TransportEnergyCons!$B$3:$B$1000)*1,ISNUMBER(SEARCH("nga",[1]OUT_TransportEnergyCons!$C$3:$C$1000))*1,[1]OUT_TransportEnergyCons!F$3:F$1000)</f>
        <v>1.727130671118581E-4</v>
      </c>
      <c r="I1432" s="1" cm="1">
        <f t="array" ref="I1432">SUMPRODUCT(("T_B_c-ICEnga-S2"=[1]OUT_TransportEnergyCons!$A$3:$A$1000)*1,("Var_Fin"=[1]OUT_TransportEnergyCons!$B$3:$B$1000)*1,ISNUMBER(SEARCH("nga",[1]OUT_TransportEnergyCons!$C$3:$C$1000))*1,[1]OUT_TransportEnergyCons!G$3:G$1000)</f>
        <v>0</v>
      </c>
      <c r="J1432" s="1" cm="1">
        <f t="array" ref="J1432">SUMPRODUCT(("T_B_c-ICEnga-S2"=[2]OUT_TransportEnergyCons!$A$3:$A$1000)*1,("Var_Fin"=[2]OUT_TransportEnergyCons!$B$3:$B$1000)*1,ISNUMBER(SEARCH("nga",[2]OUT_TransportEnergyCons!$C$3:$C$1000))*1,[2]OUT_TransportEnergyCons!H$3:H$1000)</f>
        <v>0</v>
      </c>
      <c r="K1432" s="1" cm="1">
        <f t="array" ref="K1432">SUMPRODUCT(("T_B_c-ICEnga-S2"=[2]OUT_TransportEnergyCons!$A$3:$A$1000)*1,("Var_Fin"=[2]OUT_TransportEnergyCons!$B$3:$B$1000)*1,ISNUMBER(SEARCH("nga",[2]OUT_TransportEnergyCons!$C$3:$C$1000))*1,[2]OUT_TransportEnergyCons!I$3:I$1000)</f>
        <v>0</v>
      </c>
      <c r="L1432" s="1" cm="1">
        <f t="array" ref="L1432">SUMPRODUCT(("T_B_c-ICEnga-S2"=[2]OUT_TransportEnergyCons!$A$3:$A$1000)*1,("Var_Fin"=[2]OUT_TransportEnergyCons!$B$3:$B$1000)*1,ISNUMBER(SEARCH("nga",[2]OUT_TransportEnergyCons!$C$3:$C$1000))*1,[2]OUT_TransportEnergyCons!J$3:J$1000)</f>
        <v>0</v>
      </c>
      <c r="N1432" s="1"/>
    </row>
    <row r="1433" spans="2:14" x14ac:dyDescent="0.35">
      <c r="B1433" s="5" t="str">
        <f t="shared" si="1489"/>
        <v>SPS1</v>
      </c>
      <c r="C1433" s="5" t="str">
        <f t="shared" si="1490"/>
        <v>CH</v>
      </c>
      <c r="D1433" t="s">
        <v>1426</v>
      </c>
      <c r="E1433" t="s">
        <v>8</v>
      </c>
      <c r="F1433" s="1" cm="1">
        <f t="array" ref="F1433">SUMPRODUCT(("T_B_c-ICEnga-S3"=[1]OUT_TransportEnergyCons!$A$3:$A$1000)*1,("Var_Fin"=[1]OUT_TransportEnergyCons!$B$3:$B$1000)*1,ISNUMBER(SEARCH("nga",[1]OUT_TransportEnergyCons!$C$3:$C$1000))*1,[1]OUT_TransportEnergyCons!D$3:D$1000)</f>
        <v>0</v>
      </c>
      <c r="G1433" s="1" cm="1">
        <f t="array" ref="G1433">SUMPRODUCT(("T_B_c-ICEnga-S3"=[1]OUT_TransportEnergyCons!$A$3:$A$1000)*1,("Var_Fin"=[1]OUT_TransportEnergyCons!$B$3:$B$1000)*1,ISNUMBER(SEARCH("nga",[1]OUT_TransportEnergyCons!$C$3:$C$1000))*1,[1]OUT_TransportEnergyCons!E$3:E$1000)</f>
        <v>1.6015552099613519E-5</v>
      </c>
      <c r="H1433" s="1" cm="1">
        <f t="array" ref="H1433">SUMPRODUCT(("T_B_c-ICEnga-S3"=[1]OUT_TransportEnergyCons!$A$3:$A$1000)*1,("Var_Fin"=[1]OUT_TransportEnergyCons!$B$3:$B$1000)*1,ISNUMBER(SEARCH("nga",[1]OUT_TransportEnergyCons!$C$3:$C$1000))*1,[1]OUT_TransportEnergyCons!F$3:F$1000)</f>
        <v>1.1107796626904402E-4</v>
      </c>
      <c r="I1433" s="1" cm="1">
        <f t="array" ref="I1433">SUMPRODUCT(("T_B_c-ICEnga-S3"=[1]OUT_TransportEnergyCons!$A$3:$A$1000)*1,("Var_Fin"=[1]OUT_TransportEnergyCons!$B$3:$B$1000)*1,ISNUMBER(SEARCH("nga",[1]OUT_TransportEnergyCons!$C$3:$C$1000))*1,[1]OUT_TransportEnergyCons!G$3:G$1000)</f>
        <v>0</v>
      </c>
      <c r="J1433" s="1" cm="1">
        <f t="array" ref="J1433">SUMPRODUCT(("T_B_c-ICEnga-S3"=[2]OUT_TransportEnergyCons!$A$3:$A$1000)*1,("Var_Fin"=[2]OUT_TransportEnergyCons!$B$3:$B$1000)*1,ISNUMBER(SEARCH("nga",[2]OUT_TransportEnergyCons!$C$3:$C$1000))*1,[2]OUT_TransportEnergyCons!H$3:H$1000)</f>
        <v>0</v>
      </c>
      <c r="K1433" s="1" cm="1">
        <f t="array" ref="K1433">SUMPRODUCT(("T_B_c-ICEnga-S3"=[2]OUT_TransportEnergyCons!$A$3:$A$1000)*1,("Var_Fin"=[2]OUT_TransportEnergyCons!$B$3:$B$1000)*1,ISNUMBER(SEARCH("nga",[2]OUT_TransportEnergyCons!$C$3:$C$1000))*1,[2]OUT_TransportEnergyCons!I$3:I$1000)</f>
        <v>0</v>
      </c>
      <c r="L1433" s="1" cm="1">
        <f t="array" ref="L1433">SUMPRODUCT(("T_B_c-ICEnga-S3"=[2]OUT_TransportEnergyCons!$A$3:$A$1000)*1,("Var_Fin"=[2]OUT_TransportEnergyCons!$B$3:$B$1000)*1,ISNUMBER(SEARCH("nga",[2]OUT_TransportEnergyCons!$C$3:$C$1000))*1,[2]OUT_TransportEnergyCons!J$3:J$1000)</f>
        <v>0</v>
      </c>
      <c r="N1433" s="1"/>
    </row>
    <row r="1434" spans="2:14" x14ac:dyDescent="0.35">
      <c r="B1434" s="5" t="str">
        <f t="shared" si="1489"/>
        <v>SPS1</v>
      </c>
      <c r="C1434" s="5" t="str">
        <f t="shared" si="1490"/>
        <v>CH</v>
      </c>
      <c r="D1434" t="s">
        <v>1427</v>
      </c>
      <c r="E1434" t="s">
        <v>8</v>
      </c>
      <c r="F1434" s="1" cm="1">
        <f t="array" ref="F1434">SUMPRODUCT(("T_B_c-ICEnga-S4"=[1]OUT_TransportEnergyCons!$A$3:$A$1000)*1,("Var_Fin"=[1]OUT_TransportEnergyCons!$B$3:$B$1000)*1,ISNUMBER(SEARCH("nga",[1]OUT_TransportEnergyCons!$C$3:$C$1000))*1,[1]OUT_TransportEnergyCons!D$3:D$1000)</f>
        <v>0</v>
      </c>
      <c r="G1434" s="1" cm="1">
        <f t="array" ref="G1434">SUMPRODUCT(("T_B_c-ICEnga-S4"=[1]OUT_TransportEnergyCons!$A$3:$A$1000)*1,("Var_Fin"=[1]OUT_TransportEnergyCons!$B$3:$B$1000)*1,ISNUMBER(SEARCH("nga",[1]OUT_TransportEnergyCons!$C$3:$C$1000))*1,[1]OUT_TransportEnergyCons!E$3:E$1000)</f>
        <v>0</v>
      </c>
      <c r="H1434" s="1" cm="1">
        <f t="array" ref="H1434">SUMPRODUCT(("T_B_c-ICEnga-S4"=[1]OUT_TransportEnergyCons!$A$3:$A$1000)*1,("Var_Fin"=[1]OUT_TransportEnergyCons!$B$3:$B$1000)*1,ISNUMBER(SEARCH("nga",[1]OUT_TransportEnergyCons!$C$3:$C$1000))*1,[1]OUT_TransportEnergyCons!F$3:F$1000)</f>
        <v>0</v>
      </c>
      <c r="I1434" s="1" cm="1">
        <f t="array" ref="I1434">SUMPRODUCT(("T_B_c-ICEnga-S4"=[1]OUT_TransportEnergyCons!$A$3:$A$1000)*1,("Var_Fin"=[1]OUT_TransportEnergyCons!$B$3:$B$1000)*1,ISNUMBER(SEARCH("nga",[1]OUT_TransportEnergyCons!$C$3:$C$1000))*1,[1]OUT_TransportEnergyCons!G$3:G$1000)</f>
        <v>0</v>
      </c>
      <c r="J1434" s="1" cm="1">
        <f t="array" ref="J1434">SUMPRODUCT(("T_B_c-ICEnga-S4"=[2]OUT_TransportEnergyCons!$A$3:$A$1000)*1,("Var_Fin"=[2]OUT_TransportEnergyCons!$B$3:$B$1000)*1,ISNUMBER(SEARCH("nga",[2]OUT_TransportEnergyCons!$C$3:$C$1000))*1,[2]OUT_TransportEnergyCons!H$3:H$1000)</f>
        <v>0</v>
      </c>
      <c r="K1434" s="1" cm="1">
        <f t="array" ref="K1434">SUMPRODUCT(("T_B_c-ICEnga-S4"=[2]OUT_TransportEnergyCons!$A$3:$A$1000)*1,("Var_Fin"=[2]OUT_TransportEnergyCons!$B$3:$B$1000)*1,ISNUMBER(SEARCH("nga",[2]OUT_TransportEnergyCons!$C$3:$C$1000))*1,[2]OUT_TransportEnergyCons!I$3:I$1000)</f>
        <v>0</v>
      </c>
      <c r="L1434" s="1" cm="1">
        <f t="array" ref="L1434">SUMPRODUCT(("T_B_c-ICEnga-S4"=[2]OUT_TransportEnergyCons!$A$3:$A$1000)*1,("Var_Fin"=[2]OUT_TransportEnergyCons!$B$3:$B$1000)*1,ISNUMBER(SEARCH("nga",[2]OUT_TransportEnergyCons!$C$3:$C$1000))*1,[2]OUT_TransportEnergyCons!J$3:J$1000)</f>
        <v>0</v>
      </c>
      <c r="N1434" s="1"/>
    </row>
    <row r="1435" spans="2:14" x14ac:dyDescent="0.35">
      <c r="B1435" s="5" t="str">
        <f>B1434</f>
        <v>SPS1</v>
      </c>
      <c r="C1435" s="5" t="str">
        <f>C1434</f>
        <v>CH</v>
      </c>
      <c r="D1435" s="2" t="s">
        <v>1392</v>
      </c>
      <c r="E1435" s="2" t="s">
        <v>1131</v>
      </c>
      <c r="F1435" s="3">
        <f>SUM(F1436:F1458)</f>
        <v>0.13095880341268168</v>
      </c>
      <c r="G1435" s="3">
        <f t="shared" ref="G1435" si="1515">SUM(G1436:G1458)</f>
        <v>0.131634935673374</v>
      </c>
      <c r="H1435" s="3">
        <f t="shared" ref="H1435" si="1516">SUM(H1436:H1458)</f>
        <v>0.13267465518829391</v>
      </c>
      <c r="I1435" s="3">
        <f t="shared" ref="I1435" si="1517">SUM(I1436:I1458)</f>
        <v>0.13441161664564757</v>
      </c>
      <c r="J1435" s="3">
        <f t="shared" ref="J1435" si="1518">SUM(J1436:J1458)</f>
        <v>0.13463729454376677</v>
      </c>
      <c r="K1435" s="3">
        <f t="shared" ref="K1435:L1435" si="1519">SUM(K1436:K1458)</f>
        <v>0.13472846300427302</v>
      </c>
      <c r="L1435" s="3">
        <f t="shared" si="1519"/>
        <v>0.13114521090029893</v>
      </c>
      <c r="N1435" s="1"/>
    </row>
    <row r="1436" spans="2:14" x14ac:dyDescent="0.35">
      <c r="B1436" s="5" t="str">
        <f>B1435</f>
        <v>SPS1</v>
      </c>
      <c r="C1436" s="5" t="str">
        <f>C1435</f>
        <v>CH</v>
      </c>
      <c r="D1436" t="s">
        <v>1428</v>
      </c>
      <c r="E1436" t="str">
        <f>E1435</f>
        <v>billion km/yr.</v>
      </c>
      <c r="F1436" s="1" cm="1">
        <f t="array" ref="F1436">SUMPRODUCT(("T_B_c-BeVELCEXT"=[1]OUT_TransportEnergyCons!$A$3:$A$1000)*1,("var_fout"=[1]OUT_TransportEnergyCons!$B$3:$B$1000)*1,ISNUMBER(SEARCH("TPBSc",[1]OUT_TransportEnergyCons!$C$3:$C$1000))*1,[1]OUT_TransportEnergyCons!D$3:D$1000)</f>
        <v>0</v>
      </c>
      <c r="G1436" s="1" cm="1">
        <f t="array" ref="G1436">SUMPRODUCT(("T_B_c-BeVELCEXT"=[1]OUT_TransportEnergyCons!$A$3:$A$1000)*1,("var_fout"=[1]OUT_TransportEnergyCons!$B$3:$B$1000)*1,ISNUMBER(SEARCH("TPBSc",[1]OUT_TransportEnergyCons!$C$3:$C$1000))*1,[1]OUT_TransportEnergyCons!E$3:E$1000)</f>
        <v>0</v>
      </c>
      <c r="H1436" s="1" cm="1">
        <f t="array" ref="H1436">SUMPRODUCT(("T_B_c-BeVELCEXT"=[1]OUT_TransportEnergyCons!$A$3:$A$1000)*1,("var_fout"=[1]OUT_TransportEnergyCons!$B$3:$B$1000)*1,ISNUMBER(SEARCH("TPBSc",[1]OUT_TransportEnergyCons!$C$3:$C$1000))*1,[1]OUT_TransportEnergyCons!F$3:F$1000)</f>
        <v>0</v>
      </c>
      <c r="I1436" s="1" cm="1">
        <f t="array" ref="I1436">SUMPRODUCT(("T_B_c-BeVELCEXT"=[1]OUT_TransportEnergyCons!$A$3:$A$1000)*1,("var_fout"=[1]OUT_TransportEnergyCons!$B$3:$B$1000)*1,ISNUMBER(SEARCH("TPBSc",[1]OUT_TransportEnergyCons!$C$3:$C$1000))*1,[1]OUT_TransportEnergyCons!G$3:G$1000)</f>
        <v>0</v>
      </c>
      <c r="J1436" s="1" cm="1">
        <f t="array" ref="J1436">SUMPRODUCT(("T_B_c-BeVELCEXT"=[2]OUT_TransportEnergyCons!$A$3:$A$1000)*1,("var_fout"=[2]OUT_TransportEnergyCons!$B$3:$B$1000)*1,ISNUMBER(SEARCH("TPBSc",[2]OUT_TransportEnergyCons!$C$3:$C$1000))*1,[2]OUT_TransportEnergyCons!H$3:H$1000)</f>
        <v>0</v>
      </c>
      <c r="K1436" s="1" cm="1">
        <f t="array" ref="K1436">SUMPRODUCT(("T_B_c-BeVELCEXT"=[2]OUT_TransportEnergyCons!$A$3:$A$1000)*1,("var_fout"=[2]OUT_TransportEnergyCons!$B$3:$B$1000)*1,ISNUMBER(SEARCH("TPBSc",[2]OUT_TransportEnergyCons!$C$3:$C$1000))*1,[2]OUT_TransportEnergyCons!I$3:I$1000)</f>
        <v>0</v>
      </c>
      <c r="L1436" s="1" cm="1">
        <f t="array" ref="L1436">SUMPRODUCT(("T_B_c-BeVELCEXT"=[2]OUT_TransportEnergyCons!$A$3:$A$1000)*1,("var_fout"=[2]OUT_TransportEnergyCons!$B$3:$B$1000)*1,ISNUMBER(SEARCH("TPBSc",[2]OUT_TransportEnergyCons!$C$3:$C$1000))*1,[2]OUT_TransportEnergyCons!J$3:J$1000)</f>
        <v>0</v>
      </c>
      <c r="N1436" s="1"/>
    </row>
    <row r="1437" spans="2:14" x14ac:dyDescent="0.35">
      <c r="B1437" s="5" t="str">
        <f t="shared" ref="B1437:B1458" si="1520">B1436</f>
        <v>SPS1</v>
      </c>
      <c r="C1437" s="5" t="str">
        <f t="shared" ref="C1437:C1458" si="1521">C1436</f>
        <v>CH</v>
      </c>
      <c r="D1437" t="s">
        <v>1429</v>
      </c>
      <c r="E1437" t="str">
        <f t="shared" ref="E1437:E1458" si="1522">E1436</f>
        <v>billion km/yr.</v>
      </c>
      <c r="F1437" s="1" cm="1">
        <f t="array" ref="F1437">SUMPRODUCT(("T_B_c-BEVELC-S1"=[1]OUT_TransportEnergyCons!$A$3:$A$1000)*1,("var_fout"=[1]OUT_TransportEnergyCons!$B$3:$B$1000)*1,ISNUMBER(SEARCH("TPBSc",[1]OUT_TransportEnergyCons!$C$3:$C$1000))*1,[1]OUT_TransportEnergyCons!D$3:D$1000)</f>
        <v>1.5528773535307088E-4</v>
      </c>
      <c r="G1437" s="1" cm="1">
        <f t="array" ref="G1437">SUMPRODUCT(("T_B_c-BEVELC-S1"=[1]OUT_TransportEnergyCons!$A$3:$A$1000)*1,("var_fout"=[1]OUT_TransportEnergyCons!$B$3:$B$1000)*1,ISNUMBER(SEARCH("TPBSc",[1]OUT_TransportEnergyCons!$C$3:$C$1000))*1,[1]OUT_TransportEnergyCons!E$3:E$1000)</f>
        <v>3.3423439986446596E-4</v>
      </c>
      <c r="H1437" s="1" cm="1">
        <f t="array" ref="H1437">SUMPRODUCT(("T_B_c-BEVELC-S1"=[1]OUT_TransportEnergyCons!$A$3:$A$1000)*1,("var_fout"=[1]OUT_TransportEnergyCons!$B$3:$B$1000)*1,ISNUMBER(SEARCH("TPBSc",[1]OUT_TransportEnergyCons!$C$3:$C$1000))*1,[1]OUT_TransportEnergyCons!F$3:F$1000)</f>
        <v>3.161885070173378E-4</v>
      </c>
      <c r="I1437" s="1" cm="1">
        <f t="array" ref="I1437">SUMPRODUCT(("T_B_c-BEVELC-S1"=[1]OUT_TransportEnergyCons!$A$3:$A$1000)*1,("var_fout"=[1]OUT_TransportEnergyCons!$B$3:$B$1000)*1,ISNUMBER(SEARCH("TPBSc",[1]OUT_TransportEnergyCons!$C$3:$C$1000))*1,[1]OUT_TransportEnergyCons!G$3:G$1000)</f>
        <v>6.4639977782368921E-2</v>
      </c>
      <c r="J1437" s="1" cm="1">
        <f t="array" ref="J1437">SUMPRODUCT(("T_B_c-BEVELC-S1"=[2]OUT_TransportEnergyCons!$A$3:$A$1000)*1,("var_fout"=[2]OUT_TransportEnergyCons!$B$3:$B$1000)*1,ISNUMBER(SEARCH("TPBSc",[2]OUT_TransportEnergyCons!$C$3:$C$1000))*1,[2]OUT_TransportEnergyCons!H$3:H$1000)</f>
        <v>5.9058606935348708E-2</v>
      </c>
      <c r="K1437" s="1" cm="1">
        <f t="array" ref="K1437">SUMPRODUCT(("T_B_c-BEVELC-S1"=[2]OUT_TransportEnergyCons!$A$3:$A$1000)*1,("var_fout"=[2]OUT_TransportEnergyCons!$B$3:$B$1000)*1,ISNUMBER(SEARCH("TPBSc",[2]OUT_TransportEnergyCons!$C$3:$C$1000))*1,[2]OUT_TransportEnergyCons!I$3:I$1000)</f>
        <v>4.7404628536298815E-2</v>
      </c>
      <c r="L1437" s="1" cm="1">
        <f t="array" ref="L1437">SUMPRODUCT(("T_B_c-BEVELC-S1"=[2]OUT_TransportEnergyCons!$A$3:$A$1000)*1,("var_fout"=[2]OUT_TransportEnergyCons!$B$3:$B$1000)*1,ISNUMBER(SEARCH("TPBSc",[2]OUT_TransportEnergyCons!$C$3:$C$1000))*1,[2]OUT_TransportEnergyCons!J$3:J$1000)</f>
        <v>2.8138880533231991E-2</v>
      </c>
      <c r="N1437" s="1"/>
    </row>
    <row r="1438" spans="2:14" x14ac:dyDescent="0.35">
      <c r="B1438" s="5" t="str">
        <f t="shared" si="1520"/>
        <v>SPS1</v>
      </c>
      <c r="C1438" s="5" t="str">
        <f t="shared" si="1521"/>
        <v>CH</v>
      </c>
      <c r="D1438" t="s">
        <v>1430</v>
      </c>
      <c r="E1438" t="str">
        <f t="shared" si="1522"/>
        <v>billion km/yr.</v>
      </c>
      <c r="F1438" s="1" cm="1">
        <f t="array" ref="F1438">SUMPRODUCT(("T_B_c-BEVELC-S2"=[1]OUT_TransportEnergyCons!$A$3:$A$1000)*1,("var_fout"=[1]OUT_TransportEnergyCons!$B$3:$B$1000)*1,ISNUMBER(SEARCH("TPBSc",[1]OUT_TransportEnergyCons!$C$3:$C$1000))*1,[1]OUT_TransportEnergyCons!D$3:D$1000)</f>
        <v>4.3975340152684392E-4</v>
      </c>
      <c r="G1438" s="1" cm="1">
        <f t="array" ref="G1438">SUMPRODUCT(("T_B_c-BEVELC-S2"=[1]OUT_TransportEnergyCons!$A$3:$A$1000)*1,("var_fout"=[1]OUT_TransportEnergyCons!$B$3:$B$1000)*1,ISNUMBER(SEARCH("TPBSc",[1]OUT_TransportEnergyCons!$C$3:$C$1000))*1,[1]OUT_TransportEnergyCons!E$3:E$1000)</f>
        <v>5.9691284560629485E-4</v>
      </c>
      <c r="H1438" s="1" cm="1">
        <f t="array" ref="H1438">SUMPRODUCT(("T_B_c-BEVELC-S2"=[1]OUT_TransportEnergyCons!$A$3:$A$1000)*1,("var_fout"=[1]OUT_TransportEnergyCons!$B$3:$B$1000)*1,ISNUMBER(SEARCH("TPBSc",[1]OUT_TransportEnergyCons!$C$3:$C$1000))*1,[1]OUT_TransportEnergyCons!F$3:F$1000)</f>
        <v>6.3188353006055434E-4</v>
      </c>
      <c r="I1438" s="1" cm="1">
        <f t="array" ref="I1438">SUMPRODUCT(("T_B_c-BEVELC-S2"=[1]OUT_TransportEnergyCons!$A$3:$A$1000)*1,("var_fout"=[1]OUT_TransportEnergyCons!$B$3:$B$1000)*1,ISNUMBER(SEARCH("TPBSc",[1]OUT_TransportEnergyCons!$C$3:$C$1000))*1,[1]OUT_TransportEnergyCons!G$3:G$1000)</f>
        <v>2.2468763799472522E-2</v>
      </c>
      <c r="J1438" s="1" cm="1">
        <f t="array" ref="J1438">SUMPRODUCT(("T_B_c-BEVELC-S2"=[2]OUT_TransportEnergyCons!$A$3:$A$1000)*1,("var_fout"=[2]OUT_TransportEnergyCons!$B$3:$B$1000)*1,ISNUMBER(SEARCH("TPBSc",[2]OUT_TransportEnergyCons!$C$3:$C$1000))*1,[2]OUT_TransportEnergyCons!H$3:H$1000)</f>
        <v>2.4927778349420376E-2</v>
      </c>
      <c r="K1438" s="1" cm="1">
        <f t="array" ref="K1438">SUMPRODUCT(("T_B_c-BEVELC-S2"=[2]OUT_TransportEnergyCons!$A$3:$A$1000)*1,("var_fout"=[2]OUT_TransportEnergyCons!$B$3:$B$1000)*1,ISNUMBER(SEARCH("TPBSc",[2]OUT_TransportEnergyCons!$C$3:$C$1000))*1,[2]OUT_TransportEnergyCons!I$3:I$1000)</f>
        <v>3.6327135500142958E-2</v>
      </c>
      <c r="L1438" s="1" cm="1">
        <f t="array" ref="L1438">SUMPRODUCT(("T_B_c-BEVELC-S2"=[2]OUT_TransportEnergyCons!$A$3:$A$1000)*1,("var_fout"=[2]OUT_TransportEnergyCons!$B$3:$B$1000)*1,ISNUMBER(SEARCH("TPBSc",[2]OUT_TransportEnergyCons!$C$3:$C$1000))*1,[2]OUT_TransportEnergyCons!J$3:J$1000)</f>
        <v>4.7900521405511508E-2</v>
      </c>
      <c r="N1438" s="1"/>
    </row>
    <row r="1439" spans="2:14" x14ac:dyDescent="0.35">
      <c r="B1439" s="5" t="str">
        <f t="shared" si="1520"/>
        <v>SPS1</v>
      </c>
      <c r="C1439" s="5" t="str">
        <f t="shared" si="1521"/>
        <v>CH</v>
      </c>
      <c r="D1439" t="s">
        <v>1431</v>
      </c>
      <c r="E1439" t="str">
        <f t="shared" si="1522"/>
        <v>billion km/yr.</v>
      </c>
      <c r="F1439" s="1" cm="1">
        <f t="array" ref="F1439">SUMPRODUCT(("T_B_c-BEVELC-S3"=[1]OUT_TransportEnergyCons!$A$3:$A$1000)*1,("var_fout"=[1]OUT_TransportEnergyCons!$B$3:$B$1000)*1,ISNUMBER(SEARCH("TPBSc",[1]OUT_TransportEnergyCons!$C$3:$C$1000))*1,[1]OUT_TransportEnergyCons!D$3:D$1000)</f>
        <v>6.4714437065426647E-5</v>
      </c>
      <c r="G1439" s="1" cm="1">
        <f t="array" ref="G1439">SUMPRODUCT(("T_B_c-BEVELC-S3"=[1]OUT_TransportEnergyCons!$A$3:$A$1000)*1,("var_fout"=[1]OUT_TransportEnergyCons!$B$3:$B$1000)*1,ISNUMBER(SEARCH("TPBSc",[1]OUT_TransportEnergyCons!$C$3:$C$1000))*1,[1]OUT_TransportEnergyCons!E$3:E$1000)</f>
        <v>1.5324522662836355E-4</v>
      </c>
      <c r="H1439" s="1" cm="1">
        <f t="array" ref="H1439">SUMPRODUCT(("T_B_c-BEVELC-S3"=[1]OUT_TransportEnergyCons!$A$3:$A$1000)*1,("var_fout"=[1]OUT_TransportEnergyCons!$B$3:$B$1000)*1,ISNUMBER(SEARCH("TPBSc",[1]OUT_TransportEnergyCons!$C$3:$C$1000))*1,[1]OUT_TransportEnergyCons!F$3:F$1000)</f>
        <v>1.6339225031169915E-4</v>
      </c>
      <c r="I1439" s="1" cm="1">
        <f t="array" ref="I1439">SUMPRODUCT(("T_B_c-BEVELC-S3"=[1]OUT_TransportEnergyCons!$A$3:$A$1000)*1,("var_fout"=[1]OUT_TransportEnergyCons!$B$3:$B$1000)*1,ISNUMBER(SEARCH("TPBSc",[1]OUT_TransportEnergyCons!$C$3:$C$1000))*1,[1]OUT_TransportEnergyCons!G$3:G$1000)</f>
        <v>1.1865373978210273E-4</v>
      </c>
      <c r="J1439" s="1" cm="1">
        <f t="array" ref="J1439">SUMPRODUCT(("T_B_c-BEVELC-S3"=[2]OUT_TransportEnergyCons!$A$3:$A$1000)*1,("var_fout"=[2]OUT_TransportEnergyCons!$B$3:$B$1000)*1,ISNUMBER(SEARCH("TPBSc",[2]OUT_TransportEnergyCons!$C$3:$C$1000))*1,[2]OUT_TransportEnergyCons!H$3:H$1000)</f>
        <v>8.5105053100449678E-4</v>
      </c>
      <c r="K1439" s="1" cm="1">
        <f t="array" ref="K1439">SUMPRODUCT(("T_B_c-BEVELC-S3"=[2]OUT_TransportEnergyCons!$A$3:$A$1000)*1,("var_fout"=[2]OUT_TransportEnergyCons!$B$3:$B$1000)*1,ISNUMBER(SEARCH("TPBSc",[2]OUT_TransportEnergyCons!$C$3:$C$1000))*1,[2]OUT_TransportEnergyCons!I$3:I$1000)</f>
        <v>1.2886206908311435E-3</v>
      </c>
      <c r="L1439" s="1" cm="1">
        <f t="array" ref="L1439">SUMPRODUCT(("T_B_c-BEVELC-S3"=[2]OUT_TransportEnergyCons!$A$3:$A$1000)*1,("var_fout"=[2]OUT_TransportEnergyCons!$B$3:$B$1000)*1,ISNUMBER(SEARCH("TPBSc",[2]OUT_TransportEnergyCons!$C$3:$C$1000))*1,[2]OUT_TransportEnergyCons!J$3:J$1000)</f>
        <v>7.2501441070327846E-3</v>
      </c>
      <c r="N1439" s="1"/>
    </row>
    <row r="1440" spans="2:14" x14ac:dyDescent="0.35">
      <c r="B1440" s="5" t="str">
        <f t="shared" si="1520"/>
        <v>SPS1</v>
      </c>
      <c r="C1440" s="5" t="str">
        <f t="shared" si="1521"/>
        <v>CH</v>
      </c>
      <c r="D1440" t="s">
        <v>1432</v>
      </c>
      <c r="E1440" t="str">
        <f t="shared" si="1522"/>
        <v>billion km/yr.</v>
      </c>
      <c r="F1440" s="1" cm="1">
        <f t="array" ref="F1440">SUMPRODUCT(("T_B_c-BEVELC-S4"=[1]OUT_TransportEnergyCons!$A$3:$A$1000)*1,("var_fout"=[1]OUT_TransportEnergyCons!$B$3:$B$1000)*1,ISNUMBER(SEARCH("TPBSc",[1]OUT_TransportEnergyCons!$C$3:$C$1000))*1,[1]OUT_TransportEnergyCons!D$3:D$1000)</f>
        <v>0</v>
      </c>
      <c r="G1440" s="1" cm="1">
        <f t="array" ref="G1440">SUMPRODUCT(("T_B_c-BEVELC-S4"=[1]OUT_TransportEnergyCons!$A$3:$A$1000)*1,("var_fout"=[1]OUT_TransportEnergyCons!$B$3:$B$1000)*1,ISNUMBER(SEARCH("TPBSc",[1]OUT_TransportEnergyCons!$C$3:$C$1000))*1,[1]OUT_TransportEnergyCons!E$3:E$1000)</f>
        <v>2.7723178257248606E-6</v>
      </c>
      <c r="H1440" s="1" cm="1">
        <f t="array" ref="H1440">SUMPRODUCT(("T_B_c-BEVELC-S4"=[1]OUT_TransportEnergyCons!$A$3:$A$1000)*1,("var_fout"=[1]OUT_TransportEnergyCons!$B$3:$B$1000)*1,ISNUMBER(SEARCH("TPBSc",[1]OUT_TransportEnergyCons!$C$3:$C$1000))*1,[1]OUT_TransportEnergyCons!F$3:F$1000)</f>
        <v>4.7166402674753832E-6</v>
      </c>
      <c r="I1440" s="1" cm="1">
        <f t="array" ref="I1440">SUMPRODUCT(("T_B_c-BEVELC-S4"=[1]OUT_TransportEnergyCons!$A$3:$A$1000)*1,("var_fout"=[1]OUT_TransportEnergyCons!$B$3:$B$1000)*1,ISNUMBER(SEARCH("TPBSc",[1]OUT_TransportEnergyCons!$C$3:$C$1000))*1,[1]OUT_TransportEnergyCons!G$3:G$1000)</f>
        <v>2.8814097798273882E-6</v>
      </c>
      <c r="J1440" s="1" cm="1">
        <f t="array" ref="J1440">SUMPRODUCT(("T_B_c-BEVELC-S4"=[2]OUT_TransportEnergyCons!$A$3:$A$1000)*1,("var_fout"=[2]OUT_TransportEnergyCons!$B$3:$B$1000)*1,ISNUMBER(SEARCH("TPBSc",[2]OUT_TransportEnergyCons!$C$3:$C$1000))*1,[2]OUT_TransportEnergyCons!H$3:H$1000)</f>
        <v>1.4156821528696347E-5</v>
      </c>
      <c r="K1440" s="1" cm="1">
        <f t="array" ref="K1440">SUMPRODUCT(("T_B_c-BEVELC-S4"=[2]OUT_TransportEnergyCons!$A$3:$A$1000)*1,("var_fout"=[2]OUT_TransportEnergyCons!$B$3:$B$1000)*1,ISNUMBER(SEARCH("TPBSc",[2]OUT_TransportEnergyCons!$C$3:$C$1000))*1,[2]OUT_TransportEnergyCons!I$3:I$1000)</f>
        <v>1.9853861754481936E-5</v>
      </c>
      <c r="L1440" s="1" cm="1">
        <f t="array" ref="L1440">SUMPRODUCT(("T_B_c-BEVELC-S4"=[2]OUT_TransportEnergyCons!$A$3:$A$1000)*1,("var_fout"=[2]OUT_TransportEnergyCons!$B$3:$B$1000)*1,ISNUMBER(SEARCH("TPBSc",[2]OUT_TransportEnergyCons!$C$3:$C$1000))*1,[2]OUT_TransportEnergyCons!J$3:J$1000)</f>
        <v>6.4979536286242542E-6</v>
      </c>
      <c r="N1440" s="1"/>
    </row>
    <row r="1441" spans="2:14" x14ac:dyDescent="0.35">
      <c r="B1441" s="5" t="str">
        <f t="shared" si="1520"/>
        <v>SPS1</v>
      </c>
      <c r="C1441" s="5" t="str">
        <f t="shared" si="1521"/>
        <v>CH</v>
      </c>
      <c r="D1441" t="s">
        <v>1433</v>
      </c>
      <c r="E1441" t="str">
        <f t="shared" si="1522"/>
        <v>billion km/yr.</v>
      </c>
      <c r="F1441" s="1" cm="1">
        <f t="array" ref="F1441">SUMPRODUCT(("T_B_c-FCLH2O-S1"=[1]OUT_TransportEnergyCons!$A$3:$A$1000)*1,("var_fout"=[1]OUT_TransportEnergyCons!$B$3:$B$1000)*1,ISNUMBER(SEARCH("TPBSc",[1]OUT_TransportEnergyCons!$C$3:$C$1000))*1,[1]OUT_TransportEnergyCons!D$3:D$1000)</f>
        <v>0</v>
      </c>
      <c r="G1441" s="1" cm="1">
        <f t="array" ref="G1441">SUMPRODUCT(("T_B_c-FCLH2O-S1"=[1]OUT_TransportEnergyCons!$A$3:$A$1000)*1,("var_fout"=[1]OUT_TransportEnergyCons!$B$3:$B$1000)*1,ISNUMBER(SEARCH("TPBSc",[1]OUT_TransportEnergyCons!$C$3:$C$1000))*1,[1]OUT_TransportEnergyCons!E$3:E$1000)</f>
        <v>0</v>
      </c>
      <c r="H1441" s="1" cm="1">
        <f t="array" ref="H1441">SUMPRODUCT(("T_B_c-FCLH2O-S1"=[1]OUT_TransportEnergyCons!$A$3:$A$1000)*1,("var_fout"=[1]OUT_TransportEnergyCons!$B$3:$B$1000)*1,ISNUMBER(SEARCH("TPBSc",[1]OUT_TransportEnergyCons!$C$3:$C$1000))*1,[1]OUT_TransportEnergyCons!F$3:F$1000)</f>
        <v>0</v>
      </c>
      <c r="I1441" s="1" cm="1">
        <f t="array" ref="I1441">SUMPRODUCT(("T_B_c-FCLH2O-S1"=[1]OUT_TransportEnergyCons!$A$3:$A$1000)*1,("var_fout"=[1]OUT_TransportEnergyCons!$B$3:$B$1000)*1,ISNUMBER(SEARCH("TPBSc",[1]OUT_TransportEnergyCons!$C$3:$C$1000))*1,[1]OUT_TransportEnergyCons!G$3:G$1000)</f>
        <v>0</v>
      </c>
      <c r="J1441" s="1" cm="1">
        <f t="array" ref="J1441">SUMPRODUCT(("T_B_c-FCLH2O-S1"=[2]OUT_TransportEnergyCons!$A$3:$A$1000)*1,("var_fout"=[2]OUT_TransportEnergyCons!$B$3:$B$1000)*1,ISNUMBER(SEARCH("TPBSc",[2]OUT_TransportEnergyCons!$C$3:$C$1000))*1,[2]OUT_TransportEnergyCons!H$3:H$1000)</f>
        <v>0</v>
      </c>
      <c r="K1441" s="1" cm="1">
        <f t="array" ref="K1441">SUMPRODUCT(("T_B_c-FCLH2O-S1"=[2]OUT_TransportEnergyCons!$A$3:$A$1000)*1,("var_fout"=[2]OUT_TransportEnergyCons!$B$3:$B$1000)*1,ISNUMBER(SEARCH("TPBSc",[2]OUT_TransportEnergyCons!$C$3:$C$1000))*1,[2]OUT_TransportEnergyCons!I$3:I$1000)</f>
        <v>0</v>
      </c>
      <c r="L1441" s="1" cm="1">
        <f t="array" ref="L1441">SUMPRODUCT(("T_B_c-FCLH2O-S1"=[2]OUT_TransportEnergyCons!$A$3:$A$1000)*1,("var_fout"=[2]OUT_TransportEnergyCons!$B$3:$B$1000)*1,ISNUMBER(SEARCH("TPBSc",[2]OUT_TransportEnergyCons!$C$3:$C$1000))*1,[2]OUT_TransportEnergyCons!J$3:J$1000)</f>
        <v>0</v>
      </c>
      <c r="N1441" s="1"/>
    </row>
    <row r="1442" spans="2:14" x14ac:dyDescent="0.35">
      <c r="B1442" s="5" t="str">
        <f t="shared" si="1520"/>
        <v>SPS1</v>
      </c>
      <c r="C1442" s="5" t="str">
        <f t="shared" si="1521"/>
        <v>CH</v>
      </c>
      <c r="D1442" t="s">
        <v>1434</v>
      </c>
      <c r="E1442" t="str">
        <f t="shared" si="1522"/>
        <v>billion km/yr.</v>
      </c>
      <c r="F1442" s="1" cm="1">
        <f t="array" ref="F1442">SUMPRODUCT(("T_B_c-FCLH2O-S2"=[1]OUT_TransportEnergyCons!$A$3:$A$1000)*1,("var_fout"=[1]OUT_TransportEnergyCons!$B$3:$B$1000)*1,ISNUMBER(SEARCH("TPBSc",[1]OUT_TransportEnergyCons!$C$3:$C$1000))*1,[1]OUT_TransportEnergyCons!D$3:D$1000)</f>
        <v>0</v>
      </c>
      <c r="G1442" s="1" cm="1">
        <f t="array" ref="G1442">SUMPRODUCT(("T_B_c-FCLH2O-S2"=[1]OUT_TransportEnergyCons!$A$3:$A$1000)*1,("var_fout"=[1]OUT_TransportEnergyCons!$B$3:$B$1000)*1,ISNUMBER(SEARCH("TPBSc",[1]OUT_TransportEnergyCons!$C$3:$C$1000))*1,[1]OUT_TransportEnergyCons!E$3:E$1000)</f>
        <v>0</v>
      </c>
      <c r="H1442" s="1" cm="1">
        <f t="array" ref="H1442">SUMPRODUCT(("T_B_c-FCLH2O-S2"=[1]OUT_TransportEnergyCons!$A$3:$A$1000)*1,("var_fout"=[1]OUT_TransportEnergyCons!$B$3:$B$1000)*1,ISNUMBER(SEARCH("TPBSc",[1]OUT_TransportEnergyCons!$C$3:$C$1000))*1,[1]OUT_TransportEnergyCons!F$3:F$1000)</f>
        <v>0</v>
      </c>
      <c r="I1442" s="1" cm="1">
        <f t="array" ref="I1442">SUMPRODUCT(("T_B_c-FCLH2O-S2"=[1]OUT_TransportEnergyCons!$A$3:$A$1000)*1,("var_fout"=[1]OUT_TransportEnergyCons!$B$3:$B$1000)*1,ISNUMBER(SEARCH("TPBSc",[1]OUT_TransportEnergyCons!$C$3:$C$1000))*1,[1]OUT_TransportEnergyCons!G$3:G$1000)</f>
        <v>0</v>
      </c>
      <c r="J1442" s="1" cm="1">
        <f t="array" ref="J1442">SUMPRODUCT(("T_B_c-FCLH2O-S2"=[2]OUT_TransportEnergyCons!$A$3:$A$1000)*1,("var_fout"=[2]OUT_TransportEnergyCons!$B$3:$B$1000)*1,ISNUMBER(SEARCH("TPBSc",[2]OUT_TransportEnergyCons!$C$3:$C$1000))*1,[2]OUT_TransportEnergyCons!H$3:H$1000)</f>
        <v>0</v>
      </c>
      <c r="K1442" s="1" cm="1">
        <f t="array" ref="K1442">SUMPRODUCT(("T_B_c-FCLH2O-S2"=[2]OUT_TransportEnergyCons!$A$3:$A$1000)*1,("var_fout"=[2]OUT_TransportEnergyCons!$B$3:$B$1000)*1,ISNUMBER(SEARCH("TPBSc",[2]OUT_TransportEnergyCons!$C$3:$C$1000))*1,[2]OUT_TransportEnergyCons!I$3:I$1000)</f>
        <v>0</v>
      </c>
      <c r="L1442" s="1" cm="1">
        <f t="array" ref="L1442">SUMPRODUCT(("T_B_c-FCLH2O-S2"=[2]OUT_TransportEnergyCons!$A$3:$A$1000)*1,("var_fout"=[2]OUT_TransportEnergyCons!$B$3:$B$1000)*1,ISNUMBER(SEARCH("TPBSc",[2]OUT_TransportEnergyCons!$C$3:$C$1000))*1,[2]OUT_TransportEnergyCons!J$3:J$1000)</f>
        <v>0</v>
      </c>
      <c r="N1442" s="1"/>
    </row>
    <row r="1443" spans="2:14" x14ac:dyDescent="0.35">
      <c r="B1443" s="5" t="str">
        <f t="shared" si="1520"/>
        <v>SPS1</v>
      </c>
      <c r="C1443" s="5" t="str">
        <f t="shared" si="1521"/>
        <v>CH</v>
      </c>
      <c r="D1443" t="s">
        <v>1435</v>
      </c>
      <c r="E1443" t="str">
        <f t="shared" si="1522"/>
        <v>billion km/yr.</v>
      </c>
      <c r="F1443" s="1" cm="1">
        <f t="array" ref="F1443">SUMPRODUCT(("T_B_c-FCLH2O-S3"=[1]OUT_TransportEnergyCons!$A$3:$A$1000)*1,("var_fout"=[1]OUT_TransportEnergyCons!$B$3:$B$1000)*1,ISNUMBER(SEARCH("TPBSc",[1]OUT_TransportEnergyCons!$C$3:$C$1000))*1,[1]OUT_TransportEnergyCons!D$3:D$1000)</f>
        <v>0</v>
      </c>
      <c r="G1443" s="1" cm="1">
        <f t="array" ref="G1443">SUMPRODUCT(("T_B_c-FCLH2O-S3"=[1]OUT_TransportEnergyCons!$A$3:$A$1000)*1,("var_fout"=[1]OUT_TransportEnergyCons!$B$3:$B$1000)*1,ISNUMBER(SEARCH("TPBSc",[1]OUT_TransportEnergyCons!$C$3:$C$1000))*1,[1]OUT_TransportEnergyCons!E$3:E$1000)</f>
        <v>0</v>
      </c>
      <c r="H1443" s="1" cm="1">
        <f t="array" ref="H1443">SUMPRODUCT(("T_B_c-FCLH2O-S3"=[1]OUT_TransportEnergyCons!$A$3:$A$1000)*1,("var_fout"=[1]OUT_TransportEnergyCons!$B$3:$B$1000)*1,ISNUMBER(SEARCH("TPBSc",[1]OUT_TransportEnergyCons!$C$3:$C$1000))*1,[1]OUT_TransportEnergyCons!F$3:F$1000)</f>
        <v>0</v>
      </c>
      <c r="I1443" s="1" cm="1">
        <f t="array" ref="I1443">SUMPRODUCT(("T_B_c-FCLH2O-S3"=[1]OUT_TransportEnergyCons!$A$3:$A$1000)*1,("var_fout"=[1]OUT_TransportEnergyCons!$B$3:$B$1000)*1,ISNUMBER(SEARCH("TPBSc",[1]OUT_TransportEnergyCons!$C$3:$C$1000))*1,[1]OUT_TransportEnergyCons!G$3:G$1000)</f>
        <v>0</v>
      </c>
      <c r="J1443" s="1" cm="1">
        <f t="array" ref="J1443">SUMPRODUCT(("T_B_c-FCLH2O-S3"=[2]OUT_TransportEnergyCons!$A$3:$A$1000)*1,("var_fout"=[2]OUT_TransportEnergyCons!$B$3:$B$1000)*1,ISNUMBER(SEARCH("TPBSc",[2]OUT_TransportEnergyCons!$C$3:$C$1000))*1,[2]OUT_TransportEnergyCons!H$3:H$1000)</f>
        <v>0</v>
      </c>
      <c r="K1443" s="1" cm="1">
        <f t="array" ref="K1443">SUMPRODUCT(("T_B_c-FCLH2O-S3"=[2]OUT_TransportEnergyCons!$A$3:$A$1000)*1,("var_fout"=[2]OUT_TransportEnergyCons!$B$3:$B$1000)*1,ISNUMBER(SEARCH("TPBSc",[2]OUT_TransportEnergyCons!$C$3:$C$1000))*1,[2]OUT_TransportEnergyCons!I$3:I$1000)</f>
        <v>0</v>
      </c>
      <c r="L1443" s="1" cm="1">
        <f t="array" ref="L1443">SUMPRODUCT(("T_B_c-FCLH2O-S3"=[2]OUT_TransportEnergyCons!$A$3:$A$1000)*1,("var_fout"=[2]OUT_TransportEnergyCons!$B$3:$B$1000)*1,ISNUMBER(SEARCH("TPBSc",[2]OUT_TransportEnergyCons!$C$3:$C$1000))*1,[2]OUT_TransportEnergyCons!J$3:J$1000)</f>
        <v>0</v>
      </c>
      <c r="N1443" s="1"/>
    </row>
    <row r="1444" spans="2:14" x14ac:dyDescent="0.35">
      <c r="B1444" s="5" t="str">
        <f t="shared" si="1520"/>
        <v>SPS1</v>
      </c>
      <c r="C1444" s="5" t="str">
        <f t="shared" si="1521"/>
        <v>CH</v>
      </c>
      <c r="D1444" t="s">
        <v>1436</v>
      </c>
      <c r="E1444" t="str">
        <f t="shared" si="1522"/>
        <v>billion km/yr.</v>
      </c>
      <c r="F1444" s="1" cm="1">
        <f t="array" ref="F1444">SUMPRODUCT(("T_B_c-FCLH2O-S4"=[1]OUT_TransportEnergyCons!$A$3:$A$1000)*1,("var_fout"=[1]OUT_TransportEnergyCons!$B$3:$B$1000)*1,ISNUMBER(SEARCH("TPBSc",[1]OUT_TransportEnergyCons!$C$3:$C$1000))*1,[1]OUT_TransportEnergyCons!D$3:D$1000)</f>
        <v>0</v>
      </c>
      <c r="G1444" s="1" cm="1">
        <f t="array" ref="G1444">SUMPRODUCT(("T_B_c-FCLH2O-S4"=[1]OUT_TransportEnergyCons!$A$3:$A$1000)*1,("var_fout"=[1]OUT_TransportEnergyCons!$B$3:$B$1000)*1,ISNUMBER(SEARCH("TPBSc",[1]OUT_TransportEnergyCons!$C$3:$C$1000))*1,[1]OUT_TransportEnergyCons!E$3:E$1000)</f>
        <v>0</v>
      </c>
      <c r="H1444" s="1" cm="1">
        <f t="array" ref="H1444">SUMPRODUCT(("T_B_c-FCLH2O-S4"=[1]OUT_TransportEnergyCons!$A$3:$A$1000)*1,("var_fout"=[1]OUT_TransportEnergyCons!$B$3:$B$1000)*1,ISNUMBER(SEARCH("TPBSc",[1]OUT_TransportEnergyCons!$C$3:$C$1000))*1,[1]OUT_TransportEnergyCons!F$3:F$1000)</f>
        <v>0</v>
      </c>
      <c r="I1444" s="1" cm="1">
        <f t="array" ref="I1444">SUMPRODUCT(("T_B_c-FCLH2O-S4"=[1]OUT_TransportEnergyCons!$A$3:$A$1000)*1,("var_fout"=[1]OUT_TransportEnergyCons!$B$3:$B$1000)*1,ISNUMBER(SEARCH("TPBSc",[1]OUT_TransportEnergyCons!$C$3:$C$1000))*1,[1]OUT_TransportEnergyCons!G$3:G$1000)</f>
        <v>0</v>
      </c>
      <c r="J1444" s="1" cm="1">
        <f t="array" ref="J1444">SUMPRODUCT(("T_B_c-FCLH2O-S4"=[2]OUT_TransportEnergyCons!$A$3:$A$1000)*1,("var_fout"=[2]OUT_TransportEnergyCons!$B$3:$B$1000)*1,ISNUMBER(SEARCH("TPBSc",[2]OUT_TransportEnergyCons!$C$3:$C$1000))*1,[2]OUT_TransportEnergyCons!H$3:H$1000)</f>
        <v>0</v>
      </c>
      <c r="K1444" s="1" cm="1">
        <f t="array" ref="K1444">SUMPRODUCT(("T_B_c-FCLH2O-S4"=[2]OUT_TransportEnergyCons!$A$3:$A$1000)*1,("var_fout"=[2]OUT_TransportEnergyCons!$B$3:$B$1000)*1,ISNUMBER(SEARCH("TPBSc",[2]OUT_TransportEnergyCons!$C$3:$C$1000))*1,[2]OUT_TransportEnergyCons!I$3:I$1000)</f>
        <v>0</v>
      </c>
      <c r="L1444" s="1" cm="1">
        <f t="array" ref="L1444">SUMPRODUCT(("T_B_c-FCLH2O-S4"=[2]OUT_TransportEnergyCons!$A$3:$A$1000)*1,("var_fout"=[2]OUT_TransportEnergyCons!$B$3:$B$1000)*1,ISNUMBER(SEARCH("TPBSc",[2]OUT_TransportEnergyCons!$C$3:$C$1000))*1,[2]OUT_TransportEnergyCons!J$3:J$1000)</f>
        <v>0</v>
      </c>
      <c r="N1444" s="1"/>
    </row>
    <row r="1445" spans="2:14" x14ac:dyDescent="0.35">
      <c r="B1445" s="5" t="str">
        <f t="shared" si="1520"/>
        <v>SPS1</v>
      </c>
      <c r="C1445" s="5" t="str">
        <f t="shared" si="1521"/>
        <v>CH</v>
      </c>
      <c r="D1445" t="s">
        <v>1437</v>
      </c>
      <c r="E1445" t="str">
        <f t="shared" si="1522"/>
        <v>billion km/yr.</v>
      </c>
      <c r="F1445" s="1" cm="1">
        <f t="array" ref="F1445">SUMPRODUCT(("T_B_c-HYBDSL-S1"=[1]OUT_TransportEnergyCons!$A$3:$A$1000)*1,("var_fout"=[1]OUT_TransportEnergyCons!$B$3:$B$1000)*1,ISNUMBER(SEARCH("TPBSc",[1]OUT_TransportEnergyCons!$C$3:$C$1000))*1,[1]OUT_TransportEnergyCons!D$3:D$1000)</f>
        <v>0</v>
      </c>
      <c r="G1445" s="1" cm="1">
        <f t="array" ref="G1445">SUMPRODUCT(("T_B_c-HYBDSL-S1"=[1]OUT_TransportEnergyCons!$A$3:$A$1000)*1,("var_fout"=[1]OUT_TransportEnergyCons!$B$3:$B$1000)*1,ISNUMBER(SEARCH("TPBSc",[1]OUT_TransportEnergyCons!$C$3:$C$1000))*1,[1]OUT_TransportEnergyCons!E$3:E$1000)</f>
        <v>4.3206812274141401E-4</v>
      </c>
      <c r="H1445" s="1" cm="1">
        <f t="array" ref="H1445">SUMPRODUCT(("T_B_c-HYBDSL-S1"=[1]OUT_TransportEnergyCons!$A$3:$A$1000)*1,("var_fout"=[1]OUT_TransportEnergyCons!$B$3:$B$1000)*1,ISNUMBER(SEARCH("TPBSc",[1]OUT_TransportEnergyCons!$C$3:$C$1000))*1,[1]OUT_TransportEnergyCons!F$3:F$1000)</f>
        <v>4.6828512352783058E-4</v>
      </c>
      <c r="I1445" s="1" cm="1">
        <f t="array" ref="I1445">SUMPRODUCT(("T_B_c-HYBDSL-S1"=[1]OUT_TransportEnergyCons!$A$3:$A$1000)*1,("var_fout"=[1]OUT_TransportEnergyCons!$B$3:$B$1000)*1,ISNUMBER(SEARCH("TPBSc",[1]OUT_TransportEnergyCons!$C$3:$C$1000))*1,[1]OUT_TransportEnergyCons!G$3:G$1000)</f>
        <v>8.4979556160951915E-5</v>
      </c>
      <c r="J1445" s="1" cm="1">
        <f t="array" ref="J1445">SUMPRODUCT(("T_B_c-HYBDSL-S1"=[2]OUT_TransportEnergyCons!$A$3:$A$1000)*1,("var_fout"=[2]OUT_TransportEnergyCons!$B$3:$B$1000)*1,ISNUMBER(SEARCH("TPBSc",[2]OUT_TransportEnergyCons!$C$3:$C$1000))*1,[2]OUT_TransportEnergyCons!H$3:H$1000)</f>
        <v>5.7602142060942602E-3</v>
      </c>
      <c r="K1445" s="1" cm="1">
        <f t="array" ref="K1445">SUMPRODUCT(("T_B_c-HYBDSL-S1"=[2]OUT_TransportEnergyCons!$A$3:$A$1000)*1,("var_fout"=[2]OUT_TransportEnergyCons!$B$3:$B$1000)*1,ISNUMBER(SEARCH("TPBSc",[2]OUT_TransportEnergyCons!$C$3:$C$1000))*1,[2]OUT_TransportEnergyCons!I$3:I$1000)</f>
        <v>1.7450635454121063E-2</v>
      </c>
      <c r="L1445" s="1" cm="1">
        <f t="array" ref="L1445">SUMPRODUCT(("T_B_c-HYBDSL-S1"=[2]OUT_TransportEnergyCons!$A$3:$A$1000)*1,("var_fout"=[2]OUT_TransportEnergyCons!$B$3:$B$1000)*1,ISNUMBER(SEARCH("TPBSc",[2]OUT_TransportEnergyCons!$C$3:$C$1000))*1,[2]OUT_TransportEnergyCons!J$3:J$1000)</f>
        <v>3.5008299706472484E-2</v>
      </c>
      <c r="N1445" s="1"/>
    </row>
    <row r="1446" spans="2:14" x14ac:dyDescent="0.35">
      <c r="B1446" s="5" t="str">
        <f t="shared" si="1520"/>
        <v>SPS1</v>
      </c>
      <c r="C1446" s="5" t="str">
        <f t="shared" si="1521"/>
        <v>CH</v>
      </c>
      <c r="D1446" t="s">
        <v>1438</v>
      </c>
      <c r="E1446" t="str">
        <f t="shared" si="1522"/>
        <v>billion km/yr.</v>
      </c>
      <c r="F1446" s="1" cm="1">
        <f t="array" ref="F1446">SUMPRODUCT(("T_B_c-HYBDSL-S2"=[1]OUT_TransportEnergyCons!$A$3:$A$1000)*1,("var_fout"=[1]OUT_TransportEnergyCons!$B$3:$B$1000)*1,ISNUMBER(SEARCH("TPBSc",[1]OUT_TransportEnergyCons!$C$3:$C$1000))*1,[1]OUT_TransportEnergyCons!D$3:D$1000)</f>
        <v>0</v>
      </c>
      <c r="G1446" s="1" cm="1">
        <f t="array" ref="G1446">SUMPRODUCT(("T_B_c-HYBDSL-S2"=[1]OUT_TransportEnergyCons!$A$3:$A$1000)*1,("var_fout"=[1]OUT_TransportEnergyCons!$B$3:$B$1000)*1,ISNUMBER(SEARCH("TPBSc",[1]OUT_TransportEnergyCons!$C$3:$C$1000))*1,[1]OUT_TransportEnergyCons!E$3:E$1000)</f>
        <v>1.8855505134591617E-5</v>
      </c>
      <c r="H1446" s="1" cm="1">
        <f t="array" ref="H1446">SUMPRODUCT(("T_B_c-HYBDSL-S2"=[1]OUT_TransportEnergyCons!$A$3:$A$1000)*1,("var_fout"=[1]OUT_TransportEnergyCons!$B$3:$B$1000)*1,ISNUMBER(SEARCH("TPBSc",[1]OUT_TransportEnergyCons!$C$3:$C$1000))*1,[1]OUT_TransportEnergyCons!F$3:F$1000)</f>
        <v>7.7006323566029076E-3</v>
      </c>
      <c r="I1446" s="1" cm="1">
        <f t="array" ref="I1446">SUMPRODUCT(("T_B_c-HYBDSL-S2"=[1]OUT_TransportEnergyCons!$A$3:$A$1000)*1,("var_fout"=[1]OUT_TransportEnergyCons!$B$3:$B$1000)*1,ISNUMBER(SEARCH("TPBSc",[1]OUT_TransportEnergyCons!$C$3:$C$1000))*1,[1]OUT_TransportEnergyCons!G$3:G$1000)</f>
        <v>3.4939403983486189E-2</v>
      </c>
      <c r="J1446" s="1" cm="1">
        <f t="array" ref="J1446">SUMPRODUCT(("T_B_c-HYBDSL-S2"=[2]OUT_TransportEnergyCons!$A$3:$A$1000)*1,("var_fout"=[2]OUT_TransportEnergyCons!$B$3:$B$1000)*1,ISNUMBER(SEARCH("TPBSc",[2]OUT_TransportEnergyCons!$C$3:$C$1000))*1,[2]OUT_TransportEnergyCons!H$3:H$1000)</f>
        <v>3.2574975446772028E-2</v>
      </c>
      <c r="K1446" s="1" cm="1">
        <f t="array" ref="K1446">SUMPRODUCT(("T_B_c-HYBDSL-S2"=[2]OUT_TransportEnergyCons!$A$3:$A$1000)*1,("var_fout"=[2]OUT_TransportEnergyCons!$B$3:$B$1000)*1,ISNUMBER(SEARCH("TPBSc",[2]OUT_TransportEnergyCons!$C$3:$C$1000))*1,[2]OUT_TransportEnergyCons!I$3:I$1000)</f>
        <v>2.1214868056454887E-2</v>
      </c>
      <c r="L1446" s="1" cm="1">
        <f t="array" ref="L1446">SUMPRODUCT(("T_B_c-HYBDSL-S2"=[2]OUT_TransportEnergyCons!$A$3:$A$1000)*1,("var_fout"=[2]OUT_TransportEnergyCons!$B$3:$B$1000)*1,ISNUMBER(SEARCH("TPBSc",[2]OUT_TransportEnergyCons!$C$3:$C$1000))*1,[2]OUT_TransportEnergyCons!J$3:J$1000)</f>
        <v>8.1108781646014264E-3</v>
      </c>
      <c r="N1446" s="1"/>
    </row>
    <row r="1447" spans="2:14" x14ac:dyDescent="0.35">
      <c r="B1447" s="5" t="str">
        <f t="shared" si="1520"/>
        <v>SPS1</v>
      </c>
      <c r="C1447" s="5" t="str">
        <f t="shared" si="1521"/>
        <v>CH</v>
      </c>
      <c r="D1447" t="s">
        <v>1439</v>
      </c>
      <c r="E1447" t="str">
        <f t="shared" si="1522"/>
        <v>billion km/yr.</v>
      </c>
      <c r="F1447" s="1" cm="1">
        <f t="array" ref="F1447">SUMPRODUCT(("T_B_c-HYBDSL-S3"=[1]OUT_TransportEnergyCons!$A$3:$A$1000)*1,("var_fout"=[1]OUT_TransportEnergyCons!$B$3:$B$1000)*1,ISNUMBER(SEARCH("TPBSc",[1]OUT_TransportEnergyCons!$C$3:$C$1000))*1,[1]OUT_TransportEnergyCons!D$3:D$1000)</f>
        <v>0</v>
      </c>
      <c r="G1447" s="1" cm="1">
        <f t="array" ref="G1447">SUMPRODUCT(("T_B_c-HYBDSL-S3"=[1]OUT_TransportEnergyCons!$A$3:$A$1000)*1,("var_fout"=[1]OUT_TransportEnergyCons!$B$3:$B$1000)*1,ISNUMBER(SEARCH("TPBSc",[1]OUT_TransportEnergyCons!$C$3:$C$1000))*1,[1]OUT_TransportEnergyCons!E$3:E$1000)</f>
        <v>7.9089333773619669E-6</v>
      </c>
      <c r="H1447" s="1" cm="1">
        <f t="array" ref="H1447">SUMPRODUCT(("T_B_c-HYBDSL-S3"=[1]OUT_TransportEnergyCons!$A$3:$A$1000)*1,("var_fout"=[1]OUT_TransportEnergyCons!$B$3:$B$1000)*1,ISNUMBER(SEARCH("TPBSc",[1]OUT_TransportEnergyCons!$C$3:$C$1000))*1,[1]OUT_TransportEnergyCons!F$3:F$1000)</f>
        <v>3.117606585582765E-4</v>
      </c>
      <c r="I1447" s="1" cm="1">
        <f t="array" ref="I1447">SUMPRODUCT(("T_B_c-HYBDSL-S3"=[1]OUT_TransportEnergyCons!$A$3:$A$1000)*1,("var_fout"=[1]OUT_TransportEnergyCons!$B$3:$B$1000)*1,ISNUMBER(SEARCH("TPBSc",[1]OUT_TransportEnergyCons!$C$3:$C$1000))*1,[1]OUT_TransportEnergyCons!G$3:G$1000)</f>
        <v>1.2156915264577173E-2</v>
      </c>
      <c r="J1447" s="1" cm="1">
        <f t="array" ref="J1447">SUMPRODUCT(("T_B_c-HYBDSL-S3"=[2]OUT_TransportEnergyCons!$A$3:$A$1000)*1,("var_fout"=[2]OUT_TransportEnergyCons!$B$3:$B$1000)*1,ISNUMBER(SEARCH("TPBSc",[2]OUT_TransportEnergyCons!$C$3:$C$1000))*1,[2]OUT_TransportEnergyCons!H$3:H$1000)</f>
        <v>1.1447187159206363E-2</v>
      </c>
      <c r="K1447" s="1" cm="1">
        <f t="array" ref="K1447">SUMPRODUCT(("T_B_c-HYBDSL-S3"=[2]OUT_TransportEnergyCons!$A$3:$A$1000)*1,("var_fout"=[2]OUT_TransportEnergyCons!$B$3:$B$1000)*1,ISNUMBER(SEARCH("TPBSc",[2]OUT_TransportEnergyCons!$C$3:$C$1000))*1,[2]OUT_TransportEnergyCons!I$3:I$1000)</f>
        <v>1.101774529286853E-2</v>
      </c>
      <c r="L1447" s="1" cm="1">
        <f t="array" ref="L1447">SUMPRODUCT(("T_B_c-HYBDSL-S3"=[2]OUT_TransportEnergyCons!$A$3:$A$1000)*1,("var_fout"=[2]OUT_TransportEnergyCons!$B$3:$B$1000)*1,ISNUMBER(SEARCH("TPBSc",[2]OUT_TransportEnergyCons!$C$3:$C$1000))*1,[2]OUT_TransportEnergyCons!J$3:J$1000)</f>
        <v>4.729095974723937E-3</v>
      </c>
      <c r="N1447" s="1"/>
    </row>
    <row r="1448" spans="2:14" x14ac:dyDescent="0.35">
      <c r="B1448" s="5" t="str">
        <f t="shared" si="1520"/>
        <v>SPS1</v>
      </c>
      <c r="C1448" s="5" t="str">
        <f t="shared" si="1521"/>
        <v>CH</v>
      </c>
      <c r="D1448" t="s">
        <v>1440</v>
      </c>
      <c r="E1448" t="str">
        <f t="shared" si="1522"/>
        <v>billion km/yr.</v>
      </c>
      <c r="F1448" s="1" cm="1">
        <f t="array" ref="F1448">SUMPRODUCT(("T_B_c-HYBDSL-S4"=[1]OUT_TransportEnergyCons!$A$3:$A$1000)*1,("var_fout"=[1]OUT_TransportEnergyCons!$B$3:$B$1000)*1,ISNUMBER(SEARCH("TPBSc",[1]OUT_TransportEnergyCons!$C$3:$C$1000))*1,[1]OUT_TransportEnergyCons!D$3:D$1000)</f>
        <v>0</v>
      </c>
      <c r="G1448" s="1" cm="1">
        <f t="array" ref="G1448">SUMPRODUCT(("T_B_c-HYBDSL-S4"=[1]OUT_TransportEnergyCons!$A$3:$A$1000)*1,("var_fout"=[1]OUT_TransportEnergyCons!$B$3:$B$1000)*1,ISNUMBER(SEARCH("TPBSc",[1]OUT_TransportEnergyCons!$C$3:$C$1000))*1,[1]OUT_TransportEnergyCons!E$3:E$1000)</f>
        <v>8.6850926240159712E-8</v>
      </c>
      <c r="H1448" s="1" cm="1">
        <f t="array" ref="H1448">SUMPRODUCT(("T_B_c-HYBDSL-S4"=[1]OUT_TransportEnergyCons!$A$3:$A$1000)*1,("var_fout"=[1]OUT_TransportEnergyCons!$B$3:$B$1000)*1,ISNUMBER(SEARCH("TPBSc",[1]OUT_TransportEnergyCons!$C$3:$C$1000))*1,[1]OUT_TransportEnergyCons!F$3:F$1000)</f>
        <v>2.2487043427675249E-7</v>
      </c>
      <c r="I1448" s="1" cm="1">
        <f t="array" ref="I1448">SUMPRODUCT(("T_B_c-HYBDSL-S4"=[1]OUT_TransportEnergyCons!$A$3:$A$1000)*1,("var_fout"=[1]OUT_TransportEnergyCons!$B$3:$B$1000)*1,ISNUMBER(SEARCH("TPBSc",[1]OUT_TransportEnergyCons!$C$3:$C$1000))*1,[1]OUT_TransportEnergyCons!G$3:G$1000)</f>
        <v>4.1110019897530304E-8</v>
      </c>
      <c r="J1448" s="1" cm="1">
        <f t="array" ref="J1448">SUMPRODUCT(("T_B_c-HYBDSL-S4"=[2]OUT_TransportEnergyCons!$A$3:$A$1000)*1,("var_fout"=[2]OUT_TransportEnergyCons!$B$3:$B$1000)*1,ISNUMBER(SEARCH("TPBSc",[2]OUT_TransportEnergyCons!$C$3:$C$1000))*1,[2]OUT_TransportEnergyCons!H$3:H$1000)</f>
        <v>3.3250943918438322E-6</v>
      </c>
      <c r="K1448" s="1" cm="1">
        <f t="array" ref="K1448">SUMPRODUCT(("T_B_c-HYBDSL-S4"=[2]OUT_TransportEnergyCons!$A$3:$A$1000)*1,("var_fout"=[2]OUT_TransportEnergyCons!$B$3:$B$1000)*1,ISNUMBER(SEARCH("TPBSc",[2]OUT_TransportEnergyCons!$C$3:$C$1000))*1,[2]OUT_TransportEnergyCons!I$3:I$1000)</f>
        <v>4.975611801137112E-6</v>
      </c>
      <c r="L1448" s="1" cm="1">
        <f t="array" ref="L1448">SUMPRODUCT(("T_B_c-HYBDSL-S4"=[2]OUT_TransportEnergyCons!$A$3:$A$1000)*1,("var_fout"=[2]OUT_TransportEnergyCons!$B$3:$B$1000)*1,ISNUMBER(SEARCH("TPBSc",[2]OUT_TransportEnergyCons!$C$3:$C$1000))*1,[2]OUT_TransportEnergyCons!J$3:J$1000)</f>
        <v>8.9305509617123685E-7</v>
      </c>
      <c r="N1448" s="1"/>
    </row>
    <row r="1449" spans="2:14" x14ac:dyDescent="0.35">
      <c r="B1449" s="5" t="str">
        <f t="shared" si="1520"/>
        <v>SPS1</v>
      </c>
      <c r="C1449" s="5" t="str">
        <f t="shared" si="1521"/>
        <v>CH</v>
      </c>
      <c r="D1449" t="s">
        <v>2116</v>
      </c>
      <c r="E1449" t="str">
        <f t="shared" si="1522"/>
        <v>billion km/yr.</v>
      </c>
      <c r="F1449" s="1" cm="1">
        <f t="array" ref="F1449">SUMPRODUCT(("T_B_c-ICEDSLEXT"=[1]OUT_TransportEnergyCons!$A$3:$A$1000)*1,("var_fout"=[1]OUT_TransportEnergyCons!$B$3:$B$1000)*1,ISNUMBER(SEARCH("TPBSc",[1]OUT_TransportEnergyCons!$C$3:$C$1000))*1,[1]OUT_TransportEnergyCons!D$3:D$1000)</f>
        <v>5.9984138941911694E-2</v>
      </c>
      <c r="G1449" s="1" cm="1">
        <f t="array" ref="G1449">SUMPRODUCT(("T_B_c-ICEDSLEXT"=[1]OUT_TransportEnergyCons!$A$3:$A$1000)*1,("var_fout"=[1]OUT_TransportEnergyCons!$B$3:$B$1000)*1,ISNUMBER(SEARCH("TPBSc",[1]OUT_TransportEnergyCons!$C$3:$C$1000))*1,[1]OUT_TransportEnergyCons!E$3:E$1000)</f>
        <v>4.7984326351336815E-2</v>
      </c>
      <c r="H1449" s="1" cm="1">
        <f t="array" ref="H1449">SUMPRODUCT(("T_B_c-ICEDSLEXT"=[1]OUT_TransportEnergyCons!$A$3:$A$1000)*1,("var_fout"=[1]OUT_TransportEnergyCons!$B$3:$B$1000)*1,ISNUMBER(SEARCH("TPBSc",[1]OUT_TransportEnergyCons!$C$3:$C$1000))*1,[1]OUT_TransportEnergyCons!F$3:F$1000)</f>
        <v>2.9990354358693731E-2</v>
      </c>
      <c r="I1449" s="1" cm="1">
        <f t="array" ref="I1449">SUMPRODUCT(("T_B_c-ICEDSLEXT"=[1]OUT_TransportEnergyCons!$A$3:$A$1000)*1,("var_fout"=[1]OUT_TransportEnergyCons!$B$3:$B$1000)*1,ISNUMBER(SEARCH("TPBSc",[1]OUT_TransportEnergyCons!$C$3:$C$1000))*1,[1]OUT_TransportEnergyCons!G$3:G$1000)</f>
        <v>0</v>
      </c>
      <c r="J1449" s="1" cm="1">
        <f t="array" ref="J1449">SUMPRODUCT(("T_B_c-ICEDSLEXT"=[2]OUT_TransportEnergyCons!$A$3:$A$1000)*1,("var_fout"=[2]OUT_TransportEnergyCons!$B$3:$B$1000)*1,ISNUMBER(SEARCH("TPBSc",[2]OUT_TransportEnergyCons!$C$3:$C$1000))*1,[2]OUT_TransportEnergyCons!H$3:H$1000)</f>
        <v>0</v>
      </c>
      <c r="K1449" s="1" cm="1">
        <f t="array" ref="K1449">SUMPRODUCT(("T_B_c-ICEDSLEXT"=[2]OUT_TransportEnergyCons!$A$3:$A$1000)*1,("var_fout"=[2]OUT_TransportEnergyCons!$B$3:$B$1000)*1,ISNUMBER(SEARCH("TPBSc",[2]OUT_TransportEnergyCons!$C$3:$C$1000))*1,[2]OUT_TransportEnergyCons!I$3:I$1000)</f>
        <v>0</v>
      </c>
      <c r="L1449" s="1" cm="1">
        <f t="array" ref="L1449">SUMPRODUCT(("T_B_c-ICEDSLEXT"=[2]OUT_TransportEnergyCons!$A$3:$A$1000)*1,("var_fout"=[2]OUT_TransportEnergyCons!$B$3:$B$1000)*1,ISNUMBER(SEARCH("TPBSc",[2]OUT_TransportEnergyCons!$C$3:$C$1000))*1,[2]OUT_TransportEnergyCons!J$3:J$1000)</f>
        <v>0</v>
      </c>
      <c r="N1449" s="1"/>
    </row>
    <row r="1450" spans="2:14" x14ac:dyDescent="0.35">
      <c r="B1450" s="5" t="str">
        <f t="shared" si="1520"/>
        <v>SPS1</v>
      </c>
      <c r="C1450" s="5" t="str">
        <f t="shared" si="1521"/>
        <v>CH</v>
      </c>
      <c r="D1450" t="s">
        <v>1441</v>
      </c>
      <c r="E1450" t="str">
        <f t="shared" si="1522"/>
        <v>billion km/yr.</v>
      </c>
      <c r="F1450" s="1" cm="1">
        <f t="array" ref="F1450">SUMPRODUCT(("T_B_c-ICEDSL-S1"=[1]OUT_TransportEnergyCons!$A$3:$A$1000)*1,("var_fout"=[1]OUT_TransportEnergyCons!$B$3:$B$1000)*1,ISNUMBER(SEARCH("TPBSc",[1]OUT_TransportEnergyCons!$C$3:$C$1000))*1,[1]OUT_TransportEnergyCons!D$3:D$1000)</f>
        <v>1.4067213886556389E-2</v>
      </c>
      <c r="G1450" s="1" cm="1">
        <f t="array" ref="G1450">SUMPRODUCT(("T_B_c-ICEDSL-S1"=[1]OUT_TransportEnergyCons!$A$3:$A$1000)*1,("var_fout"=[1]OUT_TransportEnergyCons!$B$3:$B$1000)*1,ISNUMBER(SEARCH("TPBSc",[1]OUT_TransportEnergyCons!$C$3:$C$1000))*1,[1]OUT_TransportEnergyCons!E$3:E$1000)</f>
        <v>3.8978808600841117E-2</v>
      </c>
      <c r="H1450" s="1" cm="1">
        <f t="array" ref="H1450">SUMPRODUCT(("T_B_c-ICEDSL-S1"=[1]OUT_TransportEnergyCons!$A$3:$A$1000)*1,("var_fout"=[1]OUT_TransportEnergyCons!$B$3:$B$1000)*1,ISNUMBER(SEARCH("TPBSc",[1]OUT_TransportEnergyCons!$C$3:$C$1000))*1,[1]OUT_TransportEnergyCons!F$3:F$1000)</f>
        <v>4.829750220295094E-2</v>
      </c>
      <c r="I1450" s="1" cm="1">
        <f t="array" ref="I1450">SUMPRODUCT(("T_B_c-ICEDSL-S1"=[1]OUT_TransportEnergyCons!$A$3:$A$1000)*1,("var_fout"=[1]OUT_TransportEnergyCons!$B$3:$B$1000)*1,ISNUMBER(SEARCH("TPBSc",[1]OUT_TransportEnergyCons!$C$3:$C$1000))*1,[1]OUT_TransportEnergyCons!G$3:G$1000)</f>
        <v>0</v>
      </c>
      <c r="J1450" s="1" cm="1">
        <f t="array" ref="J1450">SUMPRODUCT(("T_B_c-ICEDSL-S1"=[2]OUT_TransportEnergyCons!$A$3:$A$1000)*1,("var_fout"=[2]OUT_TransportEnergyCons!$B$3:$B$1000)*1,ISNUMBER(SEARCH("TPBSc",[2]OUT_TransportEnergyCons!$C$3:$C$1000))*1,[2]OUT_TransportEnergyCons!H$3:H$1000)</f>
        <v>0</v>
      </c>
      <c r="K1450" s="1" cm="1">
        <f t="array" ref="K1450">SUMPRODUCT(("T_B_c-ICEDSL-S1"=[2]OUT_TransportEnergyCons!$A$3:$A$1000)*1,("var_fout"=[2]OUT_TransportEnergyCons!$B$3:$B$1000)*1,ISNUMBER(SEARCH("TPBSc",[2]OUT_TransportEnergyCons!$C$3:$C$1000))*1,[2]OUT_TransportEnergyCons!I$3:I$1000)</f>
        <v>0</v>
      </c>
      <c r="L1450" s="1" cm="1">
        <f t="array" ref="L1450">SUMPRODUCT(("T_B_c-ICEDSL-S1"=[2]OUT_TransportEnergyCons!$A$3:$A$1000)*1,("var_fout"=[2]OUT_TransportEnergyCons!$B$3:$B$1000)*1,ISNUMBER(SEARCH("TPBSc",[2]OUT_TransportEnergyCons!$C$3:$C$1000))*1,[2]OUT_TransportEnergyCons!J$3:J$1000)</f>
        <v>0</v>
      </c>
      <c r="N1450" s="1"/>
    </row>
    <row r="1451" spans="2:14" x14ac:dyDescent="0.35">
      <c r="B1451" s="5" t="str">
        <f t="shared" si="1520"/>
        <v>SPS1</v>
      </c>
      <c r="C1451" s="5" t="str">
        <f t="shared" si="1521"/>
        <v>CH</v>
      </c>
      <c r="D1451" t="s">
        <v>1442</v>
      </c>
      <c r="E1451" t="str">
        <f t="shared" si="1522"/>
        <v>billion km/yr.</v>
      </c>
      <c r="F1451" s="1" cm="1">
        <f t="array" ref="F1451">SUMPRODUCT(("T_B_c-ICEDSL-S2"=[1]OUT_TransportEnergyCons!$A$3:$A$1000)*1,("var_fout"=[1]OUT_TransportEnergyCons!$B$3:$B$1000)*1,ISNUMBER(SEARCH("TPBSc",[1]OUT_TransportEnergyCons!$C$3:$C$1000))*1,[1]OUT_TransportEnergyCons!D$3:D$1000)</f>
        <v>4.5452742524227041E-2</v>
      </c>
      <c r="G1451" s="1" cm="1">
        <f t="array" ref="G1451">SUMPRODUCT(("T_B_c-ICEDSL-S2"=[1]OUT_TransportEnergyCons!$A$3:$A$1000)*1,("var_fout"=[1]OUT_TransportEnergyCons!$B$3:$B$1000)*1,ISNUMBER(SEARCH("TPBSc",[1]OUT_TransportEnergyCons!$C$3:$C$1000))*1,[1]OUT_TransportEnergyCons!E$3:E$1000)</f>
        <v>3.4641788620793167E-2</v>
      </c>
      <c r="H1451" s="1" cm="1">
        <f t="array" ref="H1451">SUMPRODUCT(("T_B_c-ICEDSL-S2"=[1]OUT_TransportEnergyCons!$A$3:$A$1000)*1,("var_fout"=[1]OUT_TransportEnergyCons!$B$3:$B$1000)*1,ISNUMBER(SEARCH("TPBSc",[1]OUT_TransportEnergyCons!$C$3:$C$1000))*1,[1]OUT_TransportEnergyCons!F$3:F$1000)</f>
        <v>3.5218412856590074E-2</v>
      </c>
      <c r="I1451" s="1" cm="1">
        <f t="array" ref="I1451">SUMPRODUCT(("T_B_c-ICEDSL-S2"=[1]OUT_TransportEnergyCons!$A$3:$A$1000)*1,("var_fout"=[1]OUT_TransportEnergyCons!$B$3:$B$1000)*1,ISNUMBER(SEARCH("TPBSc",[1]OUT_TransportEnergyCons!$C$3:$C$1000))*1,[1]OUT_TransportEnergyCons!G$3:G$1000)</f>
        <v>0</v>
      </c>
      <c r="J1451" s="1" cm="1">
        <f t="array" ref="J1451">SUMPRODUCT(("T_B_c-ICEDSL-S2"=[2]OUT_TransportEnergyCons!$A$3:$A$1000)*1,("var_fout"=[2]OUT_TransportEnergyCons!$B$3:$B$1000)*1,ISNUMBER(SEARCH("TPBSc",[2]OUT_TransportEnergyCons!$C$3:$C$1000))*1,[2]OUT_TransportEnergyCons!H$3:H$1000)</f>
        <v>0</v>
      </c>
      <c r="K1451" s="1" cm="1">
        <f t="array" ref="K1451">SUMPRODUCT(("T_B_c-ICEDSL-S2"=[2]OUT_TransportEnergyCons!$A$3:$A$1000)*1,("var_fout"=[2]OUT_TransportEnergyCons!$B$3:$B$1000)*1,ISNUMBER(SEARCH("TPBSc",[2]OUT_TransportEnergyCons!$C$3:$C$1000))*1,[2]OUT_TransportEnergyCons!I$3:I$1000)</f>
        <v>0</v>
      </c>
      <c r="L1451" s="1" cm="1">
        <f t="array" ref="L1451">SUMPRODUCT(("T_B_c-ICEDSL-S2"=[2]OUT_TransportEnergyCons!$A$3:$A$1000)*1,("var_fout"=[2]OUT_TransportEnergyCons!$B$3:$B$1000)*1,ISNUMBER(SEARCH("TPBSc",[2]OUT_TransportEnergyCons!$C$3:$C$1000))*1,[2]OUT_TransportEnergyCons!J$3:J$1000)</f>
        <v>0</v>
      </c>
      <c r="N1451" s="1"/>
    </row>
    <row r="1452" spans="2:14" x14ac:dyDescent="0.35">
      <c r="B1452" s="5" t="str">
        <f t="shared" si="1520"/>
        <v>SPS1</v>
      </c>
      <c r="C1452" s="5" t="str">
        <f t="shared" si="1521"/>
        <v>CH</v>
      </c>
      <c r="D1452" t="s">
        <v>1443</v>
      </c>
      <c r="E1452" t="str">
        <f t="shared" si="1522"/>
        <v>billion km/yr.</v>
      </c>
      <c r="F1452" s="1" cm="1">
        <f t="array" ref="F1452">SUMPRODUCT(("T_B_c-ICEDSL-S3"=[1]OUT_TransportEnergyCons!$A$3:$A$1000)*1,("var_fout"=[1]OUT_TransportEnergyCons!$B$3:$B$1000)*1,ISNUMBER(SEARCH("TPBSc",[1]OUT_TransportEnergyCons!$C$3:$C$1000))*1,[1]OUT_TransportEnergyCons!D$3:D$1000)</f>
        <v>8.9363570149161315E-3</v>
      </c>
      <c r="G1452" s="1" cm="1">
        <f t="array" ref="G1452">SUMPRODUCT(("T_B_c-ICEDSL-S3"=[1]OUT_TransportEnergyCons!$A$3:$A$1000)*1,("var_fout"=[1]OUT_TransportEnergyCons!$B$3:$B$1000)*1,ISNUMBER(SEARCH("TPBSc",[1]OUT_TransportEnergyCons!$C$3:$C$1000))*1,[1]OUT_TransportEnergyCons!E$3:E$1000)</f>
        <v>7.3777366332127168E-3</v>
      </c>
      <c r="H1452" s="1" cm="1">
        <f t="array" ref="H1452">SUMPRODUCT(("T_B_c-ICEDSL-S3"=[1]OUT_TransportEnergyCons!$A$3:$A$1000)*1,("var_fout"=[1]OUT_TransportEnergyCons!$B$3:$B$1000)*1,ISNUMBER(SEARCH("TPBSc",[1]OUT_TransportEnergyCons!$C$3:$C$1000))*1,[1]OUT_TransportEnergyCons!F$3:F$1000)</f>
        <v>8.833905145203793E-3</v>
      </c>
      <c r="I1452" s="1" cm="1">
        <f t="array" ref="I1452">SUMPRODUCT(("T_B_c-ICEDSL-S3"=[1]OUT_TransportEnergyCons!$A$3:$A$1000)*1,("var_fout"=[1]OUT_TransportEnergyCons!$B$3:$B$1000)*1,ISNUMBER(SEARCH("TPBSc",[1]OUT_TransportEnergyCons!$C$3:$C$1000))*1,[1]OUT_TransportEnergyCons!G$3:G$1000)</f>
        <v>0</v>
      </c>
      <c r="J1452" s="1" cm="1">
        <f t="array" ref="J1452">SUMPRODUCT(("T_B_c-ICEDSL-S3"=[2]OUT_TransportEnergyCons!$A$3:$A$1000)*1,("var_fout"=[2]OUT_TransportEnergyCons!$B$3:$B$1000)*1,ISNUMBER(SEARCH("TPBSc",[2]OUT_TransportEnergyCons!$C$3:$C$1000))*1,[2]OUT_TransportEnergyCons!H$3:H$1000)</f>
        <v>0</v>
      </c>
      <c r="K1452" s="1" cm="1">
        <f t="array" ref="K1452">SUMPRODUCT(("T_B_c-ICEDSL-S3"=[2]OUT_TransportEnergyCons!$A$3:$A$1000)*1,("var_fout"=[2]OUT_TransportEnergyCons!$B$3:$B$1000)*1,ISNUMBER(SEARCH("TPBSc",[2]OUT_TransportEnergyCons!$C$3:$C$1000))*1,[2]OUT_TransportEnergyCons!I$3:I$1000)</f>
        <v>0</v>
      </c>
      <c r="L1452" s="1" cm="1">
        <f t="array" ref="L1452">SUMPRODUCT(("T_B_c-ICEDSL-S3"=[2]OUT_TransportEnergyCons!$A$3:$A$1000)*1,("var_fout"=[2]OUT_TransportEnergyCons!$B$3:$B$1000)*1,ISNUMBER(SEARCH("TPBSc",[2]OUT_TransportEnergyCons!$C$3:$C$1000))*1,[2]OUT_TransportEnergyCons!J$3:J$1000)</f>
        <v>0</v>
      </c>
      <c r="N1452" s="1"/>
    </row>
    <row r="1453" spans="2:14" x14ac:dyDescent="0.35">
      <c r="B1453" s="5" t="str">
        <f t="shared" si="1520"/>
        <v>SPS1</v>
      </c>
      <c r="C1453" s="5" t="str">
        <f t="shared" si="1521"/>
        <v>CH</v>
      </c>
      <c r="D1453" t="s">
        <v>1444</v>
      </c>
      <c r="E1453" t="str">
        <f t="shared" si="1522"/>
        <v>billion km/yr.</v>
      </c>
      <c r="F1453" s="1" cm="1">
        <f t="array" ref="F1453">SUMPRODUCT(("T_B_c-ICEDSL-S4"=[1]OUT_TransportEnergyCons!$A$3:$A$1000)*1,("var_fout"=[1]OUT_TransportEnergyCons!$B$3:$B$1000)*1,ISNUMBER(SEARCH("TPBSc",[1]OUT_TransportEnergyCons!$C$3:$C$1000))*1,[1]OUT_TransportEnergyCons!D$3:D$1000)</f>
        <v>4.8462224551213502E-4</v>
      </c>
      <c r="G1453" s="1" cm="1">
        <f t="array" ref="G1453">SUMPRODUCT(("T_B_c-ICEDSL-S4"=[1]OUT_TransportEnergyCons!$A$3:$A$1000)*1,("var_fout"=[1]OUT_TransportEnergyCons!$B$3:$B$1000)*1,ISNUMBER(SEARCH("TPBSc",[1]OUT_TransportEnergyCons!$C$3:$C$1000))*1,[1]OUT_TransportEnergyCons!E$3:E$1000)</f>
        <v>0</v>
      </c>
      <c r="H1453" s="1" cm="1">
        <f t="array" ref="H1453">SUMPRODUCT(("T_B_c-ICEDSL-S4"=[1]OUT_TransportEnergyCons!$A$3:$A$1000)*1,("var_fout"=[1]OUT_TransportEnergyCons!$B$3:$B$1000)*1,ISNUMBER(SEARCH("TPBSc",[1]OUT_TransportEnergyCons!$C$3:$C$1000))*1,[1]OUT_TransportEnergyCons!F$3:F$1000)</f>
        <v>6.7136448103432098E-7</v>
      </c>
      <c r="I1453" s="1" cm="1">
        <f t="array" ref="I1453">SUMPRODUCT(("T_B_c-ICEDSL-S4"=[1]OUT_TransportEnergyCons!$A$3:$A$1000)*1,("var_fout"=[1]OUT_TransportEnergyCons!$B$3:$B$1000)*1,ISNUMBER(SEARCH("TPBSc",[1]OUT_TransportEnergyCons!$C$3:$C$1000))*1,[1]OUT_TransportEnergyCons!G$3:G$1000)</f>
        <v>0</v>
      </c>
      <c r="J1453" s="1" cm="1">
        <f t="array" ref="J1453">SUMPRODUCT(("T_B_c-ICEDSL-S4"=[2]OUT_TransportEnergyCons!$A$3:$A$1000)*1,("var_fout"=[2]OUT_TransportEnergyCons!$B$3:$B$1000)*1,ISNUMBER(SEARCH("TPBSc",[2]OUT_TransportEnergyCons!$C$3:$C$1000))*1,[2]OUT_TransportEnergyCons!H$3:H$1000)</f>
        <v>0</v>
      </c>
      <c r="K1453" s="1" cm="1">
        <f t="array" ref="K1453">SUMPRODUCT(("T_B_c-ICEDSL-S4"=[2]OUT_TransportEnergyCons!$A$3:$A$1000)*1,("var_fout"=[2]OUT_TransportEnergyCons!$B$3:$B$1000)*1,ISNUMBER(SEARCH("TPBSc",[2]OUT_TransportEnergyCons!$C$3:$C$1000))*1,[2]OUT_TransportEnergyCons!I$3:I$1000)</f>
        <v>0</v>
      </c>
      <c r="L1453" s="1" cm="1">
        <f t="array" ref="L1453">SUMPRODUCT(("T_B_c-ICEDSL-S4"=[2]OUT_TransportEnergyCons!$A$3:$A$1000)*1,("var_fout"=[2]OUT_TransportEnergyCons!$B$3:$B$1000)*1,ISNUMBER(SEARCH("TPBSc",[2]OUT_TransportEnergyCons!$C$3:$C$1000))*1,[2]OUT_TransportEnergyCons!J$3:J$1000)</f>
        <v>0</v>
      </c>
      <c r="N1453" s="1"/>
    </row>
    <row r="1454" spans="2:14" x14ac:dyDescent="0.35">
      <c r="B1454" s="5" t="str">
        <f t="shared" si="1520"/>
        <v>SPS1</v>
      </c>
      <c r="C1454" s="5" t="str">
        <f t="shared" si="1521"/>
        <v>CH</v>
      </c>
      <c r="D1454" t="s">
        <v>2119</v>
      </c>
      <c r="E1454" t="str">
        <f t="shared" si="1522"/>
        <v>billion km/yr.</v>
      </c>
      <c r="F1454" s="1" cm="1">
        <f t="array" ref="F1454">SUMPRODUCT(("T_B_c-ICEngaEXT"=[1]OUT_TransportEnergyCons!$A$3:$A$1000)*1,("var_fout"=[1]OUT_TransportEnergyCons!$B$3:$B$1000)*1,ISNUMBER(SEARCH("TPBSc",[1]OUT_TransportEnergyCons!$C$3:$C$1000))*1,[1]OUT_TransportEnergyCons!D$3:D$1000)</f>
        <v>1.3739732256129349E-3</v>
      </c>
      <c r="G1454" s="1" cm="1">
        <f t="array" ref="G1454">SUMPRODUCT(("T_B_c-ICEngaEXT"=[1]OUT_TransportEnergyCons!$A$3:$A$1000)*1,("var_fout"=[1]OUT_TransportEnergyCons!$B$3:$B$1000)*1,ISNUMBER(SEARCH("TPBSc",[1]OUT_TransportEnergyCons!$C$3:$C$1000))*1,[1]OUT_TransportEnergyCons!E$3:E$1000)</f>
        <v>1.0973065606061122E-3</v>
      </c>
      <c r="H1454" s="1" cm="1">
        <f t="array" ref="H1454">SUMPRODUCT(("T_B_c-ICEngaEXT"=[1]OUT_TransportEnergyCons!$A$3:$A$1000)*1,("var_fout"=[1]OUT_TransportEnergyCons!$B$3:$B$1000)*1,ISNUMBER(SEARCH("TPBSc",[1]OUT_TransportEnergyCons!$C$3:$C$1000))*1,[1]OUT_TransportEnergyCons!F$3:F$1000)</f>
        <v>6.8509453163211986E-4</v>
      </c>
      <c r="I1454" s="1" cm="1">
        <f t="array" ref="I1454">SUMPRODUCT(("T_B_c-ICEngaEXT"=[1]OUT_TransportEnergyCons!$A$3:$A$1000)*1,("var_fout"=[1]OUT_TransportEnergyCons!$B$3:$B$1000)*1,ISNUMBER(SEARCH("TPBSc",[1]OUT_TransportEnergyCons!$C$3:$C$1000))*1,[1]OUT_TransportEnergyCons!G$3:G$1000)</f>
        <v>0</v>
      </c>
      <c r="J1454" s="1" cm="1">
        <f t="array" ref="J1454">SUMPRODUCT(("T_B_c-ICEngaEXT"=[2]OUT_TransportEnergyCons!$A$3:$A$1000)*1,("var_fout"=[2]OUT_TransportEnergyCons!$B$3:$B$1000)*1,ISNUMBER(SEARCH("TPBSc",[2]OUT_TransportEnergyCons!$C$3:$C$1000))*1,[2]OUT_TransportEnergyCons!H$3:H$1000)</f>
        <v>0</v>
      </c>
      <c r="K1454" s="1" cm="1">
        <f t="array" ref="K1454">SUMPRODUCT(("T_B_c-ICEngaEXT"=[2]OUT_TransportEnergyCons!$A$3:$A$1000)*1,("var_fout"=[2]OUT_TransportEnergyCons!$B$3:$B$1000)*1,ISNUMBER(SEARCH("TPBSc",[2]OUT_TransportEnergyCons!$C$3:$C$1000))*1,[2]OUT_TransportEnergyCons!I$3:I$1000)</f>
        <v>0</v>
      </c>
      <c r="L1454" s="1" cm="1">
        <f t="array" ref="L1454">SUMPRODUCT(("T_B_c-ICEngaEXT"=[2]OUT_TransportEnergyCons!$A$3:$A$1000)*1,("var_fout"=[2]OUT_TransportEnergyCons!$B$3:$B$1000)*1,ISNUMBER(SEARCH("TPBSc",[2]OUT_TransportEnergyCons!$C$3:$C$1000))*1,[2]OUT_TransportEnergyCons!J$3:J$1000)</f>
        <v>0</v>
      </c>
      <c r="N1454" s="1"/>
    </row>
    <row r="1455" spans="2:14" x14ac:dyDescent="0.35">
      <c r="B1455" s="5" t="str">
        <f t="shared" si="1520"/>
        <v>SPS1</v>
      </c>
      <c r="C1455" s="5" t="str">
        <f t="shared" si="1521"/>
        <v>CH</v>
      </c>
      <c r="D1455" t="s">
        <v>1445</v>
      </c>
      <c r="E1455" t="str">
        <f t="shared" si="1522"/>
        <v>billion km/yr.</v>
      </c>
      <c r="F1455" s="1" cm="1">
        <f t="array" ref="F1455">SUMPRODUCT(("T_B_c-ICEnga-S1"=[1]OUT_TransportEnergyCons!$A$3:$A$1000)*1,("var_fout"=[1]OUT_TransportEnergyCons!$B$3:$B$1000)*1,ISNUMBER(SEARCH("TPBSc",[1]OUT_TransportEnergyCons!$C$3:$C$1000))*1,[1]OUT_TransportEnergyCons!D$3:D$1000)</f>
        <v>0</v>
      </c>
      <c r="G1455" s="1" cm="1">
        <f t="array" ref="G1455">SUMPRODUCT(("T_B_c-ICEnga-S1"=[1]OUT_TransportEnergyCons!$A$3:$A$1000)*1,("var_fout"=[1]OUT_TransportEnergyCons!$B$3:$B$1000)*1,ISNUMBER(SEARCH("TPBSc",[1]OUT_TransportEnergyCons!$C$3:$C$1000))*1,[1]OUT_TransportEnergyCons!E$3:E$1000)</f>
        <v>6.0072586224769788E-6</v>
      </c>
      <c r="H1455" s="1" cm="1">
        <f t="array" ref="H1455">SUMPRODUCT(("T_B_c-ICEnga-S1"=[1]OUT_TransportEnergyCons!$A$3:$A$1000)*1,("var_fout"=[1]OUT_TransportEnergyCons!$B$3:$B$1000)*1,ISNUMBER(SEARCH("TPBSc",[1]OUT_TransportEnergyCons!$C$3:$C$1000))*1,[1]OUT_TransportEnergyCons!F$3:F$1000)</f>
        <v>2.9799284591957362E-5</v>
      </c>
      <c r="I1455" s="1" cm="1">
        <f t="array" ref="I1455">SUMPRODUCT(("T_B_c-ICEnga-S1"=[1]OUT_TransportEnergyCons!$A$3:$A$1000)*1,("var_fout"=[1]OUT_TransportEnergyCons!$B$3:$B$1000)*1,ISNUMBER(SEARCH("TPBSc",[1]OUT_TransportEnergyCons!$C$3:$C$1000))*1,[1]OUT_TransportEnergyCons!G$3:G$1000)</f>
        <v>0</v>
      </c>
      <c r="J1455" s="1" cm="1">
        <f t="array" ref="J1455">SUMPRODUCT(("T_B_c-ICEnga-S1"=[2]OUT_TransportEnergyCons!$A$3:$A$1000)*1,("var_fout"=[2]OUT_TransportEnergyCons!$B$3:$B$1000)*1,ISNUMBER(SEARCH("TPBSc",[2]OUT_TransportEnergyCons!$C$3:$C$1000))*1,[2]OUT_TransportEnergyCons!H$3:H$1000)</f>
        <v>0</v>
      </c>
      <c r="K1455" s="1" cm="1">
        <f t="array" ref="K1455">SUMPRODUCT(("T_B_c-ICEnga-S1"=[2]OUT_TransportEnergyCons!$A$3:$A$1000)*1,("var_fout"=[2]OUT_TransportEnergyCons!$B$3:$B$1000)*1,ISNUMBER(SEARCH("TPBSc",[2]OUT_TransportEnergyCons!$C$3:$C$1000))*1,[2]OUT_TransportEnergyCons!I$3:I$1000)</f>
        <v>0</v>
      </c>
      <c r="L1455" s="1" cm="1">
        <f t="array" ref="L1455">SUMPRODUCT(("T_B_c-ICEnga-S1"=[2]OUT_TransportEnergyCons!$A$3:$A$1000)*1,("var_fout"=[2]OUT_TransportEnergyCons!$B$3:$B$1000)*1,ISNUMBER(SEARCH("TPBSc",[2]OUT_TransportEnergyCons!$C$3:$C$1000))*1,[2]OUT_TransportEnergyCons!J$3:J$1000)</f>
        <v>0</v>
      </c>
      <c r="N1455" s="1"/>
    </row>
    <row r="1456" spans="2:14" x14ac:dyDescent="0.35">
      <c r="B1456" s="5" t="str">
        <f t="shared" si="1520"/>
        <v>SPS1</v>
      </c>
      <c r="C1456" s="5" t="str">
        <f t="shared" si="1521"/>
        <v>CH</v>
      </c>
      <c r="D1456" t="s">
        <v>1446</v>
      </c>
      <c r="E1456" t="str">
        <f t="shared" si="1522"/>
        <v>billion km/yr.</v>
      </c>
      <c r="F1456" s="1" cm="1">
        <f t="array" ref="F1456">SUMPRODUCT(("T_B_c-ICEnga-S2"=[1]OUT_TransportEnergyCons!$A$3:$A$1000)*1,("var_fout"=[1]OUT_TransportEnergyCons!$B$3:$B$1000)*1,ISNUMBER(SEARCH("TPBSc",[1]OUT_TransportEnergyCons!$C$3:$C$1000))*1,[1]OUT_TransportEnergyCons!D$3:D$1000)</f>
        <v>0</v>
      </c>
      <c r="G1456" s="1" cm="1">
        <f t="array" ref="G1456">SUMPRODUCT(("T_B_c-ICEnga-S2"=[1]OUT_TransportEnergyCons!$A$3:$A$1000)*1,("var_fout"=[1]OUT_TransportEnergyCons!$B$3:$B$1000)*1,ISNUMBER(SEARCH("TPBSc",[1]OUT_TransportEnergyCons!$C$3:$C$1000))*1,[1]OUT_TransportEnergyCons!E$3:E$1000)</f>
        <v>1.9738142390838395E-6</v>
      </c>
      <c r="H1456" s="1" cm="1">
        <f t="array" ref="H1456">SUMPRODUCT(("T_B_c-ICEnga-S2"=[1]OUT_TransportEnergyCons!$A$3:$A$1000)*1,("var_fout"=[1]OUT_TransportEnergyCons!$B$3:$B$1000)*1,ISNUMBER(SEARCH("TPBSc",[1]OUT_TransportEnergyCons!$C$3:$C$1000))*1,[1]OUT_TransportEnergyCons!F$3:F$1000)</f>
        <v>1.5300823329025253E-5</v>
      </c>
      <c r="I1456" s="1" cm="1">
        <f t="array" ref="I1456">SUMPRODUCT(("T_B_c-ICEnga-S2"=[1]OUT_TransportEnergyCons!$A$3:$A$1000)*1,("var_fout"=[1]OUT_TransportEnergyCons!$B$3:$B$1000)*1,ISNUMBER(SEARCH("TPBSc",[1]OUT_TransportEnergyCons!$C$3:$C$1000))*1,[1]OUT_TransportEnergyCons!G$3:G$1000)</f>
        <v>0</v>
      </c>
      <c r="J1456" s="1" cm="1">
        <f t="array" ref="J1456">SUMPRODUCT(("T_B_c-ICEnga-S2"=[2]OUT_TransportEnergyCons!$A$3:$A$1000)*1,("var_fout"=[2]OUT_TransportEnergyCons!$B$3:$B$1000)*1,ISNUMBER(SEARCH("TPBSc",[2]OUT_TransportEnergyCons!$C$3:$C$1000))*1,[2]OUT_TransportEnergyCons!H$3:H$1000)</f>
        <v>0</v>
      </c>
      <c r="K1456" s="1" cm="1">
        <f t="array" ref="K1456">SUMPRODUCT(("T_B_c-ICEnga-S2"=[2]OUT_TransportEnergyCons!$A$3:$A$1000)*1,("var_fout"=[2]OUT_TransportEnergyCons!$B$3:$B$1000)*1,ISNUMBER(SEARCH("TPBSc",[2]OUT_TransportEnergyCons!$C$3:$C$1000))*1,[2]OUT_TransportEnergyCons!I$3:I$1000)</f>
        <v>0</v>
      </c>
      <c r="L1456" s="1" cm="1">
        <f t="array" ref="L1456">SUMPRODUCT(("T_B_c-ICEnga-S2"=[2]OUT_TransportEnergyCons!$A$3:$A$1000)*1,("var_fout"=[2]OUT_TransportEnergyCons!$B$3:$B$1000)*1,ISNUMBER(SEARCH("TPBSc",[2]OUT_TransportEnergyCons!$C$3:$C$1000))*1,[2]OUT_TransportEnergyCons!J$3:J$1000)</f>
        <v>0</v>
      </c>
      <c r="N1456" s="1"/>
    </row>
    <row r="1457" spans="2:14" x14ac:dyDescent="0.35">
      <c r="B1457" s="5" t="str">
        <f t="shared" si="1520"/>
        <v>SPS1</v>
      </c>
      <c r="C1457" s="5" t="str">
        <f t="shared" si="1521"/>
        <v>CH</v>
      </c>
      <c r="D1457" t="s">
        <v>1447</v>
      </c>
      <c r="E1457" t="str">
        <f t="shared" si="1522"/>
        <v>billion km/yr.</v>
      </c>
      <c r="F1457" s="1" cm="1">
        <f t="array" ref="F1457">SUMPRODUCT(("T_B_c-ICEnga-S3"=[1]OUT_TransportEnergyCons!$A$3:$A$1000)*1,("var_fout"=[1]OUT_TransportEnergyCons!$B$3:$B$1000)*1,ISNUMBER(SEARCH("TPBSc",[1]OUT_TransportEnergyCons!$C$3:$C$1000))*1,[1]OUT_TransportEnergyCons!D$3:D$1000)</f>
        <v>0</v>
      </c>
      <c r="G1457" s="1" cm="1">
        <f t="array" ref="G1457">SUMPRODUCT(("T_B_c-ICEnga-S3"=[1]OUT_TransportEnergyCons!$A$3:$A$1000)*1,("var_fout"=[1]OUT_TransportEnergyCons!$B$3:$B$1000)*1,ISNUMBER(SEARCH("TPBSc",[1]OUT_TransportEnergyCons!$C$3:$C$1000))*1,[1]OUT_TransportEnergyCons!E$3:E$1000)</f>
        <v>9.0363161801979023E-7</v>
      </c>
      <c r="H1457" s="1" cm="1">
        <f t="array" ref="H1457">SUMPRODUCT(("T_B_c-ICEnga-S3"=[1]OUT_TransportEnergyCons!$A$3:$A$1000)*1,("var_fout"=[1]OUT_TransportEnergyCons!$B$3:$B$1000)*1,ISNUMBER(SEARCH("TPBSc",[1]OUT_TransportEnergyCons!$C$3:$C$1000))*1,[1]OUT_TransportEnergyCons!F$3:F$1000)</f>
        <v>6.5306840408937762E-6</v>
      </c>
      <c r="I1457" s="1" cm="1">
        <f t="array" ref="I1457">SUMPRODUCT(("T_B_c-ICEnga-S3"=[1]OUT_TransportEnergyCons!$A$3:$A$1000)*1,("var_fout"=[1]OUT_TransportEnergyCons!$B$3:$B$1000)*1,ISNUMBER(SEARCH("TPBSc",[1]OUT_TransportEnergyCons!$C$3:$C$1000))*1,[1]OUT_TransportEnergyCons!G$3:G$1000)</f>
        <v>0</v>
      </c>
      <c r="J1457" s="1" cm="1">
        <f t="array" ref="J1457">SUMPRODUCT(("T_B_c-ICEnga-S3"=[2]OUT_TransportEnergyCons!$A$3:$A$1000)*1,("var_fout"=[2]OUT_TransportEnergyCons!$B$3:$B$1000)*1,ISNUMBER(SEARCH("TPBSc",[2]OUT_TransportEnergyCons!$C$3:$C$1000))*1,[2]OUT_TransportEnergyCons!H$3:H$1000)</f>
        <v>0</v>
      </c>
      <c r="K1457" s="1" cm="1">
        <f t="array" ref="K1457">SUMPRODUCT(("T_B_c-ICEnga-S3"=[2]OUT_TransportEnergyCons!$A$3:$A$1000)*1,("var_fout"=[2]OUT_TransportEnergyCons!$B$3:$B$1000)*1,ISNUMBER(SEARCH("TPBSc",[2]OUT_TransportEnergyCons!$C$3:$C$1000))*1,[2]OUT_TransportEnergyCons!I$3:I$1000)</f>
        <v>0</v>
      </c>
      <c r="L1457" s="1" cm="1">
        <f t="array" ref="L1457">SUMPRODUCT(("T_B_c-ICEnga-S3"=[2]OUT_TransportEnergyCons!$A$3:$A$1000)*1,("var_fout"=[2]OUT_TransportEnergyCons!$B$3:$B$1000)*1,ISNUMBER(SEARCH("TPBSc",[2]OUT_TransportEnergyCons!$C$3:$C$1000))*1,[2]OUT_TransportEnergyCons!J$3:J$1000)</f>
        <v>0</v>
      </c>
      <c r="N1457" s="1"/>
    </row>
    <row r="1458" spans="2:14" x14ac:dyDescent="0.35">
      <c r="B1458" s="5" t="str">
        <f t="shared" si="1520"/>
        <v>SPS1</v>
      </c>
      <c r="C1458" s="5" t="str">
        <f t="shared" si="1521"/>
        <v>CH</v>
      </c>
      <c r="D1458" t="s">
        <v>1448</v>
      </c>
      <c r="E1458" t="str">
        <f t="shared" si="1522"/>
        <v>billion km/yr.</v>
      </c>
      <c r="F1458" s="1" cm="1">
        <f t="array" ref="F1458">SUMPRODUCT(("T_B_c-ICEnga-S4"=[1]OUT_TransportEnergyCons!$A$3:$A$1000)*1,("var_fout"=[1]OUT_TransportEnergyCons!$B$3:$B$1000)*1,ISNUMBER(SEARCH("TPBSc",[1]OUT_TransportEnergyCons!$C$3:$C$1000))*1,[1]OUT_TransportEnergyCons!D$3:D$1000)</f>
        <v>0</v>
      </c>
      <c r="G1458" s="1" cm="1">
        <f t="array" ref="G1458">SUMPRODUCT(("T_B_c-ICEnga-S4"=[1]OUT_TransportEnergyCons!$A$3:$A$1000)*1,("var_fout"=[1]OUT_TransportEnergyCons!$B$3:$B$1000)*1,ISNUMBER(SEARCH("TPBSc",[1]OUT_TransportEnergyCons!$C$3:$C$1000))*1,[1]OUT_TransportEnergyCons!E$3:E$1000)</f>
        <v>0</v>
      </c>
      <c r="H1458" s="1" cm="1">
        <f t="array" ref="H1458">SUMPRODUCT(("T_B_c-ICEnga-S4"=[1]OUT_TransportEnergyCons!$A$3:$A$1000)*1,("var_fout"=[1]OUT_TransportEnergyCons!$B$3:$B$1000)*1,ISNUMBER(SEARCH("TPBSc",[1]OUT_TransportEnergyCons!$C$3:$C$1000))*1,[1]OUT_TransportEnergyCons!F$3:F$1000)</f>
        <v>0</v>
      </c>
      <c r="I1458" s="1" cm="1">
        <f t="array" ref="I1458">SUMPRODUCT(("T_B_c-ICEnga-S4"=[1]OUT_TransportEnergyCons!$A$3:$A$1000)*1,("var_fout"=[1]OUT_TransportEnergyCons!$B$3:$B$1000)*1,ISNUMBER(SEARCH("TPBSc",[1]OUT_TransportEnergyCons!$C$3:$C$1000))*1,[1]OUT_TransportEnergyCons!G$3:G$1000)</f>
        <v>0</v>
      </c>
      <c r="J1458" s="1" cm="1">
        <f t="array" ref="J1458">SUMPRODUCT(("T_B_c-ICEnga-S4"=[2]OUT_TransportEnergyCons!$A$3:$A$1000)*1,("var_fout"=[2]OUT_TransportEnergyCons!$B$3:$B$1000)*1,ISNUMBER(SEARCH("TPBSc",[2]OUT_TransportEnergyCons!$C$3:$C$1000))*1,[2]OUT_TransportEnergyCons!H$3:H$1000)</f>
        <v>0</v>
      </c>
      <c r="K1458" s="1" cm="1">
        <f t="array" ref="K1458">SUMPRODUCT(("T_B_c-ICEnga-S4"=[2]OUT_TransportEnergyCons!$A$3:$A$1000)*1,("var_fout"=[2]OUT_TransportEnergyCons!$B$3:$B$1000)*1,ISNUMBER(SEARCH("TPBSc",[2]OUT_TransportEnergyCons!$C$3:$C$1000))*1,[2]OUT_TransportEnergyCons!I$3:I$1000)</f>
        <v>0</v>
      </c>
      <c r="L1458" s="1" cm="1">
        <f t="array" ref="L1458">SUMPRODUCT(("T_B_c-ICEnga-S4"=[2]OUT_TransportEnergyCons!$A$3:$A$1000)*1,("var_fout"=[2]OUT_TransportEnergyCons!$B$3:$B$1000)*1,ISNUMBER(SEARCH("TPBSc",[2]OUT_TransportEnergyCons!$C$3:$C$1000))*1,[2]OUT_TransportEnergyCons!J$3:J$1000)</f>
        <v>0</v>
      </c>
      <c r="N1458" s="1"/>
    </row>
    <row r="1459" spans="2:14" x14ac:dyDescent="0.35">
      <c r="B1459" s="5" t="str">
        <f>B1458</f>
        <v>SPS1</v>
      </c>
      <c r="C1459" s="5" t="str">
        <f>C1458</f>
        <v>CH</v>
      </c>
      <c r="D1459" s="2" t="s">
        <v>1393</v>
      </c>
      <c r="E1459" s="2" t="s">
        <v>1229</v>
      </c>
      <c r="F1459" s="21" t="s">
        <v>292</v>
      </c>
      <c r="G1459" s="21" t="s">
        <v>292</v>
      </c>
      <c r="H1459" s="21" t="s">
        <v>292</v>
      </c>
      <c r="I1459" s="21" t="s">
        <v>292</v>
      </c>
      <c r="J1459" s="21" t="s">
        <v>292</v>
      </c>
      <c r="K1459" s="21" t="s">
        <v>292</v>
      </c>
      <c r="L1459" s="21" t="s">
        <v>292</v>
      </c>
      <c r="N1459" s="1"/>
    </row>
    <row r="1460" spans="2:14" x14ac:dyDescent="0.35">
      <c r="B1460" s="5" t="str">
        <f t="shared" ref="B1460:B1482" si="1523">B1459</f>
        <v>SPS1</v>
      </c>
      <c r="C1460" s="5" t="str">
        <f t="shared" ref="C1460:C1482" si="1524">C1459</f>
        <v>CH</v>
      </c>
      <c r="D1460" t="s">
        <v>1449</v>
      </c>
      <c r="E1460" t="s">
        <v>1229</v>
      </c>
      <c r="F1460" s="1" t="str">
        <f>IFERROR(F1436/F1401,"-")</f>
        <v>-</v>
      </c>
      <c r="G1460" s="1" t="str">
        <f t="shared" ref="G1460:K1460" si="1525">IFERROR(G1436/G1401,"-")</f>
        <v>-</v>
      </c>
      <c r="H1460" s="1" t="str">
        <f t="shared" si="1525"/>
        <v>-</v>
      </c>
      <c r="I1460" s="1" t="str">
        <f t="shared" si="1525"/>
        <v>-</v>
      </c>
      <c r="J1460" s="1" t="str">
        <f t="shared" si="1525"/>
        <v>-</v>
      </c>
      <c r="K1460" s="1" t="str">
        <f t="shared" si="1525"/>
        <v>-</v>
      </c>
      <c r="L1460" s="1" t="str">
        <f t="shared" ref="L1460" si="1526">IFERROR(L1436/L1401,"-")</f>
        <v>-</v>
      </c>
      <c r="N1460" s="1"/>
    </row>
    <row r="1461" spans="2:14" x14ac:dyDescent="0.35">
      <c r="B1461" s="5" t="str">
        <f t="shared" si="1523"/>
        <v>SPS1</v>
      </c>
      <c r="C1461" s="5" t="str">
        <f t="shared" si="1524"/>
        <v>CH</v>
      </c>
      <c r="D1461" t="s">
        <v>1450</v>
      </c>
      <c r="E1461" t="s">
        <v>1229</v>
      </c>
      <c r="F1461" s="1">
        <f t="shared" ref="F1461:K1461" si="1527">IFERROR(F1437/F1402,"-")</f>
        <v>0.378693217018718</v>
      </c>
      <c r="G1461" s="1">
        <f t="shared" si="1527"/>
        <v>0.38311027087926569</v>
      </c>
      <c r="H1461" s="1">
        <f t="shared" si="1527"/>
        <v>0.38891559435384182</v>
      </c>
      <c r="I1461" s="1">
        <f t="shared" si="1527"/>
        <v>0.44725954356366532</v>
      </c>
      <c r="J1461" s="1">
        <f t="shared" si="1527"/>
        <v>0.46590256136815533</v>
      </c>
      <c r="K1461" s="1">
        <f t="shared" si="1527"/>
        <v>0.47137153915774732</v>
      </c>
      <c r="L1461" s="1">
        <f t="shared" ref="L1461" si="1528">IFERROR(L1437/L1402,"-")</f>
        <v>0.52167697483539688</v>
      </c>
      <c r="N1461" s="1"/>
    </row>
    <row r="1462" spans="2:14" x14ac:dyDescent="0.35">
      <c r="B1462" s="5" t="str">
        <f t="shared" si="1523"/>
        <v>SPS1</v>
      </c>
      <c r="C1462" s="5" t="str">
        <f t="shared" si="1524"/>
        <v>CH</v>
      </c>
      <c r="D1462" t="s">
        <v>1451</v>
      </c>
      <c r="E1462" t="s">
        <v>1229</v>
      </c>
      <c r="F1462" s="1">
        <f t="shared" ref="F1462:K1462" si="1529">IFERROR(F1438/F1403,"-")</f>
        <v>0.2751807049649071</v>
      </c>
      <c r="G1462" s="1">
        <f t="shared" si="1529"/>
        <v>0.27942582145058237</v>
      </c>
      <c r="H1462" s="1">
        <f t="shared" si="1529"/>
        <v>0.28042313744556724</v>
      </c>
      <c r="I1462" s="1">
        <f t="shared" si="1529"/>
        <v>0.32316431176465416</v>
      </c>
      <c r="J1462" s="1">
        <f t="shared" si="1529"/>
        <v>0.34032249472703846</v>
      </c>
      <c r="K1462" s="1">
        <f t="shared" si="1529"/>
        <v>0.34690809628341857</v>
      </c>
      <c r="L1462" s="1">
        <f t="shared" ref="L1462" si="1530">IFERROR(L1438/L1403,"-")</f>
        <v>0.38283548883905616</v>
      </c>
      <c r="N1462" s="1"/>
    </row>
    <row r="1463" spans="2:14" x14ac:dyDescent="0.35">
      <c r="B1463" s="5" t="str">
        <f t="shared" si="1523"/>
        <v>SPS1</v>
      </c>
      <c r="C1463" s="5" t="str">
        <f t="shared" si="1524"/>
        <v>CH</v>
      </c>
      <c r="D1463" t="s">
        <v>1452</v>
      </c>
      <c r="E1463" t="s">
        <v>1229</v>
      </c>
      <c r="F1463" s="1">
        <f t="shared" ref="F1463:K1463" si="1531">IFERROR(F1439/F1404,"-")</f>
        <v>0.18297040713439883</v>
      </c>
      <c r="G1463" s="1">
        <f t="shared" si="1531"/>
        <v>0.18514867320611533</v>
      </c>
      <c r="H1463" s="1">
        <f t="shared" si="1531"/>
        <v>0.18584988488559145</v>
      </c>
      <c r="I1463" s="1">
        <f t="shared" si="1531"/>
        <v>0.19412339712361443</v>
      </c>
      <c r="J1463" s="1">
        <f t="shared" si="1531"/>
        <v>0.22627261166327803</v>
      </c>
      <c r="K1463" s="1">
        <f t="shared" si="1531"/>
        <v>0.23211090387090696</v>
      </c>
      <c r="L1463" s="1">
        <f t="shared" ref="L1463" si="1532">IFERROR(L1439/L1404,"-")</f>
        <v>0.26152120086151548</v>
      </c>
      <c r="N1463" s="1"/>
    </row>
    <row r="1464" spans="2:14" x14ac:dyDescent="0.35">
      <c r="B1464" s="5" t="str">
        <f t="shared" si="1523"/>
        <v>SPS1</v>
      </c>
      <c r="C1464" s="5" t="str">
        <f t="shared" si="1524"/>
        <v>CH</v>
      </c>
      <c r="D1464" t="s">
        <v>1453</v>
      </c>
      <c r="E1464" t="s">
        <v>1229</v>
      </c>
      <c r="F1464" s="1" t="str">
        <f t="shared" ref="F1464:K1464" si="1533">IFERROR(F1440/F1405,"-")</f>
        <v>-</v>
      </c>
      <c r="G1464" s="1">
        <f t="shared" si="1533"/>
        <v>0.12643429100140421</v>
      </c>
      <c r="H1464" s="1">
        <f t="shared" si="1533"/>
        <v>0.12927544772233363</v>
      </c>
      <c r="I1464" s="1">
        <f t="shared" si="1533"/>
        <v>0.1404020035016488</v>
      </c>
      <c r="J1464" s="1">
        <f t="shared" si="1533"/>
        <v>0.15122296270226263</v>
      </c>
      <c r="K1464" s="1">
        <f t="shared" si="1533"/>
        <v>0.15722832626400948</v>
      </c>
      <c r="L1464" s="1">
        <f t="shared" ref="L1464" si="1534">IFERROR(L1440/L1405,"-")</f>
        <v>0.17130892512700607</v>
      </c>
      <c r="N1464" s="1"/>
    </row>
    <row r="1465" spans="2:14" x14ac:dyDescent="0.35">
      <c r="B1465" s="5" t="str">
        <f t="shared" si="1523"/>
        <v>SPS1</v>
      </c>
      <c r="C1465" s="5" t="str">
        <f t="shared" si="1524"/>
        <v>CH</v>
      </c>
      <c r="D1465" t="s">
        <v>1454</v>
      </c>
      <c r="E1465" t="s">
        <v>1229</v>
      </c>
      <c r="F1465" s="1" t="str">
        <f>IFERROR(F1441/F1407,"-")</f>
        <v>-</v>
      </c>
      <c r="G1465" s="1" t="str">
        <f t="shared" ref="G1465:K1465" si="1535">IFERROR(G1441/G1407,"-")</f>
        <v>-</v>
      </c>
      <c r="H1465" s="1" t="str">
        <f t="shared" si="1535"/>
        <v>-</v>
      </c>
      <c r="I1465" s="1" t="str">
        <f t="shared" si="1535"/>
        <v>-</v>
      </c>
      <c r="J1465" s="1" t="str">
        <f t="shared" si="1535"/>
        <v>-</v>
      </c>
      <c r="K1465" s="1" t="str">
        <f t="shared" si="1535"/>
        <v>-</v>
      </c>
      <c r="L1465" s="1" t="str">
        <f t="shared" ref="L1465" si="1536">IFERROR(L1441/L1407,"-")</f>
        <v>-</v>
      </c>
      <c r="N1465" s="1"/>
    </row>
    <row r="1466" spans="2:14" x14ac:dyDescent="0.35">
      <c r="B1466" s="5" t="str">
        <f t="shared" si="1523"/>
        <v>SPS1</v>
      </c>
      <c r="C1466" s="5" t="str">
        <f t="shared" si="1524"/>
        <v>CH</v>
      </c>
      <c r="D1466" t="s">
        <v>1455</v>
      </c>
      <c r="E1466" t="s">
        <v>1229</v>
      </c>
      <c r="F1466" s="1" t="str">
        <f t="shared" ref="F1466:K1466" si="1537">IFERROR(F1442/F1408,"-")</f>
        <v>-</v>
      </c>
      <c r="G1466" s="1" t="str">
        <f t="shared" si="1537"/>
        <v>-</v>
      </c>
      <c r="H1466" s="1" t="str">
        <f t="shared" si="1537"/>
        <v>-</v>
      </c>
      <c r="I1466" s="1" t="str">
        <f t="shared" si="1537"/>
        <v>-</v>
      </c>
      <c r="J1466" s="1" t="str">
        <f t="shared" si="1537"/>
        <v>-</v>
      </c>
      <c r="K1466" s="1" t="str">
        <f t="shared" si="1537"/>
        <v>-</v>
      </c>
      <c r="L1466" s="1" t="str">
        <f t="shared" ref="L1466" si="1538">IFERROR(L1442/L1408,"-")</f>
        <v>-</v>
      </c>
      <c r="N1466" s="1"/>
    </row>
    <row r="1467" spans="2:14" x14ac:dyDescent="0.35">
      <c r="B1467" s="5" t="str">
        <f t="shared" si="1523"/>
        <v>SPS1</v>
      </c>
      <c r="C1467" s="5" t="str">
        <f t="shared" si="1524"/>
        <v>CH</v>
      </c>
      <c r="D1467" t="s">
        <v>1456</v>
      </c>
      <c r="E1467" t="s">
        <v>1229</v>
      </c>
      <c r="F1467" s="1" t="str">
        <f t="shared" ref="F1467:K1467" si="1539">IFERROR(F1443/F1409,"-")</f>
        <v>-</v>
      </c>
      <c r="G1467" s="1" t="str">
        <f t="shared" si="1539"/>
        <v>-</v>
      </c>
      <c r="H1467" s="1" t="str">
        <f t="shared" si="1539"/>
        <v>-</v>
      </c>
      <c r="I1467" s="1" t="str">
        <f t="shared" si="1539"/>
        <v>-</v>
      </c>
      <c r="J1467" s="1" t="str">
        <f t="shared" si="1539"/>
        <v>-</v>
      </c>
      <c r="K1467" s="1" t="str">
        <f t="shared" si="1539"/>
        <v>-</v>
      </c>
      <c r="L1467" s="1" t="str">
        <f t="shared" ref="L1467" si="1540">IFERROR(L1443/L1409,"-")</f>
        <v>-</v>
      </c>
      <c r="N1467" s="1"/>
    </row>
    <row r="1468" spans="2:14" x14ac:dyDescent="0.35">
      <c r="B1468" s="5" t="str">
        <f t="shared" si="1523"/>
        <v>SPS1</v>
      </c>
      <c r="C1468" s="5" t="str">
        <f t="shared" si="1524"/>
        <v>CH</v>
      </c>
      <c r="D1468" t="s">
        <v>1457</v>
      </c>
      <c r="E1468" t="s">
        <v>1229</v>
      </c>
      <c r="F1468" s="1" t="str">
        <f t="shared" ref="F1468:K1468" si="1541">IFERROR(F1444/F1410,"-")</f>
        <v>-</v>
      </c>
      <c r="G1468" s="1" t="str">
        <f t="shared" si="1541"/>
        <v>-</v>
      </c>
      <c r="H1468" s="1" t="str">
        <f t="shared" si="1541"/>
        <v>-</v>
      </c>
      <c r="I1468" s="1" t="str">
        <f t="shared" si="1541"/>
        <v>-</v>
      </c>
      <c r="J1468" s="1" t="str">
        <f t="shared" si="1541"/>
        <v>-</v>
      </c>
      <c r="K1468" s="1" t="str">
        <f t="shared" si="1541"/>
        <v>-</v>
      </c>
      <c r="L1468" s="1" t="str">
        <f t="shared" ref="L1468" si="1542">IFERROR(L1444/L1410,"-")</f>
        <v>-</v>
      </c>
      <c r="N1468" s="1"/>
    </row>
    <row r="1469" spans="2:14" x14ac:dyDescent="0.35">
      <c r="B1469" s="5" t="str">
        <f t="shared" si="1523"/>
        <v>SPS1</v>
      </c>
      <c r="C1469" s="5" t="str">
        <f t="shared" si="1524"/>
        <v>CH</v>
      </c>
      <c r="D1469" t="s">
        <v>1458</v>
      </c>
      <c r="E1469" t="s">
        <v>1229</v>
      </c>
      <c r="F1469" s="1" t="str">
        <f>IFERROR(F1445/F1416,"-")</f>
        <v>-</v>
      </c>
      <c r="G1469" s="1">
        <f t="shared" ref="G1469:K1469" si="1543">IFERROR(G1445/G1416,"-")</f>
        <v>0.16251369968883855</v>
      </c>
      <c r="H1469" s="1">
        <f t="shared" si="1543"/>
        <v>0.16315047453474976</v>
      </c>
      <c r="I1469" s="1">
        <f t="shared" si="1543"/>
        <v>0.17496624648235184</v>
      </c>
      <c r="J1469" s="1">
        <f t="shared" si="1543"/>
        <v>0.19322332427607972</v>
      </c>
      <c r="K1469" s="1">
        <f t="shared" si="1543"/>
        <v>0.20098668307104445</v>
      </c>
      <c r="L1469" s="1">
        <f t="shared" ref="L1469" si="1544">IFERROR(L1445/L1416,"-")</f>
        <v>0.22139034696192791</v>
      </c>
      <c r="N1469" s="1"/>
    </row>
    <row r="1470" spans="2:14" x14ac:dyDescent="0.35">
      <c r="B1470" s="5" t="str">
        <f t="shared" si="1523"/>
        <v>SPS1</v>
      </c>
      <c r="C1470" s="5" t="str">
        <f t="shared" si="1524"/>
        <v>CH</v>
      </c>
      <c r="D1470" t="s">
        <v>1459</v>
      </c>
      <c r="E1470" t="s">
        <v>1229</v>
      </c>
      <c r="F1470" s="1" t="str">
        <f t="shared" ref="F1470:K1470" si="1545">IFERROR(F1446/F1417,"-")</f>
        <v>-</v>
      </c>
      <c r="G1470" s="1">
        <f t="shared" si="1545"/>
        <v>0.11649393435744133</v>
      </c>
      <c r="H1470" s="1">
        <f t="shared" si="1545"/>
        <v>0.12234044252674703</v>
      </c>
      <c r="I1470" s="1">
        <f t="shared" si="1545"/>
        <v>0.1298377389218878</v>
      </c>
      <c r="J1470" s="1">
        <f t="shared" si="1545"/>
        <v>0.13109226392043963</v>
      </c>
      <c r="K1470" s="1">
        <f t="shared" si="1545"/>
        <v>0.14276636914541591</v>
      </c>
      <c r="L1470" s="1">
        <f t="shared" ref="L1470" si="1546">IFERROR(L1446/L1417,"-")</f>
        <v>0.14686111689112261</v>
      </c>
      <c r="N1470" s="1"/>
    </row>
    <row r="1471" spans="2:14" x14ac:dyDescent="0.35">
      <c r="B1471" s="5" t="str">
        <f t="shared" si="1523"/>
        <v>SPS1</v>
      </c>
      <c r="C1471" s="5" t="str">
        <f t="shared" si="1524"/>
        <v>CH</v>
      </c>
      <c r="D1471" t="s">
        <v>1460</v>
      </c>
      <c r="E1471" t="s">
        <v>1229</v>
      </c>
      <c r="F1471" s="1" t="str">
        <f t="shared" ref="F1471:K1471" si="1547">IFERROR(F1447/F1418,"-")</f>
        <v>-</v>
      </c>
      <c r="G1471" s="1">
        <f t="shared" si="1547"/>
        <v>7.8235828164578899E-2</v>
      </c>
      <c r="H1471" s="1">
        <f t="shared" si="1547"/>
        <v>8.2094073830131009E-2</v>
      </c>
      <c r="I1471" s="1">
        <f t="shared" si="1547"/>
        <v>8.8631569032312146E-2</v>
      </c>
      <c r="J1471" s="1">
        <f t="shared" si="1547"/>
        <v>8.9887682952926221E-2</v>
      </c>
      <c r="K1471" s="1">
        <f t="shared" si="1547"/>
        <v>9.7521518938314011E-2</v>
      </c>
      <c r="L1471" s="1">
        <f t="shared" ref="L1471" si="1548">IFERROR(L1447/L1418,"-")</f>
        <v>0.10237165446164677</v>
      </c>
      <c r="N1471" s="1"/>
    </row>
    <row r="1472" spans="2:14" x14ac:dyDescent="0.35">
      <c r="B1472" s="5" t="str">
        <f t="shared" si="1523"/>
        <v>SPS1</v>
      </c>
      <c r="C1472" s="5" t="str">
        <f t="shared" si="1524"/>
        <v>CH</v>
      </c>
      <c r="D1472" t="s">
        <v>1461</v>
      </c>
      <c r="E1472" t="s">
        <v>1229</v>
      </c>
      <c r="F1472" s="1" t="str">
        <f t="shared" ref="F1472:K1472" si="1549">IFERROR(F1448/F1419,"-")</f>
        <v>-</v>
      </c>
      <c r="G1472" s="1">
        <f t="shared" si="1549"/>
        <v>5.2751439830497827E-2</v>
      </c>
      <c r="H1472" s="1">
        <f t="shared" si="1549"/>
        <v>5.374537949554626E-2</v>
      </c>
      <c r="I1472" s="1">
        <f t="shared" si="1549"/>
        <v>5.9918127796354935E-2</v>
      </c>
      <c r="J1472" s="1">
        <f t="shared" si="1549"/>
        <v>6.3139855374375137E-2</v>
      </c>
      <c r="K1472" s="1">
        <f t="shared" si="1549"/>
        <v>6.5455221434225483E-2</v>
      </c>
      <c r="L1472" s="1">
        <f t="shared" ref="L1472" si="1550">IFERROR(L1448/L1419,"-")</f>
        <v>7.2234378591820234E-2</v>
      </c>
      <c r="N1472" s="1"/>
    </row>
    <row r="1473" spans="2:14" x14ac:dyDescent="0.35">
      <c r="B1473" s="5" t="str">
        <f t="shared" si="1523"/>
        <v>SPS1</v>
      </c>
      <c r="C1473" s="5" t="str">
        <f t="shared" si="1524"/>
        <v>CH</v>
      </c>
      <c r="D1473" t="s">
        <v>2117</v>
      </c>
      <c r="E1473" t="s">
        <v>1229</v>
      </c>
      <c r="F1473" s="1">
        <f>IFERROR(F1449/F1420,"-")</f>
        <v>9.9502495941956663</v>
      </c>
      <c r="G1473" s="1">
        <f t="shared" ref="G1473:K1473" si="1551">IFERROR(G1449/G1420,"-")</f>
        <v>7.9797266512003144</v>
      </c>
      <c r="H1473" s="1">
        <f t="shared" si="1551"/>
        <v>5.0239422367072892</v>
      </c>
      <c r="I1473" s="1" t="str">
        <f t="shared" si="1551"/>
        <v>-</v>
      </c>
      <c r="J1473" s="1" t="str">
        <f t="shared" si="1551"/>
        <v>-</v>
      </c>
      <c r="K1473" s="1" t="str">
        <f t="shared" si="1551"/>
        <v>-</v>
      </c>
      <c r="L1473" s="1" t="str">
        <f t="shared" ref="L1473" si="1552">IFERROR(L1449/L1420,"-")</f>
        <v>-</v>
      </c>
      <c r="N1473" s="1"/>
    </row>
    <row r="1474" spans="2:14" x14ac:dyDescent="0.35">
      <c r="B1474" s="5" t="str">
        <f t="shared" si="1523"/>
        <v>SPS1</v>
      </c>
      <c r="C1474" s="5" t="str">
        <f t="shared" si="1524"/>
        <v>CH</v>
      </c>
      <c r="D1474" t="s">
        <v>1462</v>
      </c>
      <c r="E1474" t="s">
        <v>1229</v>
      </c>
      <c r="F1474" s="1">
        <f t="shared" ref="F1474:K1474" si="1553">IFERROR(F1450/F1421,"-")</f>
        <v>0.12391916748597498</v>
      </c>
      <c r="G1474" s="1">
        <f t="shared" si="1553"/>
        <v>0.126676497443969</v>
      </c>
      <c r="H1474" s="1">
        <f t="shared" si="1553"/>
        <v>0.12827437422135315</v>
      </c>
      <c r="I1474" s="1" t="str">
        <f t="shared" si="1553"/>
        <v>-</v>
      </c>
      <c r="J1474" s="1" t="str">
        <f t="shared" si="1553"/>
        <v>-</v>
      </c>
      <c r="K1474" s="1" t="str">
        <f t="shared" si="1553"/>
        <v>-</v>
      </c>
      <c r="L1474" s="1" t="str">
        <f t="shared" ref="L1474" si="1554">IFERROR(L1450/L1421,"-")</f>
        <v>-</v>
      </c>
      <c r="N1474" s="1"/>
    </row>
    <row r="1475" spans="2:14" x14ac:dyDescent="0.35">
      <c r="B1475" s="5" t="str">
        <f t="shared" si="1523"/>
        <v>SPS1</v>
      </c>
      <c r="C1475" s="5" t="str">
        <f t="shared" si="1524"/>
        <v>CH</v>
      </c>
      <c r="D1475" t="s">
        <v>1463</v>
      </c>
      <c r="E1475" t="s">
        <v>1229</v>
      </c>
      <c r="F1475" s="1">
        <f t="shared" ref="F1475:K1475" si="1555">IFERROR(F1451/F1422,"-")</f>
        <v>8.7465847585616527E-2</v>
      </c>
      <c r="G1475" s="1">
        <f t="shared" si="1555"/>
        <v>8.7815618576156856E-2</v>
      </c>
      <c r="H1475" s="1">
        <f t="shared" si="1555"/>
        <v>8.7814361585798764E-2</v>
      </c>
      <c r="I1475" s="1" t="str">
        <f t="shared" si="1555"/>
        <v>-</v>
      </c>
      <c r="J1475" s="1" t="str">
        <f t="shared" si="1555"/>
        <v>-</v>
      </c>
      <c r="K1475" s="1" t="str">
        <f t="shared" si="1555"/>
        <v>-</v>
      </c>
      <c r="L1475" s="1" t="str">
        <f t="shared" ref="L1475" si="1556">IFERROR(L1451/L1422,"-")</f>
        <v>-</v>
      </c>
      <c r="N1475" s="1"/>
    </row>
    <row r="1476" spans="2:14" x14ac:dyDescent="0.35">
      <c r="B1476" s="5" t="str">
        <f t="shared" si="1523"/>
        <v>SPS1</v>
      </c>
      <c r="C1476" s="5" t="str">
        <f t="shared" si="1524"/>
        <v>CH</v>
      </c>
      <c r="D1476" t="s">
        <v>1464</v>
      </c>
      <c r="E1476" t="s">
        <v>1229</v>
      </c>
      <c r="F1476" s="1">
        <f t="shared" ref="F1476:K1476" si="1557">IFERROR(F1452/F1423,"-")</f>
        <v>5.7949527986548469E-2</v>
      </c>
      <c r="G1476" s="1">
        <f t="shared" si="1557"/>
        <v>5.8181108083566975E-2</v>
      </c>
      <c r="H1476" s="1">
        <f t="shared" si="1557"/>
        <v>5.8147375100769956E-2</v>
      </c>
      <c r="I1476" s="1" t="str">
        <f t="shared" si="1557"/>
        <v>-</v>
      </c>
      <c r="J1476" s="1" t="str">
        <f t="shared" si="1557"/>
        <v>-</v>
      </c>
      <c r="K1476" s="1" t="str">
        <f t="shared" si="1557"/>
        <v>-</v>
      </c>
      <c r="L1476" s="1" t="str">
        <f t="shared" ref="L1476" si="1558">IFERROR(L1452/L1423,"-")</f>
        <v>-</v>
      </c>
      <c r="N1476" s="1"/>
    </row>
    <row r="1477" spans="2:14" x14ac:dyDescent="0.35">
      <c r="B1477" s="5" t="str">
        <f t="shared" si="1523"/>
        <v>SPS1</v>
      </c>
      <c r="C1477" s="5" t="str">
        <f t="shared" si="1524"/>
        <v>CH</v>
      </c>
      <c r="D1477" t="s">
        <v>1465</v>
      </c>
      <c r="E1477" t="s">
        <v>1229</v>
      </c>
      <c r="F1477" s="1">
        <f t="shared" ref="F1477:K1477" si="1559">IFERROR(F1453/F1424,"-")</f>
        <v>3.8646481387947476E-2</v>
      </c>
      <c r="G1477" s="1" t="str">
        <f t="shared" si="1559"/>
        <v>-</v>
      </c>
      <c r="H1477" s="1">
        <f t="shared" si="1559"/>
        <v>3.886269062671184E-2</v>
      </c>
      <c r="I1477" s="1" t="str">
        <f t="shared" si="1559"/>
        <v>-</v>
      </c>
      <c r="J1477" s="1" t="str">
        <f t="shared" si="1559"/>
        <v>-</v>
      </c>
      <c r="K1477" s="1" t="str">
        <f t="shared" si="1559"/>
        <v>-</v>
      </c>
      <c r="L1477" s="1" t="str">
        <f t="shared" ref="L1477" si="1560">IFERROR(L1453/L1424,"-")</f>
        <v>-</v>
      </c>
      <c r="N1477" s="1"/>
    </row>
    <row r="1478" spans="2:14" x14ac:dyDescent="0.35">
      <c r="B1478" s="5" t="str">
        <f t="shared" si="1523"/>
        <v>SPS1</v>
      </c>
      <c r="C1478" s="5" t="str">
        <f t="shared" si="1524"/>
        <v>CH</v>
      </c>
      <c r="D1478" t="s">
        <v>2120</v>
      </c>
      <c r="E1478" t="s">
        <v>1229</v>
      </c>
      <c r="F1478" s="1">
        <f>IFERROR(F1454/F1430,"-")</f>
        <v>9.9502495941956486</v>
      </c>
      <c r="G1478" s="1">
        <f t="shared" ref="G1478:K1478" si="1561">IFERROR(G1454/G1430,"-")</f>
        <v>7.9767976048237488</v>
      </c>
      <c r="H1478" s="1">
        <f t="shared" si="1561"/>
        <v>5.0166196207658729</v>
      </c>
      <c r="I1478" s="1" t="str">
        <f t="shared" si="1561"/>
        <v>-</v>
      </c>
      <c r="J1478" s="1" t="str">
        <f t="shared" si="1561"/>
        <v>-</v>
      </c>
      <c r="K1478" s="1" t="str">
        <f t="shared" si="1561"/>
        <v>-</v>
      </c>
      <c r="L1478" s="1" t="str">
        <f t="shared" ref="L1478" si="1562">IFERROR(L1454/L1430,"-")</f>
        <v>-</v>
      </c>
      <c r="N1478" s="1"/>
    </row>
    <row r="1479" spans="2:14" x14ac:dyDescent="0.35">
      <c r="B1479" s="5" t="str">
        <f t="shared" si="1523"/>
        <v>SPS1</v>
      </c>
      <c r="C1479" s="5" t="str">
        <f t="shared" si="1524"/>
        <v>CH</v>
      </c>
      <c r="D1479" t="s">
        <v>1466</v>
      </c>
      <c r="E1479" t="s">
        <v>1229</v>
      </c>
      <c r="F1479" s="1" t="str">
        <f t="shared" ref="F1479:K1479" si="1563">IFERROR(F1455/F1431,"-")</f>
        <v>-</v>
      </c>
      <c r="G1479" s="1">
        <f t="shared" si="1563"/>
        <v>0.12023751974847223</v>
      </c>
      <c r="H1479" s="1">
        <f t="shared" si="1563"/>
        <v>0.12510229600828085</v>
      </c>
      <c r="I1479" s="1" t="str">
        <f t="shared" si="1563"/>
        <v>-</v>
      </c>
      <c r="J1479" s="1" t="str">
        <f t="shared" si="1563"/>
        <v>-</v>
      </c>
      <c r="K1479" s="1" t="str">
        <f t="shared" si="1563"/>
        <v>-</v>
      </c>
      <c r="L1479" s="1" t="str">
        <f t="shared" ref="L1479" si="1564">IFERROR(L1455/L1431,"-")</f>
        <v>-</v>
      </c>
      <c r="N1479" s="1"/>
    </row>
    <row r="1480" spans="2:14" x14ac:dyDescent="0.35">
      <c r="B1480" s="5" t="str">
        <f t="shared" si="1523"/>
        <v>SPS1</v>
      </c>
      <c r="C1480" s="5" t="str">
        <f t="shared" si="1524"/>
        <v>CH</v>
      </c>
      <c r="D1480" t="s">
        <v>1467</v>
      </c>
      <c r="E1480" t="s">
        <v>1229</v>
      </c>
      <c r="F1480" s="1" t="str">
        <f t="shared" ref="F1480:K1480" si="1565">IFERROR(F1456/F1432,"-")</f>
        <v>-</v>
      </c>
      <c r="G1480" s="1">
        <f t="shared" si="1565"/>
        <v>8.4998076233608819E-2</v>
      </c>
      <c r="H1480" s="1">
        <f t="shared" si="1565"/>
        <v>8.8591000003002851E-2</v>
      </c>
      <c r="I1480" s="1" t="str">
        <f t="shared" si="1565"/>
        <v>-</v>
      </c>
      <c r="J1480" s="1" t="str">
        <f t="shared" si="1565"/>
        <v>-</v>
      </c>
      <c r="K1480" s="1" t="str">
        <f t="shared" si="1565"/>
        <v>-</v>
      </c>
      <c r="L1480" s="1" t="str">
        <f t="shared" ref="L1480" si="1566">IFERROR(L1456/L1432,"-")</f>
        <v>-</v>
      </c>
      <c r="N1480" s="1"/>
    </row>
    <row r="1481" spans="2:14" x14ac:dyDescent="0.35">
      <c r="B1481" s="5" t="str">
        <f t="shared" si="1523"/>
        <v>SPS1</v>
      </c>
      <c r="C1481" s="5" t="str">
        <f t="shared" si="1524"/>
        <v>CH</v>
      </c>
      <c r="D1481" t="s">
        <v>1468</v>
      </c>
      <c r="E1481" t="s">
        <v>1229</v>
      </c>
      <c r="F1481" s="1" t="str">
        <f t="shared" ref="F1481:K1481" si="1567">IFERROR(F1457/F1433,"-")</f>
        <v>-</v>
      </c>
      <c r="G1481" s="1">
        <f t="shared" si="1567"/>
        <v>5.642213346123711E-2</v>
      </c>
      <c r="H1481" s="1">
        <f t="shared" si="1567"/>
        <v>5.879369473758355E-2</v>
      </c>
      <c r="I1481" s="1" t="str">
        <f t="shared" si="1567"/>
        <v>-</v>
      </c>
      <c r="J1481" s="1" t="str">
        <f t="shared" si="1567"/>
        <v>-</v>
      </c>
      <c r="K1481" s="1" t="str">
        <f t="shared" si="1567"/>
        <v>-</v>
      </c>
      <c r="L1481" s="1" t="str">
        <f t="shared" ref="L1481" si="1568">IFERROR(L1457/L1433,"-")</f>
        <v>-</v>
      </c>
      <c r="N1481" s="1"/>
    </row>
    <row r="1482" spans="2:14" x14ac:dyDescent="0.35">
      <c r="B1482" s="5" t="str">
        <f t="shared" si="1523"/>
        <v>SPS1</v>
      </c>
      <c r="C1482" s="5" t="str">
        <f t="shared" si="1524"/>
        <v>CH</v>
      </c>
      <c r="D1482" t="s">
        <v>1469</v>
      </c>
      <c r="E1482" t="s">
        <v>1229</v>
      </c>
      <c r="F1482" s="1" t="str">
        <f t="shared" ref="F1482:K1482" si="1569">IFERROR(F1458/F1434,"-")</f>
        <v>-</v>
      </c>
      <c r="G1482" s="1" t="str">
        <f t="shared" si="1569"/>
        <v>-</v>
      </c>
      <c r="H1482" s="1" t="str">
        <f t="shared" si="1569"/>
        <v>-</v>
      </c>
      <c r="I1482" s="1" t="str">
        <f t="shared" si="1569"/>
        <v>-</v>
      </c>
      <c r="J1482" s="1" t="str">
        <f t="shared" si="1569"/>
        <v>-</v>
      </c>
      <c r="K1482" s="1" t="str">
        <f t="shared" si="1569"/>
        <v>-</v>
      </c>
      <c r="L1482" s="1" t="str">
        <f t="shared" ref="L1482" si="1570">IFERROR(L1458/L1434,"-")</f>
        <v>-</v>
      </c>
      <c r="N1482" s="1"/>
    </row>
    <row r="1483" spans="2:14" x14ac:dyDescent="0.35">
      <c r="B1483" s="9" t="str">
        <f>B1482</f>
        <v>SPS1</v>
      </c>
      <c r="C1483" s="9" t="str">
        <f>C1482</f>
        <v>CH</v>
      </c>
      <c r="D1483" s="2" t="s">
        <v>1473</v>
      </c>
      <c r="E1483" s="2" t="s">
        <v>8</v>
      </c>
      <c r="F1483" s="3">
        <f>F1484</f>
        <v>0.2816422643485601</v>
      </c>
      <c r="G1483" s="3">
        <f t="shared" ref="G1483:L1483" si="1571">G1484</f>
        <v>0.30668648626079364</v>
      </c>
      <c r="H1483" s="3">
        <f t="shared" si="1571"/>
        <v>0.35149986092475399</v>
      </c>
      <c r="I1483" s="3">
        <f t="shared" si="1571"/>
        <v>0.45078090930791764</v>
      </c>
      <c r="J1483" s="3">
        <f t="shared" si="1571"/>
        <v>0.45958965891661224</v>
      </c>
      <c r="K1483" s="3">
        <f t="shared" si="1571"/>
        <v>0.47237229295618205</v>
      </c>
      <c r="L1483" s="3">
        <f t="shared" si="1571"/>
        <v>0.48809144422268363</v>
      </c>
      <c r="N1483" s="1"/>
    </row>
    <row r="1484" spans="2:14" x14ac:dyDescent="0.35">
      <c r="B1484" s="5" t="str">
        <f>B1483</f>
        <v>SPS1</v>
      </c>
      <c r="C1484" s="5" t="str">
        <f>C1483</f>
        <v>CH</v>
      </c>
      <c r="D1484" t="s">
        <v>1474</v>
      </c>
      <c r="E1484" t="s">
        <v>8</v>
      </c>
      <c r="F1484" s="1">
        <f>F1485</f>
        <v>0.2816422643485601</v>
      </c>
      <c r="G1484" s="1">
        <f t="shared" ref="G1484:L1484" si="1572">G1485</f>
        <v>0.30668648626079364</v>
      </c>
      <c r="H1484" s="1">
        <f t="shared" si="1572"/>
        <v>0.35149986092475399</v>
      </c>
      <c r="I1484" s="1">
        <f t="shared" si="1572"/>
        <v>0.45078090930791764</v>
      </c>
      <c r="J1484" s="1">
        <f t="shared" si="1572"/>
        <v>0.45958965891661224</v>
      </c>
      <c r="K1484" s="1">
        <f t="shared" si="1572"/>
        <v>0.47237229295618205</v>
      </c>
      <c r="L1484" s="1">
        <f t="shared" si="1572"/>
        <v>0.48809144422268363</v>
      </c>
      <c r="N1484" s="1"/>
    </row>
    <row r="1485" spans="2:14" x14ac:dyDescent="0.35">
      <c r="B1485" s="5" t="str">
        <f t="shared" ref="B1485" si="1573">B1484</f>
        <v>SPS1</v>
      </c>
      <c r="C1485" s="5" t="str">
        <f t="shared" ref="C1485" si="1574">C1484</f>
        <v>CH</v>
      </c>
      <c r="D1485" t="s">
        <v>1475</v>
      </c>
      <c r="E1485" t="s">
        <v>8</v>
      </c>
      <c r="F1485" s="1" cm="1">
        <f t="array" ref="F1485">SUMPRODUCT(("T_TRLY_ELC"=[1]OUT_TransportEnergyCons!$A$3:$A$1000)*1,("Var_Fin"=[1]OUT_TransportEnergyCons!$B$3:$B$1000)*1,ISNUMBER(SEARCH("ELC",[1]OUT_TransportEnergyCons!$C$3:$C$1000))*1,[1]OUT_TransportEnergyCons!D$3:D$1000)</f>
        <v>0.2816422643485601</v>
      </c>
      <c r="G1485" s="1" cm="1">
        <f t="array" ref="G1485">SUMPRODUCT(("T_TRLY_ELC"=[1]OUT_TransportEnergyCons!$A$3:$A$1000)*1,("Var_Fin"=[1]OUT_TransportEnergyCons!$B$3:$B$1000)*1,ISNUMBER(SEARCH("ELC",[1]OUT_TransportEnergyCons!$C$3:$C$1000))*1,[1]OUT_TransportEnergyCons!E$3:E$1000)</f>
        <v>0.30668648626079364</v>
      </c>
      <c r="H1485" s="1" cm="1">
        <f t="array" ref="H1485">SUMPRODUCT(("T_TRLY_ELC"=[1]OUT_TransportEnergyCons!$A$3:$A$1000)*1,("Var_Fin"=[1]OUT_TransportEnergyCons!$B$3:$B$1000)*1,ISNUMBER(SEARCH("ELC",[1]OUT_TransportEnergyCons!$C$3:$C$1000))*1,[1]OUT_TransportEnergyCons!F$3:F$1000)</f>
        <v>0.35149986092475399</v>
      </c>
      <c r="I1485" s="1" cm="1">
        <f t="array" ref="I1485">SUMPRODUCT(("T_TRLY_ELC"=[1]OUT_TransportEnergyCons!$A$3:$A$1000)*1,("Var_Fin"=[1]OUT_TransportEnergyCons!$B$3:$B$1000)*1,ISNUMBER(SEARCH("ELC",[1]OUT_TransportEnergyCons!$C$3:$C$1000))*1,[1]OUT_TransportEnergyCons!G$3:G$1000)</f>
        <v>0.45078090930791764</v>
      </c>
      <c r="J1485" s="1" cm="1">
        <f t="array" ref="J1485">SUMPRODUCT(("T_TRLY_ELC"=[2]OUT_TransportEnergyCons!$A$3:$A$1000)*1,("Var_Fin"=[2]OUT_TransportEnergyCons!$B$3:$B$1000)*1,ISNUMBER(SEARCH("ELC",[2]OUT_TransportEnergyCons!$C$3:$C$1000))*1,[2]OUT_TransportEnergyCons!H$3:H$1000)</f>
        <v>0.45958965891661224</v>
      </c>
      <c r="K1485" s="1" cm="1">
        <f t="array" ref="K1485">SUMPRODUCT(("T_TRLY_ELC"=[2]OUT_TransportEnergyCons!$A$3:$A$1000)*1,("Var_Fin"=[2]OUT_TransportEnergyCons!$B$3:$B$1000)*1,ISNUMBER(SEARCH("ELC",[2]OUT_TransportEnergyCons!$C$3:$C$1000))*1,[2]OUT_TransportEnergyCons!I$3:I$1000)</f>
        <v>0.47237229295618205</v>
      </c>
      <c r="L1485" s="1" cm="1">
        <f t="array" ref="L1485">SUMPRODUCT(("T_TRLY_ELC"=[2]OUT_TransportEnergyCons!$A$3:$A$1000)*1,("Var_Fin"=[2]OUT_TransportEnergyCons!$B$3:$B$1000)*1,ISNUMBER(SEARCH("ELC",[2]OUT_TransportEnergyCons!$C$3:$C$1000))*1,[2]OUT_TransportEnergyCons!J$3:J$1000)</f>
        <v>0.48809144422268363</v>
      </c>
      <c r="N1485" s="1"/>
    </row>
    <row r="1486" spans="2:14" x14ac:dyDescent="0.35">
      <c r="B1486" s="9" t="str">
        <f t="shared" ref="B1486:C1489" si="1575">B1485</f>
        <v>SPS1</v>
      </c>
      <c r="C1486" s="9" t="str">
        <f t="shared" si="1575"/>
        <v>CH</v>
      </c>
      <c r="D1486" s="2" t="s">
        <v>1478</v>
      </c>
      <c r="E1486" s="2" t="s">
        <v>1131</v>
      </c>
      <c r="F1486" s="3">
        <f>F1487</f>
        <v>2.7120999999999972E-2</v>
      </c>
      <c r="G1486" s="3">
        <f t="shared" ref="G1486:L1486" si="1576">G1487</f>
        <v>2.7782165745480814E-2</v>
      </c>
      <c r="H1486" s="3">
        <f t="shared" si="1576"/>
        <v>2.8832315767707572E-2</v>
      </c>
      <c r="I1486" s="3">
        <f t="shared" si="1576"/>
        <v>3.0543631535415186E-2</v>
      </c>
      <c r="J1486" s="3">
        <f t="shared" si="1576"/>
        <v>3.1140487340042711E-2</v>
      </c>
      <c r="K1486" s="3">
        <f t="shared" si="1576"/>
        <v>3.2006602244411902E-2</v>
      </c>
      <c r="L1486" s="3">
        <f t="shared" si="1576"/>
        <v>3.3071687199031169E-2</v>
      </c>
      <c r="N1486" s="1"/>
    </row>
    <row r="1487" spans="2:14" x14ac:dyDescent="0.35">
      <c r="B1487" s="5" t="str">
        <f t="shared" si="1575"/>
        <v>SPS1</v>
      </c>
      <c r="C1487" s="5" t="str">
        <f t="shared" si="1575"/>
        <v>CH</v>
      </c>
      <c r="D1487" t="s">
        <v>1479</v>
      </c>
      <c r="E1487" t="s">
        <v>1131</v>
      </c>
      <c r="F1487" s="1" cm="1">
        <f t="array" ref="F1487">SUMPRODUCT(("T_TRLY_ELC"=[1]OUT_TransportEnergyCons!$A$3:$A$1000)*1,("Var_Fout"=[1]OUT_TransportEnergyCons!$B$3:$B$1000)*1,ISNUMBER(SEARCH("tptrly",[1]OUT_TransportEnergyCons!$C$3:$C$1000))*1,[1]OUT_TransportEnergyCons!D$3:D$1000)</f>
        <v>2.7120999999999972E-2</v>
      </c>
      <c r="G1487" s="1" cm="1">
        <f t="array" ref="G1487">SUMPRODUCT(("T_TRLY_ELC"=[1]OUT_TransportEnergyCons!$A$3:$A$1000)*1,("Var_Fout"=[1]OUT_TransportEnergyCons!$B$3:$B$1000)*1,ISNUMBER(SEARCH("tptrly",[1]OUT_TransportEnergyCons!$C$3:$C$1000))*1,[1]OUT_TransportEnergyCons!E$3:E$1000)</f>
        <v>2.7782165745480814E-2</v>
      </c>
      <c r="H1487" s="1" cm="1">
        <f t="array" ref="H1487">SUMPRODUCT(("T_TRLY_ELC"=[1]OUT_TransportEnergyCons!$A$3:$A$1000)*1,("Var_Fout"=[1]OUT_TransportEnergyCons!$B$3:$B$1000)*1,ISNUMBER(SEARCH("tptrly",[1]OUT_TransportEnergyCons!$C$3:$C$1000))*1,[1]OUT_TransportEnergyCons!F$3:F$1000)</f>
        <v>2.8832315767707572E-2</v>
      </c>
      <c r="I1487" s="1" cm="1">
        <f t="array" ref="I1487">SUMPRODUCT(("T_TRLY_ELC"=[1]OUT_TransportEnergyCons!$A$3:$A$1000)*1,("Var_Fout"=[1]OUT_TransportEnergyCons!$B$3:$B$1000)*1,ISNUMBER(SEARCH("tptrly",[1]OUT_TransportEnergyCons!$C$3:$C$1000))*1,[1]OUT_TransportEnergyCons!G$3:G$1000)</f>
        <v>3.0543631535415186E-2</v>
      </c>
      <c r="J1487" s="1" cm="1">
        <f t="array" ref="J1487">SUMPRODUCT(("T_TRLY_ELC"=[2]OUT_TransportEnergyCons!$A$3:$A$1000)*1,("Var_Fout"=[2]OUT_TransportEnergyCons!$B$3:$B$1000)*1,ISNUMBER(SEARCH("tptrly",[2]OUT_TransportEnergyCons!$C$3:$C$1000))*1,[2]OUT_TransportEnergyCons!H$3:H$1000)</f>
        <v>3.1140487340042711E-2</v>
      </c>
      <c r="K1487" s="1" cm="1">
        <f t="array" ref="K1487">SUMPRODUCT(("T_TRLY_ELC"=[2]OUT_TransportEnergyCons!$A$3:$A$1000)*1,("Var_Fout"=[2]OUT_TransportEnergyCons!$B$3:$B$1000)*1,ISNUMBER(SEARCH("tptrly",[2]OUT_TransportEnergyCons!$C$3:$C$1000))*1,[2]OUT_TransportEnergyCons!I$3:I$1000)</f>
        <v>3.2006602244411902E-2</v>
      </c>
      <c r="L1487" s="1" cm="1">
        <f t="array" ref="L1487">SUMPRODUCT(("T_TRLY_ELC"=[2]OUT_TransportEnergyCons!$A$3:$A$1000)*1,("Var_Fout"=[2]OUT_TransportEnergyCons!$B$3:$B$1000)*1,ISNUMBER(SEARCH("tptrly",[2]OUT_TransportEnergyCons!$C$3:$C$1000))*1,[2]OUT_TransportEnergyCons!J$3:J$1000)</f>
        <v>3.3071687199031169E-2</v>
      </c>
      <c r="N1487" s="1"/>
    </row>
    <row r="1488" spans="2:14" x14ac:dyDescent="0.35">
      <c r="B1488" s="9" t="str">
        <f t="shared" si="1575"/>
        <v>SPS1</v>
      </c>
      <c r="C1488" s="9" t="str">
        <f t="shared" si="1575"/>
        <v>CH</v>
      </c>
      <c r="D1488" s="2" t="s">
        <v>1480</v>
      </c>
      <c r="E1488" s="2" t="s">
        <v>1229</v>
      </c>
      <c r="F1488" s="1" t="s">
        <v>292</v>
      </c>
      <c r="G1488" s="1" t="s">
        <v>292</v>
      </c>
      <c r="H1488" s="1" t="s">
        <v>292</v>
      </c>
      <c r="I1488" s="1" t="s">
        <v>292</v>
      </c>
      <c r="J1488" s="1" t="s">
        <v>292</v>
      </c>
      <c r="K1488" s="1" t="s">
        <v>292</v>
      </c>
      <c r="L1488" s="1" t="s">
        <v>292</v>
      </c>
      <c r="N1488" s="1"/>
    </row>
    <row r="1489" spans="2:14" x14ac:dyDescent="0.35">
      <c r="B1489" s="5" t="str">
        <f t="shared" si="1575"/>
        <v>SPS1</v>
      </c>
      <c r="C1489" s="5" t="str">
        <f t="shared" si="1575"/>
        <v>CH</v>
      </c>
      <c r="D1489" t="s">
        <v>1481</v>
      </c>
      <c r="E1489" t="str">
        <f>E1488</f>
        <v>km/MJ</v>
      </c>
      <c r="F1489" s="1">
        <f>F1487/F1485</f>
        <v>9.6295916604459117E-2</v>
      </c>
      <c r="G1489" s="1">
        <f t="shared" ref="G1489:K1489" si="1577">G1487/G1485</f>
        <v>9.0588164102724744E-2</v>
      </c>
      <c r="H1489" s="1">
        <f t="shared" si="1577"/>
        <v>8.2026535350122776E-2</v>
      </c>
      <c r="I1489" s="1">
        <f t="shared" si="1577"/>
        <v>6.7757154095786171E-2</v>
      </c>
      <c r="J1489" s="1">
        <f t="shared" si="1577"/>
        <v>6.7757154095786185E-2</v>
      </c>
      <c r="K1489" s="1">
        <f t="shared" si="1577"/>
        <v>6.7757154095786226E-2</v>
      </c>
      <c r="L1489" s="1">
        <f t="shared" ref="L1489" si="1578">L1487/L1485</f>
        <v>6.7757154095786115E-2</v>
      </c>
      <c r="N1489" s="1"/>
    </row>
    <row r="1490" spans="2:14" x14ac:dyDescent="0.35">
      <c r="B1490" s="9" t="str">
        <f>B1485</f>
        <v>SPS1</v>
      </c>
      <c r="C1490" s="9" t="str">
        <f>C1485</f>
        <v>CH</v>
      </c>
      <c r="D1490" s="2" t="s">
        <v>1472</v>
      </c>
      <c r="E1490" s="2" t="s">
        <v>8</v>
      </c>
      <c r="F1490" s="3">
        <f>F1491</f>
        <v>0.58772895164057959</v>
      </c>
      <c r="G1490" s="3">
        <f t="shared" ref="G1490:G1491" si="1579">G1491</f>
        <v>0.61504030570008339</v>
      </c>
      <c r="H1490" s="3">
        <f t="shared" ref="H1490:H1491" si="1580">H1491</f>
        <v>0.65830556959273911</v>
      </c>
      <c r="I1490" s="3">
        <f t="shared" ref="I1490:I1491" si="1581">I1491</f>
        <v>0.7379148962536346</v>
      </c>
      <c r="J1490" s="3">
        <f t="shared" ref="J1490:J1491" si="1582">J1491</f>
        <v>0.7561616857731851</v>
      </c>
      <c r="K1490" s="3">
        <f t="shared" ref="K1490:L1491" si="1583">K1491</f>
        <v>0.77325934733858914</v>
      </c>
      <c r="L1490" s="3">
        <f t="shared" si="1583"/>
        <v>0.79899112903654423</v>
      </c>
      <c r="N1490" s="1"/>
    </row>
    <row r="1491" spans="2:14" x14ac:dyDescent="0.35">
      <c r="B1491" s="5" t="str">
        <f>B1490</f>
        <v>SPS1</v>
      </c>
      <c r="C1491" s="5" t="str">
        <f>C1490</f>
        <v>CH</v>
      </c>
      <c r="D1491" t="s">
        <v>1476</v>
      </c>
      <c r="E1491" t="s">
        <v>8</v>
      </c>
      <c r="F1491" s="1">
        <f>F1492</f>
        <v>0.58772895164057959</v>
      </c>
      <c r="G1491" s="1">
        <f t="shared" si="1579"/>
        <v>0.61504030570008339</v>
      </c>
      <c r="H1491" s="1">
        <f t="shared" si="1580"/>
        <v>0.65830556959273911</v>
      </c>
      <c r="I1491" s="1">
        <f t="shared" si="1581"/>
        <v>0.7379148962536346</v>
      </c>
      <c r="J1491" s="1">
        <f t="shared" si="1582"/>
        <v>0.7561616857731851</v>
      </c>
      <c r="K1491" s="1">
        <f t="shared" si="1583"/>
        <v>0.77325934733858914</v>
      </c>
      <c r="L1491" s="1">
        <f t="shared" si="1583"/>
        <v>0.79899112903654423</v>
      </c>
      <c r="N1491" s="1"/>
    </row>
    <row r="1492" spans="2:14" x14ac:dyDescent="0.35">
      <c r="B1492" s="5" t="str">
        <f t="shared" ref="B1492" si="1584">B1491</f>
        <v>SPS1</v>
      </c>
      <c r="C1492" s="5" t="str">
        <f t="shared" ref="C1492" si="1585">C1491</f>
        <v>CH</v>
      </c>
      <c r="D1492" t="s">
        <v>1477</v>
      </c>
      <c r="E1492" t="s">
        <v>8</v>
      </c>
      <c r="F1492" s="1" cm="1">
        <f t="array" ref="F1492">SUMPRODUCT(("T_TRM_ELC"=[1]OUT_TransportEnergyCons!$A$3:$A$1000)*1,("Var_Fin"=[1]OUT_TransportEnergyCons!$B$3:$B$1000)*1,ISNUMBER(SEARCH("ELC",[1]OUT_TransportEnergyCons!$C$3:$C$1000))*1,[1]OUT_TransportEnergyCons!D$3:D$1000)</f>
        <v>0.58772895164057959</v>
      </c>
      <c r="G1492" s="1" cm="1">
        <f t="array" ref="G1492">SUMPRODUCT(("T_TRM_ELC"=[1]OUT_TransportEnergyCons!$A$3:$A$1000)*1,("Var_Fin"=[1]OUT_TransportEnergyCons!$B$3:$B$1000)*1,ISNUMBER(SEARCH("ELC",[1]OUT_TransportEnergyCons!$C$3:$C$1000))*1,[1]OUT_TransportEnergyCons!E$3:E$1000)</f>
        <v>0.61504030570008339</v>
      </c>
      <c r="H1492" s="1" cm="1">
        <f t="array" ref="H1492">SUMPRODUCT(("T_TRM_ELC"=[1]OUT_TransportEnergyCons!$A$3:$A$1000)*1,("Var_Fin"=[1]OUT_TransportEnergyCons!$B$3:$B$1000)*1,ISNUMBER(SEARCH("ELC",[1]OUT_TransportEnergyCons!$C$3:$C$1000))*1,[1]OUT_TransportEnergyCons!F$3:F$1000)</f>
        <v>0.65830556959273911</v>
      </c>
      <c r="I1492" s="1" cm="1">
        <f t="array" ref="I1492">SUMPRODUCT(("T_TRM_ELC"=[1]OUT_TransportEnergyCons!$A$3:$A$1000)*1,("Var_Fin"=[1]OUT_TransportEnergyCons!$B$3:$B$1000)*1,ISNUMBER(SEARCH("ELC",[1]OUT_TransportEnergyCons!$C$3:$C$1000))*1,[1]OUT_TransportEnergyCons!G$3:G$1000)</f>
        <v>0.7379148962536346</v>
      </c>
      <c r="J1492" s="1" cm="1">
        <f t="array" ref="J1492">SUMPRODUCT(("T_TRM_ELC"=[2]OUT_TransportEnergyCons!$A$3:$A$1000)*1,("Var_Fin"=[2]OUT_TransportEnergyCons!$B$3:$B$1000)*1,ISNUMBER(SEARCH("ELC",[2]OUT_TransportEnergyCons!$C$3:$C$1000))*1,[2]OUT_TransportEnergyCons!H$3:H$1000)</f>
        <v>0.7561616857731851</v>
      </c>
      <c r="K1492" s="1" cm="1">
        <f t="array" ref="K1492">SUMPRODUCT(("T_TRM_ELC"=[2]OUT_TransportEnergyCons!$A$3:$A$1000)*1,("Var_Fin"=[2]OUT_TransportEnergyCons!$B$3:$B$1000)*1,ISNUMBER(SEARCH("ELC",[2]OUT_TransportEnergyCons!$C$3:$C$1000))*1,[2]OUT_TransportEnergyCons!I$3:I$1000)</f>
        <v>0.77325934733858914</v>
      </c>
      <c r="L1492" s="1" cm="1">
        <f t="array" ref="L1492">SUMPRODUCT(("T_TRM_ELC"=[2]OUT_TransportEnergyCons!$A$3:$A$1000)*1,("Var_Fin"=[2]OUT_TransportEnergyCons!$B$3:$B$1000)*1,ISNUMBER(SEARCH("ELC",[2]OUT_TransportEnergyCons!$C$3:$C$1000))*1,[2]OUT_TransportEnergyCons!J$3:J$1000)</f>
        <v>0.79899112903654423</v>
      </c>
      <c r="N1492" s="1"/>
    </row>
    <row r="1493" spans="2:14" x14ac:dyDescent="0.35">
      <c r="B1493" s="9" t="str">
        <f t="shared" ref="B1493:C1497" si="1586">B1492</f>
        <v>SPS1</v>
      </c>
      <c r="C1493" s="9" t="str">
        <f t="shared" si="1586"/>
        <v>CH</v>
      </c>
      <c r="D1493" s="2" t="s">
        <v>1482</v>
      </c>
      <c r="E1493" s="2" t="s">
        <v>1131</v>
      </c>
      <c r="F1493" s="3">
        <f>F1494</f>
        <v>3.3477999999999994E-2</v>
      </c>
      <c r="G1493" s="3">
        <f t="shared" ref="G1493" si="1587">G1494</f>
        <v>3.4238693943285006E-2</v>
      </c>
      <c r="H1493" s="3">
        <f t="shared" ref="H1493" si="1588">H1494</f>
        <v>3.5370833501607003E-2</v>
      </c>
      <c r="I1493" s="3">
        <f t="shared" ref="I1493" si="1589">I1494</f>
        <v>3.726366700321395E-2</v>
      </c>
      <c r="J1493" s="3">
        <f t="shared" ref="J1493" si="1590">J1494</f>
        <v>3.8185104274620588E-2</v>
      </c>
      <c r="K1493" s="3">
        <f t="shared" ref="K1493:L1493" si="1591">K1494</f>
        <v>3.9048512196511807E-2</v>
      </c>
      <c r="L1493" s="3">
        <f t="shared" si="1591"/>
        <v>4.0347931071859175E-2</v>
      </c>
      <c r="N1493" s="1"/>
    </row>
    <row r="1494" spans="2:14" x14ac:dyDescent="0.35">
      <c r="B1494" s="5" t="str">
        <f t="shared" si="1586"/>
        <v>SPS1</v>
      </c>
      <c r="C1494" s="5" t="str">
        <f t="shared" si="1586"/>
        <v>CH</v>
      </c>
      <c r="D1494" t="s">
        <v>1483</v>
      </c>
      <c r="E1494" t="s">
        <v>1131</v>
      </c>
      <c r="F1494" s="1" cm="1">
        <f t="array" ref="F1494">SUMPRODUCT(("T_TRM_ELC"=[1]OUT_TransportEnergyCons!$A$3:$A$1000)*1,("Var_Fout"=[1]OUT_TransportEnergyCons!$B$3:$B$1000)*1,ISNUMBER(SEARCH("tptrm",[1]OUT_TransportEnergyCons!$C$3:$C$1000))*1,[1]OUT_TransportEnergyCons!D$3:D$1000)</f>
        <v>3.3477999999999994E-2</v>
      </c>
      <c r="G1494" s="1" cm="1">
        <f t="array" ref="G1494">SUMPRODUCT(("T_TRM_ELC"=[1]OUT_TransportEnergyCons!$A$3:$A$1000)*1,("Var_Fout"=[1]OUT_TransportEnergyCons!$B$3:$B$1000)*1,ISNUMBER(SEARCH("tptrm",[1]OUT_TransportEnergyCons!$C$3:$C$1000))*1,[1]OUT_TransportEnergyCons!E$3:E$1000)</f>
        <v>3.4238693943285006E-2</v>
      </c>
      <c r="H1494" s="1" cm="1">
        <f t="array" ref="H1494">SUMPRODUCT(("T_TRM_ELC"=[1]OUT_TransportEnergyCons!$A$3:$A$1000)*1,("Var_Fout"=[1]OUT_TransportEnergyCons!$B$3:$B$1000)*1,ISNUMBER(SEARCH("tptrm",[1]OUT_TransportEnergyCons!$C$3:$C$1000))*1,[1]OUT_TransportEnergyCons!F$3:F$1000)</f>
        <v>3.5370833501607003E-2</v>
      </c>
      <c r="I1494" s="1" cm="1">
        <f t="array" ref="I1494">SUMPRODUCT(("T_TRM_ELC"=[1]OUT_TransportEnergyCons!$A$3:$A$1000)*1,("Var_Fout"=[1]OUT_TransportEnergyCons!$B$3:$B$1000)*1,ISNUMBER(SEARCH("tptrm",[1]OUT_TransportEnergyCons!$C$3:$C$1000))*1,[1]OUT_TransportEnergyCons!G$3:G$1000)</f>
        <v>3.726366700321395E-2</v>
      </c>
      <c r="J1494" s="1" cm="1">
        <f t="array" ref="J1494">SUMPRODUCT(("T_TRM_ELC"=[2]OUT_TransportEnergyCons!$A$3:$A$1000)*1,("Var_Fout"=[2]OUT_TransportEnergyCons!$B$3:$B$1000)*1,ISNUMBER(SEARCH("tptrm",[2]OUT_TransportEnergyCons!$C$3:$C$1000))*1,[2]OUT_TransportEnergyCons!H$3:H$1000)</f>
        <v>3.8185104274620588E-2</v>
      </c>
      <c r="K1494" s="1" cm="1">
        <f t="array" ref="K1494">SUMPRODUCT(("T_TRM_ELC"=[2]OUT_TransportEnergyCons!$A$3:$A$1000)*1,("Var_Fout"=[2]OUT_TransportEnergyCons!$B$3:$B$1000)*1,ISNUMBER(SEARCH("tptrm",[2]OUT_TransportEnergyCons!$C$3:$C$1000))*1,[2]OUT_TransportEnergyCons!I$3:I$1000)</f>
        <v>3.9048512196511807E-2</v>
      </c>
      <c r="L1494" s="1" cm="1">
        <f t="array" ref="L1494">SUMPRODUCT(("T_TRM_ELC"=[2]OUT_TransportEnergyCons!$A$3:$A$1000)*1,("Var_Fout"=[2]OUT_TransportEnergyCons!$B$3:$B$1000)*1,ISNUMBER(SEARCH("tptrm",[2]OUT_TransportEnergyCons!$C$3:$C$1000))*1,[2]OUT_TransportEnergyCons!J$3:J$1000)</f>
        <v>4.0347931071859175E-2</v>
      </c>
      <c r="N1494" s="1"/>
    </row>
    <row r="1495" spans="2:14" x14ac:dyDescent="0.35">
      <c r="B1495" s="9" t="str">
        <f t="shared" si="1586"/>
        <v>SPS1</v>
      </c>
      <c r="C1495" s="9" t="str">
        <f t="shared" si="1586"/>
        <v>CH</v>
      </c>
      <c r="D1495" s="2" t="s">
        <v>1484</v>
      </c>
      <c r="E1495" s="2" t="s">
        <v>1229</v>
      </c>
      <c r="F1495" s="1" t="s">
        <v>292</v>
      </c>
      <c r="G1495" s="1" t="s">
        <v>292</v>
      </c>
      <c r="H1495" s="1" t="s">
        <v>292</v>
      </c>
      <c r="I1495" s="1" t="s">
        <v>292</v>
      </c>
      <c r="J1495" s="1" t="s">
        <v>292</v>
      </c>
      <c r="K1495" s="1" t="s">
        <v>292</v>
      </c>
      <c r="L1495" s="1" t="s">
        <v>292</v>
      </c>
      <c r="N1495" s="1"/>
    </row>
    <row r="1496" spans="2:14" x14ac:dyDescent="0.35">
      <c r="B1496" s="5" t="str">
        <f t="shared" si="1586"/>
        <v>SPS1</v>
      </c>
      <c r="C1496" s="5" t="str">
        <f t="shared" si="1586"/>
        <v>CH</v>
      </c>
      <c r="D1496" t="s">
        <v>1485</v>
      </c>
      <c r="E1496" t="str">
        <f>E1495</f>
        <v>km/MJ</v>
      </c>
      <c r="F1496" s="1">
        <f>F1494/F1492</f>
        <v>5.6961631559156484E-2</v>
      </c>
      <c r="G1496" s="1">
        <f t="shared" ref="G1496:K1496" si="1592">G1494/G1492</f>
        <v>5.5669024657354849E-2</v>
      </c>
      <c r="H1496" s="1">
        <f t="shared" si="1592"/>
        <v>5.3730114304652132E-2</v>
      </c>
      <c r="I1496" s="1">
        <f t="shared" si="1592"/>
        <v>5.049859705014785E-2</v>
      </c>
      <c r="J1496" s="1">
        <f t="shared" si="1592"/>
        <v>5.0498597050147843E-2</v>
      </c>
      <c r="K1496" s="1">
        <f t="shared" si="1592"/>
        <v>5.0498597050147948E-2</v>
      </c>
      <c r="L1496" s="1">
        <f t="shared" ref="L1496" si="1593">L1494/L1492</f>
        <v>5.0498597050147906E-2</v>
      </c>
      <c r="N1496" s="1"/>
    </row>
    <row r="1497" spans="2:14" x14ac:dyDescent="0.35">
      <c r="B1497" s="9" t="str">
        <f t="shared" si="1586"/>
        <v>SPS1</v>
      </c>
      <c r="C1497" s="9" t="str">
        <f t="shared" si="1586"/>
        <v>CH</v>
      </c>
      <c r="D1497" s="2" t="s">
        <v>1487</v>
      </c>
      <c r="E1497" s="2" t="s">
        <v>8</v>
      </c>
      <c r="F1497" s="3">
        <f>SUM(F1498,F1503,F1508)</f>
        <v>2.4109843891519218</v>
      </c>
      <c r="G1497" s="3">
        <f t="shared" ref="G1497:K1497" si="1594">SUM(G1498,G1503,G1508)</f>
        <v>2.1613951232729884</v>
      </c>
      <c r="H1497" s="3">
        <f t="shared" si="1594"/>
        <v>1.8792915209432111</v>
      </c>
      <c r="I1497" s="3">
        <f t="shared" si="1594"/>
        <v>1.4915271180625915</v>
      </c>
      <c r="J1497" s="3">
        <f t="shared" si="1594"/>
        <v>1.1758110311469674</v>
      </c>
      <c r="K1497" s="3">
        <f t="shared" si="1594"/>
        <v>1.054241248053317</v>
      </c>
      <c r="L1497" s="3">
        <f t="shared" ref="L1497" si="1595">SUM(L1498,L1503,L1508)</f>
        <v>0.88771011147990397</v>
      </c>
      <c r="N1497" s="1"/>
    </row>
    <row r="1498" spans="2:14" x14ac:dyDescent="0.35">
      <c r="B1498" s="5" t="str">
        <f>B1497</f>
        <v>SPS1</v>
      </c>
      <c r="C1498" t="str">
        <f t="shared" ref="C1498:C1502" si="1596">C1497</f>
        <v>CH</v>
      </c>
      <c r="D1498" t="s">
        <v>1488</v>
      </c>
      <c r="E1498" t="str">
        <f>E1497</f>
        <v>PJ/yr.</v>
      </c>
      <c r="F1498" s="1">
        <f>SUM(F1499:F1502)</f>
        <v>2.0217455595157871E-3</v>
      </c>
      <c r="G1498" s="1">
        <f t="shared" ref="G1498:K1498" si="1597">SUM(G1499:G1502)</f>
        <v>2.7474493923565118E-3</v>
      </c>
      <c r="H1498" s="1">
        <f t="shared" si="1597"/>
        <v>2.7938128409860275E-3</v>
      </c>
      <c r="I1498" s="1">
        <f t="shared" si="1597"/>
        <v>2.0527879366025663E-3</v>
      </c>
      <c r="J1498" s="1">
        <f t="shared" si="1597"/>
        <v>9.4085882747594577E-4</v>
      </c>
      <c r="K1498" s="1">
        <f t="shared" si="1597"/>
        <v>9.3483349920945951E-4</v>
      </c>
      <c r="L1498" s="1">
        <f t="shared" ref="L1498" si="1598">SUM(L1499:L1502)</f>
        <v>6.3371904042437937E-4</v>
      </c>
      <c r="N1498" s="1"/>
    </row>
    <row r="1499" spans="2:14" x14ac:dyDescent="0.35">
      <c r="B1499" t="str">
        <f t="shared" ref="B1499:B1502" si="1599">B1498</f>
        <v>SPS1</v>
      </c>
      <c r="C1499" t="str">
        <f t="shared" si="1596"/>
        <v>CH</v>
      </c>
      <c r="D1499" t="s">
        <v>1489</v>
      </c>
      <c r="E1499" t="str">
        <f t="shared" ref="E1499:E1502" si="1600">E1498</f>
        <v>PJ/yr.</v>
      </c>
      <c r="F1499" s="1" cm="1">
        <f t="array" ref="F1499">SUMPRODUCT(("T_TW-BEVELC-S1"=[1]OUT_TransportEnergyCons!$A$3:$A$1000)*1,("Var_Fin"=[1]OUT_TransportEnergyCons!$B$3:$B$1000)*1,ISNUMBER(SEARCH("ELC",[1]OUT_TransportEnergyCons!$C$3:$C$1000))*1,[1]OUT_TransportEnergyCons!D$3:D$1000)</f>
        <v>1.5638898941887358E-3</v>
      </c>
      <c r="G1499" s="1" cm="1">
        <f t="array" ref="G1499">SUMPRODUCT(("T_TW-BEVELC-S1"=[1]OUT_TransportEnergyCons!$A$3:$A$1000)*1,("Var_Fin"=[1]OUT_TransportEnergyCons!$B$3:$B$1000)*1,ISNUMBER(SEARCH("ELC",[1]OUT_TransportEnergyCons!$C$3:$C$1000))*1,[1]OUT_TransportEnergyCons!E$3:E$1000)</f>
        <v>2.1302347981485134E-3</v>
      </c>
      <c r="H1499" s="1" cm="1">
        <f t="array" ref="H1499">SUMPRODUCT(("T_TW-BEVELC-S1"=[1]OUT_TransportEnergyCons!$A$3:$A$1000)*1,("Var_Fin"=[1]OUT_TransportEnergyCons!$B$3:$B$1000)*1,ISNUMBER(SEARCH("ELC",[1]OUT_TransportEnergyCons!$C$3:$C$1000))*1,[1]OUT_TransportEnergyCons!F$3:F$1000)</f>
        <v>2.1493205679388289E-3</v>
      </c>
      <c r="I1499" s="1" cm="1">
        <f t="array" ref="I1499">SUMPRODUCT(("T_TW-BEVELC-S1"=[1]OUT_TransportEnergyCons!$A$3:$A$1000)*1,("Var_Fin"=[1]OUT_TransportEnergyCons!$B$3:$B$1000)*1,ISNUMBER(SEARCH("ELC",[1]OUT_TransportEnergyCons!$C$3:$C$1000))*1,[1]OUT_TransportEnergyCons!G$3:G$1000)</f>
        <v>1.4605435076773881E-3</v>
      </c>
      <c r="J1499" s="1" cm="1">
        <f t="array" ref="J1499">SUMPRODUCT(("T_TW-BEVELC-S1"=[2]OUT_TransportEnergyCons!$A$3:$A$1000)*1,("Var_Fin"=[2]OUT_TransportEnergyCons!$B$3:$B$1000)*1,ISNUMBER(SEARCH("ELC",[2]OUT_TransportEnergyCons!$C$3:$C$1000))*1,[2]OUT_TransportEnergyCons!H$3:H$1000)</f>
        <v>3.5778903320563216E-4</v>
      </c>
      <c r="K1499" s="1" cm="1">
        <f t="array" ref="K1499">SUMPRODUCT(("T_TW-BEVELC-S1"=[2]OUT_TransportEnergyCons!$A$3:$A$1000)*1,("Var_Fin"=[2]OUT_TransportEnergyCons!$B$3:$B$1000)*1,ISNUMBER(SEARCH("ELC",[2]OUT_TransportEnergyCons!$C$3:$C$1000))*1,[2]OUT_TransportEnergyCons!I$3:I$1000)</f>
        <v>4.0479606745110115E-4</v>
      </c>
      <c r="L1499" s="1" cm="1">
        <f t="array" ref="L1499">SUMPRODUCT(("T_TW-BEVELC-S1"=[2]OUT_TransportEnergyCons!$A$3:$A$1000)*1,("Var_Fin"=[2]OUT_TransportEnergyCons!$B$3:$B$1000)*1,ISNUMBER(SEARCH("ELC",[2]OUT_TransportEnergyCons!$C$3:$C$1000))*1,[2]OUT_TransportEnergyCons!J$3:J$1000)</f>
        <v>3.1727284217441973E-4</v>
      </c>
      <c r="N1499" s="1"/>
    </row>
    <row r="1500" spans="2:14" x14ac:dyDescent="0.35">
      <c r="B1500" t="str">
        <f t="shared" si="1599"/>
        <v>SPS1</v>
      </c>
      <c r="C1500" t="str">
        <f t="shared" si="1596"/>
        <v>CH</v>
      </c>
      <c r="D1500" t="s">
        <v>1490</v>
      </c>
      <c r="E1500" t="str">
        <f t="shared" si="1600"/>
        <v>PJ/yr.</v>
      </c>
      <c r="F1500" s="1" cm="1">
        <f t="array" ref="F1500">SUMPRODUCT(("T_TW-BEVELC-S2"=[1]OUT_TransportEnergyCons!$A$3:$A$1000)*1,("Var_Fin"=[1]OUT_TransportEnergyCons!$B$3:$B$1000)*1,ISNUMBER(SEARCH("ELC",[1]OUT_TransportEnergyCons!$C$3:$C$1000))*1,[1]OUT_TransportEnergyCons!D$3:D$1000)</f>
        <v>3.5994548754967871E-4</v>
      </c>
      <c r="G1500" s="1" cm="1">
        <f t="array" ref="G1500">SUMPRODUCT(("T_TW-BEVELC-S2"=[1]OUT_TransportEnergyCons!$A$3:$A$1000)*1,("Var_Fin"=[1]OUT_TransportEnergyCons!$B$3:$B$1000)*1,ISNUMBER(SEARCH("ELC",[1]OUT_TransportEnergyCons!$C$3:$C$1000))*1,[1]OUT_TransportEnergyCons!E$3:E$1000)</f>
        <v>4.3821456800514203E-4</v>
      </c>
      <c r="H1500" s="1" cm="1">
        <f t="array" ref="H1500">SUMPRODUCT(("T_TW-BEVELC-S2"=[1]OUT_TransportEnergyCons!$A$3:$A$1000)*1,("Var_Fin"=[1]OUT_TransportEnergyCons!$B$3:$B$1000)*1,ISNUMBER(SEARCH("ELC",[1]OUT_TransportEnergyCons!$C$3:$C$1000))*1,[1]OUT_TransportEnergyCons!F$3:F$1000)</f>
        <v>4.4776874145314771E-4</v>
      </c>
      <c r="I1500" s="1" cm="1">
        <f t="array" ref="I1500">SUMPRODUCT(("T_TW-BEVELC-S2"=[1]OUT_TransportEnergyCons!$A$3:$A$1000)*1,("Var_Fin"=[1]OUT_TransportEnergyCons!$B$3:$B$1000)*1,ISNUMBER(SEARCH("ELC",[1]OUT_TransportEnergyCons!$C$3:$C$1000))*1,[1]OUT_TransportEnergyCons!G$3:G$1000)</f>
        <v>3.8057357695290899E-4</v>
      </c>
      <c r="J1500" s="1" cm="1">
        <f t="array" ref="J1500">SUMPRODUCT(("T_TW-BEVELC-S2"=[2]OUT_TransportEnergyCons!$A$3:$A$1000)*1,("Var_Fin"=[2]OUT_TransportEnergyCons!$B$3:$B$1000)*1,ISNUMBER(SEARCH("ELC",[2]OUT_TransportEnergyCons!$C$3:$C$1000))*1,[2]OUT_TransportEnergyCons!H$3:H$1000)</f>
        <v>1.7109867537915999E-4</v>
      </c>
      <c r="K1500" s="1" cm="1">
        <f t="array" ref="K1500">SUMPRODUCT(("T_TW-BEVELC-S2"=[2]OUT_TransportEnergyCons!$A$3:$A$1000)*1,("Var_Fin"=[2]OUT_TransportEnergyCons!$B$3:$B$1000)*1,ISNUMBER(SEARCH("ELC",[2]OUT_TransportEnergyCons!$C$3:$C$1000))*1,[2]OUT_TransportEnergyCons!I$3:I$1000)</f>
        <v>1.4711634600936667E-4</v>
      </c>
      <c r="L1500" s="1" cm="1">
        <f t="array" ref="L1500">SUMPRODUCT(("T_TW-BEVELC-S2"=[2]OUT_TransportEnergyCons!$A$3:$A$1000)*1,("Var_Fin"=[2]OUT_TransportEnergyCons!$B$3:$B$1000)*1,ISNUMBER(SEARCH("ELC",[2]OUT_TransportEnergyCons!$C$3:$C$1000))*1,[2]OUT_TransportEnergyCons!J$3:J$1000)</f>
        <v>9.9469498884114269E-5</v>
      </c>
      <c r="N1500" s="1"/>
    </row>
    <row r="1501" spans="2:14" x14ac:dyDescent="0.35">
      <c r="B1501" t="str">
        <f t="shared" si="1599"/>
        <v>SPS1</v>
      </c>
      <c r="C1501" t="str">
        <f t="shared" si="1596"/>
        <v>CH</v>
      </c>
      <c r="D1501" t="s">
        <v>1492</v>
      </c>
      <c r="E1501" t="str">
        <f t="shared" si="1600"/>
        <v>PJ/yr.</v>
      </c>
      <c r="F1501" s="1" cm="1">
        <f t="array" ref="F1501">SUMPRODUCT(("T_TW-BEVELC-S3"=[1]OUT_TransportEnergyCons!$A$3:$A$1000)*1,("Var_Fin"=[1]OUT_TransportEnergyCons!$B$3:$B$1000)*1,ISNUMBER(SEARCH("ELC",[1]OUT_TransportEnergyCons!$C$3:$C$1000))*1,[1]OUT_TransportEnergyCons!D$3:D$1000)</f>
        <v>7.7253431537345477E-5</v>
      </c>
      <c r="G1501" s="1" cm="1">
        <f t="array" ref="G1501">SUMPRODUCT(("T_TW-BEVELC-S3"=[1]OUT_TransportEnergyCons!$A$3:$A$1000)*1,("Var_Fin"=[1]OUT_TransportEnergyCons!$B$3:$B$1000)*1,ISNUMBER(SEARCH("ELC",[1]OUT_TransportEnergyCons!$C$3:$C$1000))*1,[1]OUT_TransportEnergyCons!E$3:E$1000)</f>
        <v>1.322066236276E-4</v>
      </c>
      <c r="H1501" s="1" cm="1">
        <f t="array" ref="H1501">SUMPRODUCT(("T_TW-BEVELC-S3"=[1]OUT_TransportEnergyCons!$A$3:$A$1000)*1,("Var_Fin"=[1]OUT_TransportEnergyCons!$B$3:$B$1000)*1,ISNUMBER(SEARCH("ELC",[1]OUT_TransportEnergyCons!$C$3:$C$1000))*1,[1]OUT_TransportEnergyCons!F$3:F$1000)</f>
        <v>1.3918577512165304E-4</v>
      </c>
      <c r="I1501" s="1" cm="1">
        <f t="array" ref="I1501">SUMPRODUCT(("T_TW-BEVELC-S3"=[1]OUT_TransportEnergyCons!$A$3:$A$1000)*1,("Var_Fin"=[1]OUT_TransportEnergyCons!$B$3:$B$1000)*1,ISNUMBER(SEARCH("ELC",[1]OUT_TransportEnergyCons!$C$3:$C$1000))*1,[1]OUT_TransportEnergyCons!G$3:G$1000)</f>
        <v>1.4621931013746099E-4</v>
      </c>
      <c r="J1501" s="1" cm="1">
        <f t="array" ref="J1501">SUMPRODUCT(("T_TW-BEVELC-S3"=[2]OUT_TransportEnergyCons!$A$3:$A$1000)*1,("Var_Fin"=[2]OUT_TransportEnergyCons!$B$3:$B$1000)*1,ISNUMBER(SEARCH("ELC",[2]OUT_TransportEnergyCons!$C$3:$C$1000))*1,[2]OUT_TransportEnergyCons!H$3:H$1000)</f>
        <v>2.2946766555803728E-4</v>
      </c>
      <c r="K1501" s="1" cm="1">
        <f t="array" ref="K1501">SUMPRODUCT(("T_TW-BEVELC-S3"=[2]OUT_TransportEnergyCons!$A$3:$A$1000)*1,("Var_Fin"=[2]OUT_TransportEnergyCons!$B$3:$B$1000)*1,ISNUMBER(SEARCH("ELC",[2]OUT_TransportEnergyCons!$C$3:$C$1000))*1,[2]OUT_TransportEnergyCons!I$3:I$1000)</f>
        <v>1.6913751975352432E-4</v>
      </c>
      <c r="L1501" s="1" cm="1">
        <f t="array" ref="L1501">SUMPRODUCT(("T_TW-BEVELC-S3"=[2]OUT_TransportEnergyCons!$A$3:$A$1000)*1,("Var_Fin"=[2]OUT_TransportEnergyCons!$B$3:$B$1000)*1,ISNUMBER(SEARCH("ELC",[2]OUT_TransportEnergyCons!$C$3:$C$1000))*1,[2]OUT_TransportEnergyCons!J$3:J$1000)</f>
        <v>8.4128459869967551E-5</v>
      </c>
      <c r="N1501" s="1"/>
    </row>
    <row r="1502" spans="2:14" x14ac:dyDescent="0.35">
      <c r="B1502" t="str">
        <f t="shared" si="1599"/>
        <v>SPS1</v>
      </c>
      <c r="C1502" t="str">
        <f t="shared" si="1596"/>
        <v>CH</v>
      </c>
      <c r="D1502" t="s">
        <v>1491</v>
      </c>
      <c r="E1502" t="str">
        <f t="shared" si="1600"/>
        <v>PJ/yr.</v>
      </c>
      <c r="F1502" s="1" cm="1">
        <f t="array" ref="F1502">SUMPRODUCT(("T_TW-BEVELC-S4"=[1]OUT_TransportEnergyCons!$A$3:$A$1000)*1,("Var_Fin"=[1]OUT_TransportEnergyCons!$B$3:$B$1000)*1,ISNUMBER(SEARCH("ELC",[1]OUT_TransportEnergyCons!$C$3:$C$1000))*1,[1]OUT_TransportEnergyCons!D$3:D$1000)</f>
        <v>2.0656746240027413E-5</v>
      </c>
      <c r="G1502" s="1" cm="1">
        <f t="array" ref="G1502">SUMPRODUCT(("T_TW-BEVELC-S4"=[1]OUT_TransportEnergyCons!$A$3:$A$1000)*1,("Var_Fin"=[1]OUT_TransportEnergyCons!$B$3:$B$1000)*1,ISNUMBER(SEARCH("ELC",[1]OUT_TransportEnergyCons!$C$3:$C$1000))*1,[1]OUT_TransportEnergyCons!E$3:E$1000)</f>
        <v>4.6793402575256453E-5</v>
      </c>
      <c r="H1502" s="1" cm="1">
        <f t="array" ref="H1502">SUMPRODUCT(("T_TW-BEVELC-S4"=[1]OUT_TransportEnergyCons!$A$3:$A$1000)*1,("Var_Fin"=[1]OUT_TransportEnergyCons!$B$3:$B$1000)*1,ISNUMBER(SEARCH("ELC",[1]OUT_TransportEnergyCons!$C$3:$C$1000))*1,[1]OUT_TransportEnergyCons!F$3:F$1000)</f>
        <v>5.7537756472397454E-5</v>
      </c>
      <c r="I1502" s="1" cm="1">
        <f t="array" ref="I1502">SUMPRODUCT(("T_TW-BEVELC-S4"=[1]OUT_TransportEnergyCons!$A$3:$A$1000)*1,("Var_Fin"=[1]OUT_TransportEnergyCons!$B$3:$B$1000)*1,ISNUMBER(SEARCH("ELC",[1]OUT_TransportEnergyCons!$C$3:$C$1000))*1,[1]OUT_TransportEnergyCons!G$3:G$1000)</f>
        <v>6.5451541834808284E-5</v>
      </c>
      <c r="J1502" s="1" cm="1">
        <f t="array" ref="J1502">SUMPRODUCT(("T_TW-BEVELC-S4"=[2]OUT_TransportEnergyCons!$A$3:$A$1000)*1,("Var_Fin"=[2]OUT_TransportEnergyCons!$B$3:$B$1000)*1,ISNUMBER(SEARCH("ELC",[2]OUT_TransportEnergyCons!$C$3:$C$1000))*1,[2]OUT_TransportEnergyCons!H$3:H$1000)</f>
        <v>1.8250345333311623E-4</v>
      </c>
      <c r="K1502" s="1" cm="1">
        <f t="array" ref="K1502">SUMPRODUCT(("T_TW-BEVELC-S4"=[2]OUT_TransportEnergyCons!$A$3:$A$1000)*1,("Var_Fin"=[2]OUT_TransportEnergyCons!$B$3:$B$1000)*1,ISNUMBER(SEARCH("ELC",[2]OUT_TransportEnergyCons!$C$3:$C$1000))*1,[2]OUT_TransportEnergyCons!I$3:I$1000)</f>
        <v>2.137835659954675E-4</v>
      </c>
      <c r="L1502" s="1" cm="1">
        <f t="array" ref="L1502">SUMPRODUCT(("T_TW-BEVELC-S4"=[2]OUT_TransportEnergyCons!$A$3:$A$1000)*1,("Var_Fin"=[2]OUT_TransportEnergyCons!$B$3:$B$1000)*1,ISNUMBER(SEARCH("ELC",[2]OUT_TransportEnergyCons!$C$3:$C$1000))*1,[2]OUT_TransportEnergyCons!J$3:J$1000)</f>
        <v>1.3284823949587788E-4</v>
      </c>
      <c r="N1502" s="1"/>
    </row>
    <row r="1503" spans="2:14" x14ac:dyDescent="0.35">
      <c r="B1503" s="5" t="str">
        <f>B1502</f>
        <v>SPS1</v>
      </c>
      <c r="C1503" t="str">
        <f t="shared" ref="C1503:C1507" si="1601">C1502</f>
        <v>CH</v>
      </c>
      <c r="D1503" t="s">
        <v>1493</v>
      </c>
      <c r="E1503" t="str">
        <f>E1502</f>
        <v>PJ/yr.</v>
      </c>
      <c r="F1503" s="1">
        <f>SUM(F1504:F1507)</f>
        <v>0</v>
      </c>
      <c r="G1503" s="1">
        <f t="shared" ref="G1503:K1503" si="1602">SUM(G1504:G1507)</f>
        <v>0</v>
      </c>
      <c r="H1503" s="1">
        <f t="shared" si="1602"/>
        <v>0</v>
      </c>
      <c r="I1503" s="1">
        <f t="shared" si="1602"/>
        <v>2.2104373401483236E-3</v>
      </c>
      <c r="J1503" s="1">
        <f t="shared" si="1602"/>
        <v>2.5281057033522156E-4</v>
      </c>
      <c r="K1503" s="1">
        <f t="shared" si="1602"/>
        <v>3.3608975899833784E-4</v>
      </c>
      <c r="L1503" s="1">
        <f t="shared" ref="L1503" si="1603">SUM(L1504:L1507)</f>
        <v>2.8808086123423537E-4</v>
      </c>
      <c r="N1503" s="1"/>
    </row>
    <row r="1504" spans="2:14" x14ac:dyDescent="0.35">
      <c r="B1504" t="str">
        <f t="shared" ref="B1504:B1507" si="1604">B1503</f>
        <v>SPS1</v>
      </c>
      <c r="C1504" t="str">
        <f t="shared" si="1601"/>
        <v>CH</v>
      </c>
      <c r="D1504" t="s">
        <v>1494</v>
      </c>
      <c r="E1504" t="str">
        <f t="shared" ref="E1504:E1507" si="1605">E1503</f>
        <v>PJ/yr.</v>
      </c>
      <c r="F1504" s="1" cm="1">
        <f t="array" ref="F1504">SUMPRODUCT(("T_TW-fclh2o-S1"=[1]OUT_TransportEnergyCons!$A$3:$A$1000)*1,("Var_Fin"=[1]OUT_TransportEnergyCons!$B$3:$B$1000)*1,ISNUMBER(SEARCH("h2",[1]OUT_TransportEnergyCons!$C$3:$C$1000))*1,[1]OUT_TransportEnergyCons!D$3:D$1000)</f>
        <v>0</v>
      </c>
      <c r="G1504" s="1" cm="1">
        <f t="array" ref="G1504">SUMPRODUCT(("T_TW-fclh2o-S1"=[1]OUT_TransportEnergyCons!$A$3:$A$1000)*1,("Var_Fin"=[1]OUT_TransportEnergyCons!$B$3:$B$1000)*1,ISNUMBER(SEARCH("h2",[1]OUT_TransportEnergyCons!$C$3:$C$1000))*1,[1]OUT_TransportEnergyCons!E$3:E$1000)</f>
        <v>0</v>
      </c>
      <c r="H1504" s="1" cm="1">
        <f t="array" ref="H1504">SUMPRODUCT(("T_TW-fclh2o-S1"=[1]OUT_TransportEnergyCons!$A$3:$A$1000)*1,("Var_Fin"=[1]OUT_TransportEnergyCons!$B$3:$B$1000)*1,ISNUMBER(SEARCH("h2",[1]OUT_TransportEnergyCons!$C$3:$C$1000))*1,[1]OUT_TransportEnergyCons!F$3:F$1000)</f>
        <v>0</v>
      </c>
      <c r="I1504" s="1" cm="1">
        <f t="array" ref="I1504">SUMPRODUCT(("T_TW-fclh2o-S1"=[1]OUT_TransportEnergyCons!$A$3:$A$1000)*1,("Var_Fin"=[1]OUT_TransportEnergyCons!$B$3:$B$1000)*1,ISNUMBER(SEARCH("h2",[1]OUT_TransportEnergyCons!$C$3:$C$1000))*1,[1]OUT_TransportEnergyCons!G$3:G$1000)</f>
        <v>2.1204591981499737E-3</v>
      </c>
      <c r="J1504" s="1" cm="1">
        <f t="array" ref="J1504">SUMPRODUCT(("T_TW-fclh2o-S1"=[2]OUT_TransportEnergyCons!$A$3:$A$1000)*1,("Var_Fin"=[2]OUT_TransportEnergyCons!$B$3:$B$1000)*1,ISNUMBER(SEARCH("h2",[2]OUT_TransportEnergyCons!$C$3:$C$1000))*1,[2]OUT_TransportEnergyCons!H$3:H$1000)</f>
        <v>9.1725698621255064E-5</v>
      </c>
      <c r="K1504" s="1" cm="1">
        <f t="array" ref="K1504">SUMPRODUCT(("T_TW-fclh2o-S1"=[2]OUT_TransportEnergyCons!$A$3:$A$1000)*1,("Var_Fin"=[2]OUT_TransportEnergyCons!$B$3:$B$1000)*1,ISNUMBER(SEARCH("h2",[2]OUT_TransportEnergyCons!$C$3:$C$1000))*1,[2]OUT_TransportEnergyCons!I$3:I$1000)</f>
        <v>1.1316815302950988E-4</v>
      </c>
      <c r="L1504" s="1" cm="1">
        <f t="array" ref="L1504">SUMPRODUCT(("T_TW-fclh2o-S1"=[2]OUT_TransportEnergyCons!$A$3:$A$1000)*1,("Var_Fin"=[2]OUT_TransportEnergyCons!$B$3:$B$1000)*1,ISNUMBER(SEARCH("h2",[2]OUT_TransportEnergyCons!$C$3:$C$1000))*1,[2]OUT_TransportEnergyCons!J$3:J$1000)</f>
        <v>8.1811859991941978E-5</v>
      </c>
      <c r="N1504" s="1"/>
    </row>
    <row r="1505" spans="2:14" x14ac:dyDescent="0.35">
      <c r="B1505" t="str">
        <f t="shared" si="1604"/>
        <v>SPS1</v>
      </c>
      <c r="C1505" t="str">
        <f t="shared" si="1601"/>
        <v>CH</v>
      </c>
      <c r="D1505" t="s">
        <v>1495</v>
      </c>
      <c r="E1505" t="str">
        <f t="shared" si="1605"/>
        <v>PJ/yr.</v>
      </c>
      <c r="F1505" s="1" cm="1">
        <f t="array" ref="F1505">SUMPRODUCT(("T_TW-fclh2o-S2"=[1]OUT_TransportEnergyCons!$A$3:$A$1000)*1,("Var_Fin"=[1]OUT_TransportEnergyCons!$B$3:$B$1000)*1,ISNUMBER(SEARCH("h2",[1]OUT_TransportEnergyCons!$C$3:$C$1000))*1,[1]OUT_TransportEnergyCons!D$3:D$1000)</f>
        <v>0</v>
      </c>
      <c r="G1505" s="1" cm="1">
        <f t="array" ref="G1505">SUMPRODUCT(("T_TW-fclh2o-S2"=[1]OUT_TransportEnergyCons!$A$3:$A$1000)*1,("Var_Fin"=[1]OUT_TransportEnergyCons!$B$3:$B$1000)*1,ISNUMBER(SEARCH("h2",[1]OUT_TransportEnergyCons!$C$3:$C$1000))*1,[1]OUT_TransportEnergyCons!E$3:E$1000)</f>
        <v>0</v>
      </c>
      <c r="H1505" s="1" cm="1">
        <f t="array" ref="H1505">SUMPRODUCT(("T_TW-fclh2o-S2"=[1]OUT_TransportEnergyCons!$A$3:$A$1000)*1,("Var_Fin"=[1]OUT_TransportEnergyCons!$B$3:$B$1000)*1,ISNUMBER(SEARCH("h2",[1]OUT_TransportEnergyCons!$C$3:$C$1000))*1,[1]OUT_TransportEnergyCons!F$3:F$1000)</f>
        <v>0</v>
      </c>
      <c r="I1505" s="1" cm="1">
        <f t="array" ref="I1505">SUMPRODUCT(("T_TW-fclh2o-S2"=[1]OUT_TransportEnergyCons!$A$3:$A$1000)*1,("Var_Fin"=[1]OUT_TransportEnergyCons!$B$3:$B$1000)*1,ISNUMBER(SEARCH("h2",[1]OUT_TransportEnergyCons!$C$3:$C$1000))*1,[1]OUT_TransportEnergyCons!G$3:G$1000)</f>
        <v>5.8858299581390651E-5</v>
      </c>
      <c r="J1505" s="1" cm="1">
        <f t="array" ref="J1505">SUMPRODUCT(("T_TW-fclh2o-S2"=[2]OUT_TransportEnergyCons!$A$3:$A$1000)*1,("Var_Fin"=[2]OUT_TransportEnergyCons!$B$3:$B$1000)*1,ISNUMBER(SEARCH("h2",[2]OUT_TransportEnergyCons!$C$3:$C$1000))*1,[2]OUT_TransportEnergyCons!H$3:H$1000)</f>
        <v>7.2559322650427041E-5</v>
      </c>
      <c r="K1505" s="1" cm="1">
        <f t="array" ref="K1505">SUMPRODUCT(("T_TW-fclh2o-S2"=[2]OUT_TransportEnergyCons!$A$3:$A$1000)*1,("Var_Fin"=[2]OUT_TransportEnergyCons!$B$3:$B$1000)*1,ISNUMBER(SEARCH("h2",[2]OUT_TransportEnergyCons!$C$3:$C$1000))*1,[2]OUT_TransportEnergyCons!I$3:I$1000)</f>
        <v>9.3725783004399357E-5</v>
      </c>
      <c r="L1505" s="1" cm="1">
        <f t="array" ref="L1505">SUMPRODUCT(("T_TW-fclh2o-S2"=[2]OUT_TransportEnergyCons!$A$3:$A$1000)*1,("Var_Fin"=[2]OUT_TransportEnergyCons!$B$3:$B$1000)*1,ISNUMBER(SEARCH("h2",[2]OUT_TransportEnergyCons!$C$3:$C$1000))*1,[2]OUT_TransportEnergyCons!J$3:J$1000)</f>
        <v>6.7860561821287603E-5</v>
      </c>
      <c r="N1505" s="1"/>
    </row>
    <row r="1506" spans="2:14" x14ac:dyDescent="0.35">
      <c r="B1506" t="str">
        <f t="shared" si="1604"/>
        <v>SPS1</v>
      </c>
      <c r="C1506" t="str">
        <f t="shared" si="1601"/>
        <v>CH</v>
      </c>
      <c r="D1506" t="s">
        <v>1496</v>
      </c>
      <c r="E1506" t="str">
        <f t="shared" si="1605"/>
        <v>PJ/yr.</v>
      </c>
      <c r="F1506" s="1" cm="1">
        <f t="array" ref="F1506">SUMPRODUCT(("T_TW-fclh2o-S3"=[1]OUT_TransportEnergyCons!$A$3:$A$1000)*1,("Var_Fin"=[1]OUT_TransportEnergyCons!$B$3:$B$1000)*1,ISNUMBER(SEARCH("h2",[1]OUT_TransportEnergyCons!$C$3:$C$1000))*1,[1]OUT_TransportEnergyCons!D$3:D$1000)</f>
        <v>0</v>
      </c>
      <c r="G1506" s="1" cm="1">
        <f t="array" ref="G1506">SUMPRODUCT(("T_TW-fclh2o-S3"=[1]OUT_TransportEnergyCons!$A$3:$A$1000)*1,("Var_Fin"=[1]OUT_TransportEnergyCons!$B$3:$B$1000)*1,ISNUMBER(SEARCH("h2",[1]OUT_TransportEnergyCons!$C$3:$C$1000))*1,[1]OUT_TransportEnergyCons!E$3:E$1000)</f>
        <v>0</v>
      </c>
      <c r="H1506" s="1" cm="1">
        <f t="array" ref="H1506">SUMPRODUCT(("T_TW-fclh2o-S3"=[1]OUT_TransportEnergyCons!$A$3:$A$1000)*1,("Var_Fin"=[1]OUT_TransportEnergyCons!$B$3:$B$1000)*1,ISNUMBER(SEARCH("h2",[1]OUT_TransportEnergyCons!$C$3:$C$1000))*1,[1]OUT_TransportEnergyCons!F$3:F$1000)</f>
        <v>0</v>
      </c>
      <c r="I1506" s="1" cm="1">
        <f t="array" ref="I1506">SUMPRODUCT(("T_TW-fclh2o-S3"=[1]OUT_TransportEnergyCons!$A$3:$A$1000)*1,("Var_Fin"=[1]OUT_TransportEnergyCons!$B$3:$B$1000)*1,ISNUMBER(SEARCH("h2",[1]OUT_TransportEnergyCons!$C$3:$C$1000))*1,[1]OUT_TransportEnergyCons!G$3:G$1000)</f>
        <v>2.268455415878167E-5</v>
      </c>
      <c r="J1506" s="1" cm="1">
        <f t="array" ref="J1506">SUMPRODUCT(("T_TW-fclh2o-S3"=[2]OUT_TransportEnergyCons!$A$3:$A$1000)*1,("Var_Fin"=[2]OUT_TransportEnergyCons!$B$3:$B$1000)*1,ISNUMBER(SEARCH("h2",[2]OUT_TransportEnergyCons!$C$3:$C$1000))*1,[2]OUT_TransportEnergyCons!H$3:H$1000)</f>
        <v>5.5452006305466773E-5</v>
      </c>
      <c r="K1506" s="1" cm="1">
        <f t="array" ref="K1506">SUMPRODUCT(("T_TW-fclh2o-S3"=[2]OUT_TransportEnergyCons!$A$3:$A$1000)*1,("Var_Fin"=[2]OUT_TransportEnergyCons!$B$3:$B$1000)*1,ISNUMBER(SEARCH("h2",[2]OUT_TransportEnergyCons!$C$3:$C$1000))*1,[2]OUT_TransportEnergyCons!I$3:I$1000)</f>
        <v>7.9627381445629872E-5</v>
      </c>
      <c r="L1506" s="1" cm="1">
        <f t="array" ref="L1506">SUMPRODUCT(("T_TW-fclh2o-S3"=[2]OUT_TransportEnergyCons!$A$3:$A$1000)*1,("Var_Fin"=[2]OUT_TransportEnergyCons!$B$3:$B$1000)*1,ISNUMBER(SEARCH("h2",[2]OUT_TransportEnergyCons!$C$3:$C$1000))*1,[2]OUT_TransportEnergyCons!J$3:J$1000)</f>
        <v>7.8300329637751454E-5</v>
      </c>
      <c r="N1506" s="1"/>
    </row>
    <row r="1507" spans="2:14" x14ac:dyDescent="0.35">
      <c r="B1507" t="str">
        <f t="shared" si="1604"/>
        <v>SPS1</v>
      </c>
      <c r="C1507" t="str">
        <f t="shared" si="1601"/>
        <v>CH</v>
      </c>
      <c r="D1507" t="s">
        <v>1497</v>
      </c>
      <c r="E1507" t="str">
        <f t="shared" si="1605"/>
        <v>PJ/yr.</v>
      </c>
      <c r="F1507" s="1" cm="1">
        <f t="array" ref="F1507">SUMPRODUCT(("T_TW-fclh2o-S4"=[1]OUT_TransportEnergyCons!$A$3:$A$1000)*1,("Var_Fin"=[1]OUT_TransportEnergyCons!$B$3:$B$1000)*1,ISNUMBER(SEARCH("h2",[1]OUT_TransportEnergyCons!$C$3:$C$1000))*1,[1]OUT_TransportEnergyCons!D$3:D$1000)</f>
        <v>0</v>
      </c>
      <c r="G1507" s="1" cm="1">
        <f t="array" ref="G1507">SUMPRODUCT(("T_TW-fclh2o-S4"=[1]OUT_TransportEnergyCons!$A$3:$A$1000)*1,("Var_Fin"=[1]OUT_TransportEnergyCons!$B$3:$B$1000)*1,ISNUMBER(SEARCH("h2",[1]OUT_TransportEnergyCons!$C$3:$C$1000))*1,[1]OUT_TransportEnergyCons!E$3:E$1000)</f>
        <v>0</v>
      </c>
      <c r="H1507" s="1" cm="1">
        <f t="array" ref="H1507">SUMPRODUCT(("T_TW-fclh2o-S4"=[1]OUT_TransportEnergyCons!$A$3:$A$1000)*1,("Var_Fin"=[1]OUT_TransportEnergyCons!$B$3:$B$1000)*1,ISNUMBER(SEARCH("h2",[1]OUT_TransportEnergyCons!$C$3:$C$1000))*1,[1]OUT_TransportEnergyCons!F$3:F$1000)</f>
        <v>0</v>
      </c>
      <c r="I1507" s="1" cm="1">
        <f t="array" ref="I1507">SUMPRODUCT(("T_TW-fclh2o-S4"=[1]OUT_TransportEnergyCons!$A$3:$A$1000)*1,("Var_Fin"=[1]OUT_TransportEnergyCons!$B$3:$B$1000)*1,ISNUMBER(SEARCH("h2",[1]OUT_TransportEnergyCons!$C$3:$C$1000))*1,[1]OUT_TransportEnergyCons!G$3:G$1000)</f>
        <v>8.4352882581774254E-6</v>
      </c>
      <c r="J1507" s="1" cm="1">
        <f t="array" ref="J1507">SUMPRODUCT(("T_TW-fclh2o-S4"=[2]OUT_TransportEnergyCons!$A$3:$A$1000)*1,("Var_Fin"=[2]OUT_TransportEnergyCons!$B$3:$B$1000)*1,ISNUMBER(SEARCH("h2",[2]OUT_TransportEnergyCons!$C$3:$C$1000))*1,[2]OUT_TransportEnergyCons!H$3:H$1000)</f>
        <v>3.3073542758072678E-5</v>
      </c>
      <c r="K1507" s="1" cm="1">
        <f t="array" ref="K1507">SUMPRODUCT(("T_TW-fclh2o-S4"=[2]OUT_TransportEnergyCons!$A$3:$A$1000)*1,("Var_Fin"=[2]OUT_TransportEnergyCons!$B$3:$B$1000)*1,ISNUMBER(SEARCH("h2",[2]OUT_TransportEnergyCons!$C$3:$C$1000))*1,[2]OUT_TransportEnergyCons!I$3:I$1000)</f>
        <v>4.9568441518798712E-5</v>
      </c>
      <c r="L1507" s="1" cm="1">
        <f t="array" ref="L1507">SUMPRODUCT(("T_TW-fclh2o-S4"=[2]OUT_TransportEnergyCons!$A$3:$A$1000)*1,("Var_Fin"=[2]OUT_TransportEnergyCons!$B$3:$B$1000)*1,ISNUMBER(SEARCH("h2",[2]OUT_TransportEnergyCons!$C$3:$C$1000))*1,[2]OUT_TransportEnergyCons!J$3:J$1000)</f>
        <v>6.0108109783254354E-5</v>
      </c>
      <c r="N1507" s="1"/>
    </row>
    <row r="1508" spans="2:14" x14ac:dyDescent="0.35">
      <c r="B1508" s="5" t="str">
        <f>B1507</f>
        <v>SPS1</v>
      </c>
      <c r="C1508" t="str">
        <f t="shared" ref="C1508:C1518" si="1606">C1507</f>
        <v>CH</v>
      </c>
      <c r="D1508" t="s">
        <v>1498</v>
      </c>
      <c r="E1508" t="str">
        <f>E1507</f>
        <v>PJ/yr.</v>
      </c>
      <c r="F1508" s="1">
        <f>SUM(F1513:F1517)</f>
        <v>2.4089626435924059</v>
      </c>
      <c r="G1508" s="1">
        <f t="shared" ref="G1508:K1508" si="1607">SUM(G1513:G1517)</f>
        <v>2.1586476738806319</v>
      </c>
      <c r="H1508" s="1">
        <f t="shared" si="1607"/>
        <v>1.8764977081022249</v>
      </c>
      <c r="I1508" s="1">
        <f t="shared" si="1607"/>
        <v>1.4872638927858406</v>
      </c>
      <c r="J1508" s="1">
        <f t="shared" si="1607"/>
        <v>1.1746173617491562</v>
      </c>
      <c r="K1508" s="1">
        <f t="shared" si="1607"/>
        <v>1.0529703247951092</v>
      </c>
      <c r="L1508" s="1">
        <f t="shared" ref="L1508" si="1608">SUM(L1513:L1517)</f>
        <v>0.88678831157824534</v>
      </c>
      <c r="N1508" s="1"/>
    </row>
    <row r="1509" spans="2:14" x14ac:dyDescent="0.35">
      <c r="B1509" s="5" t="str">
        <f>B1508</f>
        <v>SPS1</v>
      </c>
      <c r="C1509" s="5" t="str">
        <f>C1508</f>
        <v>CH</v>
      </c>
      <c r="D1509" t="s">
        <v>1499</v>
      </c>
      <c r="E1509" t="str">
        <f>E1508</f>
        <v>PJ/yr.</v>
      </c>
      <c r="F1509" s="1">
        <f>IF(F1508-F1510&lt;0,0,F1508-F1510)</f>
        <v>2.2770950396374472</v>
      </c>
      <c r="G1509" s="1">
        <f t="shared" ref="G1509:L1509" si="1609">IF(G1508-G1510&lt;0,0,G1508-G1510)</f>
        <v>2.0404821495697592</v>
      </c>
      <c r="H1509" s="1">
        <f t="shared" si="1609"/>
        <v>1.77377756925301</v>
      </c>
      <c r="I1509" s="1">
        <f t="shared" si="1609"/>
        <v>1.4058213228375491</v>
      </c>
      <c r="J1509" s="1">
        <f t="shared" si="1609"/>
        <v>1.1102773331936744</v>
      </c>
      <c r="K1509" s="1">
        <f t="shared" si="1609"/>
        <v>0.99531052334358461</v>
      </c>
      <c r="L1509" s="1">
        <f t="shared" si="1609"/>
        <v>0.83822524038657409</v>
      </c>
      <c r="N1509" s="1"/>
    </row>
    <row r="1510" spans="2:14" x14ac:dyDescent="0.35">
      <c r="B1510" s="5" t="str">
        <f t="shared" ref="B1510:B1512" si="1610">B1509</f>
        <v>SPS1</v>
      </c>
      <c r="C1510" s="5" t="str">
        <f t="shared" ref="C1510:C1512" si="1611">C1509</f>
        <v>CH</v>
      </c>
      <c r="D1510" t="s">
        <v>1500</v>
      </c>
      <c r="E1510" t="str">
        <f>E1509</f>
        <v>PJ/yr.</v>
      </c>
      <c r="F1510" s="1">
        <f>SUM(F1511:F1512)</f>
        <v>0.13186760395495847</v>
      </c>
      <c r="G1510" s="1">
        <f t="shared" ref="G1510" si="1612">SUM(G1511:G1512)</f>
        <v>0.11816552431087286</v>
      </c>
      <c r="H1510" s="1">
        <f t="shared" ref="H1510" si="1613">SUM(H1511:H1512)</f>
        <v>0.1027201388492149</v>
      </c>
      <c r="I1510" s="1">
        <f t="shared" ref="I1510" si="1614">SUM(I1511:I1512)</f>
        <v>8.1442569948291577E-2</v>
      </c>
      <c r="J1510" s="1">
        <f t="shared" ref="J1510" si="1615">SUM(J1511:J1512)</f>
        <v>6.4340028555481835E-2</v>
      </c>
      <c r="K1510" s="1">
        <f t="shared" ref="K1510:L1510" si="1616">SUM(K1511:K1512)</f>
        <v>5.7659801451524634E-2</v>
      </c>
      <c r="L1510" s="1">
        <f t="shared" si="1616"/>
        <v>4.8563071191671227E-2</v>
      </c>
      <c r="N1510" s="1"/>
    </row>
    <row r="1511" spans="2:14" x14ac:dyDescent="0.35">
      <c r="B1511" s="5" t="str">
        <f t="shared" si="1610"/>
        <v>SPS1</v>
      </c>
      <c r="C1511" s="5" t="str">
        <f t="shared" si="1611"/>
        <v>CH</v>
      </c>
      <c r="D1511" t="s">
        <v>1501</v>
      </c>
      <c r="E1511" t="str">
        <f>E1510</f>
        <v>PJ/yr.</v>
      </c>
      <c r="F1511" s="1">
        <f>[1]Transport!B$25/SUM([1]Transport!B$21,[1]Transport!B$25)*F1508*(F$35+F$600)/(F$35+F$600+F$39)</f>
        <v>0.13186760395495847</v>
      </c>
      <c r="G1511" s="1">
        <f>[1]Transport!C$25/SUM([1]Transport!C$21,[1]Transport!C$25)*G1508*(G$35+G$600)/(G$35+G$600+G$39)</f>
        <v>0.11816552431087286</v>
      </c>
      <c r="H1511" s="1">
        <f>[1]Transport!D$25/SUM([1]Transport!D$21,[1]Transport!D$25)*H1508*(H$35+H$600)/(H$35+H$600+H$39)</f>
        <v>0.1027201388492149</v>
      </c>
      <c r="I1511" s="1">
        <f>[1]Transport!E$25/SUM([1]Transport!E$21,[1]Transport!E$25)*I1508*(I$35+I$600)/(I$35+I$600+I$39)</f>
        <v>8.1442569948291577E-2</v>
      </c>
      <c r="J1511" s="1">
        <f>[2]Transport!F$25/SUM([2]Transport!F$21,[2]Transport!F$25)*J1508*(J$35+J$600)/(J$35+J$600+J$39)</f>
        <v>6.4340028555481835E-2</v>
      </c>
      <c r="K1511" s="1">
        <f>[2]Transport!G$25/SUM([2]Transport!G$21,[2]Transport!G$25)*K1508*(K$35+K$600)/(K$35+K$600+K$39)</f>
        <v>5.7659801451524634E-2</v>
      </c>
      <c r="L1511" s="1">
        <f>[2]Transport!H$25/SUM([2]Transport!H$21,[2]Transport!H$25)*L1508*(L$35+L$600)/(L$35+L$600+L$39)</f>
        <v>4.8563071191671227E-2</v>
      </c>
      <c r="N1511" s="1"/>
    </row>
    <row r="1512" spans="2:14" x14ac:dyDescent="0.35">
      <c r="B1512" s="5" t="str">
        <f t="shared" si="1610"/>
        <v>SPS1</v>
      </c>
      <c r="C1512" s="5" t="str">
        <f t="shared" si="1611"/>
        <v>CH</v>
      </c>
      <c r="D1512" t="s">
        <v>1502</v>
      </c>
      <c r="E1512" t="str">
        <f>E1511</f>
        <v>PJ/yr.</v>
      </c>
      <c r="F1512" s="1">
        <f>(F$39+F$719)/([1]Transport!B$21+[1]Transport!B$25)*F1508</f>
        <v>0</v>
      </c>
      <c r="G1512" s="1">
        <f>(G$39+G$719)/([1]Transport!C$21+[1]Transport!C$25)*G1508</f>
        <v>0</v>
      </c>
      <c r="H1512" s="1">
        <f>(H$39+H$719)/([1]Transport!D$21+[1]Transport!D$25)*H1508</f>
        <v>0</v>
      </c>
      <c r="I1512" s="1">
        <f>(I$39+I$719)/([1]Transport!E$21+[1]Transport!E$25)*I1508</f>
        <v>0</v>
      </c>
      <c r="J1512" s="1">
        <f>(J$39+J$719)/([2]Transport!F$21+[2]Transport!F$25)*J1508</f>
        <v>0</v>
      </c>
      <c r="K1512" s="1">
        <f>(K$39+K$719)/([2]Transport!G$21+[2]Transport!G$25)*K1508</f>
        <v>0</v>
      </c>
      <c r="L1512" s="1">
        <f>(L$39+L$719)/([2]Transport!H$21+[2]Transport!H$25)*L1508</f>
        <v>0</v>
      </c>
      <c r="N1512" s="1"/>
    </row>
    <row r="1513" spans="2:14" x14ac:dyDescent="0.35">
      <c r="B1513" t="str">
        <f>B1507</f>
        <v>SPS1</v>
      </c>
      <c r="C1513" t="str">
        <f>C1507</f>
        <v>CH</v>
      </c>
      <c r="D1513" t="s">
        <v>1577</v>
      </c>
      <c r="E1513" t="str">
        <f>E1507</f>
        <v>PJ/yr.</v>
      </c>
      <c r="F1513" s="1" cm="1">
        <f t="array" ref="F1513">SUMPRODUCT(("T_TW-ICEGSLEXT"=[1]OUT_TransportEnergyCons!$A$3:$A$1000)*1,("Var_Fin"=[1]OUT_TransportEnergyCons!$B$3:$B$1000)*1,ISNUMBER(SEARCH("gsl",[1]OUT_TransportEnergyCons!$C$3:$C$1000))*1,[1]OUT_TransportEnergyCons!D$3:D$1000)</f>
        <v>1.9936715353191363</v>
      </c>
      <c r="G1513" s="1" cm="1">
        <f t="array" ref="G1513">SUMPRODUCT(("T_TW-ICEGSLEXT"=[1]OUT_TransportEnergyCons!$A$3:$A$1000)*1,("Var_Fin"=[1]OUT_TransportEnergyCons!$B$3:$B$1000)*1,ISNUMBER(SEARCH("gsl",[1]OUT_TransportEnergyCons!$C$3:$C$1000))*1,[1]OUT_TransportEnergyCons!E$3:E$1000)</f>
        <v>1.4983975047725102</v>
      </c>
      <c r="H1513" s="1" cm="1">
        <f t="array" ref="H1513">SUMPRODUCT(("T_TW-ICEGSLEXT"=[1]OUT_TransportEnergyCons!$A$3:$A$1000)*1,("Var_Fin"=[1]OUT_TransportEnergyCons!$B$3:$B$1000)*1,ISNUMBER(SEARCH("gsl",[1]OUT_TransportEnergyCons!$C$3:$C$1000))*1,[1]OUT_TransportEnergyCons!F$3:F$1000)</f>
        <v>1.0426460036457499</v>
      </c>
      <c r="I1513" s="1" cm="1">
        <f t="array" ref="I1513">SUMPRODUCT(("T_TW-ICEGSLEXT"=[1]OUT_TransportEnergyCons!$A$3:$A$1000)*1,("Var_Fin"=[1]OUT_TransportEnergyCons!$B$3:$B$1000)*1,ISNUMBER(SEARCH("gsl",[1]OUT_TransportEnergyCons!$C$3:$C$1000))*1,[1]OUT_TransportEnergyCons!G$3:G$1000)</f>
        <v>0.45302793523016488</v>
      </c>
      <c r="J1513" s="1" cm="1">
        <f t="array" ref="J1513">SUMPRODUCT(("T_TW-ICEGSLEXT"=[2]OUT_TransportEnergyCons!$A$3:$A$1000)*1,("Var_Fin"=[2]OUT_TransportEnergyCons!$B$3:$B$1000)*1,ISNUMBER(SEARCH("gsl",[2]OUT_TransportEnergyCons!$C$3:$C$1000))*1,[2]OUT_TransportEnergyCons!H$3:H$1000)</f>
        <v>0</v>
      </c>
      <c r="K1513" s="1" cm="1">
        <f t="array" ref="K1513">SUMPRODUCT(("T_TW-ICEGSLEXT"=[2]OUT_TransportEnergyCons!$A$3:$A$1000)*1,("Var_Fin"=[2]OUT_TransportEnergyCons!$B$3:$B$1000)*1,ISNUMBER(SEARCH("gsl",[2]OUT_TransportEnergyCons!$C$3:$C$1000))*1,[2]OUT_TransportEnergyCons!I$3:I$1000)</f>
        <v>0</v>
      </c>
      <c r="L1513" s="1" cm="1">
        <f t="array" ref="L1513">SUMPRODUCT(("T_TW-ICEGSLEXT"=[2]OUT_TransportEnergyCons!$A$3:$A$1000)*1,("Var_Fin"=[2]OUT_TransportEnergyCons!$B$3:$B$1000)*1,ISNUMBER(SEARCH("gsl",[2]OUT_TransportEnergyCons!$C$3:$C$1000))*1,[2]OUT_TransportEnergyCons!J$3:J$1000)</f>
        <v>0</v>
      </c>
      <c r="N1513" s="1"/>
    </row>
    <row r="1514" spans="2:14" x14ac:dyDescent="0.35">
      <c r="B1514" t="str">
        <f>B1508</f>
        <v>SPS1</v>
      </c>
      <c r="C1514" t="str">
        <f>C1508</f>
        <v>CH</v>
      </c>
      <c r="D1514" t="s">
        <v>1578</v>
      </c>
      <c r="E1514" t="str">
        <f>E1508</f>
        <v>PJ/yr.</v>
      </c>
      <c r="F1514" s="1" cm="1">
        <f t="array" ref="F1514">SUMPRODUCT(("T_TW-icegsl-S1"=[1]OUT_TransportEnergyCons!$A$3:$A$1000)*1,("Var_Fin"=[1]OUT_TransportEnergyCons!$B$3:$B$1000)*1,ISNUMBER(SEARCH("gsl",[1]OUT_TransportEnergyCons!$C$3:$C$1000))*1,[1]OUT_TransportEnergyCons!D$3:D$1000)</f>
        <v>4.4328945490460819E-2</v>
      </c>
      <c r="G1514" s="1" cm="1">
        <f t="array" ref="G1514">SUMPRODUCT(("T_TW-icegsl-S1"=[1]OUT_TransportEnergyCons!$A$3:$A$1000)*1,("Var_Fin"=[1]OUT_TransportEnergyCons!$B$3:$B$1000)*1,ISNUMBER(SEARCH("gsl",[1]OUT_TransportEnergyCons!$C$3:$C$1000))*1,[1]OUT_TransportEnergyCons!E$3:E$1000)</f>
        <v>0.17496205953551291</v>
      </c>
      <c r="H1514" s="1" cm="1">
        <f t="array" ref="H1514">SUMPRODUCT(("T_TW-icegsl-S1"=[1]OUT_TransportEnergyCons!$A$3:$A$1000)*1,("Var_Fin"=[1]OUT_TransportEnergyCons!$B$3:$B$1000)*1,ISNUMBER(SEARCH("gsl",[1]OUT_TransportEnergyCons!$C$3:$C$1000))*1,[1]OUT_TransportEnergyCons!F$3:F$1000)</f>
        <v>0.34683051360143541</v>
      </c>
      <c r="I1514" s="1" cm="1">
        <f t="array" ref="I1514">SUMPRODUCT(("T_TW-icegsl-S1"=[1]OUT_TransportEnergyCons!$A$3:$A$1000)*1,("Var_Fin"=[1]OUT_TransportEnergyCons!$B$3:$B$1000)*1,ISNUMBER(SEARCH("gsl",[1]OUT_TransportEnergyCons!$C$3:$C$1000))*1,[1]OUT_TransportEnergyCons!G$3:G$1000)</f>
        <v>0.61107082173708649</v>
      </c>
      <c r="J1514" s="1" cm="1">
        <f t="array" ref="J1514">SUMPRODUCT(("T_TW-icegsl-S1"=[2]OUT_TransportEnergyCons!$A$3:$A$1000)*1,("Var_Fin"=[2]OUT_TransportEnergyCons!$B$3:$B$1000)*1,ISNUMBER(SEARCH("gsl",[2]OUT_TransportEnergyCons!$C$3:$C$1000))*1,[2]OUT_TransportEnergyCons!H$3:H$1000)</f>
        <v>0.84964382257414839</v>
      </c>
      <c r="K1514" s="1" cm="1">
        <f t="array" ref="K1514">SUMPRODUCT(("T_TW-icegsl-S1"=[2]OUT_TransportEnergyCons!$A$3:$A$1000)*1,("Var_Fin"=[2]OUT_TransportEnergyCons!$B$3:$B$1000)*1,ISNUMBER(SEARCH("gsl",[2]OUT_TransportEnergyCons!$C$3:$C$1000))*1,[2]OUT_TransportEnergyCons!I$3:I$1000)</f>
        <v>0.89205780541452973</v>
      </c>
      <c r="L1514" s="1" cm="1">
        <f t="array" ref="L1514">SUMPRODUCT(("T_TW-icegsl-S1"=[2]OUT_TransportEnergyCons!$A$3:$A$1000)*1,("Var_Fin"=[2]OUT_TransportEnergyCons!$B$3:$B$1000)*1,ISNUMBER(SEARCH("gsl",[2]OUT_TransportEnergyCons!$C$3:$C$1000))*1,[2]OUT_TransportEnergyCons!J$3:J$1000)</f>
        <v>0.87913767859453251</v>
      </c>
      <c r="N1514" s="1"/>
    </row>
    <row r="1515" spans="2:14" x14ac:dyDescent="0.35">
      <c r="B1515" t="str">
        <f t="shared" ref="B1515:B1518" si="1617">B1514</f>
        <v>SPS1</v>
      </c>
      <c r="C1515" t="str">
        <f t="shared" si="1606"/>
        <v>CH</v>
      </c>
      <c r="D1515" t="s">
        <v>1579</v>
      </c>
      <c r="E1515" t="str">
        <f t="shared" ref="E1515:E1517" si="1618">E1514</f>
        <v>PJ/yr.</v>
      </c>
      <c r="F1515" s="1" cm="1">
        <f t="array" ref="F1515">SUMPRODUCT(("T_TW-icegsl-S2"=[1]OUT_TransportEnergyCons!$A$3:$A$1000)*1,("Var_Fin"=[1]OUT_TransportEnergyCons!$B$3:$B$1000)*1,ISNUMBER(SEARCH("gsl",[1]OUT_TransportEnergyCons!$C$3:$C$1000))*1,[1]OUT_TransportEnergyCons!D$3:D$1000)</f>
        <v>0.11248164502917629</v>
      </c>
      <c r="G1515" s="1" cm="1">
        <f t="array" ref="G1515">SUMPRODUCT(("T_TW-icegsl-S2"=[1]OUT_TransportEnergyCons!$A$3:$A$1000)*1,("Var_Fin"=[1]OUT_TransportEnergyCons!$B$3:$B$1000)*1,ISNUMBER(SEARCH("gsl",[1]OUT_TransportEnergyCons!$C$3:$C$1000))*1,[1]OUT_TransportEnergyCons!E$3:E$1000)</f>
        <v>0.16289315034113327</v>
      </c>
      <c r="H1515" s="1" cm="1">
        <f t="array" ref="H1515">SUMPRODUCT(("T_TW-icegsl-S2"=[1]OUT_TransportEnergyCons!$A$3:$A$1000)*1,("Var_Fin"=[1]OUT_TransportEnergyCons!$B$3:$B$1000)*1,ISNUMBER(SEARCH("gsl",[1]OUT_TransportEnergyCons!$C$3:$C$1000))*1,[1]OUT_TransportEnergyCons!F$3:F$1000)</f>
        <v>0.16293436018506538</v>
      </c>
      <c r="I1515" s="1" cm="1">
        <f t="array" ref="I1515">SUMPRODUCT(("T_TW-icegsl-S2"=[1]OUT_TransportEnergyCons!$A$3:$A$1000)*1,("Var_Fin"=[1]OUT_TransportEnergyCons!$B$3:$B$1000)*1,ISNUMBER(SEARCH("gsl",[1]OUT_TransportEnergyCons!$C$3:$C$1000))*1,[1]OUT_TransportEnergyCons!G$3:G$1000)</f>
        <v>0.10106812640410752</v>
      </c>
      <c r="J1515" s="1" cm="1">
        <f t="array" ref="J1515">SUMPRODUCT(("T_TW-icegsl-S2"=[2]OUT_TransportEnergyCons!$A$3:$A$1000)*1,("Var_Fin"=[2]OUT_TransportEnergyCons!$B$3:$B$1000)*1,ISNUMBER(SEARCH("gsl",[2]OUT_TransportEnergyCons!$C$3:$C$1000))*1,[2]OUT_TransportEnergyCons!H$3:H$1000)</f>
        <v>1.01134310638149E-2</v>
      </c>
      <c r="K1515" s="1" cm="1">
        <f t="array" ref="K1515">SUMPRODUCT(("T_TW-icegsl-S2"=[2]OUT_TransportEnergyCons!$A$3:$A$1000)*1,("Var_Fin"=[2]OUT_TransportEnergyCons!$B$3:$B$1000)*1,ISNUMBER(SEARCH("gsl",[2]OUT_TransportEnergyCons!$C$3:$C$1000))*1,[2]OUT_TransportEnergyCons!I$3:I$1000)</f>
        <v>4.9885045251233772E-4</v>
      </c>
      <c r="L1515" s="1" cm="1">
        <f t="array" ref="L1515">SUMPRODUCT(("T_TW-icegsl-S2"=[2]OUT_TransportEnergyCons!$A$3:$A$1000)*1,("Var_Fin"=[2]OUT_TransportEnergyCons!$B$3:$B$1000)*1,ISNUMBER(SEARCH("gsl",[2]OUT_TransportEnergyCons!$C$3:$C$1000))*1,[2]OUT_TransportEnergyCons!J$3:J$1000)</f>
        <v>2.9665489339308318E-4</v>
      </c>
      <c r="N1515" s="1"/>
    </row>
    <row r="1516" spans="2:14" x14ac:dyDescent="0.35">
      <c r="B1516" t="str">
        <f t="shared" si="1617"/>
        <v>SPS1</v>
      </c>
      <c r="C1516" t="str">
        <f t="shared" si="1606"/>
        <v>CH</v>
      </c>
      <c r="D1516" t="s">
        <v>1580</v>
      </c>
      <c r="E1516" t="str">
        <f t="shared" si="1618"/>
        <v>PJ/yr.</v>
      </c>
      <c r="F1516" s="1" cm="1">
        <f t="array" ref="F1516">SUMPRODUCT(("T_TW-icegsl-S3"=[1]OUT_TransportEnergyCons!$A$3:$A$1000)*1,("Var_Fin"=[1]OUT_TransportEnergyCons!$B$3:$B$1000)*1,ISNUMBER(SEARCH("gsl",[1]OUT_TransportEnergyCons!$C$3:$C$1000))*1,[1]OUT_TransportEnergyCons!D$3:D$1000)</f>
        <v>0.1558702874188484</v>
      </c>
      <c r="G1516" s="1" cm="1">
        <f t="array" ref="G1516">SUMPRODUCT(("T_TW-icegsl-S3"=[1]OUT_TransportEnergyCons!$A$3:$A$1000)*1,("Var_Fin"=[1]OUT_TransportEnergyCons!$B$3:$B$1000)*1,ISNUMBER(SEARCH("gsl",[1]OUT_TransportEnergyCons!$C$3:$C$1000))*1,[1]OUT_TransportEnergyCons!E$3:E$1000)</f>
        <v>0.19674765818102927</v>
      </c>
      <c r="H1516" s="1" cm="1">
        <f t="array" ref="H1516">SUMPRODUCT(("T_TW-icegsl-S3"=[1]OUT_TransportEnergyCons!$A$3:$A$1000)*1,("Var_Fin"=[1]OUT_TransportEnergyCons!$B$3:$B$1000)*1,ISNUMBER(SEARCH("gsl",[1]OUT_TransportEnergyCons!$C$3:$C$1000))*1,[1]OUT_TransportEnergyCons!F$3:F$1000)</f>
        <v>0.19778116536262175</v>
      </c>
      <c r="I1516" s="1" cm="1">
        <f t="array" ref="I1516">SUMPRODUCT(("T_TW-icegsl-S3"=[1]OUT_TransportEnergyCons!$A$3:$A$1000)*1,("Var_Fin"=[1]OUT_TransportEnergyCons!$B$3:$B$1000)*1,ISNUMBER(SEARCH("gsl",[1]OUT_TransportEnergyCons!$C$3:$C$1000))*1,[1]OUT_TransportEnergyCons!G$3:G$1000)</f>
        <v>0.19650767378770528</v>
      </c>
      <c r="J1516" s="1" cm="1">
        <f t="array" ref="J1516">SUMPRODUCT(("T_TW-icegsl-S3"=[2]OUT_TransportEnergyCons!$A$3:$A$1000)*1,("Var_Fin"=[2]OUT_TransportEnergyCons!$B$3:$B$1000)*1,ISNUMBER(SEARCH("gsl",[2]OUT_TransportEnergyCons!$C$3:$C$1000))*1,[2]OUT_TransportEnergyCons!H$3:H$1000)</f>
        <v>0.18853668453385852</v>
      </c>
      <c r="K1516" s="1" cm="1">
        <f t="array" ref="K1516">SUMPRODUCT(("T_TW-icegsl-S3"=[2]OUT_TransportEnergyCons!$A$3:$A$1000)*1,("Var_Fin"=[2]OUT_TransportEnergyCons!$B$3:$B$1000)*1,ISNUMBER(SEARCH("gsl",[2]OUT_TransportEnergyCons!$C$3:$C$1000))*1,[2]OUT_TransportEnergyCons!I$3:I$1000)</f>
        <v>4.6035630907437869E-2</v>
      </c>
      <c r="L1516" s="1" cm="1">
        <f t="array" ref="L1516">SUMPRODUCT(("T_TW-icegsl-S3"=[2]OUT_TransportEnergyCons!$A$3:$A$1000)*1,("Var_Fin"=[2]OUT_TransportEnergyCons!$B$3:$B$1000)*1,ISNUMBER(SEARCH("gsl",[2]OUT_TransportEnergyCons!$C$3:$C$1000))*1,[2]OUT_TransportEnergyCons!J$3:J$1000)</f>
        <v>2.8754815393294229E-4</v>
      </c>
      <c r="N1516" s="1"/>
    </row>
    <row r="1517" spans="2:14" x14ac:dyDescent="0.35">
      <c r="B1517" t="str">
        <f t="shared" si="1617"/>
        <v>SPS1</v>
      </c>
      <c r="C1517" t="str">
        <f t="shared" si="1606"/>
        <v>CH</v>
      </c>
      <c r="D1517" t="s">
        <v>1581</v>
      </c>
      <c r="E1517" t="str">
        <f t="shared" si="1618"/>
        <v>PJ/yr.</v>
      </c>
      <c r="F1517" s="1" cm="1">
        <f t="array" ref="F1517">SUMPRODUCT(("T_TW-icegsl-S4"=[1]OUT_TransportEnergyCons!$A$3:$A$1000)*1,("Var_Fin"=[1]OUT_TransportEnergyCons!$B$3:$B$1000)*1,ISNUMBER(SEARCH("gsl",[1]OUT_TransportEnergyCons!$C$3:$C$1000))*1,[1]OUT_TransportEnergyCons!D$3:D$1000)</f>
        <v>0.10261023033478388</v>
      </c>
      <c r="G1517" s="1" cm="1">
        <f t="array" ref="G1517">SUMPRODUCT(("T_TW-icegsl-S4"=[1]OUT_TransportEnergyCons!$A$3:$A$1000)*1,("Var_Fin"=[1]OUT_TransportEnergyCons!$B$3:$B$1000)*1,ISNUMBER(SEARCH("gsl",[1]OUT_TransportEnergyCons!$C$3:$C$1000))*1,[1]OUT_TransportEnergyCons!E$3:E$1000)</f>
        <v>0.1256473010504463</v>
      </c>
      <c r="H1517" s="1" cm="1">
        <f t="array" ref="H1517">SUMPRODUCT(("T_TW-icegsl-S4"=[1]OUT_TransportEnergyCons!$A$3:$A$1000)*1,("Var_Fin"=[1]OUT_TransportEnergyCons!$B$3:$B$1000)*1,ISNUMBER(SEARCH("gsl",[1]OUT_TransportEnergyCons!$C$3:$C$1000))*1,[1]OUT_TransportEnergyCons!F$3:F$1000)</f>
        <v>0.12630566530735235</v>
      </c>
      <c r="I1517" s="1" cm="1">
        <f t="array" ref="I1517">SUMPRODUCT(("T_TW-icegsl-S4"=[1]OUT_TransportEnergyCons!$A$3:$A$1000)*1,("Var_Fin"=[1]OUT_TransportEnergyCons!$B$3:$B$1000)*1,ISNUMBER(SEARCH("gsl",[1]OUT_TransportEnergyCons!$C$3:$C$1000))*1,[1]OUT_TransportEnergyCons!G$3:G$1000)</f>
        <v>0.12558933562677649</v>
      </c>
      <c r="J1517" s="1" cm="1">
        <f t="array" ref="J1517">SUMPRODUCT(("T_TW-icegsl-S4"=[2]OUT_TransportEnergyCons!$A$3:$A$1000)*1,("Var_Fin"=[2]OUT_TransportEnergyCons!$B$3:$B$1000)*1,ISNUMBER(SEARCH("gsl",[2]OUT_TransportEnergyCons!$C$3:$C$1000))*1,[2]OUT_TransportEnergyCons!H$3:H$1000)</f>
        <v>0.1263234235773345</v>
      </c>
      <c r="K1517" s="1" cm="1">
        <f t="array" ref="K1517">SUMPRODUCT(("T_TW-icegsl-S4"=[2]OUT_TransportEnergyCons!$A$3:$A$1000)*1,("Var_Fin"=[2]OUT_TransportEnergyCons!$B$3:$B$1000)*1,ISNUMBER(SEARCH("gsl",[2]OUT_TransportEnergyCons!$C$3:$C$1000))*1,[2]OUT_TransportEnergyCons!I$3:I$1000)</f>
        <v>0.11437803802062918</v>
      </c>
      <c r="L1517" s="1" cm="1">
        <f t="array" ref="L1517">SUMPRODUCT(("T_TW-icegsl-S4"=[2]OUT_TransportEnergyCons!$A$3:$A$1000)*1,("Var_Fin"=[2]OUT_TransportEnergyCons!$B$3:$B$1000)*1,ISNUMBER(SEARCH("gsl",[2]OUT_TransportEnergyCons!$C$3:$C$1000))*1,[2]OUT_TransportEnergyCons!J$3:J$1000)</f>
        <v>7.066429936386869E-3</v>
      </c>
      <c r="N1517" s="1"/>
    </row>
    <row r="1518" spans="2:14" x14ac:dyDescent="0.35">
      <c r="B1518" s="9" t="str">
        <f t="shared" si="1617"/>
        <v>SPS1</v>
      </c>
      <c r="C1518" s="9" t="str">
        <f t="shared" si="1606"/>
        <v>CH</v>
      </c>
      <c r="D1518" s="2" t="s">
        <v>1503</v>
      </c>
      <c r="E1518" s="2" t="s">
        <v>1517</v>
      </c>
      <c r="F1518" s="3">
        <f>SUM(F1519:F1531)</f>
        <v>1.9491184787075184</v>
      </c>
      <c r="G1518" s="3">
        <f t="shared" ref="G1518:K1518" si="1619">SUM(G1519:G1531)</f>
        <v>1.9513515273970126</v>
      </c>
      <c r="H1518" s="3">
        <f t="shared" si="1619"/>
        <v>1.9548860847408212</v>
      </c>
      <c r="I1518" s="3">
        <f t="shared" si="1619"/>
        <v>1.9606508282453403</v>
      </c>
      <c r="J1518" s="3">
        <f t="shared" si="1619"/>
        <v>1.9614899867218478</v>
      </c>
      <c r="K1518" s="3">
        <f t="shared" si="1619"/>
        <v>1.962539689911422</v>
      </c>
      <c r="L1518" s="3">
        <f t="shared" ref="L1518" si="1620">SUM(L1519:L1531)</f>
        <v>1.9103822670006463</v>
      </c>
      <c r="N1518" s="1"/>
    </row>
    <row r="1519" spans="2:14" x14ac:dyDescent="0.35">
      <c r="B1519" t="str">
        <f>B1518</f>
        <v>SPS1</v>
      </c>
      <c r="C1519" t="str">
        <f>C1518</f>
        <v>CH</v>
      </c>
      <c r="D1519" t="s">
        <v>1504</v>
      </c>
      <c r="E1519" t="str">
        <f>E1518</f>
        <v>Billion km/yr.</v>
      </c>
      <c r="F1519" s="1" cm="1">
        <f t="array" ref="F1519">SUMPRODUCT(("T_TW-BEVELC-S1"=[1]OUT_TransportEnergyCons!$A$3:$A$1000)*1,("var_fout"=[1]OUT_TransportEnergyCons!$B$3:$B$1000)*1,ISNUMBER(SEARCH("TPTWL",[1]OUT_TransportEnergyCons!$C$3:$C$1000))*1,[1]OUT_TransportEnergyCons!D$3:D$1000)</f>
        <v>1.735749979108062E-2</v>
      </c>
      <c r="G1519" s="1" cm="1">
        <f t="array" ref="G1519">SUMPRODUCT(("T_TW-BEVELC-S1"=[1]OUT_TransportEnergyCons!$A$3:$A$1000)*1,("var_fout"=[1]OUT_TransportEnergyCons!$B$3:$B$1000)*1,ISNUMBER(SEARCH("TPTWL",[1]OUT_TransportEnergyCons!$C$3:$C$1000))*1,[1]OUT_TransportEnergyCons!E$3:E$1000)</f>
        <v>2.3660886444947748E-2</v>
      </c>
      <c r="H1519" s="1" cm="1">
        <f t="array" ref="H1519">SUMPRODUCT(("T_TW-BEVELC-S1"=[1]OUT_TransportEnergyCons!$A$3:$A$1000)*1,("var_fout"=[1]OUT_TransportEnergyCons!$B$3:$B$1000)*1,ISNUMBER(SEARCH("TPTWL",[1]OUT_TransportEnergyCons!$C$3:$C$1000))*1,[1]OUT_TransportEnergyCons!F$3:F$1000)</f>
        <v>2.3875615852337048E-2</v>
      </c>
      <c r="I1519" s="1" cm="1">
        <f t="array" ref="I1519">SUMPRODUCT(("T_TW-BEVELC-S1"=[1]OUT_TransportEnergyCons!$A$3:$A$1000)*1,("var_fout"=[1]OUT_TransportEnergyCons!$B$3:$B$1000)*1,ISNUMBER(SEARCH("TPTWL",[1]OUT_TransportEnergyCons!$C$3:$C$1000))*1,[1]OUT_TransportEnergyCons!G$3:G$1000)</f>
        <v>1.6236883882030945E-2</v>
      </c>
      <c r="J1519" s="1" cm="1">
        <f t="array" ref="J1519">SUMPRODUCT(("T_TW-BEVELC-S1"=[2]OUT_TransportEnergyCons!$A$3:$A$1000)*1,("var_fout"=[2]OUT_TransportEnergyCons!$B$3:$B$1000)*1,ISNUMBER(SEARCH("TPTWL",[2]OUT_TransportEnergyCons!$C$3:$C$1000))*1,[2]OUT_TransportEnergyCons!H$3:H$1000)</f>
        <v>4.1035676729037395E-3</v>
      </c>
      <c r="K1519" s="1" cm="1">
        <f t="array" ref="K1519">SUMPRODUCT(("T_TW-BEVELC-S1"=[2]OUT_TransportEnergyCons!$A$3:$A$1000)*1,("var_fout"=[2]OUT_TransportEnergyCons!$B$3:$B$1000)*1,ISNUMBER(SEARCH("TPTWL",[2]OUT_TransportEnergyCons!$C$3:$C$1000))*1,[2]OUT_TransportEnergyCons!I$3:I$1000)</f>
        <v>4.6774244868321539E-3</v>
      </c>
      <c r="L1519" s="1" cm="1">
        <f t="array" ref="L1519">SUMPRODUCT(("T_TW-BEVELC-S1"=[2]OUT_TransportEnergyCons!$A$3:$A$1000)*1,("var_fout"=[2]OUT_TransportEnergyCons!$B$3:$B$1000)*1,ISNUMBER(SEARCH("TPTWL",[2]OUT_TransportEnergyCons!$C$3:$C$1000))*1,[2]OUT_TransportEnergyCons!J$3:J$1000)</f>
        <v>3.7450269073687997E-3</v>
      </c>
      <c r="N1519" s="1"/>
    </row>
    <row r="1520" spans="2:14" x14ac:dyDescent="0.35">
      <c r="B1520" t="str">
        <f t="shared" ref="B1520:B1545" si="1621">B1519</f>
        <v>SPS1</v>
      </c>
      <c r="C1520" t="str">
        <f t="shared" ref="C1520:C1545" si="1622">C1519</f>
        <v>CH</v>
      </c>
      <c r="D1520" t="s">
        <v>1505</v>
      </c>
      <c r="E1520" t="str">
        <f t="shared" ref="E1520:E1531" si="1623">E1519</f>
        <v>Billion km/yr.</v>
      </c>
      <c r="F1520" s="1" cm="1">
        <f t="array" ref="F1520">SUMPRODUCT(("T_TW-BEVELC-S2"=[1]OUT_TransportEnergyCons!$A$3:$A$1000)*1,("var_fout"=[1]OUT_TransportEnergyCons!$B$3:$B$1000)*1,ISNUMBER(SEARCH("TPTWL",[1]OUT_TransportEnergyCons!$C$3:$C$1000))*1,[1]OUT_TransportEnergyCons!D$3:D$1000)</f>
        <v>2.2620861858348323E-3</v>
      </c>
      <c r="G1520" s="1" cm="1">
        <f t="array" ref="G1520">SUMPRODUCT(("T_TW-BEVELC-S2"=[1]OUT_TransportEnergyCons!$A$3:$A$1000)*1,("var_fout"=[1]OUT_TransportEnergyCons!$B$3:$B$1000)*1,ISNUMBER(SEARCH("TPTWL",[1]OUT_TransportEnergyCons!$C$3:$C$1000))*1,[1]OUT_TransportEnergyCons!E$3:E$1000)</f>
        <v>2.7553921648494789E-3</v>
      </c>
      <c r="H1520" s="1" cm="1">
        <f t="array" ref="H1520">SUMPRODUCT(("T_TW-BEVELC-S2"=[1]OUT_TransportEnergyCons!$A$3:$A$1000)*1,("var_fout"=[1]OUT_TransportEnergyCons!$B$3:$B$1000)*1,ISNUMBER(SEARCH("TPTWL",[1]OUT_TransportEnergyCons!$C$3:$C$1000))*1,[1]OUT_TransportEnergyCons!F$3:F$1000)</f>
        <v>2.8164309707165553E-3</v>
      </c>
      <c r="I1520" s="1" cm="1">
        <f t="array" ref="I1520">SUMPRODUCT(("T_TW-BEVELC-S2"=[1]OUT_TransportEnergyCons!$A$3:$A$1000)*1,("var_fout"=[1]OUT_TransportEnergyCons!$B$3:$B$1000)*1,ISNUMBER(SEARCH("TPTWL",[1]OUT_TransportEnergyCons!$C$3:$C$1000))*1,[1]OUT_TransportEnergyCons!G$3:G$1000)</f>
        <v>2.3963710286976705E-3</v>
      </c>
      <c r="J1520" s="1" cm="1">
        <f t="array" ref="J1520">SUMPRODUCT(("T_TW-BEVELC-S2"=[2]OUT_TransportEnergyCons!$A$3:$A$1000)*1,("var_fout"=[2]OUT_TransportEnergyCons!$B$3:$B$1000)*1,ISNUMBER(SEARCH("TPTWL",[2]OUT_TransportEnergyCons!$C$3:$C$1000))*1,[2]OUT_TransportEnergyCons!H$3:H$1000)</f>
        <v>1.1037050909221714E-3</v>
      </c>
      <c r="K1520" s="1" cm="1">
        <f t="array" ref="K1520">SUMPRODUCT(("T_TW-BEVELC-S2"=[2]OUT_TransportEnergyCons!$A$3:$A$1000)*1,("var_fout"=[2]OUT_TransportEnergyCons!$B$3:$B$1000)*1,ISNUMBER(SEARCH("TPTWL",[2]OUT_TransportEnergyCons!$C$3:$C$1000))*1,[2]OUT_TransportEnergyCons!I$3:I$1000)</f>
        <v>9.6187180281510172E-4</v>
      </c>
      <c r="L1520" s="1" cm="1">
        <f t="array" ref="L1520">SUMPRODUCT(("T_TW-BEVELC-S2"=[2]OUT_TransportEnergyCons!$A$3:$A$1000)*1,("var_fout"=[2]OUT_TransportEnergyCons!$B$3:$B$1000)*1,ISNUMBER(SEARCH("TPTWL",[2]OUT_TransportEnergyCons!$C$3:$C$1000))*1,[2]OUT_TransportEnergyCons!J$3:J$1000)</f>
        <v>6.6030124602015137E-4</v>
      </c>
      <c r="N1520" s="1"/>
    </row>
    <row r="1521" spans="2:14" x14ac:dyDescent="0.35">
      <c r="B1521" t="str">
        <f t="shared" si="1621"/>
        <v>SPS1</v>
      </c>
      <c r="C1521" t="str">
        <f t="shared" si="1622"/>
        <v>CH</v>
      </c>
      <c r="D1521" t="s">
        <v>1506</v>
      </c>
      <c r="E1521" t="str">
        <f t="shared" si="1623"/>
        <v>Billion km/yr.</v>
      </c>
      <c r="F1521" s="1" cm="1">
        <f t="array" ref="F1521">SUMPRODUCT(("T_TW-BEVELC-S3"=[1]OUT_TransportEnergyCons!$A$3:$A$1000)*1,("var_fout"=[1]OUT_TransportEnergyCons!$B$3:$B$1000)*1,ISNUMBER(SEARCH("TPTWL",[1]OUT_TransportEnergyCons!$C$3:$C$1000))*1,[1]OUT_TransportEnergyCons!D$3:D$1000)</f>
        <v>3.1597760336217094E-4</v>
      </c>
      <c r="G1521" s="1" cm="1">
        <f t="array" ref="G1521">SUMPRODUCT(("T_TW-BEVELC-S3"=[1]OUT_TransportEnergyCons!$A$3:$A$1000)*1,("var_fout"=[1]OUT_TransportEnergyCons!$B$3:$B$1000)*1,ISNUMBER(SEARCH("TPTWL",[1]OUT_TransportEnergyCons!$C$3:$C$1000))*1,[1]OUT_TransportEnergyCons!E$3:E$1000)</f>
        <v>5.4154661703630384E-4</v>
      </c>
      <c r="H1521" s="1" cm="1">
        <f t="array" ref="H1521">SUMPRODUCT(("T_TW-BEVELC-S3"=[1]OUT_TransportEnergyCons!$A$3:$A$1000)*1,("var_fout"=[1]OUT_TransportEnergyCons!$B$3:$B$1000)*1,ISNUMBER(SEARCH("TPTWL",[1]OUT_TransportEnergyCons!$C$3:$C$1000))*1,[1]OUT_TransportEnergyCons!F$3:F$1000)</f>
        <v>5.707159824145338E-4</v>
      </c>
      <c r="I1521" s="1" cm="1">
        <f t="array" ref="I1521">SUMPRODUCT(("T_TW-BEVELC-S3"=[1]OUT_TransportEnergyCons!$A$3:$A$1000)*1,("var_fout"=[1]OUT_TransportEnergyCons!$B$3:$B$1000)*1,ISNUMBER(SEARCH("TPTWL",[1]OUT_TransportEnergyCons!$C$3:$C$1000))*1,[1]OUT_TransportEnergyCons!G$3:G$1000)</f>
        <v>6.0076861328604294E-4</v>
      </c>
      <c r="J1521" s="1" cm="1">
        <f t="array" ref="J1521">SUMPRODUCT(("T_TW-BEVELC-S3"=[2]OUT_TransportEnergyCons!$A$3:$A$1000)*1,("var_fout"=[2]OUT_TransportEnergyCons!$B$3:$B$1000)*1,ISNUMBER(SEARCH("TPTWL",[2]OUT_TransportEnergyCons!$C$3:$C$1000))*1,[2]OUT_TransportEnergyCons!H$3:H$1000)</f>
        <v>9.5063152506644482E-4</v>
      </c>
      <c r="K1521" s="1" cm="1">
        <f t="array" ref="K1521">SUMPRODUCT(("T_TW-BEVELC-S3"=[2]OUT_TransportEnergyCons!$A$3:$A$1000)*1,("var_fout"=[2]OUT_TransportEnergyCons!$B$3:$B$1000)*1,ISNUMBER(SEARCH("TPTWL",[2]OUT_TransportEnergyCons!$C$3:$C$1000))*1,[2]OUT_TransportEnergyCons!I$3:I$1000)</f>
        <v>7.097049098129032E-4</v>
      </c>
      <c r="L1521" s="1" cm="1">
        <f t="array" ref="L1521">SUMPRODUCT(("T_TW-BEVELC-S3"=[2]OUT_TransportEnergyCons!$A$3:$A$1000)*1,("var_fout"=[2]OUT_TransportEnergyCons!$B$3:$B$1000)*1,ISNUMBER(SEARCH("TPTWL",[2]OUT_TransportEnergyCons!$C$3:$C$1000))*1,[2]OUT_TransportEnergyCons!J$3:J$1000)</f>
        <v>3.6463175568598186E-4</v>
      </c>
      <c r="N1521" s="1"/>
    </row>
    <row r="1522" spans="2:14" x14ac:dyDescent="0.35">
      <c r="B1522" t="str">
        <f t="shared" si="1621"/>
        <v>SPS1</v>
      </c>
      <c r="C1522" t="str">
        <f t="shared" si="1622"/>
        <v>CH</v>
      </c>
      <c r="D1522" t="s">
        <v>1507</v>
      </c>
      <c r="E1522" t="str">
        <f t="shared" si="1623"/>
        <v>Billion km/yr.</v>
      </c>
      <c r="F1522" s="1" cm="1">
        <f t="array" ref="F1522">SUMPRODUCT(("T_TW-BEVELC-S4"=[1]OUT_TransportEnergyCons!$A$3:$A$1000)*1,("var_fout"=[1]OUT_TransportEnergyCons!$B$3:$B$1000)*1,ISNUMBER(SEARCH("TPTWL",[1]OUT_TransportEnergyCons!$C$3:$C$1000))*1,[1]OUT_TransportEnergyCons!D$3:D$1000)</f>
        <v>7.7773754377636871E-5</v>
      </c>
      <c r="G1522" s="1" cm="1">
        <f t="array" ref="G1522">SUMPRODUCT(("T_TW-BEVELC-S4"=[1]OUT_TransportEnergyCons!$A$3:$A$1000)*1,("var_fout"=[1]OUT_TransportEnergyCons!$B$3:$B$1000)*1,ISNUMBER(SEARCH("TPTWL",[1]OUT_TransportEnergyCons!$C$3:$C$1000))*1,[1]OUT_TransportEnergyCons!E$3:E$1000)</f>
        <v>1.7668477176910257E-4</v>
      </c>
      <c r="H1522" s="1" cm="1">
        <f t="array" ref="H1522">SUMPRODUCT(("T_TW-BEVELC-S4"=[1]OUT_TransportEnergyCons!$A$3:$A$1000)*1,("var_fout"=[1]OUT_TransportEnergyCons!$B$3:$B$1000)*1,ISNUMBER(SEARCH("TPTWL",[1]OUT_TransportEnergyCons!$C$3:$C$1000))*1,[1]OUT_TransportEnergyCons!F$3:F$1000)</f>
        <v>2.1791615443663882E-4</v>
      </c>
      <c r="I1522" s="1" cm="1">
        <f t="array" ref="I1522">SUMPRODUCT(("T_TW-BEVELC-S4"=[1]OUT_TransportEnergyCons!$A$3:$A$1000)*1,("var_fout"=[1]OUT_TransportEnergyCons!$B$3:$B$1000)*1,ISNUMBER(SEARCH("TPTWL",[1]OUT_TransportEnergyCons!$C$3:$C$1000))*1,[1]OUT_TransportEnergyCons!G$3:G$1000)</f>
        <v>2.4894440981270332E-4</v>
      </c>
      <c r="J1522" s="1" cm="1">
        <f t="array" ref="J1522">SUMPRODUCT(("T_TW-BEVELC-S4"=[2]OUT_TransportEnergyCons!$A$3:$A$1000)*1,("var_fout"=[2]OUT_TransportEnergyCons!$B$3:$B$1000)*1,ISNUMBER(SEARCH("TPTWL",[2]OUT_TransportEnergyCons!$C$3:$C$1000))*1,[2]OUT_TransportEnergyCons!H$3:H$1000)</f>
        <v>6.9969846246203818E-4</v>
      </c>
      <c r="K1522" s="1" cm="1">
        <f t="array" ref="K1522">SUMPRODUCT(("T_TW-BEVELC-S4"=[2]OUT_TransportEnergyCons!$A$3:$A$1000)*1,("var_fout"=[2]OUT_TransportEnergyCons!$B$3:$B$1000)*1,ISNUMBER(SEARCH("TPTWL",[2]OUT_TransportEnergyCons!$C$3:$C$1000))*1,[2]OUT_TransportEnergyCons!I$3:I$1000)</f>
        <v>8.2527759375197014E-4</v>
      </c>
      <c r="L1522" s="1" cm="1">
        <f t="array" ref="L1522">SUMPRODUCT(("T_TW-BEVELC-S4"=[2]OUT_TransportEnergyCons!$A$3:$A$1000)*1,("var_fout"=[2]OUT_TransportEnergyCons!$B$3:$B$1000)*1,ISNUMBER(SEARCH("TPTWL",[2]OUT_TransportEnergyCons!$C$3:$C$1000))*1,[2]OUT_TransportEnergyCons!J$3:J$1000)</f>
        <v>5.2672907305345367E-4</v>
      </c>
      <c r="N1522" s="1"/>
    </row>
    <row r="1523" spans="2:14" x14ac:dyDescent="0.35">
      <c r="B1523" t="str">
        <f t="shared" si="1621"/>
        <v>SPS1</v>
      </c>
      <c r="C1523" t="str">
        <f t="shared" si="1622"/>
        <v>CH</v>
      </c>
      <c r="D1523" t="s">
        <v>1508</v>
      </c>
      <c r="E1523" t="str">
        <f t="shared" si="1623"/>
        <v>Billion km/yr.</v>
      </c>
      <c r="F1523" s="1" cm="1">
        <f t="array" ref="F1523">SUMPRODUCT(("T_TW-fclh2o-S1"=[1]OUT_TransportEnergyCons!$A$3:$A$1000)*1,("var_fout"=[1]OUT_TransportEnergyCons!$B$3:$B$1000)*1,ISNUMBER(SEARCH("TPTWL",[1]OUT_TransportEnergyCons!$C$3:$C$1000))*1,[1]OUT_TransportEnergyCons!D$3:D$1000)</f>
        <v>0</v>
      </c>
      <c r="G1523" s="1" cm="1">
        <f t="array" ref="G1523">SUMPRODUCT(("T_TW-fclh2o-S1"=[1]OUT_TransportEnergyCons!$A$3:$A$1000)*1,("var_fout"=[1]OUT_TransportEnergyCons!$B$3:$B$1000)*1,ISNUMBER(SEARCH("TPTWL",[1]OUT_TransportEnergyCons!$C$3:$C$1000))*1,[1]OUT_TransportEnergyCons!E$3:E$1000)</f>
        <v>0</v>
      </c>
      <c r="H1523" s="1" cm="1">
        <f t="array" ref="H1523">SUMPRODUCT(("T_TW-fclh2o-S1"=[1]OUT_TransportEnergyCons!$A$3:$A$1000)*1,("var_fout"=[1]OUT_TransportEnergyCons!$B$3:$B$1000)*1,ISNUMBER(SEARCH("TPTWL",[1]OUT_TransportEnergyCons!$C$3:$C$1000))*1,[1]OUT_TransportEnergyCons!F$3:F$1000)</f>
        <v>0</v>
      </c>
      <c r="I1523" s="1" cm="1">
        <f t="array" ref="I1523">SUMPRODUCT(("T_TW-fclh2o-S1"=[1]OUT_TransportEnergyCons!$A$3:$A$1000)*1,("var_fout"=[1]OUT_TransportEnergyCons!$B$3:$B$1000)*1,ISNUMBER(SEARCH("TPTWL",[1]OUT_TransportEnergyCons!$C$3:$C$1000))*1,[1]OUT_TransportEnergyCons!G$3:G$1000)</f>
        <v>9.8370603252774559E-3</v>
      </c>
      <c r="J1523" s="1" cm="1">
        <f t="array" ref="J1523">SUMPRODUCT(("T_TW-fclh2o-S1"=[2]OUT_TransportEnergyCons!$A$3:$A$1000)*1,("var_fout"=[2]OUT_TransportEnergyCons!$B$3:$B$1000)*1,ISNUMBER(SEARCH("TPTWL",[2]OUT_TransportEnergyCons!$C$3:$C$1000))*1,[2]OUT_TransportEnergyCons!H$3:H$1000)</f>
        <v>4.2973842075003473E-4</v>
      </c>
      <c r="K1523" s="1" cm="1">
        <f t="array" ref="K1523">SUMPRODUCT(("T_TW-fclh2o-S1"=[2]OUT_TransportEnergyCons!$A$3:$A$1000)*1,("var_fout"=[2]OUT_TransportEnergyCons!$B$3:$B$1000)*1,ISNUMBER(SEARCH("TPTWL",[2]OUT_TransportEnergyCons!$C$3:$C$1000))*1,[2]OUT_TransportEnergyCons!I$3:I$1000)</f>
        <v>5.367654389907754E-4</v>
      </c>
      <c r="L1523" s="1" cm="1">
        <f t="array" ref="L1523">SUMPRODUCT(("T_TW-fclh2o-S1"=[2]OUT_TransportEnergyCons!$A$3:$A$1000)*1,("var_fout"=[2]OUT_TransportEnergyCons!$B$3:$B$1000)*1,ISNUMBER(SEARCH("TPTWL",[2]OUT_TransportEnergyCons!$C$3:$C$1000))*1,[2]OUT_TransportEnergyCons!J$3:J$1000)</f>
        <v>3.9796696736618133E-4</v>
      </c>
      <c r="N1523" s="1"/>
    </row>
    <row r="1524" spans="2:14" x14ac:dyDescent="0.35">
      <c r="B1524" t="str">
        <f t="shared" si="1621"/>
        <v>SPS1</v>
      </c>
      <c r="C1524" t="str">
        <f t="shared" si="1622"/>
        <v>CH</v>
      </c>
      <c r="D1524" t="s">
        <v>1509</v>
      </c>
      <c r="E1524" t="str">
        <f t="shared" si="1623"/>
        <v>Billion km/yr.</v>
      </c>
      <c r="F1524" s="1" cm="1">
        <f t="array" ref="F1524">SUMPRODUCT(("T_TW-fclh2o-S2"=[1]OUT_TransportEnergyCons!$A$3:$A$1000)*1,("var_fout"=[1]OUT_TransportEnergyCons!$B$3:$B$1000)*1,ISNUMBER(SEARCH("TPTWL",[1]OUT_TransportEnergyCons!$C$3:$C$1000))*1,[1]OUT_TransportEnergyCons!D$3:D$1000)</f>
        <v>0</v>
      </c>
      <c r="G1524" s="1" cm="1">
        <f t="array" ref="G1524">SUMPRODUCT(("T_TW-fclh2o-S2"=[1]OUT_TransportEnergyCons!$A$3:$A$1000)*1,("var_fout"=[1]OUT_TransportEnergyCons!$B$3:$B$1000)*1,ISNUMBER(SEARCH("TPTWL",[1]OUT_TransportEnergyCons!$C$3:$C$1000))*1,[1]OUT_TransportEnergyCons!E$3:E$1000)</f>
        <v>0</v>
      </c>
      <c r="H1524" s="1" cm="1">
        <f t="array" ref="H1524">SUMPRODUCT(("T_TW-fclh2o-S2"=[1]OUT_TransportEnergyCons!$A$3:$A$1000)*1,("var_fout"=[1]OUT_TransportEnergyCons!$B$3:$B$1000)*1,ISNUMBER(SEARCH("TPTWL",[1]OUT_TransportEnergyCons!$C$3:$C$1000))*1,[1]OUT_TransportEnergyCons!F$3:F$1000)</f>
        <v>0</v>
      </c>
      <c r="I1524" s="1" cm="1">
        <f t="array" ref="I1524">SUMPRODUCT(("T_TW-fclh2o-S2"=[1]OUT_TransportEnergyCons!$A$3:$A$1000)*1,("var_fout"=[1]OUT_TransportEnergyCons!$B$3:$B$1000)*1,ISNUMBER(SEARCH("TPTWL",[1]OUT_TransportEnergyCons!$C$3:$C$1000))*1,[1]OUT_TransportEnergyCons!G$3:G$1000)</f>
        <v>1.5896960741155905E-4</v>
      </c>
      <c r="J1524" s="1" cm="1">
        <f t="array" ref="J1524">SUMPRODUCT(("T_TW-fclh2o-S2"=[2]OUT_TransportEnergyCons!$A$3:$A$1000)*1,("var_fout"=[2]OUT_TransportEnergyCons!$B$3:$B$1000)*1,ISNUMBER(SEARCH("TPTWL",[2]OUT_TransportEnergyCons!$C$3:$C$1000))*1,[2]OUT_TransportEnergyCons!H$3:H$1000)</f>
        <v>1.9771035152742222E-4</v>
      </c>
      <c r="K1524" s="1" cm="1">
        <f t="array" ref="K1524">SUMPRODUCT(("T_TW-fclh2o-S2"=[2]OUT_TransportEnergyCons!$A$3:$A$1000)*1,("var_fout"=[2]OUT_TransportEnergyCons!$B$3:$B$1000)*1,ISNUMBER(SEARCH("TPTWL",[2]OUT_TransportEnergyCons!$C$3:$C$1000))*1,[2]OUT_TransportEnergyCons!I$3:I$1000)</f>
        <v>2.5776824181011123E-4</v>
      </c>
      <c r="L1524" s="1" cm="1">
        <f t="array" ref="L1524">SUMPRODUCT(("T_TW-fclh2o-S2"=[2]OUT_TransportEnergyCons!$A$3:$A$1000)*1,("var_fout"=[2]OUT_TransportEnergyCons!$B$3:$B$1000)*1,ISNUMBER(SEARCH("TPTWL",[2]OUT_TransportEnergyCons!$C$3:$C$1000))*1,[2]OUT_TransportEnergyCons!J$3:J$1000)</f>
        <v>1.9060600481982253E-4</v>
      </c>
      <c r="N1524" s="1"/>
    </row>
    <row r="1525" spans="2:14" x14ac:dyDescent="0.35">
      <c r="B1525" t="str">
        <f t="shared" si="1621"/>
        <v>SPS1</v>
      </c>
      <c r="C1525" t="str">
        <f t="shared" si="1622"/>
        <v>CH</v>
      </c>
      <c r="D1525" t="s">
        <v>1510</v>
      </c>
      <c r="E1525" t="str">
        <f t="shared" si="1623"/>
        <v>Billion km/yr.</v>
      </c>
      <c r="F1525" s="1" cm="1">
        <f t="array" ref="F1525">SUMPRODUCT(("T_TW-fclh2o-S3"=[1]OUT_TransportEnergyCons!$A$3:$A$1000)*1,("var_fout"=[1]OUT_TransportEnergyCons!$B$3:$B$1000)*1,ISNUMBER(SEARCH("TPTWL",[1]OUT_TransportEnergyCons!$C$3:$C$1000))*1,[1]OUT_TransportEnergyCons!D$3:D$1000)</f>
        <v>0</v>
      </c>
      <c r="G1525" s="1" cm="1">
        <f t="array" ref="G1525">SUMPRODUCT(("T_TW-fclh2o-S3"=[1]OUT_TransportEnergyCons!$A$3:$A$1000)*1,("var_fout"=[1]OUT_TransportEnergyCons!$B$3:$B$1000)*1,ISNUMBER(SEARCH("TPTWL",[1]OUT_TransportEnergyCons!$C$3:$C$1000))*1,[1]OUT_TransportEnergyCons!E$3:E$1000)</f>
        <v>0</v>
      </c>
      <c r="H1525" s="1" cm="1">
        <f t="array" ref="H1525">SUMPRODUCT(("T_TW-fclh2o-S3"=[1]OUT_TransportEnergyCons!$A$3:$A$1000)*1,("var_fout"=[1]OUT_TransportEnergyCons!$B$3:$B$1000)*1,ISNUMBER(SEARCH("TPTWL",[1]OUT_TransportEnergyCons!$C$3:$C$1000))*1,[1]OUT_TransportEnergyCons!F$3:F$1000)</f>
        <v>0</v>
      </c>
      <c r="I1525" s="1" cm="1">
        <f t="array" ref="I1525">SUMPRODUCT(("T_TW-fclh2o-S3"=[1]OUT_TransportEnergyCons!$A$3:$A$1000)*1,("var_fout"=[1]OUT_TransportEnergyCons!$B$3:$B$1000)*1,ISNUMBER(SEARCH("TPTWL",[1]OUT_TransportEnergyCons!$C$3:$C$1000))*1,[1]OUT_TransportEnergyCons!G$3:G$1000)</f>
        <v>3.9939527050705452E-5</v>
      </c>
      <c r="J1525" s="1" cm="1">
        <f t="array" ref="J1525">SUMPRODUCT(("T_TW-fclh2o-S3"=[2]OUT_TransportEnergyCons!$A$3:$A$1000)*1,("var_fout"=[2]OUT_TransportEnergyCons!$B$3:$B$1000)*1,ISNUMBER(SEARCH("TPTWL",[2]OUT_TransportEnergyCons!$C$3:$C$1000))*1,[2]OUT_TransportEnergyCons!H$3:H$1000)</f>
        <v>9.8454436081217865E-5</v>
      </c>
      <c r="K1525" s="1" cm="1">
        <f t="array" ref="K1525">SUMPRODUCT(("T_TW-fclh2o-S3"=[2]OUT_TransportEnergyCons!$A$3:$A$1000)*1,("var_fout"=[2]OUT_TransportEnergyCons!$B$3:$B$1000)*1,ISNUMBER(SEARCH("TPTWL",[2]OUT_TransportEnergyCons!$C$3:$C$1000))*1,[2]OUT_TransportEnergyCons!I$3:I$1000)</f>
        <v>1.4241598009185667E-4</v>
      </c>
      <c r="L1525" s="1" cm="1">
        <f t="array" ref="L1525">SUMPRODUCT(("T_TW-fclh2o-S3"=[2]OUT_TransportEnergyCons!$A$3:$A$1000)*1,("var_fout"=[2]OUT_TransportEnergyCons!$B$3:$B$1000)*1,ISNUMBER(SEARCH("TPTWL",[2]OUT_TransportEnergyCons!$C$3:$C$1000))*1,[2]OUT_TransportEnergyCons!J$3:J$1000)</f>
        <v>1.4269047642931132E-4</v>
      </c>
      <c r="N1525" s="1"/>
    </row>
    <row r="1526" spans="2:14" x14ac:dyDescent="0.35">
      <c r="B1526" t="str">
        <f t="shared" si="1621"/>
        <v>SPS1</v>
      </c>
      <c r="C1526" t="str">
        <f t="shared" si="1622"/>
        <v>CH</v>
      </c>
      <c r="D1526" t="s">
        <v>1511</v>
      </c>
      <c r="E1526" t="str">
        <f t="shared" si="1623"/>
        <v>Billion km/yr.</v>
      </c>
      <c r="F1526" s="1" cm="1">
        <f t="array" ref="F1526">SUMPRODUCT(("T_TW-fclh2o-S4"=[1]OUT_TransportEnergyCons!$A$3:$A$1000)*1,("var_fout"=[1]OUT_TransportEnergyCons!$B$3:$B$1000)*1,ISNUMBER(SEARCH("TPTWL",[1]OUT_TransportEnergyCons!$C$3:$C$1000))*1,[1]OUT_TransportEnergyCons!D$3:D$1000)</f>
        <v>0</v>
      </c>
      <c r="G1526" s="1" cm="1">
        <f t="array" ref="G1526">SUMPRODUCT(("T_TW-fclh2o-S4"=[1]OUT_TransportEnergyCons!$A$3:$A$1000)*1,("var_fout"=[1]OUT_TransportEnergyCons!$B$3:$B$1000)*1,ISNUMBER(SEARCH("TPTWL",[1]OUT_TransportEnergyCons!$C$3:$C$1000))*1,[1]OUT_TransportEnergyCons!E$3:E$1000)</f>
        <v>0</v>
      </c>
      <c r="H1526" s="1" cm="1">
        <f t="array" ref="H1526">SUMPRODUCT(("T_TW-fclh2o-S4"=[1]OUT_TransportEnergyCons!$A$3:$A$1000)*1,("var_fout"=[1]OUT_TransportEnergyCons!$B$3:$B$1000)*1,ISNUMBER(SEARCH("TPTWL",[1]OUT_TransportEnergyCons!$C$3:$C$1000))*1,[1]OUT_TransportEnergyCons!F$3:F$1000)</f>
        <v>0</v>
      </c>
      <c r="I1526" s="1" cm="1">
        <f t="array" ref="I1526">SUMPRODUCT(("T_TW-fclh2o-S4"=[1]OUT_TransportEnergyCons!$A$3:$A$1000)*1,("var_fout"=[1]OUT_TransportEnergyCons!$B$3:$B$1000)*1,ISNUMBER(SEARCH("TPTWL",[1]OUT_TransportEnergyCons!$C$3:$C$1000))*1,[1]OUT_TransportEnergyCons!G$3:G$1000)</f>
        <v>1.3176267612446265E-5</v>
      </c>
      <c r="J1526" s="1" cm="1">
        <f t="array" ref="J1526">SUMPRODUCT(("T_TW-fclh2o-S4"=[2]OUT_TransportEnergyCons!$A$3:$A$1000)*1,("var_fout"=[2]OUT_TransportEnergyCons!$B$3:$B$1000)*1,ISNUMBER(SEARCH("TPTWL",[2]OUT_TransportEnergyCons!$C$3:$C$1000))*1,[2]OUT_TransportEnergyCons!H$3:H$1000)</f>
        <v>5.2174152206012705E-5</v>
      </c>
      <c r="K1526" s="1" cm="1">
        <f t="array" ref="K1526">SUMPRODUCT(("T_TW-fclh2o-S4"=[2]OUT_TransportEnergyCons!$A$3:$A$1000)*1,("var_fout"=[2]OUT_TransportEnergyCons!$B$3:$B$1000)*1,ISNUMBER(SEARCH("TPTWL",[2]OUT_TransportEnergyCons!$C$3:$C$1000))*1,[2]OUT_TransportEnergyCons!I$3:I$1000)</f>
        <v>7.8901349039459101E-5</v>
      </c>
      <c r="L1526" s="1" cm="1">
        <f t="array" ref="L1526">SUMPRODUCT(("T_TW-fclh2o-S4"=[2]OUT_TransportEnergyCons!$A$3:$A$1000)*1,("var_fout"=[2]OUT_TransportEnergyCons!$B$3:$B$1000)*1,ISNUMBER(SEARCH("TPTWL",[2]OUT_TransportEnergyCons!$C$3:$C$1000))*1,[2]OUT_TransportEnergyCons!J$3:J$1000)</f>
        <v>9.7208607091280928E-5</v>
      </c>
      <c r="N1526" s="1"/>
    </row>
    <row r="1527" spans="2:14" x14ac:dyDescent="0.35">
      <c r="B1527" t="str">
        <f t="shared" si="1621"/>
        <v>SPS1</v>
      </c>
      <c r="C1527" t="str">
        <f t="shared" si="1622"/>
        <v>CH</v>
      </c>
      <c r="D1527" t="s">
        <v>1512</v>
      </c>
      <c r="E1527" t="str">
        <f t="shared" si="1623"/>
        <v>Billion km/yr.</v>
      </c>
      <c r="F1527" s="1" cm="1">
        <f t="array" ref="F1527">SUMPRODUCT(("T_TW-ICEGSLEXT"=[1]OUT_TransportEnergyCons!$A$3:$A$1000)*1,("var_fout"=[1]OUT_TransportEnergyCons!$B$3:$B$1000)*1,ISNUMBER(SEARCH("TPTWL",[1]OUT_TransportEnergyCons!$C$3:$C$1000))*1,[1]OUT_TransportEnergyCons!D$3:D$1000)</f>
        <v>1.5374499195592601</v>
      </c>
      <c r="G1527" s="1" cm="1">
        <f t="array" ref="G1527">SUMPRODUCT(("T_TW-ICEGSLEXT"=[1]OUT_TransportEnergyCons!$A$3:$A$1000)*1,("var_fout"=[1]OUT_TransportEnergyCons!$B$3:$B$1000)*1,ISNUMBER(SEARCH("TPTWL",[1]OUT_TransportEnergyCons!$C$3:$C$1000))*1,[1]OUT_TransportEnergyCons!E$3:E$1000)</f>
        <v>1.1795959492843118</v>
      </c>
      <c r="H1527" s="1" cm="1">
        <f t="array" ref="H1527">SUMPRODUCT(("T_TW-ICEGSLEXT"=[1]OUT_TransportEnergyCons!$A$3:$A$1000)*1,("var_fout"=[1]OUT_TransportEnergyCons!$B$3:$B$1000)*1,ISNUMBER(SEARCH("TPTWL",[1]OUT_TransportEnergyCons!$C$3:$C$1000))*1,[1]OUT_TransportEnergyCons!F$3:F$1000)</f>
        <v>0.84594892378320741</v>
      </c>
      <c r="I1527" s="1" cm="1">
        <f t="array" ref="I1527">SUMPRODUCT(("T_TW-ICEGSLEXT"=[1]OUT_TransportEnergyCons!$A$3:$A$1000)*1,("var_fout"=[1]OUT_TransportEnergyCons!$B$3:$B$1000)*1,ISNUMBER(SEARCH("TPTWL",[1]OUT_TransportEnergyCons!$C$3:$C$1000))*1,[1]OUT_TransportEnergyCons!G$3:G$1000)</f>
        <v>0.38576743421029031</v>
      </c>
      <c r="J1527" s="1" cm="1">
        <f t="array" ref="J1527">SUMPRODUCT(("T_TW-ICEGSLEXT"=[2]OUT_TransportEnergyCons!$A$3:$A$1000)*1,("var_fout"=[2]OUT_TransportEnergyCons!$B$3:$B$1000)*1,ISNUMBER(SEARCH("TPTWL",[2]OUT_TransportEnergyCons!$C$3:$C$1000))*1,[2]OUT_TransportEnergyCons!H$3:H$1000)</f>
        <v>0</v>
      </c>
      <c r="K1527" s="1" cm="1">
        <f t="array" ref="K1527">SUMPRODUCT(("T_TW-ICEGSLEXT"=[2]OUT_TransportEnergyCons!$A$3:$A$1000)*1,("var_fout"=[2]OUT_TransportEnergyCons!$B$3:$B$1000)*1,ISNUMBER(SEARCH("TPTWL",[2]OUT_TransportEnergyCons!$C$3:$C$1000))*1,[2]OUT_TransportEnergyCons!I$3:I$1000)</f>
        <v>0</v>
      </c>
      <c r="L1527" s="1" cm="1">
        <f t="array" ref="L1527">SUMPRODUCT(("T_TW-ICEGSLEXT"=[2]OUT_TransportEnergyCons!$A$3:$A$1000)*1,("var_fout"=[2]OUT_TransportEnergyCons!$B$3:$B$1000)*1,ISNUMBER(SEARCH("TPTWL",[2]OUT_TransportEnergyCons!$C$3:$C$1000))*1,[2]OUT_TransportEnergyCons!J$3:J$1000)</f>
        <v>0</v>
      </c>
      <c r="N1527" s="1"/>
    </row>
    <row r="1528" spans="2:14" x14ac:dyDescent="0.35">
      <c r="B1528" t="str">
        <f t="shared" si="1621"/>
        <v>SPS1</v>
      </c>
      <c r="C1528" t="str">
        <f t="shared" si="1622"/>
        <v>CH</v>
      </c>
      <c r="D1528" t="s">
        <v>1513</v>
      </c>
      <c r="E1528" t="str">
        <f t="shared" si="1623"/>
        <v>Billion km/yr.</v>
      </c>
      <c r="F1528" s="1" cm="1">
        <f t="array" ref="F1528">SUMPRODUCT(("T_TW-icegsl-S1"=[1]OUT_TransportEnergyCons!$A$3:$A$1000)*1,("var_fout"=[1]OUT_TransportEnergyCons!$B$3:$B$1000)*1,ISNUMBER(SEARCH("TPTWL",[1]OUT_TransportEnergyCons!$C$3:$C$1000))*1,[1]OUT_TransportEnergyCons!D$3:D$1000)</f>
        <v>8.4574469587622603E-2</v>
      </c>
      <c r="G1528" s="1" cm="1">
        <f t="array" ref="G1528">SUMPRODUCT(("T_TW-icegsl-S1"=[1]OUT_TransportEnergyCons!$A$3:$A$1000)*1,("var_fout"=[1]OUT_TransportEnergyCons!$B$3:$B$1000)*1,ISNUMBER(SEARCH("TPTWL",[1]OUT_TransportEnergyCons!$C$3:$C$1000))*1,[1]OUT_TransportEnergyCons!E$3:E$1000)</f>
        <v>0.33609024734103143</v>
      </c>
      <c r="H1528" s="1" cm="1">
        <f t="array" ref="H1528">SUMPRODUCT(("T_TW-icegsl-S1"=[1]OUT_TransportEnergyCons!$A$3:$A$1000)*1,("var_fout"=[1]OUT_TransportEnergyCons!$B$3:$B$1000)*1,ISNUMBER(SEARCH("TPTWL",[1]OUT_TransportEnergyCons!$C$3:$C$1000))*1,[1]OUT_TransportEnergyCons!F$3:F$1000)</f>
        <v>0.67167740368130724</v>
      </c>
      <c r="I1528" s="1" cm="1">
        <f t="array" ref="I1528">SUMPRODUCT(("T_TW-icegsl-S1"=[1]OUT_TransportEnergyCons!$A$3:$A$1000)*1,("var_fout"=[1]OUT_TransportEnergyCons!$B$3:$B$1000)*1,ISNUMBER(SEARCH("TPTWL",[1]OUT_TransportEnergyCons!$C$3:$C$1000))*1,[1]OUT_TransportEnergyCons!G$3:G$1000)</f>
        <v>1.2052754479701371</v>
      </c>
      <c r="J1528" s="1" cm="1">
        <f t="array" ref="J1528">SUMPRODUCT(("T_TW-icegsl-S1"=[2]OUT_TransportEnergyCons!$A$3:$A$1000)*1,("var_fout"=[2]OUT_TransportEnergyCons!$B$3:$B$1000)*1,ISNUMBER(SEARCH("TPTWL",[2]OUT_TransportEnergyCons!$C$3:$C$1000))*1,[2]OUT_TransportEnergyCons!H$3:H$1000)</f>
        <v>1.7194873596068101</v>
      </c>
      <c r="K1528" s="1" cm="1">
        <f t="array" ref="K1528">SUMPRODUCT(("T_TW-icegsl-S1"=[2]OUT_TransportEnergyCons!$A$3:$A$1000)*1,("var_fout"=[2]OUT_TransportEnergyCons!$B$3:$B$1000)*1,ISNUMBER(SEARCH("TPTWL",[2]OUT_TransportEnergyCons!$C$3:$C$1000))*1,[2]OUT_TransportEnergyCons!I$3:I$1000)</f>
        <v>1.84270210014624</v>
      </c>
      <c r="L1528" s="1" cm="1">
        <f t="array" ref="L1528">SUMPRODUCT(("T_TW-icegsl-S1"=[2]OUT_TransportEnergyCons!$A$3:$A$1000)*1,("var_fout"=[2]OUT_TransportEnergyCons!$B$3:$B$1000)*1,ISNUMBER(SEARCH("TPTWL",[2]OUT_TransportEnergyCons!$C$3:$C$1000))*1,[2]OUT_TransportEnergyCons!J$3:J$1000)</f>
        <v>1.8988661402866782</v>
      </c>
      <c r="N1528" s="1"/>
    </row>
    <row r="1529" spans="2:14" x14ac:dyDescent="0.35">
      <c r="B1529" t="str">
        <f t="shared" si="1621"/>
        <v>SPS1</v>
      </c>
      <c r="C1529" t="str">
        <f t="shared" si="1622"/>
        <v>CH</v>
      </c>
      <c r="D1529" t="s">
        <v>1514</v>
      </c>
      <c r="E1529" t="str">
        <f t="shared" si="1623"/>
        <v>Billion km/yr.</v>
      </c>
      <c r="F1529" s="1" cm="1">
        <f t="array" ref="F1529">SUMPRODUCT(("T_TW-icegsl-S2"=[1]OUT_TransportEnergyCons!$A$3:$A$1000)*1,("var_fout"=[1]OUT_TransportEnergyCons!$B$3:$B$1000)*1,ISNUMBER(SEARCH("TPTWL",[1]OUT_TransportEnergyCons!$C$3:$C$1000))*1,[1]OUT_TransportEnergyCons!D$3:D$1000)</f>
        <v>0.12404059460166289</v>
      </c>
      <c r="G1529" s="1" cm="1">
        <f t="array" ref="G1529">SUMPRODUCT(("T_TW-icegsl-S2"=[1]OUT_TransportEnergyCons!$A$3:$A$1000)*1,("var_fout"=[1]OUT_TransportEnergyCons!$B$3:$B$1000)*1,ISNUMBER(SEARCH("TPTWL",[1]OUT_TransportEnergyCons!$C$3:$C$1000))*1,[1]OUT_TransportEnergyCons!E$3:E$1000)</f>
        <v>0.17988174842127719</v>
      </c>
      <c r="H1529" s="1" cm="1">
        <f t="array" ref="H1529">SUMPRODUCT(("T_TW-icegsl-S2"=[1]OUT_TransportEnergyCons!$A$3:$A$1000)*1,("var_fout"=[1]OUT_TransportEnergyCons!$B$3:$B$1000)*1,ISNUMBER(SEARCH("TPTWL",[1]OUT_TransportEnergyCons!$C$3:$C$1000))*1,[1]OUT_TransportEnergyCons!F$3:F$1000)</f>
        <v>0.17992891098011346</v>
      </c>
      <c r="I1529" s="1" cm="1">
        <f t="array" ref="I1529">SUMPRODUCT(("T_TW-icegsl-S2"=[1]OUT_TransportEnergyCons!$A$3:$A$1000)*1,("var_fout"=[1]OUT_TransportEnergyCons!$B$3:$B$1000)*1,ISNUMBER(SEARCH("TPTWL",[1]OUT_TransportEnergyCons!$C$3:$C$1000))*1,[1]OUT_TransportEnergyCons!G$3:G$1000)</f>
        <v>0.11163776749515338</v>
      </c>
      <c r="J1529" s="1" cm="1">
        <f t="array" ref="J1529">SUMPRODUCT(("T_TW-icegsl-S2"=[2]OUT_TransportEnergyCons!$A$3:$A$1000)*1,("var_fout"=[2]OUT_TransportEnergyCons!$B$3:$B$1000)*1,ISNUMBER(SEARCH("TPTWL",[2]OUT_TransportEnergyCons!$C$3:$C$1000))*1,[2]OUT_TransportEnergyCons!H$3:H$1000)</f>
        <v>1.1231031659860426E-2</v>
      </c>
      <c r="K1529" s="1" cm="1">
        <f t="array" ref="K1529">SUMPRODUCT(("T_TW-icegsl-S2"=[2]OUT_TransportEnergyCons!$A$3:$A$1000)*1,("var_fout"=[2]OUT_TransportEnergyCons!$B$3:$B$1000)*1,ISNUMBER(SEARCH("TPTWL",[2]OUT_TransportEnergyCons!$C$3:$C$1000))*1,[2]OUT_TransportEnergyCons!I$3:I$1000)</f>
        <v>5.8980562005483397E-4</v>
      </c>
      <c r="L1529" s="1" cm="1">
        <f t="array" ref="L1529">SUMPRODUCT(("T_TW-icegsl-S2"=[2]OUT_TransportEnergyCons!$A$3:$A$1000)*1,("var_fout"=[2]OUT_TransportEnergyCons!$B$3:$B$1000)*1,ISNUMBER(SEARCH("TPTWL",[2]OUT_TransportEnergyCons!$C$3:$C$1000))*1,[2]OUT_TransportEnergyCons!J$3:J$1000)</f>
        <v>3.6097717438834389E-4</v>
      </c>
      <c r="N1529" s="1"/>
    </row>
    <row r="1530" spans="2:14" x14ac:dyDescent="0.35">
      <c r="B1530" t="str">
        <f t="shared" si="1621"/>
        <v>SPS1</v>
      </c>
      <c r="C1530" t="str">
        <f t="shared" si="1622"/>
        <v>CH</v>
      </c>
      <c r="D1530" t="s">
        <v>1515</v>
      </c>
      <c r="E1530" t="str">
        <f t="shared" si="1623"/>
        <v>Billion km/yr.</v>
      </c>
      <c r="F1530" s="1" cm="1">
        <f t="array" ref="F1530">SUMPRODUCT(("T_TW-icegsl-S3"=[1]OUT_TransportEnergyCons!$A$3:$A$1000)*1,("var_fout"=[1]OUT_TransportEnergyCons!$B$3:$B$1000)*1,ISNUMBER(SEARCH("TPTWL",[1]OUT_TransportEnergyCons!$C$3:$C$1000))*1,[1]OUT_TransportEnergyCons!D$3:D$1000)</f>
        <v>0.1136959930916797</v>
      </c>
      <c r="G1530" s="1" cm="1">
        <f t="array" ref="G1530">SUMPRODUCT(("T_TW-icegsl-S3"=[1]OUT_TransportEnergyCons!$A$3:$A$1000)*1,("var_fout"=[1]OUT_TransportEnergyCons!$B$3:$B$1000)*1,ISNUMBER(SEARCH("TPTWL",[1]OUT_TransportEnergyCons!$C$3:$C$1000))*1,[1]OUT_TransportEnergyCons!E$3:E$1000)</f>
        <v>0.143659585560658</v>
      </c>
      <c r="H1530" s="1" cm="1">
        <f t="array" ref="H1530">SUMPRODUCT(("T_TW-icegsl-S3"=[1]OUT_TransportEnergyCons!$A$3:$A$1000)*1,("var_fout"=[1]OUT_TransportEnergyCons!$B$3:$B$1000)*1,ISNUMBER(SEARCH("TPTWL",[1]OUT_TransportEnergyCons!$C$3:$C$1000))*1,[1]OUT_TransportEnergyCons!F$3:F$1000)</f>
        <v>0.14441491258073696</v>
      </c>
      <c r="I1530" s="1" cm="1">
        <f t="array" ref="I1530">SUMPRODUCT(("T_TW-icegsl-S3"=[1]OUT_TransportEnergyCons!$A$3:$A$1000)*1,("var_fout"=[1]OUT_TransportEnergyCons!$B$3:$B$1000)*1,ISNUMBER(SEARCH("TPTWL",[1]OUT_TransportEnergyCons!$C$3:$C$1000))*1,[1]OUT_TransportEnergyCons!G$3:G$1000)</f>
        <v>0.1434866397884958</v>
      </c>
      <c r="J1530" s="1" cm="1">
        <f t="array" ref="J1530">SUMPRODUCT(("T_TW-icegsl-S3"=[2]OUT_TransportEnergyCons!$A$3:$A$1000)*1,("var_fout"=[2]OUT_TransportEnergyCons!$B$3:$B$1000)*1,ISNUMBER(SEARCH("TPTWL",[2]OUT_TransportEnergyCons!$C$3:$C$1000))*1,[2]OUT_TransportEnergyCons!H$3:H$1000)</f>
        <v>0.13768287622048356</v>
      </c>
      <c r="K1530" s="1" cm="1">
        <f t="array" ref="K1530">SUMPRODUCT(("T_TW-icegsl-S3"=[2]OUT_TransportEnergyCons!$A$3:$A$1000)*1,("var_fout"=[2]OUT_TransportEnergyCons!$B$3:$B$1000)*1,ISNUMBER(SEARCH("TPTWL",[2]OUT_TransportEnergyCons!$C$3:$C$1000))*1,[2]OUT_TransportEnergyCons!I$3:I$1000)</f>
        <v>3.3674069393850356E-2</v>
      </c>
      <c r="L1530" s="1" cm="1">
        <f t="array" ref="L1530">SUMPRODUCT(("T_TW-icegsl-S3"=[2]OUT_TransportEnergyCons!$A$3:$A$1000)*1,("var_fout"=[2]OUT_TransportEnergyCons!$B$3:$B$1000)*1,ISNUMBER(SEARCH("TPTWL",[2]OUT_TransportEnergyCons!$C$3:$C$1000))*1,[2]OUT_TransportEnergyCons!J$3:J$1000)</f>
        <v>2.2880556739003047E-4</v>
      </c>
      <c r="N1530" s="1"/>
    </row>
    <row r="1531" spans="2:14" x14ac:dyDescent="0.35">
      <c r="B1531" t="str">
        <f t="shared" si="1621"/>
        <v>SPS1</v>
      </c>
      <c r="C1531" t="str">
        <f t="shared" si="1622"/>
        <v>CH</v>
      </c>
      <c r="D1531" t="s">
        <v>1516</v>
      </c>
      <c r="E1531" t="str">
        <f t="shared" si="1623"/>
        <v>Billion km/yr.</v>
      </c>
      <c r="F1531" s="1" cm="1">
        <f t="array" ref="F1531">SUMPRODUCT(("T_TW-icegsl-S4"=[1]OUT_TransportEnergyCons!$A$3:$A$1000)*1,("var_fout"=[1]OUT_TransportEnergyCons!$B$3:$B$1000)*1,ISNUMBER(SEARCH("TPTWL",[1]OUT_TransportEnergyCons!$C$3:$C$1000))*1,[1]OUT_TransportEnergyCons!D$3:D$1000)</f>
        <v>6.9344164532638142E-2</v>
      </c>
      <c r="G1531" s="1" cm="1">
        <f t="array" ref="G1531">SUMPRODUCT(("T_TW-icegsl-S4"=[1]OUT_TransportEnergyCons!$A$3:$A$1000)*1,("var_fout"=[1]OUT_TransportEnergyCons!$B$3:$B$1000)*1,ISNUMBER(SEARCH("TPTWL",[1]OUT_TransportEnergyCons!$C$3:$C$1000))*1,[1]OUT_TransportEnergyCons!E$3:E$1000)</f>
        <v>8.498948679113158E-2</v>
      </c>
      <c r="H1531" s="1" cm="1">
        <f t="array" ref="H1531">SUMPRODUCT(("T_TW-icegsl-S4"=[1]OUT_TransportEnergyCons!$A$3:$A$1000)*1,("var_fout"=[1]OUT_TransportEnergyCons!$B$3:$B$1000)*1,ISNUMBER(SEARCH("TPTWL",[1]OUT_TransportEnergyCons!$C$3:$C$1000))*1,[1]OUT_TransportEnergyCons!F$3:F$1000)</f>
        <v>8.5435254755551318E-2</v>
      </c>
      <c r="I1531" s="1" cm="1">
        <f t="array" ref="I1531">SUMPRODUCT(("T_TW-icegsl-S4"=[1]OUT_TransportEnergyCons!$A$3:$A$1000)*1,("var_fout"=[1]OUT_TransportEnergyCons!$B$3:$B$1000)*1,ISNUMBER(SEARCH("TPTWL",[1]OUT_TransportEnergyCons!$C$3:$C$1000))*1,[1]OUT_TransportEnergyCons!G$3:G$1000)</f>
        <v>8.4951425120084245E-2</v>
      </c>
      <c r="J1531" s="1" cm="1">
        <f t="array" ref="J1531">SUMPRODUCT(("T_TW-icegsl-S4"=[2]OUT_TransportEnergyCons!$A$3:$A$1000)*1,("var_fout"=[2]OUT_TransportEnergyCons!$B$3:$B$1000)*1,ISNUMBER(SEARCH("TPTWL",[2]OUT_TransportEnergyCons!$C$3:$C$1000))*1,[2]OUT_TransportEnergyCons!H$3:H$1000)</f>
        <v>8.5453039122774674E-2</v>
      </c>
      <c r="K1531" s="1" cm="1">
        <f t="array" ref="K1531">SUMPRODUCT(("T_TW-icegsl-S4"=[2]OUT_TransportEnergyCons!$A$3:$A$1000)*1,("var_fout"=[2]OUT_TransportEnergyCons!$B$3:$B$1000)*1,ISNUMBER(SEARCH("TPTWL",[2]OUT_TransportEnergyCons!$C$3:$C$1000))*1,[2]OUT_TransportEnergyCons!I$3:I$1000)</f>
        <v>7.7383584948132286E-2</v>
      </c>
      <c r="L1531" s="1" cm="1">
        <f t="array" ref="L1531">SUMPRODUCT(("T_TW-icegsl-S4"=[2]OUT_TransportEnergyCons!$A$3:$A$1000)*1,("var_fout"=[2]OUT_TransportEnergyCons!$B$3:$B$1000)*1,ISNUMBER(SEARCH("TPTWL",[2]OUT_TransportEnergyCons!$C$3:$C$1000))*1,[2]OUT_TransportEnergyCons!J$3:J$1000)</f>
        <v>4.8011829343547058E-3</v>
      </c>
      <c r="N1531" s="1"/>
    </row>
    <row r="1532" spans="2:14" x14ac:dyDescent="0.35">
      <c r="B1532" s="9" t="str">
        <f t="shared" si="1621"/>
        <v>SPS1</v>
      </c>
      <c r="C1532" s="9" t="str">
        <f t="shared" si="1622"/>
        <v>CH</v>
      </c>
      <c r="D1532" s="2" t="s">
        <v>1518</v>
      </c>
      <c r="E1532" s="2" t="s">
        <v>1229</v>
      </c>
      <c r="F1532" s="23" t="s">
        <v>1527</v>
      </c>
      <c r="G1532" s="23" t="s">
        <v>1527</v>
      </c>
      <c r="H1532" s="23" t="s">
        <v>1527</v>
      </c>
      <c r="I1532" s="23" t="s">
        <v>1527</v>
      </c>
      <c r="J1532" s="23" t="s">
        <v>1527</v>
      </c>
      <c r="K1532" s="23" t="s">
        <v>1527</v>
      </c>
      <c r="L1532" s="23" t="s">
        <v>1527</v>
      </c>
      <c r="N1532" s="1"/>
    </row>
    <row r="1533" spans="2:14" x14ac:dyDescent="0.35">
      <c r="B1533" t="str">
        <f t="shared" si="1621"/>
        <v>SPS1</v>
      </c>
      <c r="C1533" t="str">
        <f t="shared" si="1622"/>
        <v>CH</v>
      </c>
      <c r="D1533" t="s">
        <v>1519</v>
      </c>
      <c r="E1533" t="s">
        <v>1229</v>
      </c>
      <c r="F1533" s="1">
        <f t="shared" ref="F1533:K1536" si="1624">IFERROR(F1519/F1499,"-")</f>
        <v>11.098927012431895</v>
      </c>
      <c r="G1533" s="1">
        <f t="shared" si="1624"/>
        <v>11.107173005300885</v>
      </c>
      <c r="H1533" s="1">
        <f t="shared" si="1624"/>
        <v>11.108448040970202</v>
      </c>
      <c r="I1533" s="1">
        <f t="shared" si="1624"/>
        <v>11.117014862399721</v>
      </c>
      <c r="J1533" s="1">
        <f t="shared" si="1624"/>
        <v>11.469238271887711</v>
      </c>
      <c r="K1533" s="1">
        <f t="shared" si="1624"/>
        <v>11.555014643014488</v>
      </c>
      <c r="L1533" s="1">
        <f t="shared" ref="L1533" si="1625">IFERROR(L1519/L1499,"-")</f>
        <v>11.803805461893216</v>
      </c>
      <c r="N1533" s="1"/>
    </row>
    <row r="1534" spans="2:14" x14ac:dyDescent="0.35">
      <c r="B1534" t="str">
        <f t="shared" si="1621"/>
        <v>SPS1</v>
      </c>
      <c r="C1534" t="str">
        <f t="shared" si="1622"/>
        <v>CH</v>
      </c>
      <c r="D1534" t="s">
        <v>1520</v>
      </c>
      <c r="E1534" t="s">
        <v>1229</v>
      </c>
      <c r="F1534" s="1">
        <f t="shared" si="1624"/>
        <v>6.2845243629359997</v>
      </c>
      <c r="G1534" s="1">
        <f t="shared" si="1624"/>
        <v>6.2877694308354144</v>
      </c>
      <c r="H1534" s="1">
        <f t="shared" si="1624"/>
        <v>6.2899231455424243</v>
      </c>
      <c r="I1534" s="1">
        <f t="shared" si="1624"/>
        <v>6.2967351750596974</v>
      </c>
      <c r="J1534" s="1">
        <f t="shared" si="1624"/>
        <v>6.4506933702223384</v>
      </c>
      <c r="K1534" s="1">
        <f t="shared" si="1624"/>
        <v>6.5381708348973051</v>
      </c>
      <c r="L1534" s="1">
        <f t="shared" ref="L1534" si="1626">IFERROR(L1520/L1500,"-")</f>
        <v>6.6382283355968976</v>
      </c>
      <c r="N1534" s="1"/>
    </row>
    <row r="1535" spans="2:14" x14ac:dyDescent="0.35">
      <c r="B1535" t="str">
        <f t="shared" si="1621"/>
        <v>SPS1</v>
      </c>
      <c r="C1535" t="str">
        <f t="shared" si="1622"/>
        <v>CH</v>
      </c>
      <c r="D1535" t="s">
        <v>1521</v>
      </c>
      <c r="E1535" t="s">
        <v>1229</v>
      </c>
      <c r="F1535" s="1">
        <f t="shared" si="1624"/>
        <v>4.0901432735634868</v>
      </c>
      <c r="G1535" s="1">
        <f t="shared" si="1624"/>
        <v>4.0962139579461159</v>
      </c>
      <c r="H1535" s="1">
        <f t="shared" si="1624"/>
        <v>4.1003901577995947</v>
      </c>
      <c r="I1535" s="1">
        <f t="shared" si="1624"/>
        <v>4.108681765228269</v>
      </c>
      <c r="J1535" s="1">
        <f t="shared" si="1624"/>
        <v>4.1427689725026191</v>
      </c>
      <c r="K1535" s="1">
        <f t="shared" si="1624"/>
        <v>4.1960229217451026</v>
      </c>
      <c r="L1535" s="1">
        <f t="shared" ref="L1535" si="1627">IFERROR(L1521/L1501,"-")</f>
        <v>4.33422597120608</v>
      </c>
      <c r="N1535" s="1"/>
    </row>
    <row r="1536" spans="2:14" x14ac:dyDescent="0.35">
      <c r="B1536" t="str">
        <f t="shared" si="1621"/>
        <v>SPS1</v>
      </c>
      <c r="C1536" t="str">
        <f t="shared" si="1622"/>
        <v>CH</v>
      </c>
      <c r="D1536" t="s">
        <v>1522</v>
      </c>
      <c r="E1536" t="s">
        <v>1229</v>
      </c>
      <c r="F1536" s="1">
        <f t="shared" si="1624"/>
        <v>3.7650534829600373</v>
      </c>
      <c r="G1536" s="1">
        <f t="shared" si="1624"/>
        <v>3.7758479196922181</v>
      </c>
      <c r="H1536" s="1">
        <f t="shared" si="1624"/>
        <v>3.7873592541130723</v>
      </c>
      <c r="I1536" s="1">
        <f t="shared" si="1624"/>
        <v>3.8034919091899879</v>
      </c>
      <c r="J1536" s="1">
        <f t="shared" si="1624"/>
        <v>3.8338916315457694</v>
      </c>
      <c r="K1536" s="1">
        <f t="shared" si="1624"/>
        <v>3.8603416025414559</v>
      </c>
      <c r="L1536" s="1">
        <f t="shared" ref="L1536" si="1628">IFERROR(L1522/L1502,"-")</f>
        <v>3.964893137103239</v>
      </c>
      <c r="N1536" s="1"/>
    </row>
    <row r="1537" spans="2:14" x14ac:dyDescent="0.35">
      <c r="B1537" t="str">
        <f t="shared" si="1621"/>
        <v>SPS1</v>
      </c>
      <c r="C1537" t="str">
        <f t="shared" si="1622"/>
        <v>CH</v>
      </c>
      <c r="D1537" t="s">
        <v>1523</v>
      </c>
      <c r="E1537" t="s">
        <v>1229</v>
      </c>
      <c r="F1537" s="1" t="str">
        <f t="shared" ref="F1537:K1540" si="1629">IFERROR(F1523/F1504,"-")</f>
        <v>-</v>
      </c>
      <c r="G1537" s="1" t="str">
        <f t="shared" si="1629"/>
        <v>-</v>
      </c>
      <c r="H1537" s="1" t="str">
        <f t="shared" si="1629"/>
        <v>-</v>
      </c>
      <c r="I1537" s="1">
        <f t="shared" si="1629"/>
        <v>4.6391179485367822</v>
      </c>
      <c r="J1537" s="1">
        <f t="shared" si="1629"/>
        <v>4.6850384048255584</v>
      </c>
      <c r="K1537" s="1">
        <f t="shared" si="1629"/>
        <v>4.7430785483510345</v>
      </c>
      <c r="L1537" s="1">
        <f t="shared" ref="L1537" si="1630">IFERROR(L1523/L1504,"-")</f>
        <v>4.8644165699860498</v>
      </c>
      <c r="N1537" s="1"/>
    </row>
    <row r="1538" spans="2:14" x14ac:dyDescent="0.35">
      <c r="B1538" t="str">
        <f t="shared" si="1621"/>
        <v>SPS1</v>
      </c>
      <c r="C1538" t="str">
        <f t="shared" si="1622"/>
        <v>CH</v>
      </c>
      <c r="D1538" t="s">
        <v>1524</v>
      </c>
      <c r="E1538" t="s">
        <v>1229</v>
      </c>
      <c r="F1538" s="1" t="str">
        <f t="shared" si="1629"/>
        <v>-</v>
      </c>
      <c r="G1538" s="1" t="str">
        <f t="shared" si="1629"/>
        <v>-</v>
      </c>
      <c r="H1538" s="1" t="str">
        <f t="shared" si="1629"/>
        <v>-</v>
      </c>
      <c r="I1538" s="1">
        <f t="shared" si="1629"/>
        <v>2.7008868509993587</v>
      </c>
      <c r="J1538" s="1">
        <f t="shared" si="1629"/>
        <v>2.7248097736515819</v>
      </c>
      <c r="K1538" s="1">
        <f t="shared" si="1629"/>
        <v>2.7502383394120264</v>
      </c>
      <c r="L1538" s="1">
        <f t="shared" ref="L1538" si="1631">IFERROR(L1524/L1505,"-")</f>
        <v>2.8087890772520856</v>
      </c>
      <c r="N1538" s="1"/>
    </row>
    <row r="1539" spans="2:14" x14ac:dyDescent="0.35">
      <c r="B1539" t="str">
        <f t="shared" si="1621"/>
        <v>SPS1</v>
      </c>
      <c r="C1539" t="str">
        <f t="shared" si="1622"/>
        <v>CH</v>
      </c>
      <c r="D1539" t="s">
        <v>1525</v>
      </c>
      <c r="E1539" t="s">
        <v>1229</v>
      </c>
      <c r="F1539" s="1" t="str">
        <f t="shared" si="1629"/>
        <v>-</v>
      </c>
      <c r="G1539" s="1" t="str">
        <f t="shared" si="1629"/>
        <v>-</v>
      </c>
      <c r="H1539" s="1" t="str">
        <f t="shared" si="1629"/>
        <v>-</v>
      </c>
      <c r="I1539" s="1">
        <f t="shared" si="1629"/>
        <v>1.7606485351727319</v>
      </c>
      <c r="J1539" s="1">
        <f t="shared" si="1629"/>
        <v>1.7754891597404956</v>
      </c>
      <c r="K1539" s="1">
        <f t="shared" si="1629"/>
        <v>1.7885302455801499</v>
      </c>
      <c r="L1539" s="1">
        <f t="shared" ref="L1539" si="1632">IFERROR(L1525/L1506,"-")</f>
        <v>1.8223483488441792</v>
      </c>
      <c r="N1539" s="1"/>
    </row>
    <row r="1540" spans="2:14" x14ac:dyDescent="0.35">
      <c r="B1540" t="str">
        <f t="shared" si="1621"/>
        <v>SPS1</v>
      </c>
      <c r="C1540" t="str">
        <f t="shared" si="1622"/>
        <v>CH</v>
      </c>
      <c r="D1540" t="s">
        <v>1526</v>
      </c>
      <c r="E1540" t="s">
        <v>1229</v>
      </c>
      <c r="F1540" s="1" t="str">
        <f t="shared" si="1629"/>
        <v>-</v>
      </c>
      <c r="G1540" s="1" t="str">
        <f t="shared" si="1629"/>
        <v>-</v>
      </c>
      <c r="H1540" s="1" t="str">
        <f t="shared" si="1629"/>
        <v>-</v>
      </c>
      <c r="I1540" s="1">
        <f t="shared" si="1629"/>
        <v>1.5620411785777197</v>
      </c>
      <c r="J1540" s="1">
        <f t="shared" si="1629"/>
        <v>1.5775193056171131</v>
      </c>
      <c r="K1540" s="1">
        <f t="shared" si="1629"/>
        <v>1.5917657812488608</v>
      </c>
      <c r="L1540" s="1">
        <f t="shared" ref="L1540" si="1633">IFERROR(L1526/L1507,"-")</f>
        <v>1.6172294793798769</v>
      </c>
      <c r="N1540" s="1"/>
    </row>
    <row r="1541" spans="2:14" x14ac:dyDescent="0.35">
      <c r="B1541" t="str">
        <f t="shared" si="1621"/>
        <v>SPS1</v>
      </c>
      <c r="C1541" t="str">
        <f t="shared" si="1622"/>
        <v>CH</v>
      </c>
      <c r="D1541" t="s">
        <v>1582</v>
      </c>
      <c r="E1541" t="s">
        <v>1229</v>
      </c>
      <c r="F1541" s="1">
        <f t="shared" ref="F1541:K1545" si="1634">IFERROR(F1527/F1513,"-")</f>
        <v>0.77116510534577776</v>
      </c>
      <c r="G1541" s="1">
        <f t="shared" si="1634"/>
        <v>0.7872383299673209</v>
      </c>
      <c r="H1541" s="1">
        <f t="shared" si="1634"/>
        <v>0.81134816689963318</v>
      </c>
      <c r="I1541" s="1">
        <f t="shared" si="1634"/>
        <v>0.85153122845348983</v>
      </c>
      <c r="J1541" s="1" t="str">
        <f t="shared" si="1634"/>
        <v>-</v>
      </c>
      <c r="K1541" s="1" t="str">
        <f t="shared" si="1634"/>
        <v>-</v>
      </c>
      <c r="L1541" s="1" t="str">
        <f t="shared" ref="L1541" si="1635">IFERROR(L1527/L1513,"-")</f>
        <v>-</v>
      </c>
      <c r="N1541" s="1"/>
    </row>
    <row r="1542" spans="2:14" x14ac:dyDescent="0.35">
      <c r="B1542" t="str">
        <f t="shared" si="1621"/>
        <v>SPS1</v>
      </c>
      <c r="C1542" t="str">
        <f t="shared" si="1622"/>
        <v>CH</v>
      </c>
      <c r="D1542" t="s">
        <v>1583</v>
      </c>
      <c r="E1542" t="s">
        <v>1229</v>
      </c>
      <c r="F1542" s="1">
        <f t="shared" si="1634"/>
        <v>1.9078836334110914</v>
      </c>
      <c r="G1542" s="1">
        <f t="shared" si="1634"/>
        <v>1.9209321622829523</v>
      </c>
      <c r="H1542" s="1">
        <f t="shared" si="1634"/>
        <v>1.936615659062725</v>
      </c>
      <c r="I1542" s="1">
        <f t="shared" si="1634"/>
        <v>1.9723989513096198</v>
      </c>
      <c r="J1542" s="1">
        <f t="shared" si="1634"/>
        <v>2.0237743321634643</v>
      </c>
      <c r="K1542" s="1">
        <f t="shared" si="1634"/>
        <v>2.0656756646952448</v>
      </c>
      <c r="L1542" s="1">
        <f t="shared" ref="L1542" si="1636">IFERROR(L1528/L1514,"-")</f>
        <v>2.1599189598179596</v>
      </c>
      <c r="N1542" s="1"/>
    </row>
    <row r="1543" spans="2:14" x14ac:dyDescent="0.35">
      <c r="B1543" t="str">
        <f t="shared" si="1621"/>
        <v>SPS1</v>
      </c>
      <c r="C1543" t="str">
        <f t="shared" si="1622"/>
        <v>CH</v>
      </c>
      <c r="D1543" t="s">
        <v>1584</v>
      </c>
      <c r="E1543" t="s">
        <v>1229</v>
      </c>
      <c r="F1543" s="1">
        <f t="shared" si="1634"/>
        <v>1.102762984747319</v>
      </c>
      <c r="G1543" s="1">
        <f t="shared" si="1634"/>
        <v>1.1042928941122825</v>
      </c>
      <c r="H1543" s="1">
        <f t="shared" si="1634"/>
        <v>1.1043030504783964</v>
      </c>
      <c r="I1543" s="1">
        <f t="shared" si="1634"/>
        <v>1.1045793710351821</v>
      </c>
      <c r="J1543" s="1">
        <f t="shared" si="1634"/>
        <v>1.1105065718047178</v>
      </c>
      <c r="K1543" s="1">
        <f t="shared" si="1634"/>
        <v>1.1823295279866399</v>
      </c>
      <c r="L1543" s="1">
        <f t="shared" ref="L1543" si="1637">IFERROR(L1529/L1515,"-")</f>
        <v>1.2168252822650403</v>
      </c>
      <c r="N1543" s="1"/>
    </row>
    <row r="1544" spans="2:14" x14ac:dyDescent="0.35">
      <c r="B1544" t="str">
        <f t="shared" si="1621"/>
        <v>SPS1</v>
      </c>
      <c r="C1544" t="str">
        <f t="shared" si="1622"/>
        <v>CH</v>
      </c>
      <c r="D1544" t="s">
        <v>1585</v>
      </c>
      <c r="E1544" t="s">
        <v>1229</v>
      </c>
      <c r="F1544" s="1">
        <f t="shared" si="1634"/>
        <v>0.72942698043637</v>
      </c>
      <c r="G1544" s="1">
        <f t="shared" si="1634"/>
        <v>0.73017176869508427</v>
      </c>
      <c r="H1544" s="1">
        <f t="shared" si="1634"/>
        <v>0.73017525362417368</v>
      </c>
      <c r="I1544" s="1">
        <f t="shared" si="1634"/>
        <v>0.73018339193974624</v>
      </c>
      <c r="J1544" s="1">
        <f t="shared" si="1634"/>
        <v>0.73027101627936852</v>
      </c>
      <c r="K1544" s="1">
        <f t="shared" si="1634"/>
        <v>0.73147839467123965</v>
      </c>
      <c r="L1544" s="1">
        <f t="shared" ref="L1544" si="1638">IFERROR(L1530/L1516,"-")</f>
        <v>0.79571217641476877</v>
      </c>
      <c r="N1544" s="1"/>
    </row>
    <row r="1545" spans="2:14" x14ac:dyDescent="0.35">
      <c r="B1545" t="str">
        <f t="shared" si="1621"/>
        <v>SPS1</v>
      </c>
      <c r="C1545" t="str">
        <f t="shared" si="1622"/>
        <v>CH</v>
      </c>
      <c r="D1545" t="s">
        <v>1586</v>
      </c>
      <c r="E1545" t="s">
        <v>1229</v>
      </c>
      <c r="F1545" s="1">
        <f t="shared" si="1634"/>
        <v>0.67580166525687191</v>
      </c>
      <c r="G1545" s="1">
        <f t="shared" si="1634"/>
        <v>0.6764131507847434</v>
      </c>
      <c r="H1545" s="1">
        <f t="shared" si="1634"/>
        <v>0.67641664803912849</v>
      </c>
      <c r="I1545" s="1">
        <f t="shared" si="1634"/>
        <v>0.67642228295992379</v>
      </c>
      <c r="J1545" s="1">
        <f t="shared" si="1634"/>
        <v>0.67646234326811761</v>
      </c>
      <c r="K1545" s="1">
        <f t="shared" si="1634"/>
        <v>0.67655982116230573</v>
      </c>
      <c r="L1545" s="1">
        <f t="shared" ref="L1545" si="1639">IFERROR(L1531/L1517,"-")</f>
        <v>0.67943544018347612</v>
      </c>
      <c r="N1545" s="1"/>
    </row>
    <row r="1546" spans="2:14" x14ac:dyDescent="0.35">
      <c r="B1546" s="2" t="str">
        <f>B1545</f>
        <v>SPS1</v>
      </c>
      <c r="C1546" s="2" t="str">
        <f>C1545</f>
        <v>CH</v>
      </c>
      <c r="D1546" s="2" t="s">
        <v>1535</v>
      </c>
      <c r="E1546" s="2" t="s">
        <v>8</v>
      </c>
      <c r="F1546" s="3">
        <f>F1547+F1550+F1552+F1559+F1567</f>
        <v>16.649858371074501</v>
      </c>
      <c r="G1546" s="3">
        <f t="shared" ref="G1546:K1546" si="1640">G1547+G1550+G1552+G1559+G1567</f>
        <v>15.597758949217695</v>
      </c>
      <c r="H1546" s="3">
        <f t="shared" si="1640"/>
        <v>13.967576251770179</v>
      </c>
      <c r="I1546" s="3">
        <f t="shared" si="1640"/>
        <v>11.502150973391682</v>
      </c>
      <c r="J1546" s="3">
        <f t="shared" si="1640"/>
        <v>9.5091962510607946</v>
      </c>
      <c r="K1546" s="3">
        <f t="shared" si="1640"/>
        <v>8.8580826257245384</v>
      </c>
      <c r="L1546" s="3">
        <f t="shared" ref="L1546" si="1641">L1547+L1550+L1552+L1559+L1567</f>
        <v>9.5999841945755957</v>
      </c>
      <c r="N1546" s="1"/>
    </row>
    <row r="1547" spans="2:14" x14ac:dyDescent="0.35">
      <c r="B1547" t="str">
        <f t="shared" ref="B1547:B1592" si="1642">B1546</f>
        <v>SPS1</v>
      </c>
      <c r="C1547" t="str">
        <f t="shared" ref="C1547:C1592" si="1643">C1546</f>
        <v>CH</v>
      </c>
      <c r="D1547" t="s">
        <v>1536</v>
      </c>
      <c r="E1547" t="str">
        <f>E1546</f>
        <v>PJ/yr.</v>
      </c>
      <c r="F1547" s="1">
        <f>SUM(F1548:F1549)</f>
        <v>7.6208145954106674E-2</v>
      </c>
      <c r="G1547" s="1">
        <f t="shared" ref="G1547:K1547" si="1644">SUM(G1548:G1549)</f>
        <v>0.1137326814899825</v>
      </c>
      <c r="H1547" s="1">
        <f t="shared" si="1644"/>
        <v>0.33578636706523574</v>
      </c>
      <c r="I1547" s="1">
        <f t="shared" si="1644"/>
        <v>1.2701398916044842</v>
      </c>
      <c r="J1547" s="1">
        <f t="shared" si="1644"/>
        <v>2.9578174992897903</v>
      </c>
      <c r="K1547" s="1">
        <f t="shared" si="1644"/>
        <v>4.6744024717595005</v>
      </c>
      <c r="L1547" s="1">
        <f t="shared" ref="L1547" si="1645">SUM(L1548:L1549)</f>
        <v>5.0124661808814519</v>
      </c>
      <c r="N1547" s="1"/>
    </row>
    <row r="1548" spans="2:14" x14ac:dyDescent="0.35">
      <c r="B1548" t="str">
        <f t="shared" si="1642"/>
        <v>SPS1</v>
      </c>
      <c r="C1548" t="str">
        <f t="shared" si="1643"/>
        <v>CH</v>
      </c>
      <c r="D1548" t="s">
        <v>1543</v>
      </c>
      <c r="E1548" t="str">
        <f t="shared" ref="E1548:E1572" si="1646">E1547</f>
        <v>PJ/yr.</v>
      </c>
      <c r="F1548" s="1" cm="1">
        <f t="array" ref="F1548">SUMPRODUCT(("TFLGV-BeVELCExt"=[1]OUT_TransportEnergyCons!$A$3:$A$1000)*1,("Var_Fin"=[1]OUT_TransportEnergyCons!$B$3:$B$1000)*1,ISNUMBER(SEARCH("ELC",[1]OUT_TransportEnergyCons!$C$3:$C$1000))*1,[1]OUT_TransportEnergyCons!D$3:D$1000)</f>
        <v>4.056003595660073E-2</v>
      </c>
      <c r="G1548" s="1" cm="1">
        <f t="array" ref="G1548">SUMPRODUCT(("TFLGV-BeVELCExt"=[1]OUT_TransportEnergyCons!$A$3:$A$1000)*1,("Var_Fin"=[1]OUT_TransportEnergyCons!$B$3:$B$1000)*1,ISNUMBER(SEARCH("ELC",[1]OUT_TransportEnergyCons!$C$3:$C$1000))*1,[1]OUT_TransportEnergyCons!E$3:E$1000)</f>
        <v>3.4849358932842439E-2</v>
      </c>
      <c r="H1548" s="1" cm="1">
        <f t="array" ref="H1548">SUMPRODUCT(("TFLGV-BeVELCExt"=[1]OUT_TransportEnergyCons!$A$3:$A$1000)*1,("Var_Fin"=[1]OUT_TransportEnergyCons!$B$3:$B$1000)*1,ISNUMBER(SEARCH("ELC",[1]OUT_TransportEnergyCons!$C$3:$C$1000))*1,[1]OUT_TransportEnergyCons!F$3:F$1000)</f>
        <v>2.6423102776511668E-2</v>
      </c>
      <c r="I1548" s="1" cm="1">
        <f t="array" ref="I1548">SUMPRODUCT(("TFLGV-BeVELCExt"=[1]OUT_TransportEnergyCons!$A$3:$A$1000)*1,("Var_Fin"=[1]OUT_TransportEnergyCons!$B$3:$B$1000)*1,ISNUMBER(SEARCH("ELC",[1]OUT_TransportEnergyCons!$C$3:$C$1000))*1,[1]OUT_TransportEnergyCons!G$3:G$1000)</f>
        <v>1.320864298198568E-2</v>
      </c>
      <c r="J1548" s="1" cm="1">
        <f t="array" ref="J1548">SUMPRODUCT(("TFLGV-BeVELCExt"=[2]OUT_TransportEnergyCons!$A$3:$A$1000)*1,("Var_Fin"=[2]OUT_TransportEnergyCons!$B$3:$B$1000)*1,ISNUMBER(SEARCH("ELC",[2]OUT_TransportEnergyCons!$C$3:$C$1000))*1,[2]OUT_TransportEnergyCons!H$3:H$1000)</f>
        <v>0</v>
      </c>
      <c r="K1548" s="1" cm="1">
        <f t="array" ref="K1548">SUMPRODUCT(("TFLGV-BeVELCExt"=[2]OUT_TransportEnergyCons!$A$3:$A$1000)*1,("Var_Fin"=[2]OUT_TransportEnergyCons!$B$3:$B$1000)*1,ISNUMBER(SEARCH("ELC",[2]OUT_TransportEnergyCons!$C$3:$C$1000))*1,[2]OUT_TransportEnergyCons!I$3:I$1000)</f>
        <v>0</v>
      </c>
      <c r="L1548" s="1" cm="1">
        <f t="array" ref="L1548">SUMPRODUCT(("TFLGV-BeVELCExt"=[2]OUT_TransportEnergyCons!$A$3:$A$1000)*1,("Var_Fin"=[2]OUT_TransportEnergyCons!$B$3:$B$1000)*1,ISNUMBER(SEARCH("ELC",[2]OUT_TransportEnergyCons!$C$3:$C$1000))*1,[2]OUT_TransportEnergyCons!J$3:J$1000)</f>
        <v>0</v>
      </c>
      <c r="N1548" s="1"/>
    </row>
    <row r="1549" spans="2:14" x14ac:dyDescent="0.35">
      <c r="B1549" t="str">
        <f t="shared" si="1642"/>
        <v>SPS1</v>
      </c>
      <c r="C1549" t="str">
        <f t="shared" si="1643"/>
        <v>CH</v>
      </c>
      <c r="D1549" t="s">
        <v>1544</v>
      </c>
      <c r="E1549" t="str">
        <f t="shared" si="1646"/>
        <v>PJ/yr.</v>
      </c>
      <c r="F1549" s="1" cm="1">
        <f t="array" ref="F1549">SUMPRODUCT(("TFLGV-BEVELC"=[1]OUT_TransportEnergyCons!$A$3:$A$1000)*1,("Var_Fin"=[1]OUT_TransportEnergyCons!$B$3:$B$1000)*1,ISNUMBER(SEARCH("ELC",[1]OUT_TransportEnergyCons!$C$3:$C$1000))*1,[1]OUT_TransportEnergyCons!D$3:D$1000)</f>
        <v>3.5648109997505943E-2</v>
      </c>
      <c r="G1549" s="1" cm="1">
        <f t="array" ref="G1549">SUMPRODUCT(("TFLGV-BEVELC"=[1]OUT_TransportEnergyCons!$A$3:$A$1000)*1,("Var_Fin"=[1]OUT_TransportEnergyCons!$B$3:$B$1000)*1,ISNUMBER(SEARCH("ELC",[1]OUT_TransportEnergyCons!$C$3:$C$1000))*1,[1]OUT_TransportEnergyCons!E$3:E$1000)</f>
        <v>7.8883322557140062E-2</v>
      </c>
      <c r="H1549" s="1" cm="1">
        <f t="array" ref="H1549">SUMPRODUCT(("TFLGV-BEVELC"=[1]OUT_TransportEnergyCons!$A$3:$A$1000)*1,("Var_Fin"=[1]OUT_TransportEnergyCons!$B$3:$B$1000)*1,ISNUMBER(SEARCH("ELC",[1]OUT_TransportEnergyCons!$C$3:$C$1000))*1,[1]OUT_TransportEnergyCons!F$3:F$1000)</f>
        <v>0.30936326428872407</v>
      </c>
      <c r="I1549" s="1" cm="1">
        <f t="array" ref="I1549">SUMPRODUCT(("TFLGV-BEVELC"=[1]OUT_TransportEnergyCons!$A$3:$A$1000)*1,("Var_Fin"=[1]OUT_TransportEnergyCons!$B$3:$B$1000)*1,ISNUMBER(SEARCH("ELC",[1]OUT_TransportEnergyCons!$C$3:$C$1000))*1,[1]OUT_TransportEnergyCons!G$3:G$1000)</f>
        <v>1.2569312486224984</v>
      </c>
      <c r="J1549" s="1" cm="1">
        <f t="array" ref="J1549">SUMPRODUCT(("TFLGV-BEVELC"=[2]OUT_TransportEnergyCons!$A$3:$A$1000)*1,("Var_Fin"=[2]OUT_TransportEnergyCons!$B$3:$B$1000)*1,ISNUMBER(SEARCH("ELC",[2]OUT_TransportEnergyCons!$C$3:$C$1000))*1,[2]OUT_TransportEnergyCons!H$3:H$1000)</f>
        <v>2.9578174992897903</v>
      </c>
      <c r="K1549" s="1" cm="1">
        <f t="array" ref="K1549">SUMPRODUCT(("TFLGV-BEVELC"=[2]OUT_TransportEnergyCons!$A$3:$A$1000)*1,("Var_Fin"=[2]OUT_TransportEnergyCons!$B$3:$B$1000)*1,ISNUMBER(SEARCH("ELC",[2]OUT_TransportEnergyCons!$C$3:$C$1000))*1,[2]OUT_TransportEnergyCons!I$3:I$1000)</f>
        <v>4.6744024717595005</v>
      </c>
      <c r="L1549" s="1" cm="1">
        <f t="array" ref="L1549">SUMPRODUCT(("TFLGV-BEVELC"=[2]OUT_TransportEnergyCons!$A$3:$A$1000)*1,("Var_Fin"=[2]OUT_TransportEnergyCons!$B$3:$B$1000)*1,ISNUMBER(SEARCH("ELC",[2]OUT_TransportEnergyCons!$C$3:$C$1000))*1,[2]OUT_TransportEnergyCons!J$3:J$1000)</f>
        <v>5.0124661808814519</v>
      </c>
      <c r="N1549" s="1"/>
    </row>
    <row r="1550" spans="2:14" x14ac:dyDescent="0.35">
      <c r="B1550" t="str">
        <f t="shared" si="1642"/>
        <v>SPS1</v>
      </c>
      <c r="C1550" t="str">
        <f t="shared" si="1643"/>
        <v>CH</v>
      </c>
      <c r="D1550" t="s">
        <v>1537</v>
      </c>
      <c r="E1550" t="str">
        <f t="shared" si="1646"/>
        <v>PJ/yr.</v>
      </c>
      <c r="F1550" s="1">
        <f>F1551</f>
        <v>0</v>
      </c>
      <c r="G1550" s="1">
        <f t="shared" ref="G1550:L1550" si="1647">G1551</f>
        <v>1.0894397463237786E-5</v>
      </c>
      <c r="H1550" s="1">
        <f t="shared" si="1647"/>
        <v>1.7933815476686906E-5</v>
      </c>
      <c r="I1550" s="1">
        <f t="shared" si="1647"/>
        <v>8.112273166886119E-6</v>
      </c>
      <c r="J1550" s="1">
        <f t="shared" si="1647"/>
        <v>7.1659019304946811E-6</v>
      </c>
      <c r="K1550" s="1">
        <f t="shared" si="1647"/>
        <v>5.6360045108098325E-6</v>
      </c>
      <c r="L1550" s="1">
        <f t="shared" si="1647"/>
        <v>5.12103160553029E-6</v>
      </c>
      <c r="N1550" s="1"/>
    </row>
    <row r="1551" spans="2:14" x14ac:dyDescent="0.35">
      <c r="B1551" t="str">
        <f t="shared" si="1642"/>
        <v>SPS1</v>
      </c>
      <c r="C1551" t="str">
        <f t="shared" si="1643"/>
        <v>CH</v>
      </c>
      <c r="D1551" t="s">
        <v>1545</v>
      </c>
      <c r="E1551" t="str">
        <f t="shared" si="1646"/>
        <v>PJ/yr.</v>
      </c>
      <c r="F1551" s="1" cm="1">
        <f t="array" ref="F1551">SUMPRODUCT(("TFLGV-FCLH2O"=[1]OUT_TransportEnergyCons!$A$3:$A$1000)*1,("Var_Fin"=[1]OUT_TransportEnergyCons!$B$3:$B$1000)*1,ISNUMBER(SEARCH("h2",[1]OUT_TransportEnergyCons!$C$3:$C$1000))*1,[1]OUT_TransportEnergyCons!D$3:D$1000)</f>
        <v>0</v>
      </c>
      <c r="G1551" s="1" cm="1">
        <f t="array" ref="G1551">SUMPRODUCT(("TFLGV-FCLH2O"=[1]OUT_TransportEnergyCons!$A$3:$A$1000)*1,("Var_Fin"=[1]OUT_TransportEnergyCons!$B$3:$B$1000)*1,ISNUMBER(SEARCH("h2",[1]OUT_TransportEnergyCons!$C$3:$C$1000))*1,[1]OUT_TransportEnergyCons!E$3:E$1000)</f>
        <v>1.0894397463237786E-5</v>
      </c>
      <c r="H1551" s="1" cm="1">
        <f t="array" ref="H1551">SUMPRODUCT(("TFLGV-FCLH2O"=[1]OUT_TransportEnergyCons!$A$3:$A$1000)*1,("Var_Fin"=[1]OUT_TransportEnergyCons!$B$3:$B$1000)*1,ISNUMBER(SEARCH("h2",[1]OUT_TransportEnergyCons!$C$3:$C$1000))*1,[1]OUT_TransportEnergyCons!F$3:F$1000)</f>
        <v>1.7933815476686906E-5</v>
      </c>
      <c r="I1551" s="1" cm="1">
        <f t="array" ref="I1551">SUMPRODUCT(("TFLGV-FCLH2O"=[1]OUT_TransportEnergyCons!$A$3:$A$1000)*1,("Var_Fin"=[1]OUT_TransportEnergyCons!$B$3:$B$1000)*1,ISNUMBER(SEARCH("h2",[1]OUT_TransportEnergyCons!$C$3:$C$1000))*1,[1]OUT_TransportEnergyCons!G$3:G$1000)</f>
        <v>8.112273166886119E-6</v>
      </c>
      <c r="J1551" s="1" cm="1">
        <f t="array" ref="J1551">SUMPRODUCT(("TFLGV-FCLH2O"=[2]OUT_TransportEnergyCons!$A$3:$A$1000)*1,("Var_Fin"=[2]OUT_TransportEnergyCons!$B$3:$B$1000)*1,ISNUMBER(SEARCH("h2",[2]OUT_TransportEnergyCons!$C$3:$C$1000))*1,[2]OUT_TransportEnergyCons!H$3:H$1000)</f>
        <v>7.1659019304946811E-6</v>
      </c>
      <c r="K1551" s="1" cm="1">
        <f t="array" ref="K1551">SUMPRODUCT(("TFLGV-FCLH2O"=[2]OUT_TransportEnergyCons!$A$3:$A$1000)*1,("Var_Fin"=[2]OUT_TransportEnergyCons!$B$3:$B$1000)*1,ISNUMBER(SEARCH("h2",[2]OUT_TransportEnergyCons!$C$3:$C$1000))*1,[2]OUT_TransportEnergyCons!I$3:I$1000)</f>
        <v>5.6360045108098325E-6</v>
      </c>
      <c r="L1551" s="1" cm="1">
        <f t="array" ref="L1551">SUMPRODUCT(("TFLGV-FCLH2O"=[2]OUT_TransportEnergyCons!$A$3:$A$1000)*1,("Var_Fin"=[2]OUT_TransportEnergyCons!$B$3:$B$1000)*1,ISNUMBER(SEARCH("h2",[2]OUT_TransportEnergyCons!$C$3:$C$1000))*1,[2]OUT_TransportEnergyCons!J$3:J$1000)</f>
        <v>5.12103160553029E-6</v>
      </c>
      <c r="N1551" s="1"/>
    </row>
    <row r="1552" spans="2:14" x14ac:dyDescent="0.35">
      <c r="B1552" t="str">
        <f t="shared" si="1642"/>
        <v>SPS1</v>
      </c>
      <c r="C1552" t="str">
        <f t="shared" si="1643"/>
        <v>CH</v>
      </c>
      <c r="D1552" t="s">
        <v>1538</v>
      </c>
      <c r="E1552" t="str">
        <f t="shared" si="1646"/>
        <v>PJ/yr.</v>
      </c>
      <c r="F1552" s="1">
        <f>SUM(F1557:F1558)</f>
        <v>1.3355599281139474</v>
      </c>
      <c r="G1552" s="1">
        <f t="shared" ref="G1552:K1552" si="1648">SUM(G1557:G1558)</f>
        <v>2.3434034432450828</v>
      </c>
      <c r="H1552" s="1">
        <f t="shared" si="1648"/>
        <v>1.4712051441540313</v>
      </c>
      <c r="I1552" s="1">
        <f t="shared" si="1648"/>
        <v>1.6343435371474249</v>
      </c>
      <c r="J1552" s="1">
        <f t="shared" si="1648"/>
        <v>1.983837459592888</v>
      </c>
      <c r="K1552" s="1">
        <f t="shared" si="1648"/>
        <v>1.1559146091880623</v>
      </c>
      <c r="L1552" s="1">
        <f t="shared" ref="L1552" si="1649">SUM(L1557:L1558)</f>
        <v>1.1639831342060771</v>
      </c>
      <c r="N1552" s="1"/>
    </row>
    <row r="1553" spans="2:14" x14ac:dyDescent="0.35">
      <c r="B1553" t="str">
        <f t="shared" si="1642"/>
        <v>SPS1</v>
      </c>
      <c r="C1553" t="str">
        <f t="shared" si="1643"/>
        <v>CH</v>
      </c>
      <c r="D1553" t="s">
        <v>1539</v>
      </c>
      <c r="E1553" t="str">
        <f t="shared" si="1646"/>
        <v>PJ/yr.</v>
      </c>
      <c r="F1553" s="1">
        <f>IF(F1552-F1554&lt;0,0,F1552-F1554)</f>
        <v>1.2624508294207417</v>
      </c>
      <c r="G1553" s="1">
        <f t="shared" ref="G1553:L1553" si="1650">IF(G1552-G1554&lt;0,0,G1552-G1554)</f>
        <v>2.2151242896372336</v>
      </c>
      <c r="H1553" s="1">
        <f t="shared" si="1650"/>
        <v>1.3906708615750147</v>
      </c>
      <c r="I1553" s="1">
        <f t="shared" si="1650"/>
        <v>1.5448468859550504</v>
      </c>
      <c r="J1553" s="1">
        <f t="shared" si="1650"/>
        <v>1.8751721503984382</v>
      </c>
      <c r="K1553" s="1">
        <f t="shared" si="1650"/>
        <v>1.0926176621694754</v>
      </c>
      <c r="L1553" s="1">
        <f t="shared" si="1650"/>
        <v>1.1002400795510692</v>
      </c>
      <c r="N1553" s="1"/>
    </row>
    <row r="1554" spans="2:14" x14ac:dyDescent="0.35">
      <c r="B1554" t="str">
        <f t="shared" si="1642"/>
        <v>SPS1</v>
      </c>
      <c r="C1554" t="str">
        <f t="shared" si="1643"/>
        <v>CH</v>
      </c>
      <c r="D1554" t="s">
        <v>1540</v>
      </c>
      <c r="E1554" t="str">
        <f t="shared" si="1646"/>
        <v>PJ/yr.</v>
      </c>
      <c r="F1554" s="1">
        <f>SUM(F1555:F1556)</f>
        <v>7.3109098693205657E-2</v>
      </c>
      <c r="G1554" s="1">
        <f t="shared" ref="G1554:K1554" si="1651">SUM(G1555:G1556)</f>
        <v>0.12827915360784919</v>
      </c>
      <c r="H1554" s="1">
        <f t="shared" si="1651"/>
        <v>8.0534282579016458E-2</v>
      </c>
      <c r="I1554" s="1">
        <f t="shared" si="1651"/>
        <v>8.9496651192374488E-2</v>
      </c>
      <c r="J1554" s="1">
        <f t="shared" si="1651"/>
        <v>0.10866530919444981</v>
      </c>
      <c r="K1554" s="1">
        <f t="shared" si="1651"/>
        <v>6.3296947018586985E-2</v>
      </c>
      <c r="L1554" s="1">
        <f t="shared" ref="L1554" si="1652">SUM(L1555:L1556)</f>
        <v>6.3743054655007972E-2</v>
      </c>
      <c r="N1554" s="1"/>
    </row>
    <row r="1555" spans="2:14" x14ac:dyDescent="0.35">
      <c r="B1555" t="str">
        <f t="shared" si="1642"/>
        <v>SPS1</v>
      </c>
      <c r="C1555" t="str">
        <f t="shared" si="1643"/>
        <v>CH</v>
      </c>
      <c r="D1555" t="s">
        <v>1541</v>
      </c>
      <c r="E1555" t="str">
        <f t="shared" si="1646"/>
        <v>PJ/yr.</v>
      </c>
      <c r="F1555" s="1">
        <f>[1]Transport!B$25/SUM([1]Transport!B$21,[1]Transport!B$25)*F1552*(F$35+F$600)/(F$35+F$600+F$39)</f>
        <v>7.3109098693205657E-2</v>
      </c>
      <c r="G1555" s="1">
        <f>[1]Transport!C$25/SUM([1]Transport!C$21,[1]Transport!C$25)*G1552*(G$35+G$600)/(G$35+G$600+G$39)</f>
        <v>0.12827915360784919</v>
      </c>
      <c r="H1555" s="1">
        <f>[1]Transport!D$25/SUM([1]Transport!D$21,[1]Transport!D$25)*H1552*(H$35+H$600)/(H$35+H$600+H$39)</f>
        <v>8.0534282579016458E-2</v>
      </c>
      <c r="I1555" s="1">
        <f>[1]Transport!E$25/SUM([1]Transport!E$21,[1]Transport!E$25)*I1552*(I$35+I$600)/(I$35+I$600+I$39)</f>
        <v>8.9496651192374488E-2</v>
      </c>
      <c r="J1555" s="1">
        <f>[2]Transport!F$25/SUM([2]Transport!F$21,[2]Transport!F$25)*J1552*(J$35+J$600)/(J$35+J$600+J$39)</f>
        <v>0.10866530919444981</v>
      </c>
      <c r="K1555" s="1">
        <f>[2]Transport!G$25/SUM([2]Transport!G$21,[2]Transport!G$25)*K1552*(K$35+K$600)/(K$35+K$600+K$39)</f>
        <v>6.3296947018586985E-2</v>
      </c>
      <c r="L1555" s="1">
        <f>[2]Transport!H$25/SUM([2]Transport!H$21,[2]Transport!H$25)*L1552*(L$35+L$600)/(L$35+L$600+L$39)</f>
        <v>6.3743054655007972E-2</v>
      </c>
      <c r="N1555" s="1"/>
    </row>
    <row r="1556" spans="2:14" x14ac:dyDescent="0.35">
      <c r="B1556" t="str">
        <f t="shared" si="1642"/>
        <v>SPS1</v>
      </c>
      <c r="C1556" t="str">
        <f t="shared" si="1643"/>
        <v>CH</v>
      </c>
      <c r="D1556" t="s">
        <v>1542</v>
      </c>
      <c r="E1556" t="str">
        <f t="shared" si="1646"/>
        <v>PJ/yr.</v>
      </c>
      <c r="F1556" s="1">
        <f>(F$39+F$719)/([1]Transport!B$21+[1]Transport!B$25)*F1552</f>
        <v>0</v>
      </c>
      <c r="G1556" s="1">
        <f>(G$39+G$719)/([1]Transport!C$21+[1]Transport!C$25)*G1552</f>
        <v>0</v>
      </c>
      <c r="H1556" s="1">
        <f>(H$39+H$719)/([1]Transport!D$21+[1]Transport!D$25)*H1552</f>
        <v>0</v>
      </c>
      <c r="I1556" s="1">
        <f>(I$39+I$719)/([1]Transport!E$21+[1]Transport!E$25)*I1552</f>
        <v>0</v>
      </c>
      <c r="J1556" s="1">
        <f>(J$39+J$719)/([2]Transport!F$21+[2]Transport!F$25)*J1552</f>
        <v>0</v>
      </c>
      <c r="K1556" s="1">
        <f>(K$39+K$719)/([2]Transport!G$21+[2]Transport!G$25)*K1552</f>
        <v>0</v>
      </c>
      <c r="L1556" s="1">
        <f>(L$39+L$719)/([2]Transport!H$21+[2]Transport!H$25)*L1552</f>
        <v>0</v>
      </c>
      <c r="N1556" s="1"/>
    </row>
    <row r="1557" spans="2:14" x14ac:dyDescent="0.35">
      <c r="B1557" t="str">
        <f t="shared" si="1642"/>
        <v>SPS1</v>
      </c>
      <c r="C1557" t="str">
        <f t="shared" si="1643"/>
        <v>CH</v>
      </c>
      <c r="D1557" t="s">
        <v>1588</v>
      </c>
      <c r="E1557" t="str">
        <f t="shared" si="1646"/>
        <v>PJ/yr.</v>
      </c>
      <c r="F1557" s="1" cm="1">
        <f t="array" ref="F1557">SUMPRODUCT(("TFLGV-ICEGSLExt"=[1]OUT_TransportEnergyCons!$A$3:$A$1000)*1,("Var_Fin"=[1]OUT_TransportEnergyCons!$B$3:$B$1000)*1,ISNUMBER(SEARCH("gsl",[1]OUT_TransportEnergyCons!$C$3:$C$1000))*1,[1]OUT_TransportEnergyCons!D$3:D$1000)</f>
        <v>0.83186221244697156</v>
      </c>
      <c r="G1557" s="1" cm="1">
        <f t="array" ref="G1557">SUMPRODUCT(("TFLGV-ICEGSLExt"=[1]OUT_TransportEnergyCons!$A$3:$A$1000)*1,("Var_Fin"=[1]OUT_TransportEnergyCons!$B$3:$B$1000)*1,ISNUMBER(SEARCH("gsl",[1]OUT_TransportEnergyCons!$C$3:$C$1000))*1,[1]OUT_TransportEnergyCons!E$3:E$1000)</f>
        <v>1.7652496943743856</v>
      </c>
      <c r="H1557" s="1" cm="1">
        <f t="array" ref="H1557">SUMPRODUCT(("TFLGV-ICEGSLExt"=[1]OUT_TransportEnergyCons!$A$3:$A$1000)*1,("Var_Fin"=[1]OUT_TransportEnergyCons!$B$3:$B$1000)*1,ISNUMBER(SEARCH("gsl",[1]OUT_TransportEnergyCons!$C$3:$C$1000))*1,[1]OUT_TransportEnergyCons!F$3:F$1000)</f>
        <v>0.54182949948840853</v>
      </c>
      <c r="I1557" s="1" cm="1">
        <f t="array" ref="I1557">SUMPRODUCT(("TFLGV-ICEGSLExt"=[1]OUT_TransportEnergyCons!$A$3:$A$1000)*1,("Var_Fin"=[1]OUT_TransportEnergyCons!$B$3:$B$1000)*1,ISNUMBER(SEARCH("gsl",[1]OUT_TransportEnergyCons!$C$3:$C$1000))*1,[1]OUT_TransportEnergyCons!G$3:G$1000)</f>
        <v>0.27085910700974941</v>
      </c>
      <c r="J1557" s="1" cm="1">
        <f t="array" ref="J1557">SUMPRODUCT(("TFLGV-ICEGSLExt"=[2]OUT_TransportEnergyCons!$A$3:$A$1000)*1,("Var_Fin"=[2]OUT_TransportEnergyCons!$B$3:$B$1000)*1,ISNUMBER(SEARCH("gsl",[2]OUT_TransportEnergyCons!$C$3:$C$1000))*1,[2]OUT_TransportEnergyCons!H$3:H$1000)</f>
        <v>0</v>
      </c>
      <c r="K1557" s="1" cm="1">
        <f t="array" ref="K1557">SUMPRODUCT(("TFLGV-ICEGSLExt"=[2]OUT_TransportEnergyCons!$A$3:$A$1000)*1,("Var_Fin"=[2]OUT_TransportEnergyCons!$B$3:$B$1000)*1,ISNUMBER(SEARCH("gsl",[2]OUT_TransportEnergyCons!$C$3:$C$1000))*1,[2]OUT_TransportEnergyCons!I$3:I$1000)</f>
        <v>0</v>
      </c>
      <c r="L1557" s="1" cm="1">
        <f t="array" ref="L1557">SUMPRODUCT(("TFLGV-ICEGSLExt"=[2]OUT_TransportEnergyCons!$A$3:$A$1000)*1,("Var_Fin"=[2]OUT_TransportEnergyCons!$B$3:$B$1000)*1,ISNUMBER(SEARCH("gsl",[2]OUT_TransportEnergyCons!$C$3:$C$1000))*1,[2]OUT_TransportEnergyCons!J$3:J$1000)</f>
        <v>0</v>
      </c>
      <c r="N1557" s="1"/>
    </row>
    <row r="1558" spans="2:14" x14ac:dyDescent="0.35">
      <c r="B1558" t="str">
        <f t="shared" si="1642"/>
        <v>SPS1</v>
      </c>
      <c r="C1558" t="str">
        <f t="shared" si="1643"/>
        <v>CH</v>
      </c>
      <c r="D1558" t="s">
        <v>1587</v>
      </c>
      <c r="E1558" t="str">
        <f t="shared" si="1646"/>
        <v>PJ/yr.</v>
      </c>
      <c r="F1558" s="1" cm="1">
        <f t="array" ref="F1558">SUMPRODUCT(("TFLGV-ICEGSL"=[1]OUT_TransportEnergyCons!$A$3:$A$1000)*1,("Var_Fin"=[1]OUT_TransportEnergyCons!$B$3:$B$1000)*1,ISNUMBER(SEARCH("gsl",[1]OUT_TransportEnergyCons!$C$3:$C$1000))*1,[1]OUT_TransportEnergyCons!D$3:D$1000)</f>
        <v>0.50369771566697585</v>
      </c>
      <c r="G1558" s="1" cm="1">
        <f t="array" ref="G1558">SUMPRODUCT(("TFLGV-ICEGSL"=[1]OUT_TransportEnergyCons!$A$3:$A$1000)*1,("Var_Fin"=[1]OUT_TransportEnergyCons!$B$3:$B$1000)*1,ISNUMBER(SEARCH("gsl",[1]OUT_TransportEnergyCons!$C$3:$C$1000))*1,[1]OUT_TransportEnergyCons!E$3:E$1000)</f>
        <v>0.57815374887069693</v>
      </c>
      <c r="H1558" s="1" cm="1">
        <f t="array" ref="H1558">SUMPRODUCT(("TFLGV-ICEGSL"=[1]OUT_TransportEnergyCons!$A$3:$A$1000)*1,("Var_Fin"=[1]OUT_TransportEnergyCons!$B$3:$B$1000)*1,ISNUMBER(SEARCH("gsl",[1]OUT_TransportEnergyCons!$C$3:$C$1000))*1,[1]OUT_TransportEnergyCons!F$3:F$1000)</f>
        <v>0.92937564466562284</v>
      </c>
      <c r="I1558" s="1" cm="1">
        <f t="array" ref="I1558">SUMPRODUCT(("TFLGV-ICEGSL"=[1]OUT_TransportEnergyCons!$A$3:$A$1000)*1,("Var_Fin"=[1]OUT_TransportEnergyCons!$B$3:$B$1000)*1,ISNUMBER(SEARCH("gsl",[1]OUT_TransportEnergyCons!$C$3:$C$1000))*1,[1]OUT_TransportEnergyCons!G$3:G$1000)</f>
        <v>1.3634844301376754</v>
      </c>
      <c r="J1558" s="1" cm="1">
        <f t="array" ref="J1558">SUMPRODUCT(("TFLGV-ICEGSL"=[2]OUT_TransportEnergyCons!$A$3:$A$1000)*1,("Var_Fin"=[2]OUT_TransportEnergyCons!$B$3:$B$1000)*1,ISNUMBER(SEARCH("gsl",[2]OUT_TransportEnergyCons!$C$3:$C$1000))*1,[2]OUT_TransportEnergyCons!H$3:H$1000)</f>
        <v>1.983837459592888</v>
      </c>
      <c r="K1558" s="1" cm="1">
        <f t="array" ref="K1558">SUMPRODUCT(("TFLGV-ICEGSL"=[2]OUT_TransportEnergyCons!$A$3:$A$1000)*1,("Var_Fin"=[2]OUT_TransportEnergyCons!$B$3:$B$1000)*1,ISNUMBER(SEARCH("gsl",[2]OUT_TransportEnergyCons!$C$3:$C$1000))*1,[2]OUT_TransportEnergyCons!I$3:I$1000)</f>
        <v>1.1559146091880623</v>
      </c>
      <c r="L1558" s="1" cm="1">
        <f t="array" ref="L1558">SUMPRODUCT(("TFLGV-ICEGSL"=[2]OUT_TransportEnergyCons!$A$3:$A$1000)*1,("Var_Fin"=[2]OUT_TransportEnergyCons!$B$3:$B$1000)*1,ISNUMBER(SEARCH("gsl",[2]OUT_TransportEnergyCons!$C$3:$C$1000))*1,[2]OUT_TransportEnergyCons!J$3:J$1000)</f>
        <v>1.1639831342060771</v>
      </c>
      <c r="N1558" s="1"/>
    </row>
    <row r="1559" spans="2:14" x14ac:dyDescent="0.35">
      <c r="B1559" t="str">
        <f t="shared" si="1642"/>
        <v>SPS1</v>
      </c>
      <c r="C1559" t="str">
        <f t="shared" si="1643"/>
        <v>CH</v>
      </c>
      <c r="D1559" t="s">
        <v>1546</v>
      </c>
      <c r="E1559" t="str">
        <f t="shared" si="1646"/>
        <v>PJ/yr.</v>
      </c>
      <c r="F1559" s="1">
        <f>SUM(F1564:F1566)</f>
        <v>15.212267872024771</v>
      </c>
      <c r="G1559" s="1">
        <f t="shared" ref="G1559:K1559" si="1653">SUM(G1564:G1566)</f>
        <v>13.118346840022104</v>
      </c>
      <c r="H1559" s="1">
        <f t="shared" si="1653"/>
        <v>12.128960407297003</v>
      </c>
      <c r="I1559" s="1">
        <f t="shared" si="1653"/>
        <v>8.5975493639850633</v>
      </c>
      <c r="J1559" s="1">
        <f t="shared" si="1653"/>
        <v>4.5673870392945366</v>
      </c>
      <c r="K1559" s="1">
        <f t="shared" si="1653"/>
        <v>3.0276179518318029</v>
      </c>
      <c r="L1559" s="1">
        <f t="shared" ref="L1559" si="1654">SUM(L1564:L1566)</f>
        <v>3.4234068766643255</v>
      </c>
      <c r="N1559" s="1"/>
    </row>
    <row r="1560" spans="2:14" x14ac:dyDescent="0.35">
      <c r="B1560" t="str">
        <f t="shared" si="1642"/>
        <v>SPS1</v>
      </c>
      <c r="C1560" t="str">
        <f t="shared" si="1643"/>
        <v>CH</v>
      </c>
      <c r="D1560" t="s">
        <v>1547</v>
      </c>
      <c r="E1560" t="str">
        <f t="shared" si="1646"/>
        <v>PJ/yr.</v>
      </c>
      <c r="F1560" s="1">
        <f>IF(F1559-F1561&lt;0,0,F1559-F1561)</f>
        <v>14.831693590763047</v>
      </c>
      <c r="G1560" s="1">
        <f t="shared" ref="G1560:L1560" si="1655">IF(G1559-G1561&lt;0,0,G1559-G1561)</f>
        <v>12.776473280514745</v>
      </c>
      <c r="H1560" s="1">
        <f t="shared" si="1655"/>
        <v>11.584633626328218</v>
      </c>
      <c r="I1560" s="1">
        <f t="shared" si="1655"/>
        <v>8.2135619355335923</v>
      </c>
      <c r="J1560" s="1">
        <f t="shared" si="1655"/>
        <v>4.3788182377289697</v>
      </c>
      <c r="K1560" s="1">
        <f t="shared" si="1655"/>
        <v>2.9029296054763538</v>
      </c>
      <c r="L1560" s="1">
        <f t="shared" si="1655"/>
        <v>3.2801602350424037</v>
      </c>
      <c r="N1560" s="1"/>
    </row>
    <row r="1561" spans="2:14" x14ac:dyDescent="0.35">
      <c r="B1561" t="str">
        <f t="shared" si="1642"/>
        <v>SPS1</v>
      </c>
      <c r="C1561" t="str">
        <f t="shared" si="1643"/>
        <v>CH</v>
      </c>
      <c r="D1561" t="s">
        <v>1548</v>
      </c>
      <c r="E1561" t="str">
        <f t="shared" si="1646"/>
        <v>PJ/yr.</v>
      </c>
      <c r="F1561" s="1">
        <f>SUM(F1562:F1563)</f>
        <v>0.38057428126172421</v>
      </c>
      <c r="G1561" s="1">
        <f t="shared" ref="G1561:K1561" si="1656">SUM(G1562:G1563)</f>
        <v>0.34187355950735976</v>
      </c>
      <c r="H1561" s="1">
        <f t="shared" si="1656"/>
        <v>0.54432678096878451</v>
      </c>
      <c r="I1561" s="1">
        <f t="shared" si="1656"/>
        <v>0.38398742845147082</v>
      </c>
      <c r="J1561" s="1">
        <f t="shared" si="1656"/>
        <v>0.18856880156556685</v>
      </c>
      <c r="K1561" s="1">
        <f t="shared" si="1656"/>
        <v>0.12468834635544895</v>
      </c>
      <c r="L1561" s="1">
        <f t="shared" ref="L1561" si="1657">SUM(L1562:L1563)</f>
        <v>0.14324664162192202</v>
      </c>
      <c r="N1561" s="1"/>
    </row>
    <row r="1562" spans="2:14" x14ac:dyDescent="0.35">
      <c r="B1562" t="str">
        <f t="shared" si="1642"/>
        <v>SPS1</v>
      </c>
      <c r="C1562" t="str">
        <f t="shared" si="1643"/>
        <v>CH</v>
      </c>
      <c r="D1562" t="s">
        <v>1549</v>
      </c>
      <c r="E1562" t="str">
        <f t="shared" si="1646"/>
        <v>PJ/yr.</v>
      </c>
      <c r="F1562" s="1">
        <f>[1]Transport!B$26/SUM([1]Transport!B$22,[1]Transport!B$26)*F1559*(F$34+F$582)/(F$34+F$582+F$38)</f>
        <v>0.38057428126172421</v>
      </c>
      <c r="G1562" s="1">
        <f>[1]Transport!C$26/SUM([1]Transport!C$22,[1]Transport!C$26)*G1559*(G$34+G$582)/(G$34+G$582+G$38)</f>
        <v>0.34187355950735976</v>
      </c>
      <c r="H1562" s="1">
        <f>[1]Transport!D$26/SUM([1]Transport!D$22,[1]Transport!D$26)*H1559*(H$34+H$582)/(H$34+H$582+H$38)</f>
        <v>0.54432678096878451</v>
      </c>
      <c r="I1562" s="1">
        <f>[1]Transport!E$26/SUM([1]Transport!E$22,[1]Transport!E$26)*I1559*(I$34+I$582)/(I$34+I$582+I$38)</f>
        <v>0.38398742845147082</v>
      </c>
      <c r="J1562" s="1">
        <f>[2]Transport!F$26/SUM([2]Transport!F$22,[2]Transport!F$26)*J1559*(J$34+J$582)/(J$34+J$582+J$38)</f>
        <v>0.18856880156556685</v>
      </c>
      <c r="K1562" s="1">
        <f>[2]Transport!G$26/SUM([2]Transport!G$22,[2]Transport!G$26)*K1559*(K$34+K$582)/(K$34+K$582+K$38)</f>
        <v>0.12468834635544895</v>
      </c>
      <c r="L1562" s="1">
        <f>[2]Transport!H$26/SUM([2]Transport!H$22,[2]Transport!H$26)*L1559*(L$34+L$582)/(L$34+L$582+L$38)</f>
        <v>0.14324664162192202</v>
      </c>
      <c r="N1562" s="1"/>
    </row>
    <row r="1563" spans="2:14" x14ac:dyDescent="0.35">
      <c r="B1563" t="str">
        <f t="shared" si="1642"/>
        <v>SPS1</v>
      </c>
      <c r="C1563" t="str">
        <f t="shared" si="1643"/>
        <v>CH</v>
      </c>
      <c r="D1563" t="s">
        <v>1550</v>
      </c>
      <c r="E1563" t="str">
        <f t="shared" si="1646"/>
        <v>PJ/yr.</v>
      </c>
      <c r="F1563" s="1">
        <f>(F$38+F$718)/([1]Transport!B$22+[1]Transport!B$26)*F1559</f>
        <v>0</v>
      </c>
      <c r="G1563" s="1">
        <f>(G$38+G$718)/([1]Transport!C$22+[1]Transport!C$26)*G1559</f>
        <v>0</v>
      </c>
      <c r="H1563" s="1">
        <f>(H$38+H$718)/([1]Transport!D$22+[1]Transport!D$26)*H1559</f>
        <v>0</v>
      </c>
      <c r="I1563" s="1">
        <f>(I$38+I$718)/([1]Transport!E$22+[1]Transport!E$26)*I1559</f>
        <v>0</v>
      </c>
      <c r="J1563" s="1">
        <f>(J$38+J$718)/([2]Transport!F$22+[2]Transport!F$26)*J1559</f>
        <v>0</v>
      </c>
      <c r="K1563" s="1">
        <f>(K$38+K$718)/([2]Transport!G$22+[2]Transport!G$26)*K1559</f>
        <v>0</v>
      </c>
      <c r="L1563" s="1">
        <f>(L$38+L$718)/([2]Transport!H$22+[2]Transport!H$26)*L1559</f>
        <v>0</v>
      </c>
      <c r="N1563" s="1"/>
    </row>
    <row r="1564" spans="2:14" x14ac:dyDescent="0.35">
      <c r="B1564" t="str">
        <f t="shared" si="1642"/>
        <v>SPS1</v>
      </c>
      <c r="C1564" t="str">
        <f t="shared" si="1643"/>
        <v>CH</v>
      </c>
      <c r="D1564" t="s">
        <v>1551</v>
      </c>
      <c r="E1564" t="str">
        <f t="shared" si="1646"/>
        <v>PJ/yr.</v>
      </c>
      <c r="F1564" s="1" cm="1">
        <f t="array" ref="F1564">SUMPRODUCT(("TFLGV-ICEdslExt"=[1]OUT_TransportEnergyCons!$A$3:$A$1000)*1,("Var_Fin"=[1]OUT_TransportEnergyCons!$B$3:$B$1000)*1,ISNUMBER(SEARCH("dsl",[1]OUT_TransportEnergyCons!$C$3:$C$1000))*1,[1]OUT_TransportEnergyCons!D$3:D$1000)</f>
        <v>10.761507057920186</v>
      </c>
      <c r="G1564" s="1" cm="1">
        <f t="array" ref="G1564">SUMPRODUCT(("TFLGV-ICEdslExt"=[1]OUT_TransportEnergyCons!$A$3:$A$1000)*1,("Var_Fin"=[1]OUT_TransportEnergyCons!$B$3:$B$1000)*1,ISNUMBER(SEARCH("dsl",[1]OUT_TransportEnergyCons!$C$3:$C$1000))*1,[1]OUT_TransportEnergyCons!E$3:E$1000)</f>
        <v>7.4388079016928179</v>
      </c>
      <c r="H1564" s="1" cm="1">
        <f t="array" ref="H1564">SUMPRODUCT(("TFLGV-ICEdslExt"=[1]OUT_TransportEnergyCons!$A$3:$A$1000)*1,("Var_Fin"=[1]OUT_TransportEnergyCons!$B$3:$B$1000)*1,ISNUMBER(SEARCH("dsl",[1]OUT_TransportEnergyCons!$C$3:$C$1000))*1,[1]OUT_TransportEnergyCons!F$3:F$1000)</f>
        <v>5.4508198615654564</v>
      </c>
      <c r="I1564" s="1" cm="1">
        <f t="array" ref="I1564">SUMPRODUCT(("TFLGV-ICEdslExt"=[1]OUT_TransportEnergyCons!$A$3:$A$1000)*1,("Var_Fin"=[1]OUT_TransportEnergyCons!$B$3:$B$1000)*1,ISNUMBER(SEARCH("dsl",[1]OUT_TransportEnergyCons!$C$3:$C$1000))*1,[1]OUT_TransportEnergyCons!G$3:G$1000)</f>
        <v>2.725318563562793</v>
      </c>
      <c r="J1564" s="1" cm="1">
        <f t="array" ref="J1564">SUMPRODUCT(("TFLGV-ICEdslExt"=[2]OUT_TransportEnergyCons!$A$3:$A$1000)*1,("Var_Fin"=[2]OUT_TransportEnergyCons!$B$3:$B$1000)*1,ISNUMBER(SEARCH("dsl",[2]OUT_TransportEnergyCons!$C$3:$C$1000))*1,[2]OUT_TransportEnergyCons!H$3:H$1000)</f>
        <v>0</v>
      </c>
      <c r="K1564" s="1" cm="1">
        <f t="array" ref="K1564">SUMPRODUCT(("TFLGV-ICEdslExt"=[2]OUT_TransportEnergyCons!$A$3:$A$1000)*1,("Var_Fin"=[2]OUT_TransportEnergyCons!$B$3:$B$1000)*1,ISNUMBER(SEARCH("dsl",[2]OUT_TransportEnergyCons!$C$3:$C$1000))*1,[2]OUT_TransportEnergyCons!I$3:I$1000)</f>
        <v>0</v>
      </c>
      <c r="L1564" s="1" cm="1">
        <f t="array" ref="L1564">SUMPRODUCT(("TFLGV-ICEdslExt"=[2]OUT_TransportEnergyCons!$A$3:$A$1000)*1,("Var_Fin"=[2]OUT_TransportEnergyCons!$B$3:$B$1000)*1,ISNUMBER(SEARCH("dsl",[2]OUT_TransportEnergyCons!$C$3:$C$1000))*1,[2]OUT_TransportEnergyCons!J$3:J$1000)</f>
        <v>0</v>
      </c>
      <c r="N1564" s="1"/>
    </row>
    <row r="1565" spans="2:14" x14ac:dyDescent="0.35">
      <c r="B1565" t="str">
        <f t="shared" si="1642"/>
        <v>SPS1</v>
      </c>
      <c r="C1565" t="str">
        <f t="shared" si="1643"/>
        <v>CH</v>
      </c>
      <c r="D1565" t="s">
        <v>1552</v>
      </c>
      <c r="E1565" t="str">
        <f t="shared" si="1646"/>
        <v>PJ/yr.</v>
      </c>
      <c r="F1565" s="1" cm="1">
        <f t="array" ref="F1565">SUMPRODUCT(("TFLGV-ICEdsl"=[1]OUT_TransportEnergyCons!$A$3:$A$1000)*1,("Var_Fin"=[1]OUT_TransportEnergyCons!$B$3:$B$1000)*1,ISNUMBER(SEARCH("dsl",[1]OUT_TransportEnergyCons!$C$3:$C$1000))*1,[1]OUT_TransportEnergyCons!D$3:D$1000)</f>
        <v>4.4507608141045854</v>
      </c>
      <c r="G1565" s="1" cm="1">
        <f t="array" ref="G1565">SUMPRODUCT(("TFLGV-ICEdsl"=[1]OUT_TransportEnergyCons!$A$3:$A$1000)*1,("Var_Fin"=[1]OUT_TransportEnergyCons!$B$3:$B$1000)*1,ISNUMBER(SEARCH("dsl",[1]OUT_TransportEnergyCons!$C$3:$C$1000))*1,[1]OUT_TransportEnergyCons!E$3:E$1000)</f>
        <v>5.2485724090373047</v>
      </c>
      <c r="H1565" s="1" cm="1">
        <f t="array" ref="H1565">SUMPRODUCT(("TFLGV-ICEdsl"=[1]OUT_TransportEnergyCons!$A$3:$A$1000)*1,("Var_Fin"=[1]OUT_TransportEnergyCons!$B$3:$B$1000)*1,ISNUMBER(SEARCH("dsl",[1]OUT_TransportEnergyCons!$C$3:$C$1000))*1,[1]OUT_TransportEnergyCons!F$3:F$1000)</f>
        <v>5.2467593135918076</v>
      </c>
      <c r="I1565" s="1" cm="1">
        <f t="array" ref="I1565">SUMPRODUCT(("TFLGV-ICEdsl"=[1]OUT_TransportEnergyCons!$A$3:$A$1000)*1,("Var_Fin"=[1]OUT_TransportEnergyCons!$B$3:$B$1000)*1,ISNUMBER(SEARCH("dsl",[1]OUT_TransportEnergyCons!$C$3:$C$1000))*1,[1]OUT_TransportEnergyCons!G$3:G$1000)</f>
        <v>2.0840568214591713</v>
      </c>
      <c r="J1565" s="1" cm="1">
        <f t="array" ref="J1565">SUMPRODUCT(("TFLGV-ICEdsl"=[2]OUT_TransportEnergyCons!$A$3:$A$1000)*1,("Var_Fin"=[2]OUT_TransportEnergyCons!$B$3:$B$1000)*1,ISNUMBER(SEARCH("dsl",[2]OUT_TransportEnergyCons!$C$3:$C$1000))*1,[2]OUT_TransportEnergyCons!H$3:H$1000)</f>
        <v>6.2056004581877867E-3</v>
      </c>
      <c r="K1565" s="1" cm="1">
        <f t="array" ref="K1565">SUMPRODUCT(("TFLGV-ICEdsl"=[2]OUT_TransportEnergyCons!$A$3:$A$1000)*1,("Var_Fin"=[2]OUT_TransportEnergyCons!$B$3:$B$1000)*1,ISNUMBER(SEARCH("dsl",[2]OUT_TransportEnergyCons!$C$3:$C$1000))*1,[2]OUT_TransportEnergyCons!I$3:I$1000)</f>
        <v>4.565697554429266E-3</v>
      </c>
      <c r="L1565" s="1" cm="1">
        <f t="array" ref="L1565">SUMPRODUCT(("TFLGV-ICEdsl"=[2]OUT_TransportEnergyCons!$A$3:$A$1000)*1,("Var_Fin"=[2]OUT_TransportEnergyCons!$B$3:$B$1000)*1,ISNUMBER(SEARCH("dsl",[2]OUT_TransportEnergyCons!$C$3:$C$1000))*1,[2]OUT_TransportEnergyCons!J$3:J$1000)</f>
        <v>1.7043023094321702E-3</v>
      </c>
      <c r="N1565" s="1"/>
    </row>
    <row r="1566" spans="2:14" x14ac:dyDescent="0.35">
      <c r="B1566" t="str">
        <f t="shared" si="1642"/>
        <v>SPS1</v>
      </c>
      <c r="C1566" t="str">
        <f t="shared" si="1643"/>
        <v>CH</v>
      </c>
      <c r="D1566" t="s">
        <v>1553</v>
      </c>
      <c r="E1566" t="str">
        <f t="shared" si="1646"/>
        <v>PJ/yr.</v>
      </c>
      <c r="F1566" s="1" cm="1">
        <f t="array" ref="F1566">SUMPRODUCT(("TFLGV-HYBDSL"=[1]OUT_TransportEnergyCons!$A$3:$A$1000)*1,("Var_Fin"=[1]OUT_TransportEnergyCons!$B$3:$B$1000)*1,ISNUMBER(SEARCH("dsl",[1]OUT_TransportEnergyCons!$C$3:$C$1000))*1,[1]OUT_TransportEnergyCons!D$3:D$1000)</f>
        <v>0</v>
      </c>
      <c r="G1566" s="1" cm="1">
        <f t="array" ref="G1566">SUMPRODUCT(("TFLGV-HYBDSL"=[1]OUT_TransportEnergyCons!$A$3:$A$1000)*1,("Var_Fin"=[1]OUT_TransportEnergyCons!$B$3:$B$1000)*1,ISNUMBER(SEARCH("dsl",[1]OUT_TransportEnergyCons!$C$3:$C$1000))*1,[1]OUT_TransportEnergyCons!E$3:E$1000)</f>
        <v>0.43096652929197987</v>
      </c>
      <c r="H1566" s="1" cm="1">
        <f t="array" ref="H1566">SUMPRODUCT(("TFLGV-HYBDSL"=[1]OUT_TransportEnergyCons!$A$3:$A$1000)*1,("Var_Fin"=[1]OUT_TransportEnergyCons!$B$3:$B$1000)*1,ISNUMBER(SEARCH("dsl",[1]OUT_TransportEnergyCons!$C$3:$C$1000))*1,[1]OUT_TransportEnergyCons!F$3:F$1000)</f>
        <v>1.4313812321397388</v>
      </c>
      <c r="I1566" s="1" cm="1">
        <f t="array" ref="I1566">SUMPRODUCT(("TFLGV-HYBDSL"=[1]OUT_TransportEnergyCons!$A$3:$A$1000)*1,("Var_Fin"=[1]OUT_TransportEnergyCons!$B$3:$B$1000)*1,ISNUMBER(SEARCH("dsl",[1]OUT_TransportEnergyCons!$C$3:$C$1000))*1,[1]OUT_TransportEnergyCons!G$3:G$1000)</f>
        <v>3.7881739789630986</v>
      </c>
      <c r="J1566" s="1" cm="1">
        <f t="array" ref="J1566">SUMPRODUCT(("TFLGV-HYBDSL"=[2]OUT_TransportEnergyCons!$A$3:$A$1000)*1,("Var_Fin"=[2]OUT_TransportEnergyCons!$B$3:$B$1000)*1,ISNUMBER(SEARCH("dsl",[2]OUT_TransportEnergyCons!$C$3:$C$1000))*1,[2]OUT_TransportEnergyCons!H$3:H$1000)</f>
        <v>4.561181438836349</v>
      </c>
      <c r="K1566" s="1" cm="1">
        <f t="array" ref="K1566">SUMPRODUCT(("TFLGV-HYBDSL"=[2]OUT_TransportEnergyCons!$A$3:$A$1000)*1,("Var_Fin"=[2]OUT_TransportEnergyCons!$B$3:$B$1000)*1,ISNUMBER(SEARCH("dsl",[2]OUT_TransportEnergyCons!$C$3:$C$1000))*1,[2]OUT_TransportEnergyCons!I$3:I$1000)</f>
        <v>3.0230522542773737</v>
      </c>
      <c r="L1566" s="1" cm="1">
        <f t="array" ref="L1566">SUMPRODUCT(("TFLGV-HYBDSL"=[2]OUT_TransportEnergyCons!$A$3:$A$1000)*1,("Var_Fin"=[2]OUT_TransportEnergyCons!$B$3:$B$1000)*1,ISNUMBER(SEARCH("dsl",[2]OUT_TransportEnergyCons!$C$3:$C$1000))*1,[2]OUT_TransportEnergyCons!J$3:J$1000)</f>
        <v>3.4217025743548932</v>
      </c>
      <c r="N1566" s="1"/>
    </row>
    <row r="1567" spans="2:14" x14ac:dyDescent="0.35">
      <c r="B1567" t="str">
        <f t="shared" si="1642"/>
        <v>SPS1</v>
      </c>
      <c r="C1567" t="str">
        <f t="shared" si="1643"/>
        <v>CH</v>
      </c>
      <c r="D1567" t="s">
        <v>1554</v>
      </c>
      <c r="E1567" t="str">
        <f t="shared" si="1646"/>
        <v>PJ/yr.</v>
      </c>
      <c r="F1567" s="1">
        <f>F1572</f>
        <v>2.582242498167775E-2</v>
      </c>
      <c r="G1567" s="1">
        <f t="shared" ref="G1567:K1567" si="1658">G1572</f>
        <v>2.2265090063061221E-2</v>
      </c>
      <c r="H1567" s="1">
        <f t="shared" si="1658"/>
        <v>3.1606399438431729E-2</v>
      </c>
      <c r="I1567" s="1">
        <f t="shared" si="1658"/>
        <v>1.1006838154287271E-4</v>
      </c>
      <c r="J1567" s="1">
        <f t="shared" si="1658"/>
        <v>1.4708698164994183E-4</v>
      </c>
      <c r="K1567" s="1">
        <f t="shared" si="1658"/>
        <v>1.4195694066357827E-4</v>
      </c>
      <c r="L1567" s="1">
        <f t="shared" ref="L1567" si="1659">L1572</f>
        <v>1.2288179213596989E-4</v>
      </c>
      <c r="N1567" s="1"/>
    </row>
    <row r="1568" spans="2:14" x14ac:dyDescent="0.35">
      <c r="B1568" t="str">
        <f t="shared" si="1642"/>
        <v>SPS1</v>
      </c>
      <c r="C1568" t="str">
        <f t="shared" si="1643"/>
        <v>CH</v>
      </c>
      <c r="D1568" t="s">
        <v>1555</v>
      </c>
      <c r="E1568" t="str">
        <f t="shared" si="1646"/>
        <v>PJ/yr.</v>
      </c>
      <c r="F1568" s="1">
        <f>IF(F1567-F1569&lt;0,0,F1567-F1569)</f>
        <v>2.3889948018923666E-2</v>
      </c>
      <c r="G1568" s="1">
        <f t="shared" ref="G1568:L1568" si="1660">IF(G1567-G1569&lt;0,0,G1567-G1569)</f>
        <v>2.0079329146872188E-2</v>
      </c>
      <c r="H1568" s="1">
        <f t="shared" si="1660"/>
        <v>2.8705649022613487E-2</v>
      </c>
      <c r="I1568" s="1">
        <f t="shared" si="1660"/>
        <v>1.0576529131737429E-4</v>
      </c>
      <c r="J1568" s="1">
        <f t="shared" si="1660"/>
        <v>0</v>
      </c>
      <c r="K1568" s="1">
        <f t="shared" si="1660"/>
        <v>0</v>
      </c>
      <c r="L1568" s="1">
        <f t="shared" si="1660"/>
        <v>0</v>
      </c>
      <c r="N1568" s="1"/>
    </row>
    <row r="1569" spans="2:14" x14ac:dyDescent="0.35">
      <c r="B1569" t="str">
        <f t="shared" si="1642"/>
        <v>SPS1</v>
      </c>
      <c r="C1569" t="str">
        <f t="shared" si="1643"/>
        <v>CH</v>
      </c>
      <c r="D1569" t="s">
        <v>1556</v>
      </c>
      <c r="E1569" t="str">
        <f t="shared" si="1646"/>
        <v>PJ/yr.</v>
      </c>
      <c r="F1569" s="1">
        <f>SUM(F1570:F1571)</f>
        <v>1.9324769627540853E-3</v>
      </c>
      <c r="G1569" s="1">
        <f t="shared" ref="G1569:K1569" si="1661">SUM(G1570:G1571)</f>
        <v>2.1857609161890345E-3</v>
      </c>
      <c r="H1569" s="1">
        <f t="shared" si="1661"/>
        <v>2.9007504158182402E-3</v>
      </c>
      <c r="I1569" s="1">
        <f t="shared" si="1661"/>
        <v>4.3030902254984272E-6</v>
      </c>
      <c r="J1569" s="1">
        <f t="shared" si="1661"/>
        <v>3.053902177955517E-2</v>
      </c>
      <c r="K1569" s="1">
        <f t="shared" si="1661"/>
        <v>1.8414957591399636E-3</v>
      </c>
      <c r="L1569" s="1">
        <f t="shared" ref="L1569" si="1662">SUM(L1570:L1571)</f>
        <v>1.0671562790664646E-2</v>
      </c>
      <c r="N1569" s="1"/>
    </row>
    <row r="1570" spans="2:14" x14ac:dyDescent="0.35">
      <c r="B1570" t="str">
        <f t="shared" si="1642"/>
        <v>SPS1</v>
      </c>
      <c r="C1570" t="str">
        <f t="shared" si="1643"/>
        <v>CH</v>
      </c>
      <c r="D1570" t="s">
        <v>1557</v>
      </c>
      <c r="E1570" t="str">
        <f t="shared" si="1646"/>
        <v>PJ/yr.</v>
      </c>
      <c r="F1570" s="1">
        <f>[1]Transport!B$27/SUM([1]Transport!B$24,[1]Transport!B$27)*F1567*(F$47+F$614)/(F$47+F$614+F$49)</f>
        <v>1.9324769627540853E-3</v>
      </c>
      <c r="G1570" s="1">
        <f>[1]Transport!C$27/SUM([1]Transport!C$24,[1]Transport!C$27)*G1567*(G$47+G$614)/(G$47+G$614+G$49)</f>
        <v>2.1857609161890345E-3</v>
      </c>
      <c r="H1570" s="1">
        <f>[1]Transport!D$27/SUM([1]Transport!D$24,[1]Transport!D$27)*H1567*(H$47+H$614)/(H$47+H$614+H$49)</f>
        <v>2.9007504158182402E-3</v>
      </c>
      <c r="I1570" s="1">
        <f>[1]Transport!E$27/SUM([1]Transport!E$24,[1]Transport!E$27)*I1567*(I$47+I$614)/(I$47+I$614+I$49)</f>
        <v>4.3030902254984272E-6</v>
      </c>
      <c r="J1570" s="1">
        <f>[2]Transport!F$27/SUM([2]Transport!F$24,[2]Transport!F$27)*J1567*(J$47+J$614)/(J$47+J$614+J$49)</f>
        <v>2.4943495395218379E-5</v>
      </c>
      <c r="K1570" s="1">
        <f>[2]Transport!G$27/SUM([2]Transport!G$24,[2]Transport!G$27)*K1567*(K$47+K$614)/(K$47+K$614+K$49)</f>
        <v>3.1746983469957414E-6</v>
      </c>
      <c r="L1570" s="1">
        <f>[2]Transport!H$27/SUM([2]Transport!H$24,[2]Transport!H$27)*L1567*(L$47+L$614)/(L$47+L$614+L$49)</f>
        <v>2.1067434073829132E-6</v>
      </c>
      <c r="N1570" s="1"/>
    </row>
    <row r="1571" spans="2:14" x14ac:dyDescent="0.35">
      <c r="B1571" t="str">
        <f t="shared" si="1642"/>
        <v>SPS1</v>
      </c>
      <c r="C1571" t="str">
        <f t="shared" si="1643"/>
        <v>CH</v>
      </c>
      <c r="D1571" t="s">
        <v>1558</v>
      </c>
      <c r="E1571" t="str">
        <f t="shared" si="1646"/>
        <v>PJ/yr.</v>
      </c>
      <c r="F1571" s="1">
        <f>(F$49+F$716)/([1]Transport!B$24+[1]Transport!B$27)*F1567</f>
        <v>0</v>
      </c>
      <c r="G1571" s="1">
        <f>(G$49+G$716)/([1]Transport!C$24+[1]Transport!C$27)*G1567</f>
        <v>0</v>
      </c>
      <c r="H1571" s="1">
        <f>(H$49+H$716)/([1]Transport!D$24+[1]Transport!D$27)*H1567</f>
        <v>0</v>
      </c>
      <c r="I1571" s="1">
        <f>(I$49+I$716)/([1]Transport!E$24+[1]Transport!E$27)*I1567</f>
        <v>0</v>
      </c>
      <c r="J1571" s="1">
        <f>(J$49+J$716)/([2]Transport!F$24+[2]Transport!F$27)*J1567</f>
        <v>3.0514078284159953E-2</v>
      </c>
      <c r="K1571" s="1">
        <f>(K$49+K$716)/([2]Transport!G$24+[2]Transport!G$27)*K1567</f>
        <v>1.8383210607929678E-3</v>
      </c>
      <c r="L1571" s="1">
        <f>(L$49+L$716)/([2]Transport!H$24+[2]Transport!H$27)*L1567</f>
        <v>1.0669456047257263E-2</v>
      </c>
      <c r="N1571" s="1"/>
    </row>
    <row r="1572" spans="2:14" x14ac:dyDescent="0.35">
      <c r="B1572" t="str">
        <f t="shared" si="1642"/>
        <v>SPS1</v>
      </c>
      <c r="C1572" t="str">
        <f t="shared" si="1643"/>
        <v>CH</v>
      </c>
      <c r="D1572" t="s">
        <v>1559</v>
      </c>
      <c r="E1572" t="str">
        <f t="shared" si="1646"/>
        <v>PJ/yr.</v>
      </c>
      <c r="F1572" s="1" cm="1">
        <f t="array" ref="F1572">SUMPRODUCT(("TFLGV-ICENGA"=[1]OUT_TransportEnergyCons!$A$3:$A$1000)*1,("Var_Fin"=[1]OUT_TransportEnergyCons!$B$3:$B$1000)*1,ISNUMBER(SEARCH("nga",[1]OUT_TransportEnergyCons!$C$3:$C$1000))*1,[1]OUT_TransportEnergyCons!D$3:D$1000)</f>
        <v>2.582242498167775E-2</v>
      </c>
      <c r="G1572" s="1" cm="1">
        <f t="array" ref="G1572">SUMPRODUCT(("TFLGV-ICENGA"=[1]OUT_TransportEnergyCons!$A$3:$A$1000)*1,("Var_Fin"=[1]OUT_TransportEnergyCons!$B$3:$B$1000)*1,ISNUMBER(SEARCH("nga",[1]OUT_TransportEnergyCons!$C$3:$C$1000))*1,[1]OUT_TransportEnergyCons!E$3:E$1000)</f>
        <v>2.2265090063061221E-2</v>
      </c>
      <c r="H1572" s="1" cm="1">
        <f t="array" ref="H1572">SUMPRODUCT(("TFLGV-ICENGA"=[1]OUT_TransportEnergyCons!$A$3:$A$1000)*1,("Var_Fin"=[1]OUT_TransportEnergyCons!$B$3:$B$1000)*1,ISNUMBER(SEARCH("nga",[1]OUT_TransportEnergyCons!$C$3:$C$1000))*1,[1]OUT_TransportEnergyCons!F$3:F$1000)</f>
        <v>3.1606399438431729E-2</v>
      </c>
      <c r="I1572" s="1" cm="1">
        <f t="array" ref="I1572">SUMPRODUCT(("TFLGV-ICENGA"=[1]OUT_TransportEnergyCons!$A$3:$A$1000)*1,("Var_Fin"=[1]OUT_TransportEnergyCons!$B$3:$B$1000)*1,ISNUMBER(SEARCH("nga",[1]OUT_TransportEnergyCons!$C$3:$C$1000))*1,[1]OUT_TransportEnergyCons!G$3:G$1000)</f>
        <v>1.1006838154287271E-4</v>
      </c>
      <c r="J1572" s="1" cm="1">
        <f t="array" ref="J1572">SUMPRODUCT(("TFLGV-ICENGA"=[2]OUT_TransportEnergyCons!$A$3:$A$1000)*1,("Var_Fin"=[2]OUT_TransportEnergyCons!$B$3:$B$1000)*1,ISNUMBER(SEARCH("nga",[2]OUT_TransportEnergyCons!$C$3:$C$1000))*1,[2]OUT_TransportEnergyCons!H$3:H$1000)</f>
        <v>1.4708698164994183E-4</v>
      </c>
      <c r="K1572" s="1" cm="1">
        <f t="array" ref="K1572">SUMPRODUCT(("TFLGV-ICENGA"=[2]OUT_TransportEnergyCons!$A$3:$A$1000)*1,("Var_Fin"=[2]OUT_TransportEnergyCons!$B$3:$B$1000)*1,ISNUMBER(SEARCH("nga",[2]OUT_TransportEnergyCons!$C$3:$C$1000))*1,[2]OUT_TransportEnergyCons!I$3:I$1000)</f>
        <v>1.4195694066357827E-4</v>
      </c>
      <c r="L1572" s="1" cm="1">
        <f t="array" ref="L1572">SUMPRODUCT(("TFLGV-ICENGA"=[2]OUT_TransportEnergyCons!$A$3:$A$1000)*1,("Var_Fin"=[2]OUT_TransportEnergyCons!$B$3:$B$1000)*1,ISNUMBER(SEARCH("nga",[2]OUT_TransportEnergyCons!$C$3:$C$1000))*1,[2]OUT_TransportEnergyCons!J$3:J$1000)</f>
        <v>1.2288179213596989E-4</v>
      </c>
      <c r="N1572" s="1"/>
    </row>
    <row r="1573" spans="2:14" x14ac:dyDescent="0.35">
      <c r="B1573" s="2" t="str">
        <f t="shared" si="1642"/>
        <v>SPS1</v>
      </c>
      <c r="C1573" s="2" t="str">
        <f t="shared" si="1643"/>
        <v>CH</v>
      </c>
      <c r="D1573" s="2" t="s">
        <v>1560</v>
      </c>
      <c r="E1573" s="2" t="s">
        <v>1517</v>
      </c>
      <c r="F1573" s="3">
        <f>SUM(F1574:F1582)</f>
        <v>4.7786411215635418</v>
      </c>
      <c r="G1573" s="3">
        <f t="shared" ref="G1573:K1573" si="1663">SUM(G1574:G1582)</f>
        <v>4.7700921686757454</v>
      </c>
      <c r="H1573" s="3">
        <f t="shared" si="1663"/>
        <v>4.70767560716655</v>
      </c>
      <c r="I1573" s="3">
        <f t="shared" si="1663"/>
        <v>4.6466638395651536</v>
      </c>
      <c r="J1573" s="3">
        <f t="shared" si="1663"/>
        <v>4.8159323748272413</v>
      </c>
      <c r="K1573" s="3">
        <f t="shared" si="1663"/>
        <v>4.9854661490419634</v>
      </c>
      <c r="L1573" s="3">
        <f t="shared" ref="L1573" si="1664">SUM(L1574:L1582)</f>
        <v>5.401342291736265</v>
      </c>
      <c r="N1573" s="1"/>
    </row>
    <row r="1574" spans="2:14" x14ac:dyDescent="0.35">
      <c r="B1574" t="str">
        <f t="shared" si="1642"/>
        <v>SPS1</v>
      </c>
      <c r="C1574" t="str">
        <f t="shared" si="1643"/>
        <v>CH</v>
      </c>
      <c r="D1574" t="s">
        <v>1561</v>
      </c>
      <c r="E1574" t="s">
        <v>1517</v>
      </c>
      <c r="F1574" s="1" cm="1">
        <f t="array" ref="F1574">SUMPRODUCT(("TFLGV-BeVELCExt"=[1]OUT_TransportEnergyCons!$A$3:$A$1000)*1,("var_fout"=[1]OUT_TransportEnergyCons!$B$3:$B$1000)*1,ISNUMBER(SEARCH("TFLGV",[1]OUT_TransportEnergyCons!$C$3:$C$1000))*1,[1]OUT_TransportEnergyCons!D$3:D$1000)</f>
        <v>2.7954903715017018E-2</v>
      </c>
      <c r="G1574" s="1" cm="1">
        <f t="array" ref="G1574">SUMPRODUCT(("TFLGV-BeVELCExt"=[1]OUT_TransportEnergyCons!$A$3:$A$1000)*1,("var_fout"=[1]OUT_TransportEnergyCons!$B$3:$B$1000)*1,ISNUMBER(SEARCH("TFLGV",[1]OUT_TransportEnergyCons!$C$3:$C$1000))*1,[1]OUT_TransportEnergyCons!E$3:E$1000)</f>
        <v>2.4242832174881618E-2</v>
      </c>
      <c r="H1574" s="1" cm="1">
        <f t="array" ref="H1574">SUMPRODUCT(("TFLGV-BeVELCExt"=[1]OUT_TransportEnergyCons!$A$3:$A$1000)*1,("var_fout"=[1]OUT_TransportEnergyCons!$B$3:$B$1000)*1,ISNUMBER(SEARCH("TFLGV",[1]OUT_TransportEnergyCons!$C$3:$C$1000))*1,[1]OUT_TransportEnergyCons!F$3:F$1000)</f>
        <v>1.8635733440193231E-2</v>
      </c>
      <c r="I1574" s="1" cm="1">
        <f t="array" ref="I1574">SUMPRODUCT(("TFLGV-BeVELCExt"=[1]OUT_TransportEnergyCons!$A$3:$A$1000)*1,("var_fout"=[1]OUT_TransportEnergyCons!$B$3:$B$1000)*1,ISNUMBER(SEARCH("TFLGV",[1]OUT_TransportEnergyCons!$C$3:$C$1000))*1,[1]OUT_TransportEnergyCons!G$3:G$1000)</f>
        <v>9.3158154740924978E-3</v>
      </c>
      <c r="J1574" s="1" cm="1">
        <f t="array" ref="J1574">SUMPRODUCT(("TFLGV-BeVELCExt"=[2]OUT_TransportEnergyCons!$A$3:$A$1000)*1,("var_fout"=[2]OUT_TransportEnergyCons!$B$3:$B$1000)*1,ISNUMBER(SEARCH("TFLGV",[2]OUT_TransportEnergyCons!$C$3:$C$1000))*1,[2]OUT_TransportEnergyCons!H$3:H$1000)</f>
        <v>0</v>
      </c>
      <c r="K1574" s="1" cm="1">
        <f t="array" ref="K1574">SUMPRODUCT(("TFLGV-BeVELCExt"=[2]OUT_TransportEnergyCons!$A$3:$A$1000)*1,("var_fout"=[2]OUT_TransportEnergyCons!$B$3:$B$1000)*1,ISNUMBER(SEARCH("TFLGV",[2]OUT_TransportEnergyCons!$C$3:$C$1000))*1,[2]OUT_TransportEnergyCons!I$3:I$1000)</f>
        <v>0</v>
      </c>
      <c r="L1574" s="1" cm="1">
        <f t="array" ref="L1574">SUMPRODUCT(("TFLGV-BeVELCExt"=[2]OUT_TransportEnergyCons!$A$3:$A$1000)*1,("var_fout"=[2]OUT_TransportEnergyCons!$B$3:$B$1000)*1,ISNUMBER(SEARCH("TFLGV",[2]OUT_TransportEnergyCons!$C$3:$C$1000))*1,[2]OUT_TransportEnergyCons!J$3:J$1000)</f>
        <v>0</v>
      </c>
      <c r="N1574" s="1"/>
    </row>
    <row r="1575" spans="2:14" x14ac:dyDescent="0.35">
      <c r="B1575" t="str">
        <f t="shared" si="1642"/>
        <v>SPS1</v>
      </c>
      <c r="C1575" t="str">
        <f t="shared" si="1643"/>
        <v>CH</v>
      </c>
      <c r="D1575" t="s">
        <v>1562</v>
      </c>
      <c r="E1575" t="s">
        <v>1517</v>
      </c>
      <c r="F1575" s="1" cm="1">
        <f t="array" ref="F1575">SUMPRODUCT(("TFLGV-BEVELC"=[1]OUT_TransportEnergyCons!$A$3:$A$1000)*1,("var_fout"=[1]OUT_TransportEnergyCons!$B$3:$B$1000)*1,ISNUMBER(SEARCH("TFLGV",[1]OUT_TransportEnergyCons!$C$3:$C$1000))*1,[1]OUT_TransportEnergyCons!D$3:D$1000)</f>
        <v>2.4289109601345463E-2</v>
      </c>
      <c r="G1575" s="1" cm="1">
        <f t="array" ref="G1575">SUMPRODUCT(("TFLGV-BEVELC"=[1]OUT_TransportEnergyCons!$A$3:$A$1000)*1,("var_fout"=[1]OUT_TransportEnergyCons!$B$3:$B$1000)*1,ISNUMBER(SEARCH("TFLGV",[1]OUT_TransportEnergyCons!$C$3:$C$1000))*1,[1]OUT_TransportEnergyCons!E$3:E$1000)</f>
        <v>5.3747748967412551E-2</v>
      </c>
      <c r="H1575" s="1" cm="1">
        <f t="array" ref="H1575">SUMPRODUCT(("TFLGV-BEVELC"=[1]OUT_TransportEnergyCons!$A$3:$A$1000)*1,("var_fout"=[1]OUT_TransportEnergyCons!$B$3:$B$1000)*1,ISNUMBER(SEARCH("TFLGV",[1]OUT_TransportEnergyCons!$C$3:$C$1000))*1,[1]OUT_TransportEnergyCons!F$3:F$1000)</f>
        <v>0.21078700198873163</v>
      </c>
      <c r="I1575" s="1" cm="1">
        <f t="array" ref="I1575">SUMPRODUCT(("TFLGV-BEVELC"=[1]OUT_TransportEnergyCons!$A$3:$A$1000)*1,("var_fout"=[1]OUT_TransportEnergyCons!$B$3:$B$1000)*1,ISNUMBER(SEARCH("TFLGV",[1]OUT_TransportEnergyCons!$C$3:$C$1000))*1,[1]OUT_TransportEnergyCons!G$3:G$1000)</f>
        <v>0.85641962116038706</v>
      </c>
      <c r="J1575" s="1" cm="1">
        <f t="array" ref="J1575">SUMPRODUCT(("TFLGV-BEVELC"=[2]OUT_TransportEnergyCons!$A$3:$A$1000)*1,("var_fout"=[2]OUT_TransportEnergyCons!$B$3:$B$1000)*1,ISNUMBER(SEARCH("TFLGV",[2]OUT_TransportEnergyCons!$C$3:$C$1000))*1,[2]OUT_TransportEnergyCons!H$3:H$1000)</f>
        <v>2.0153313436828384</v>
      </c>
      <c r="K1575" s="1" cm="1">
        <f t="array" ref="K1575">SUMPRODUCT(("TFLGV-BEVELC"=[2]OUT_TransportEnergyCons!$A$3:$A$1000)*1,("var_fout"=[2]OUT_TransportEnergyCons!$B$3:$B$1000)*1,ISNUMBER(SEARCH("TFLGV",[2]OUT_TransportEnergyCons!$C$3:$C$1000))*1,[2]OUT_TransportEnergyCons!I$3:I$1000)</f>
        <v>3.1849395091439616</v>
      </c>
      <c r="L1575" s="1" cm="1">
        <f t="array" ref="L1575">SUMPRODUCT(("TFLGV-BEVELC"=[2]OUT_TransportEnergyCons!$A$3:$A$1000)*1,("var_fout"=[2]OUT_TransportEnergyCons!$B$3:$B$1000)*1,ISNUMBER(SEARCH("TFLGV",[2]OUT_TransportEnergyCons!$C$3:$C$1000))*1,[2]OUT_TransportEnergyCons!J$3:J$1000)</f>
        <v>3.4152817764808563</v>
      </c>
      <c r="N1575" s="1"/>
    </row>
    <row r="1576" spans="2:14" x14ac:dyDescent="0.35">
      <c r="B1576" t="str">
        <f t="shared" si="1642"/>
        <v>SPS1</v>
      </c>
      <c r="C1576" t="str">
        <f t="shared" si="1643"/>
        <v>CH</v>
      </c>
      <c r="D1576" t="s">
        <v>1563</v>
      </c>
      <c r="E1576" t="s">
        <v>1517</v>
      </c>
      <c r="F1576" s="1" cm="1">
        <f t="array" ref="F1576">SUMPRODUCT(("TFLGV-FCLH2O"=[1]OUT_TransportEnergyCons!$A$3:$A$1000)*1,("var_fout"=[1]OUT_TransportEnergyCons!$B$3:$B$1000)*1,ISNUMBER(SEARCH("TFLGV",[1]OUT_TransportEnergyCons!$C$3:$C$1000))*1,[1]OUT_TransportEnergyCons!D$3:D$1000)</f>
        <v>0</v>
      </c>
      <c r="G1576" s="1" cm="1">
        <f t="array" ref="G1576">SUMPRODUCT(("TFLGV-FCLH2O"=[1]OUT_TransportEnergyCons!$A$3:$A$1000)*1,("var_fout"=[1]OUT_TransportEnergyCons!$B$3:$B$1000)*1,ISNUMBER(SEARCH("TFLGV",[1]OUT_TransportEnergyCons!$C$3:$C$1000))*1,[1]OUT_TransportEnergyCons!E$3:E$1000)</f>
        <v>5.0670216466196816E-6</v>
      </c>
      <c r="H1576" s="1" cm="1">
        <f t="array" ref="H1576">SUMPRODUCT(("TFLGV-FCLH2O"=[1]OUT_TransportEnergyCons!$A$3:$A$1000)*1,("var_fout"=[1]OUT_TransportEnergyCons!$B$3:$B$1000)*1,ISNUMBER(SEARCH("TFLGV",[1]OUT_TransportEnergyCons!$C$3:$C$1000))*1,[1]OUT_TransportEnergyCons!F$3:F$1000)</f>
        <v>8.5079154209976734E-6</v>
      </c>
      <c r="I1576" s="1" cm="1">
        <f t="array" ref="I1576">SUMPRODUCT(("TFLGV-FCLH2O"=[1]OUT_TransportEnergyCons!$A$3:$A$1000)*1,("var_fout"=[1]OUT_TransportEnergyCons!$B$3:$B$1000)*1,ISNUMBER(SEARCH("TFLGV",[1]OUT_TransportEnergyCons!$C$3:$C$1000))*1,[1]OUT_TransportEnergyCons!G$3:G$1000)</f>
        <v>4.0056452760387024E-6</v>
      </c>
      <c r="J1576" s="1" cm="1">
        <f t="array" ref="J1576">SUMPRODUCT(("TFLGV-FCLH2O"=[2]OUT_TransportEnergyCons!$A$3:$A$1000)*1,("var_fout"=[2]OUT_TransportEnergyCons!$B$3:$B$1000)*1,ISNUMBER(SEARCH("TFLGV",[2]OUT_TransportEnergyCons!$C$3:$C$1000))*1,[2]OUT_TransportEnergyCons!H$3:H$1000)</f>
        <v>3.7997600999935165E-6</v>
      </c>
      <c r="K1576" s="1" cm="1">
        <f t="array" ref="K1576">SUMPRODUCT(("TFLGV-FCLH2O"=[2]OUT_TransportEnergyCons!$A$3:$A$1000)*1,("var_fout"=[2]OUT_TransportEnergyCons!$B$3:$B$1000)*1,ISNUMBER(SEARCH("TFLGV",[2]OUT_TransportEnergyCons!$C$3:$C$1000))*1,[2]OUT_TransportEnergyCons!I$3:I$1000)</f>
        <v>3.1908620112945E-6</v>
      </c>
      <c r="L1576" s="1" cm="1">
        <f t="array" ref="L1576">SUMPRODUCT(("TFLGV-FCLH2O"=[2]OUT_TransportEnergyCons!$A$3:$A$1000)*1,("var_fout"=[2]OUT_TransportEnergyCons!$B$3:$B$1000)*1,ISNUMBER(SEARCH("TFLGV",[2]OUT_TransportEnergyCons!$C$3:$C$1000))*1,[2]OUT_TransportEnergyCons!J$3:J$1000)</f>
        <v>3.0529112697936298E-6</v>
      </c>
      <c r="N1576" s="1"/>
    </row>
    <row r="1577" spans="2:14" x14ac:dyDescent="0.35">
      <c r="B1577" t="str">
        <f t="shared" si="1642"/>
        <v>SPS1</v>
      </c>
      <c r="C1577" t="str">
        <f t="shared" si="1643"/>
        <v>CH</v>
      </c>
      <c r="D1577" t="s">
        <v>1589</v>
      </c>
      <c r="E1577" t="s">
        <v>1517</v>
      </c>
      <c r="F1577" s="1" cm="1">
        <f t="array" ref="F1577">SUMPRODUCT(("TFLGV-ICEGSLExt"=[1]OUT_TransportEnergyCons!$A$3:$A$1000)*1,("var_fout"=[1]OUT_TransportEnergyCons!$B$3:$B$1000)*1,ISNUMBER(SEARCH("TFLGV",[1]OUT_TransportEnergyCons!$C$3:$C$1000))*1,[1]OUT_TransportEnergyCons!D$3:D$1000)</f>
        <v>0.23091102158820134</v>
      </c>
      <c r="G1577" s="1" cm="1">
        <f t="array" ref="G1577">SUMPRODUCT(("TFLGV-ICEGSLExt"=[1]OUT_TransportEnergyCons!$A$3:$A$1000)*1,("var_fout"=[1]OUT_TransportEnergyCons!$B$3:$B$1000)*1,ISNUMBER(SEARCH("TFLGV",[1]OUT_TransportEnergyCons!$C$3:$C$1000))*1,[1]OUT_TransportEnergyCons!E$3:E$1000)</f>
        <v>0.49457060796828495</v>
      </c>
      <c r="H1577" s="1" cm="1">
        <f t="array" ref="H1577">SUMPRODUCT(("TFLGV-ICEGSLExt"=[1]OUT_TransportEnergyCons!$A$3:$A$1000)*1,("var_fout"=[1]OUT_TransportEnergyCons!$B$3:$B$1000)*1,ISNUMBER(SEARCH("TFLGV",[1]OUT_TransportEnergyCons!$C$3:$C$1000))*1,[1]OUT_TransportEnergyCons!F$3:F$1000)</f>
        <v>0.15390719332447755</v>
      </c>
      <c r="I1577" s="1" cm="1">
        <f t="array" ref="I1577">SUMPRODUCT(("TFLGV-ICEGSLExt"=[1]OUT_TransportEnergyCons!$A$3:$A$1000)*1,("var_fout"=[1]OUT_TransportEnergyCons!$B$3:$B$1000)*1,ISNUMBER(SEARCH("TFLGV",[1]OUT_TransportEnergyCons!$C$3:$C$1000))*1,[1]OUT_TransportEnergyCons!G$3:G$1000)</f>
        <v>7.6937791289705681E-2</v>
      </c>
      <c r="J1577" s="1" cm="1">
        <f t="array" ref="J1577">SUMPRODUCT(("TFLGV-ICEGSLExt"=[2]OUT_TransportEnergyCons!$A$3:$A$1000)*1,("var_fout"=[2]OUT_TransportEnergyCons!$B$3:$B$1000)*1,ISNUMBER(SEARCH("TFLGV",[2]OUT_TransportEnergyCons!$C$3:$C$1000))*1,[2]OUT_TransportEnergyCons!H$3:H$1000)</f>
        <v>0</v>
      </c>
      <c r="K1577" s="1" cm="1">
        <f t="array" ref="K1577">SUMPRODUCT(("TFLGV-ICEGSLExt"=[2]OUT_TransportEnergyCons!$A$3:$A$1000)*1,("var_fout"=[2]OUT_TransportEnergyCons!$B$3:$B$1000)*1,ISNUMBER(SEARCH("TFLGV",[2]OUT_TransportEnergyCons!$C$3:$C$1000))*1,[2]OUT_TransportEnergyCons!I$3:I$1000)</f>
        <v>0</v>
      </c>
      <c r="L1577" s="1" cm="1">
        <f t="array" ref="L1577">SUMPRODUCT(("TFLGV-ICEGSLExt"=[2]OUT_TransportEnergyCons!$A$3:$A$1000)*1,("var_fout"=[2]OUT_TransportEnergyCons!$B$3:$B$1000)*1,ISNUMBER(SEARCH("TFLGV",[2]OUT_TransportEnergyCons!$C$3:$C$1000))*1,[2]OUT_TransportEnergyCons!J$3:J$1000)</f>
        <v>0</v>
      </c>
      <c r="N1577" s="1"/>
    </row>
    <row r="1578" spans="2:14" x14ac:dyDescent="0.35">
      <c r="B1578" t="str">
        <f t="shared" si="1642"/>
        <v>SPS1</v>
      </c>
      <c r="C1578" t="str">
        <f t="shared" si="1643"/>
        <v>CH</v>
      </c>
      <c r="D1578" t="s">
        <v>1590</v>
      </c>
      <c r="E1578" t="s">
        <v>1517</v>
      </c>
      <c r="F1578" s="1" cm="1">
        <f t="array" ref="F1578">SUMPRODUCT(("TFLGV-ICEGSL"=[1]OUT_TransportEnergyCons!$A$3:$A$1000)*1,("var_fout"=[1]OUT_TransportEnergyCons!$B$3:$B$1000)*1,ISNUMBER(SEARCH("TFLGV",[1]OUT_TransportEnergyCons!$C$3:$C$1000))*1,[1]OUT_TransportEnergyCons!D$3:D$1000)</f>
        <v>0.17691355331768635</v>
      </c>
      <c r="G1578" s="1" cm="1">
        <f t="array" ref="G1578">SUMPRODUCT(("TFLGV-ICEGSL"=[1]OUT_TransportEnergyCons!$A$3:$A$1000)*1,("var_fout"=[1]OUT_TransportEnergyCons!$B$3:$B$1000)*1,ISNUMBER(SEARCH("TFLGV",[1]OUT_TransportEnergyCons!$C$3:$C$1000))*1,[1]OUT_TransportEnergyCons!E$3:E$1000)</f>
        <v>0.20306471698252013</v>
      </c>
      <c r="H1578" s="1" cm="1">
        <f t="array" ref="H1578">SUMPRODUCT(("TFLGV-ICEGSL"=[1]OUT_TransportEnergyCons!$A$3:$A$1000)*1,("var_fout"=[1]OUT_TransportEnergyCons!$B$3:$B$1000)*1,ISNUMBER(SEARCH("TFLGV",[1]OUT_TransportEnergyCons!$C$3:$C$1000))*1,[1]OUT_TransportEnergyCons!F$3:F$1000)</f>
        <v>0.32642424722334512</v>
      </c>
      <c r="I1578" s="1" cm="1">
        <f t="array" ref="I1578">SUMPRODUCT(("TFLGV-ICEGSL"=[1]OUT_TransportEnergyCons!$A$3:$A$1000)*1,("var_fout"=[1]OUT_TransportEnergyCons!$B$3:$B$1000)*1,ISNUMBER(SEARCH("TFLGV",[1]OUT_TransportEnergyCons!$C$3:$C$1000))*1,[1]OUT_TransportEnergyCons!G$3:G$1000)</f>
        <v>0.47889610757830181</v>
      </c>
      <c r="J1578" s="1" cm="1">
        <f t="array" ref="J1578">SUMPRODUCT(("TFLGV-ICEGSL"=[2]OUT_TransportEnergyCons!$A$3:$A$1000)*1,("var_fout"=[2]OUT_TransportEnergyCons!$B$3:$B$1000)*1,ISNUMBER(SEARCH("TFLGV",[2]OUT_TransportEnergyCons!$C$3:$C$1000))*1,[2]OUT_TransportEnergyCons!H$3:H$1000)</f>
        <v>0.69678246151379308</v>
      </c>
      <c r="K1578" s="1" cm="1">
        <f t="array" ref="K1578">SUMPRODUCT(("TFLGV-ICEGSL"=[2]OUT_TransportEnergyCons!$A$3:$A$1000)*1,("var_fout"=[2]OUT_TransportEnergyCons!$B$3:$B$1000)*1,ISNUMBER(SEARCH("TFLGV",[2]OUT_TransportEnergyCons!$C$3:$C$1000))*1,[2]OUT_TransportEnergyCons!I$3:I$1000)</f>
        <v>0.40599143987083203</v>
      </c>
      <c r="L1578" s="1" cm="1">
        <f t="array" ref="L1578">SUMPRODUCT(("TFLGV-ICEGSL"=[2]OUT_TransportEnergyCons!$A$3:$A$1000)*1,("var_fout"=[2]OUT_TransportEnergyCons!$B$3:$B$1000)*1,ISNUMBER(SEARCH("TFLGV",[2]OUT_TransportEnergyCons!$C$3:$C$1000))*1,[2]OUT_TransportEnergyCons!J$3:J$1000)</f>
        <v>0.40882534478358323</v>
      </c>
      <c r="N1578" s="1"/>
    </row>
    <row r="1579" spans="2:14" x14ac:dyDescent="0.35">
      <c r="B1579" t="str">
        <f t="shared" si="1642"/>
        <v>SPS1</v>
      </c>
      <c r="C1579" t="str">
        <f t="shared" si="1643"/>
        <v>CH</v>
      </c>
      <c r="D1579" t="s">
        <v>1564</v>
      </c>
      <c r="E1579" t="s">
        <v>1517</v>
      </c>
      <c r="F1579" s="1" cm="1">
        <f t="array" ref="F1579">SUMPRODUCT(("TFLGV-ICEdslExt"=[1]OUT_TransportEnergyCons!$A$3:$A$1000)*1,("var_fout"=[1]OUT_TransportEnergyCons!$B$3:$B$1000)*1,ISNUMBER(SEARCH("TFLGV",[1]OUT_TransportEnergyCons!$C$3:$C$1000))*1,[1]OUT_TransportEnergyCons!D$3:D$1000)</f>
        <v>2.7876245893642211</v>
      </c>
      <c r="G1579" s="1" cm="1">
        <f t="array" ref="G1579">SUMPRODUCT(("TFLGV-ICEdslExt"=[1]OUT_TransportEnergyCons!$A$3:$A$1000)*1,("var_fout"=[1]OUT_TransportEnergyCons!$B$3:$B$1000)*1,ISNUMBER(SEARCH("TFLGV",[1]OUT_TransportEnergyCons!$C$3:$C$1000))*1,[1]OUT_TransportEnergyCons!E$3:E$1000)</f>
        <v>1.9931353152584688</v>
      </c>
      <c r="H1579" s="1" cm="1">
        <f t="array" ref="H1579">SUMPRODUCT(("TFLGV-ICEdslExt"=[1]OUT_TransportEnergyCons!$A$3:$A$1000)*1,("var_fout"=[1]OUT_TransportEnergyCons!$B$3:$B$1000)*1,ISNUMBER(SEARCH("TFLGV",[1]OUT_TransportEnergyCons!$C$3:$C$1000))*1,[1]OUT_TransportEnergyCons!F$3:F$1000)</f>
        <v>1.5332540467008777</v>
      </c>
      <c r="I1579" s="1" cm="1">
        <f t="array" ref="I1579">SUMPRODUCT(("TFLGV-ICEdslExt"=[1]OUT_TransportEnergyCons!$A$3:$A$1000)*1,("var_fout"=[1]OUT_TransportEnergyCons!$B$3:$B$1000)*1,ISNUMBER(SEARCH("TFLGV",[1]OUT_TransportEnergyCons!$C$3:$C$1000))*1,[1]OUT_TransportEnergyCons!G$3:G$1000)</f>
        <v>0.76660132278368742</v>
      </c>
      <c r="J1579" s="1" cm="1">
        <f t="array" ref="J1579">SUMPRODUCT(("TFLGV-ICEdslExt"=[2]OUT_TransportEnergyCons!$A$3:$A$1000)*1,("var_fout"=[2]OUT_TransportEnergyCons!$B$3:$B$1000)*1,ISNUMBER(SEARCH("TFLGV",[2]OUT_TransportEnergyCons!$C$3:$C$1000))*1,[2]OUT_TransportEnergyCons!H$3:H$1000)</f>
        <v>0</v>
      </c>
      <c r="K1579" s="1" cm="1">
        <f t="array" ref="K1579">SUMPRODUCT(("TFLGV-ICEdslExt"=[2]OUT_TransportEnergyCons!$A$3:$A$1000)*1,("var_fout"=[2]OUT_TransportEnergyCons!$B$3:$B$1000)*1,ISNUMBER(SEARCH("TFLGV",[2]OUT_TransportEnergyCons!$C$3:$C$1000))*1,[2]OUT_TransportEnergyCons!I$3:I$1000)</f>
        <v>0</v>
      </c>
      <c r="L1579" s="1" cm="1">
        <f t="array" ref="L1579">SUMPRODUCT(("TFLGV-ICEdslExt"=[2]OUT_TransportEnergyCons!$A$3:$A$1000)*1,("var_fout"=[2]OUT_TransportEnergyCons!$B$3:$B$1000)*1,ISNUMBER(SEARCH("TFLGV",[2]OUT_TransportEnergyCons!$C$3:$C$1000))*1,[2]OUT_TransportEnergyCons!J$3:J$1000)</f>
        <v>0</v>
      </c>
      <c r="N1579" s="1"/>
    </row>
    <row r="1580" spans="2:14" x14ac:dyDescent="0.35">
      <c r="B1580" t="str">
        <f t="shared" si="1642"/>
        <v>SPS1</v>
      </c>
      <c r="C1580" t="str">
        <f t="shared" si="1643"/>
        <v>CH</v>
      </c>
      <c r="D1580" t="s">
        <v>1565</v>
      </c>
      <c r="E1580" t="s">
        <v>1517</v>
      </c>
      <c r="F1580" s="1" cm="1">
        <f t="array" ref="F1580">SUMPRODUCT(("TFLGV-ICEdsl"=[1]OUT_TransportEnergyCons!$A$3:$A$1000)*1,("var_fout"=[1]OUT_TransportEnergyCons!$B$3:$B$1000)*1,ISNUMBER(SEARCH("TFLGV",[1]OUT_TransportEnergyCons!$C$3:$C$1000))*1,[1]OUT_TransportEnergyCons!D$3:D$1000)</f>
        <v>1.522669870317519</v>
      </c>
      <c r="G1580" s="1" cm="1">
        <f t="array" ref="G1580">SUMPRODUCT(("TFLGV-ICEdsl"=[1]OUT_TransportEnergyCons!$A$3:$A$1000)*1,("var_fout"=[1]OUT_TransportEnergyCons!$B$3:$B$1000)*1,ISNUMBER(SEARCH("TFLGV",[1]OUT_TransportEnergyCons!$C$3:$C$1000))*1,[1]OUT_TransportEnergyCons!E$3:E$1000)</f>
        <v>1.7956127959279604</v>
      </c>
      <c r="H1580" s="1" cm="1">
        <f t="array" ref="H1580">SUMPRODUCT(("TFLGV-ICEdsl"=[1]OUT_TransportEnergyCons!$A$3:$A$1000)*1,("var_fout"=[1]OUT_TransportEnergyCons!$B$3:$B$1000)*1,ISNUMBER(SEARCH("TFLGV",[1]OUT_TransportEnergyCons!$C$3:$C$1000))*1,[1]OUT_TransportEnergyCons!F$3:F$1000)</f>
        <v>1.794992509661822</v>
      </c>
      <c r="I1580" s="1" cm="1">
        <f t="array" ref="I1580">SUMPRODUCT(("TFLGV-ICEdsl"=[1]OUT_TransportEnergyCons!$A$3:$A$1000)*1,("var_fout"=[1]OUT_TransportEnergyCons!$B$3:$B$1000)*1,ISNUMBER(SEARCH("TFLGV",[1]OUT_TransportEnergyCons!$C$3:$C$1000))*1,[1]OUT_TransportEnergyCons!G$3:G$1000)</f>
        <v>0.71298608543716868</v>
      </c>
      <c r="J1580" s="1" cm="1">
        <f t="array" ref="J1580">SUMPRODUCT(("TFLGV-ICEdsl"=[2]OUT_TransportEnergyCons!$A$3:$A$1000)*1,("var_fout"=[2]OUT_TransportEnergyCons!$B$3:$B$1000)*1,ISNUMBER(SEARCH("TFLGV",[2]OUT_TransportEnergyCons!$C$3:$C$1000))*1,[2]OUT_TransportEnergyCons!H$3:H$1000)</f>
        <v>2.1230259813034024E-3</v>
      </c>
      <c r="K1580" s="1" cm="1">
        <f t="array" ref="K1580">SUMPRODUCT(("TFLGV-ICEdsl"=[2]OUT_TransportEnergyCons!$A$3:$A$1000)*1,("var_fout"=[2]OUT_TransportEnergyCons!$B$3:$B$1000)*1,ISNUMBER(SEARCH("TFLGV",[2]OUT_TransportEnergyCons!$C$3:$C$1000))*1,[2]OUT_TransportEnergyCons!I$3:I$1000)</f>
        <v>1.5619913973091042E-3</v>
      </c>
      <c r="L1580" s="1" cm="1">
        <f t="array" ref="L1580">SUMPRODUCT(("TFLGV-ICEdsl"=[2]OUT_TransportEnergyCons!$A$3:$A$1000)*1,("var_fout"=[2]OUT_TransportEnergyCons!$B$3:$B$1000)*1,ISNUMBER(SEARCH("TFLGV",[2]OUT_TransportEnergyCons!$C$3:$C$1000))*1,[2]OUT_TransportEnergyCons!J$3:J$1000)</f>
        <v>5.8306655533162295E-4</v>
      </c>
      <c r="N1580" s="1"/>
    </row>
    <row r="1581" spans="2:14" x14ac:dyDescent="0.35">
      <c r="B1581" t="str">
        <f t="shared" si="1642"/>
        <v>SPS1</v>
      </c>
      <c r="C1581" t="str">
        <f t="shared" si="1643"/>
        <v>CH</v>
      </c>
      <c r="D1581" t="s">
        <v>1566</v>
      </c>
      <c r="E1581" t="s">
        <v>1517</v>
      </c>
      <c r="F1581" s="1" cm="1">
        <f t="array" ref="F1581">SUMPRODUCT(("TFLGV-HYBDSL"=[1]OUT_TransportEnergyCons!$A$3:$A$1000)*1,("var_fout"=[1]OUT_TransportEnergyCons!$B$3:$B$1000)*1,ISNUMBER(SEARCH("TFLGV",[1]OUT_TransportEnergyCons!$C$3:$C$1000))*1,[1]OUT_TransportEnergyCons!D$3:D$1000)</f>
        <v>0</v>
      </c>
      <c r="G1581" s="1" cm="1">
        <f t="array" ref="G1581">SUMPRODUCT(("TFLGV-HYBDSL"=[1]OUT_TransportEnergyCons!$A$3:$A$1000)*1,("var_fout"=[1]OUT_TransportEnergyCons!$B$3:$B$1000)*1,ISNUMBER(SEARCH("TFLGV",[1]OUT_TransportEnergyCons!$C$3:$C$1000))*1,[1]OUT_TransportEnergyCons!E$3:E$1000)</f>
        <v>0.1985754102130862</v>
      </c>
      <c r="H1581" s="1" cm="1">
        <f t="array" ref="H1581">SUMPRODUCT(("TFLGV-HYBDSL"=[1]OUT_TransportEnergyCons!$A$3:$A$1000)*1,("var_fout"=[1]OUT_TransportEnergyCons!$B$3:$B$1000)*1,ISNUMBER(SEARCH("TFLGV",[1]OUT_TransportEnergyCons!$C$3:$C$1000))*1,[1]OUT_TransportEnergyCons!F$3:F$1000)</f>
        <v>0.65953408449242001</v>
      </c>
      <c r="I1581" s="1" cm="1">
        <f t="array" ref="I1581">SUMPRODUCT(("TFLGV-HYBDSL"=[1]OUT_TransportEnergyCons!$A$3:$A$1000)*1,("var_fout"=[1]OUT_TransportEnergyCons!$B$3:$B$1000)*1,ISNUMBER(SEARCH("TFLGV",[1]OUT_TransportEnergyCons!$C$3:$C$1000))*1,[1]OUT_TransportEnergyCons!G$3:G$1000)</f>
        <v>1.7454678048129719</v>
      </c>
      <c r="J1581" s="1" cm="1">
        <f t="array" ref="J1581">SUMPRODUCT(("TFLGV-HYBDSL"=[2]OUT_TransportEnergyCons!$A$3:$A$1000)*1,("var_fout"=[2]OUT_TransportEnergyCons!$B$3:$B$1000)*1,ISNUMBER(SEARCH("TFLGV",[2]OUT_TransportEnergyCons!$C$3:$C$1000))*1,[2]OUT_TransportEnergyCons!H$3:H$1000)</f>
        <v>2.1016445911965635</v>
      </c>
      <c r="K1581" s="1" cm="1">
        <f t="array" ref="K1581">SUMPRODUCT(("TFLGV-HYBDSL"=[2]OUT_TransportEnergyCons!$A$3:$A$1000)*1,("var_fout"=[2]OUT_TransportEnergyCons!$B$3:$B$1000)*1,ISNUMBER(SEARCH("TFLGV",[2]OUT_TransportEnergyCons!$C$3:$C$1000))*1,[2]OUT_TransportEnergyCons!I$3:I$1000)</f>
        <v>1.3929245096479832</v>
      </c>
      <c r="L1581" s="1" cm="1">
        <f t="array" ref="L1581">SUMPRODUCT(("TFLGV-HYBDSL"=[2]OUT_TransportEnergyCons!$A$3:$A$1000)*1,("var_fout"=[2]OUT_TransportEnergyCons!$B$3:$B$1000)*1,ISNUMBER(SEARCH("TFLGV",[2]OUT_TransportEnergyCons!$C$3:$C$1000))*1,[2]OUT_TransportEnergyCons!J$3:J$1000)</f>
        <v>1.576609657937863</v>
      </c>
      <c r="N1581" s="1"/>
    </row>
    <row r="1582" spans="2:14" x14ac:dyDescent="0.35">
      <c r="B1582" t="str">
        <f t="shared" si="1642"/>
        <v>SPS1</v>
      </c>
      <c r="C1582" t="str">
        <f t="shared" si="1643"/>
        <v>CH</v>
      </c>
      <c r="D1582" t="s">
        <v>1567</v>
      </c>
      <c r="E1582" t="s">
        <v>1517</v>
      </c>
      <c r="F1582" s="1" cm="1">
        <f t="array" ref="F1582">SUMPRODUCT(("TFLGV-ICENGA"=[1]OUT_TransportEnergyCons!$A$3:$A$1000)*1,("var_fout"=[1]OUT_TransportEnergyCons!$B$3:$B$1000)*1,ISNUMBER(SEARCH("TFLGV",[1]OUT_TransportEnergyCons!$C$3:$C$1000))*1,[1]OUT_TransportEnergyCons!D$3:D$1000)</f>
        <v>8.2780736595516862E-3</v>
      </c>
      <c r="G1582" s="1" cm="1">
        <f t="array" ref="G1582">SUMPRODUCT(("TFLGV-ICENGA"=[1]OUT_TransportEnergyCons!$A$3:$A$1000)*1,("var_fout"=[1]OUT_TransportEnergyCons!$B$3:$B$1000)*1,ISNUMBER(SEARCH("TFLGV",[1]OUT_TransportEnergyCons!$C$3:$C$1000))*1,[1]OUT_TransportEnergyCons!E$3:E$1000)</f>
        <v>7.1376741614837137E-3</v>
      </c>
      <c r="H1582" s="1" cm="1">
        <f t="array" ref="H1582">SUMPRODUCT(("TFLGV-ICENGA"=[1]OUT_TransportEnergyCons!$A$3:$A$1000)*1,("var_fout"=[1]OUT_TransportEnergyCons!$B$3:$B$1000)*1,ISNUMBER(SEARCH("TFLGV",[1]OUT_TransportEnergyCons!$C$3:$C$1000))*1,[1]OUT_TransportEnergyCons!F$3:F$1000)</f>
        <v>1.0132282419261446E-2</v>
      </c>
      <c r="I1582" s="1" cm="1">
        <f t="array" ref="I1582">SUMPRODUCT(("TFLGV-ICENGA"=[1]OUT_TransportEnergyCons!$A$3:$A$1000)*1,("var_fout"=[1]OUT_TransportEnergyCons!$B$3:$B$1000)*1,ISNUMBER(SEARCH("TFLGV",[1]OUT_TransportEnergyCons!$C$3:$C$1000))*1,[1]OUT_TransportEnergyCons!G$3:G$1000)</f>
        <v>3.5285383562777214E-5</v>
      </c>
      <c r="J1582" s="1" cm="1">
        <f t="array" ref="J1582">SUMPRODUCT(("TFLGV-ICENGA"=[2]OUT_TransportEnergyCons!$A$3:$A$1000)*1,("var_fout"=[2]OUT_TransportEnergyCons!$B$3:$B$1000)*1,ISNUMBER(SEARCH("TFLGV",[2]OUT_TransportEnergyCons!$C$3:$C$1000))*1,[2]OUT_TransportEnergyCons!H$3:H$1000)</f>
        <v>4.7152692643053039E-5</v>
      </c>
      <c r="K1582" s="1" cm="1">
        <f t="array" ref="K1582">SUMPRODUCT(("TFLGV-ICENGA"=[2]OUT_TransportEnergyCons!$A$3:$A$1000)*1,("var_fout"=[2]OUT_TransportEnergyCons!$B$3:$B$1000)*1,ISNUMBER(SEARCH("TFLGV",[2]OUT_TransportEnergyCons!$C$3:$C$1000))*1,[2]OUT_TransportEnergyCons!I$3:I$1000)</f>
        <v>4.550811986602814E-5</v>
      </c>
      <c r="L1582" s="1" cm="1">
        <f t="array" ref="L1582">SUMPRODUCT(("TFLGV-ICENGA"=[2]OUT_TransportEnergyCons!$A$3:$A$1000)*1,("var_fout"=[2]OUT_TransportEnergyCons!$B$3:$B$1000)*1,ISNUMBER(SEARCH("TFLGV",[2]OUT_TransportEnergyCons!$C$3:$C$1000))*1,[2]OUT_TransportEnergyCons!J$3:J$1000)</f>
        <v>3.9393067360677692E-5</v>
      </c>
      <c r="N1582" s="1"/>
    </row>
    <row r="1583" spans="2:14" x14ac:dyDescent="0.35">
      <c r="B1583" s="2" t="str">
        <f t="shared" si="1642"/>
        <v>SPS1</v>
      </c>
      <c r="C1583" s="2" t="str">
        <f t="shared" si="1643"/>
        <v>CH</v>
      </c>
      <c r="D1583" s="2" t="s">
        <v>1568</v>
      </c>
      <c r="E1583" s="2" t="s">
        <v>1576</v>
      </c>
      <c r="F1583" s="24" t="s">
        <v>292</v>
      </c>
      <c r="G1583" s="24" t="s">
        <v>292</v>
      </c>
      <c r="H1583" s="24" t="s">
        <v>292</v>
      </c>
      <c r="I1583" s="24" t="s">
        <v>292</v>
      </c>
      <c r="J1583" s="24" t="s">
        <v>292</v>
      </c>
      <c r="K1583" s="24" t="s">
        <v>292</v>
      </c>
      <c r="L1583" s="24" t="s">
        <v>292</v>
      </c>
      <c r="N1583" s="1"/>
    </row>
    <row r="1584" spans="2:14" x14ac:dyDescent="0.35">
      <c r="B1584" t="str">
        <f t="shared" si="1642"/>
        <v>SPS1</v>
      </c>
      <c r="C1584" t="str">
        <f t="shared" si="1643"/>
        <v>CH</v>
      </c>
      <c r="D1584" t="s">
        <v>1569</v>
      </c>
      <c r="E1584" t="s">
        <v>1576</v>
      </c>
      <c r="F1584" s="1">
        <f>IFERROR(F1574/F1548,"-")</f>
        <v>0.68922285337539602</v>
      </c>
      <c r="G1584" s="1">
        <f t="shared" ref="G1584:K1584" si="1665">IFERROR(G1574/G1548,"-")</f>
        <v>0.6956464313045051</v>
      </c>
      <c r="H1584" s="1">
        <f t="shared" si="1665"/>
        <v>0.70528179819817083</v>
      </c>
      <c r="I1584" s="1">
        <f t="shared" si="1665"/>
        <v>0.70528179819816994</v>
      </c>
      <c r="J1584" s="1" t="str">
        <f t="shared" si="1665"/>
        <v>-</v>
      </c>
      <c r="K1584" s="1" t="str">
        <f t="shared" si="1665"/>
        <v>-</v>
      </c>
      <c r="L1584" s="1" t="str">
        <f t="shared" ref="L1584" si="1666">IFERROR(L1574/L1548,"-")</f>
        <v>-</v>
      </c>
      <c r="N1584" s="1"/>
    </row>
    <row r="1585" spans="2:14" x14ac:dyDescent="0.35">
      <c r="B1585" t="str">
        <f t="shared" si="1642"/>
        <v>SPS1</v>
      </c>
      <c r="C1585" t="str">
        <f t="shared" si="1643"/>
        <v>CH</v>
      </c>
      <c r="D1585" t="s">
        <v>1570</v>
      </c>
      <c r="E1585" t="s">
        <v>1576</v>
      </c>
      <c r="F1585" s="1">
        <f>IFERROR(F1575/F1549,"-")</f>
        <v>0.68135756995377339</v>
      </c>
      <c r="G1585" s="1">
        <f t="shared" ref="G1585:K1585" si="1667">IFERROR(G1575/G1549,"-")</f>
        <v>0.68135756995377239</v>
      </c>
      <c r="H1585" s="1">
        <f t="shared" si="1667"/>
        <v>0.68135756995377217</v>
      </c>
      <c r="I1585" s="1">
        <f t="shared" si="1667"/>
        <v>0.68135756995377295</v>
      </c>
      <c r="J1585" s="1">
        <f t="shared" si="1667"/>
        <v>0.68135756995377339</v>
      </c>
      <c r="K1585" s="1">
        <f t="shared" si="1667"/>
        <v>0.68135756995377261</v>
      </c>
      <c r="L1585" s="1">
        <f t="shared" ref="L1585" si="1668">IFERROR(L1575/L1549,"-")</f>
        <v>0.68135756995377317</v>
      </c>
      <c r="N1585" s="1"/>
    </row>
    <row r="1586" spans="2:14" x14ac:dyDescent="0.35">
      <c r="B1586" t="str">
        <f t="shared" si="1642"/>
        <v>SPS1</v>
      </c>
      <c r="C1586" t="str">
        <f t="shared" si="1643"/>
        <v>CH</v>
      </c>
      <c r="D1586" t="s">
        <v>1571</v>
      </c>
      <c r="E1586" t="s">
        <v>1576</v>
      </c>
      <c r="F1586" s="1" t="str">
        <f>IFERROR(F1576/F1551,"-")</f>
        <v>-</v>
      </c>
      <c r="G1586" s="1">
        <f t="shared" ref="G1586:K1586" si="1669">IFERROR(G1576/G1551,"-")</f>
        <v>0.4651034317150548</v>
      </c>
      <c r="H1586" s="1">
        <f t="shared" si="1669"/>
        <v>0.47440632095593671</v>
      </c>
      <c r="I1586" s="1">
        <f t="shared" si="1669"/>
        <v>0.49377593599652686</v>
      </c>
      <c r="J1586" s="1">
        <f t="shared" si="1669"/>
        <v>0.5302556659090657</v>
      </c>
      <c r="K1586" s="1">
        <f t="shared" si="1669"/>
        <v>0.56615675256725584</v>
      </c>
      <c r="L1586" s="1">
        <f t="shared" ref="L1586" si="1670">IFERROR(L1576/L1551,"-")</f>
        <v>0.59615161650178816</v>
      </c>
      <c r="N1586" s="1"/>
    </row>
    <row r="1587" spans="2:14" x14ac:dyDescent="0.35">
      <c r="B1587" t="str">
        <f t="shared" si="1642"/>
        <v>SPS1</v>
      </c>
      <c r="C1587" t="str">
        <f t="shared" si="1643"/>
        <v>CH</v>
      </c>
      <c r="D1587" t="s">
        <v>1591</v>
      </c>
      <c r="E1587" t="s">
        <v>1576</v>
      </c>
      <c r="F1587" s="1">
        <f>IFERROR(F1577/F1557,"-")</f>
        <v>0.27758325613681023</v>
      </c>
      <c r="G1587" s="1">
        <f t="shared" ref="G1587:K1587" si="1671">IFERROR(G1577/G1557,"-")</f>
        <v>0.28017034051580081</v>
      </c>
      <c r="H1587" s="1">
        <f t="shared" si="1671"/>
        <v>0.28405096708428684</v>
      </c>
      <c r="I1587" s="1">
        <f t="shared" si="1671"/>
        <v>0.28405096708428695</v>
      </c>
      <c r="J1587" s="1" t="str">
        <f t="shared" si="1671"/>
        <v>-</v>
      </c>
      <c r="K1587" s="1" t="str">
        <f t="shared" si="1671"/>
        <v>-</v>
      </c>
      <c r="L1587" s="1" t="str">
        <f t="shared" ref="L1587" si="1672">IFERROR(L1577/L1557,"-")</f>
        <v>-</v>
      </c>
      <c r="N1587" s="1"/>
    </row>
    <row r="1588" spans="2:14" x14ac:dyDescent="0.35">
      <c r="B1588" t="str">
        <f t="shared" si="1642"/>
        <v>SPS1</v>
      </c>
      <c r="C1588" t="str">
        <f t="shared" si="1643"/>
        <v>CH</v>
      </c>
      <c r="D1588" t="s">
        <v>1592</v>
      </c>
      <c r="E1588" t="s">
        <v>1576</v>
      </c>
      <c r="F1588" s="1">
        <f>IFERROR(F1578/F1558,"-")</f>
        <v>0.35122961215622089</v>
      </c>
      <c r="G1588" s="1">
        <f t="shared" ref="G1588:K1588" si="1673">IFERROR(G1578/G1558,"-")</f>
        <v>0.35122961215622106</v>
      </c>
      <c r="H1588" s="1">
        <f t="shared" si="1673"/>
        <v>0.35122961215622162</v>
      </c>
      <c r="I1588" s="1">
        <f t="shared" si="1673"/>
        <v>0.35122961215622106</v>
      </c>
      <c r="J1588" s="1">
        <f t="shared" si="1673"/>
        <v>0.35122961215622112</v>
      </c>
      <c r="K1588" s="1">
        <f t="shared" si="1673"/>
        <v>0.35122961215622023</v>
      </c>
      <c r="L1588" s="1">
        <f t="shared" ref="L1588" si="1674">IFERROR(L1578/L1558,"-")</f>
        <v>0.35122961215622117</v>
      </c>
      <c r="N1588" s="1"/>
    </row>
    <row r="1589" spans="2:14" x14ac:dyDescent="0.35">
      <c r="B1589" t="str">
        <f t="shared" si="1642"/>
        <v>SPS1</v>
      </c>
      <c r="C1589" t="str">
        <f t="shared" si="1643"/>
        <v>CH</v>
      </c>
      <c r="D1589" t="s">
        <v>1572</v>
      </c>
      <c r="E1589" t="s">
        <v>1576</v>
      </c>
      <c r="F1589" s="1">
        <f>IFERROR(F1579/F1564,"-")</f>
        <v>0.25903663625928702</v>
      </c>
      <c r="G1589" s="1">
        <f t="shared" ref="G1589:K1589" si="1675">IFERROR(G1579/G1564,"-")</f>
        <v>0.26793746277611219</v>
      </c>
      <c r="H1589" s="1">
        <f t="shared" si="1675"/>
        <v>0.28128870255135024</v>
      </c>
      <c r="I1589" s="1">
        <f t="shared" si="1675"/>
        <v>0.28128870255135019</v>
      </c>
      <c r="J1589" s="1" t="str">
        <f t="shared" si="1675"/>
        <v>-</v>
      </c>
      <c r="K1589" s="1" t="str">
        <f t="shared" si="1675"/>
        <v>-</v>
      </c>
      <c r="L1589" s="1" t="str">
        <f t="shared" ref="L1589" si="1676">IFERROR(L1579/L1564,"-")</f>
        <v>-</v>
      </c>
      <c r="N1589" s="1"/>
    </row>
    <row r="1590" spans="2:14" x14ac:dyDescent="0.35">
      <c r="B1590" t="str">
        <f t="shared" si="1642"/>
        <v>SPS1</v>
      </c>
      <c r="C1590" t="str">
        <f t="shared" si="1643"/>
        <v>CH</v>
      </c>
      <c r="D1590" t="s">
        <v>1573</v>
      </c>
      <c r="E1590" t="s">
        <v>1576</v>
      </c>
      <c r="F1590" s="1">
        <f>IFERROR(F1580/F1565,"-")</f>
        <v>0.34211451343153187</v>
      </c>
      <c r="G1590" s="1">
        <f t="shared" ref="G1590:K1590" si="1677">IFERROR(G1580/G1565,"-")</f>
        <v>0.34211451343153182</v>
      </c>
      <c r="H1590" s="1">
        <f t="shared" si="1677"/>
        <v>0.34211451343153237</v>
      </c>
      <c r="I1590" s="1">
        <f t="shared" si="1677"/>
        <v>0.3421145134315316</v>
      </c>
      <c r="J1590" s="1">
        <f t="shared" si="1677"/>
        <v>0.34211451343153132</v>
      </c>
      <c r="K1590" s="1">
        <f t="shared" si="1677"/>
        <v>0.34211451343153204</v>
      </c>
      <c r="L1590" s="1">
        <f t="shared" ref="L1590" si="1678">IFERROR(L1580/L1565,"-")</f>
        <v>0.34211451343153187</v>
      </c>
      <c r="N1590" s="1"/>
    </row>
    <row r="1591" spans="2:14" x14ac:dyDescent="0.35">
      <c r="B1591" t="str">
        <f t="shared" si="1642"/>
        <v>SPS1</v>
      </c>
      <c r="C1591" t="str">
        <f t="shared" si="1643"/>
        <v>CH</v>
      </c>
      <c r="D1591" t="s">
        <v>1574</v>
      </c>
      <c r="E1591" t="s">
        <v>1576</v>
      </c>
      <c r="F1591" s="1" t="str">
        <f>IFERROR(F1581/F1566,"-")</f>
        <v>-</v>
      </c>
      <c r="G1591" s="1">
        <f t="shared" ref="G1591:K1591" si="1679">IFERROR(G1581/G1566,"-")</f>
        <v>0.46076759264650768</v>
      </c>
      <c r="H1591" s="1">
        <f t="shared" si="1679"/>
        <v>0.46076759264650813</v>
      </c>
      <c r="I1591" s="1">
        <f t="shared" si="1679"/>
        <v>0.46076759264650841</v>
      </c>
      <c r="J1591" s="1">
        <f t="shared" si="1679"/>
        <v>0.46076759264650874</v>
      </c>
      <c r="K1591" s="1">
        <f t="shared" si="1679"/>
        <v>0.46076759264650752</v>
      </c>
      <c r="L1591" s="1">
        <f t="shared" ref="L1591" si="1680">IFERROR(L1581/L1566,"-")</f>
        <v>0.46076759264650796</v>
      </c>
      <c r="N1591" s="1"/>
    </row>
    <row r="1592" spans="2:14" x14ac:dyDescent="0.35">
      <c r="B1592" t="str">
        <f t="shared" si="1642"/>
        <v>SPS1</v>
      </c>
      <c r="C1592" t="str">
        <f t="shared" si="1643"/>
        <v>CH</v>
      </c>
      <c r="D1592" t="s">
        <v>1575</v>
      </c>
      <c r="E1592" t="s">
        <v>1576</v>
      </c>
      <c r="F1592" s="1">
        <f>IFERROR(F1582/F1572,"-")</f>
        <v>0.32057692743517996</v>
      </c>
      <c r="G1592" s="1">
        <f t="shared" ref="G1592:K1592" si="1681">IFERROR(G1582/G1572,"-")</f>
        <v>0.32057692743517952</v>
      </c>
      <c r="H1592" s="1">
        <f t="shared" si="1681"/>
        <v>0.32057692743518013</v>
      </c>
      <c r="I1592" s="1">
        <f t="shared" si="1681"/>
        <v>0.32057692743518001</v>
      </c>
      <c r="J1592" s="1">
        <f t="shared" si="1681"/>
        <v>0.3205769274351799</v>
      </c>
      <c r="K1592" s="1">
        <f t="shared" si="1681"/>
        <v>0.3205769274351804</v>
      </c>
      <c r="L1592" s="1">
        <f t="shared" ref="L1592" si="1682">IFERROR(L1582/L1572,"-")</f>
        <v>0.32057692743518001</v>
      </c>
      <c r="N1592" s="1"/>
    </row>
    <row r="1593" spans="2:14" x14ac:dyDescent="0.35">
      <c r="B1593" s="2" t="str">
        <f>B1592</f>
        <v>SPS1</v>
      </c>
      <c r="C1593" s="2" t="str">
        <f>C1592</f>
        <v>CH</v>
      </c>
      <c r="D1593" s="2" t="s">
        <v>1596</v>
      </c>
      <c r="E1593" s="2" t="s">
        <v>8</v>
      </c>
      <c r="F1593" s="3">
        <f>F1594+F1597+F1599+F1606+F1614</f>
        <v>24.512814076833031</v>
      </c>
      <c r="G1593" s="3">
        <f t="shared" ref="G1593" si="1683">G1594+G1597+G1599+G1606+G1614</f>
        <v>22.48462368471079</v>
      </c>
      <c r="H1593" s="3">
        <f t="shared" ref="H1593" si="1684">H1594+H1597+H1599+H1606+H1614</f>
        <v>20.345137757715008</v>
      </c>
      <c r="I1593" s="3">
        <f t="shared" ref="I1593" si="1685">I1594+I1597+I1599+I1606+I1614</f>
        <v>16.564512326386378</v>
      </c>
      <c r="J1593" s="3">
        <f t="shared" ref="J1593" si="1686">J1594+J1597+J1599+J1606+J1614</f>
        <v>14.708817326669505</v>
      </c>
      <c r="K1593" s="3">
        <f t="shared" ref="K1593:L1593" si="1687">K1594+K1597+K1599+K1606+K1614</f>
        <v>15.326300592641916</v>
      </c>
      <c r="L1593" s="3">
        <f t="shared" si="1687"/>
        <v>16.569962807834749</v>
      </c>
      <c r="N1593" s="1"/>
    </row>
    <row r="1594" spans="2:14" x14ac:dyDescent="0.35">
      <c r="B1594" t="str">
        <f t="shared" ref="B1594:B1639" si="1688">B1593</f>
        <v>SPS1</v>
      </c>
      <c r="C1594" t="str">
        <f t="shared" ref="C1594:C1639" si="1689">C1593</f>
        <v>CH</v>
      </c>
      <c r="D1594" t="s">
        <v>1597</v>
      </c>
      <c r="E1594" t="str">
        <f>E1593</f>
        <v>PJ/yr.</v>
      </c>
      <c r="F1594" s="1">
        <f>SUM(F1595:F1596)</f>
        <v>1.0236587003270479E-2</v>
      </c>
      <c r="G1594" s="1">
        <f t="shared" ref="G1594" si="1690">SUM(G1595:G1596)</f>
        <v>2.4766701312120835E-2</v>
      </c>
      <c r="H1594" s="1">
        <f t="shared" ref="H1594" si="1691">SUM(H1595:H1596)</f>
        <v>2.3705073276627919E-2</v>
      </c>
      <c r="I1594" s="1">
        <f t="shared" ref="I1594" si="1692">SUM(I1595:I1596)</f>
        <v>6.1072554479724688E-3</v>
      </c>
      <c r="J1594" s="1">
        <f t="shared" ref="J1594" si="1693">SUM(J1595:J1596)</f>
        <v>8.811542610651531E-4</v>
      </c>
      <c r="K1594" s="1">
        <f t="shared" ref="K1594:L1594" si="1694">SUM(K1595:K1596)</f>
        <v>1.2794593724487285E-3</v>
      </c>
      <c r="L1594" s="1">
        <f t="shared" si="1694"/>
        <v>6.4500944988092493E-4</v>
      </c>
      <c r="N1594" s="1"/>
    </row>
    <row r="1595" spans="2:14" x14ac:dyDescent="0.35">
      <c r="B1595" t="str">
        <f t="shared" si="1688"/>
        <v>SPS1</v>
      </c>
      <c r="C1595" t="str">
        <f t="shared" si="1689"/>
        <v>CH</v>
      </c>
      <c r="D1595" t="s">
        <v>1598</v>
      </c>
      <c r="E1595" t="str">
        <f t="shared" ref="E1595:E1619" si="1695">E1594</f>
        <v>PJ/yr.</v>
      </c>
      <c r="F1595" s="1" cm="1">
        <f t="array" ref="F1595">SUMPRODUCT(("TFHGV-BeVELCExt"=[1]OUT_TransportEnergyCons!$A$3:$A$1000)*1,("Var_Fin"=[1]OUT_TransportEnergyCons!$B$3:$B$1000)*1,ISNUMBER(SEARCH("ELC",[1]OUT_TransportEnergyCons!$C$3:$C$1000))*1,[1]OUT_TransportEnergyCons!D$3:D$1000)</f>
        <v>0</v>
      </c>
      <c r="G1595" s="1" cm="1">
        <f t="array" ref="G1595">SUMPRODUCT(("TFHGV-BeVELCExt"=[1]OUT_TransportEnergyCons!$A$3:$A$1000)*1,("Var_Fin"=[1]OUT_TransportEnergyCons!$B$3:$B$1000)*1,ISNUMBER(SEARCH("ELC",[1]OUT_TransportEnergyCons!$C$3:$C$1000))*1,[1]OUT_TransportEnergyCons!E$3:E$1000)</f>
        <v>0</v>
      </c>
      <c r="H1595" s="1" cm="1">
        <f t="array" ref="H1595">SUMPRODUCT(("TFHGV-BeVELCExt"=[1]OUT_TransportEnergyCons!$A$3:$A$1000)*1,("Var_Fin"=[1]OUT_TransportEnergyCons!$B$3:$B$1000)*1,ISNUMBER(SEARCH("ELC",[1]OUT_TransportEnergyCons!$C$3:$C$1000))*1,[1]OUT_TransportEnergyCons!F$3:F$1000)</f>
        <v>0</v>
      </c>
      <c r="I1595" s="1" cm="1">
        <f t="array" ref="I1595">SUMPRODUCT(("TFHGV-BeVELCExt"=[1]OUT_TransportEnergyCons!$A$3:$A$1000)*1,("Var_Fin"=[1]OUT_TransportEnergyCons!$B$3:$B$1000)*1,ISNUMBER(SEARCH("ELC",[1]OUT_TransportEnergyCons!$C$3:$C$1000))*1,[1]OUT_TransportEnergyCons!G$3:G$1000)</f>
        <v>0</v>
      </c>
      <c r="J1595" s="1" cm="1">
        <f t="array" ref="J1595">SUMPRODUCT(("TFHGV-BeVELCExt"=[2]OUT_TransportEnergyCons!$A$3:$A$1000)*1,("Var_Fin"=[2]OUT_TransportEnergyCons!$B$3:$B$1000)*1,ISNUMBER(SEARCH("ELC",[2]OUT_TransportEnergyCons!$C$3:$C$1000))*1,[2]OUT_TransportEnergyCons!H$3:H$1000)</f>
        <v>0</v>
      </c>
      <c r="K1595" s="1" cm="1">
        <f t="array" ref="K1595">SUMPRODUCT(("TFHGV-BeVELCExt"=[2]OUT_TransportEnergyCons!$A$3:$A$1000)*1,("Var_Fin"=[2]OUT_TransportEnergyCons!$B$3:$B$1000)*1,ISNUMBER(SEARCH("ELC",[2]OUT_TransportEnergyCons!$C$3:$C$1000))*1,[2]OUT_TransportEnergyCons!I$3:I$1000)</f>
        <v>0</v>
      </c>
      <c r="L1595" s="1" cm="1">
        <f t="array" ref="L1595">SUMPRODUCT(("TFHGV-BeVELCExt"=[2]OUT_TransportEnergyCons!$A$3:$A$1000)*1,("Var_Fin"=[2]OUT_TransportEnergyCons!$B$3:$B$1000)*1,ISNUMBER(SEARCH("ELC",[2]OUT_TransportEnergyCons!$C$3:$C$1000))*1,[2]OUT_TransportEnergyCons!J$3:J$1000)</f>
        <v>0</v>
      </c>
      <c r="N1595" s="1"/>
    </row>
    <row r="1596" spans="2:14" x14ac:dyDescent="0.35">
      <c r="B1596" t="str">
        <f t="shared" si="1688"/>
        <v>SPS1</v>
      </c>
      <c r="C1596" t="str">
        <f t="shared" si="1689"/>
        <v>CH</v>
      </c>
      <c r="D1596" t="s">
        <v>1599</v>
      </c>
      <c r="E1596" t="str">
        <f t="shared" si="1695"/>
        <v>PJ/yr.</v>
      </c>
      <c r="F1596" s="1" cm="1">
        <f t="array" ref="F1596">SUMPRODUCT(("TFHGV-BEVELC"=[1]OUT_TransportEnergyCons!$A$3:$A$1000)*1,("Var_Fin"=[1]OUT_TransportEnergyCons!$B$3:$B$1000)*1,ISNUMBER(SEARCH("ELC",[1]OUT_TransportEnergyCons!$C$3:$C$1000))*1,[1]OUT_TransportEnergyCons!D$3:D$1000)</f>
        <v>1.0236587003270479E-2</v>
      </c>
      <c r="G1596" s="1" cm="1">
        <f t="array" ref="G1596">SUMPRODUCT(("TFHGV-BEVELC"=[1]OUT_TransportEnergyCons!$A$3:$A$1000)*1,("Var_Fin"=[1]OUT_TransportEnergyCons!$B$3:$B$1000)*1,ISNUMBER(SEARCH("ELC",[1]OUT_TransportEnergyCons!$C$3:$C$1000))*1,[1]OUT_TransportEnergyCons!E$3:E$1000)</f>
        <v>2.4766701312120835E-2</v>
      </c>
      <c r="H1596" s="1" cm="1">
        <f t="array" ref="H1596">SUMPRODUCT(("TFHGV-BEVELC"=[1]OUT_TransportEnergyCons!$A$3:$A$1000)*1,("Var_Fin"=[1]OUT_TransportEnergyCons!$B$3:$B$1000)*1,ISNUMBER(SEARCH("ELC",[1]OUT_TransportEnergyCons!$C$3:$C$1000))*1,[1]OUT_TransportEnergyCons!F$3:F$1000)</f>
        <v>2.3705073276627919E-2</v>
      </c>
      <c r="I1596" s="1" cm="1">
        <f t="array" ref="I1596">SUMPRODUCT(("TFHGV-BEVELC"=[1]OUT_TransportEnergyCons!$A$3:$A$1000)*1,("Var_Fin"=[1]OUT_TransportEnergyCons!$B$3:$B$1000)*1,ISNUMBER(SEARCH("ELC",[1]OUT_TransportEnergyCons!$C$3:$C$1000))*1,[1]OUT_TransportEnergyCons!G$3:G$1000)</f>
        <v>6.1072554479724688E-3</v>
      </c>
      <c r="J1596" s="1" cm="1">
        <f t="array" ref="J1596">SUMPRODUCT(("TFHGV-BEVELC"=[2]OUT_TransportEnergyCons!$A$3:$A$1000)*1,("Var_Fin"=[2]OUT_TransportEnergyCons!$B$3:$B$1000)*1,ISNUMBER(SEARCH("ELC",[2]OUT_TransportEnergyCons!$C$3:$C$1000))*1,[2]OUT_TransportEnergyCons!H$3:H$1000)</f>
        <v>8.811542610651531E-4</v>
      </c>
      <c r="K1596" s="1" cm="1">
        <f t="array" ref="K1596">SUMPRODUCT(("TFHGV-BEVELC"=[2]OUT_TransportEnergyCons!$A$3:$A$1000)*1,("Var_Fin"=[2]OUT_TransportEnergyCons!$B$3:$B$1000)*1,ISNUMBER(SEARCH("ELC",[2]OUT_TransportEnergyCons!$C$3:$C$1000))*1,[2]OUT_TransportEnergyCons!I$3:I$1000)</f>
        <v>1.2794593724487285E-3</v>
      </c>
      <c r="L1596" s="1" cm="1">
        <f t="array" ref="L1596">SUMPRODUCT(("TFHGV-BEVELC"=[2]OUT_TransportEnergyCons!$A$3:$A$1000)*1,("Var_Fin"=[2]OUT_TransportEnergyCons!$B$3:$B$1000)*1,ISNUMBER(SEARCH("ELC",[2]OUT_TransportEnergyCons!$C$3:$C$1000))*1,[2]OUT_TransportEnergyCons!J$3:J$1000)</f>
        <v>6.4500944988092493E-4</v>
      </c>
      <c r="N1596" s="1"/>
    </row>
    <row r="1597" spans="2:14" x14ac:dyDescent="0.35">
      <c r="B1597" t="str">
        <f t="shared" si="1688"/>
        <v>SPS1</v>
      </c>
      <c r="C1597" t="str">
        <f t="shared" si="1689"/>
        <v>CH</v>
      </c>
      <c r="D1597" t="s">
        <v>1600</v>
      </c>
      <c r="E1597" t="str">
        <f t="shared" si="1695"/>
        <v>PJ/yr.</v>
      </c>
      <c r="F1597" s="1">
        <f>F1598</f>
        <v>2.1487083976774761E-3</v>
      </c>
      <c r="G1597" s="1">
        <f t="shared" ref="G1597" si="1696">G1598</f>
        <v>1.8393459991732693E-4</v>
      </c>
      <c r="H1597" s="1">
        <f t="shared" ref="H1597" si="1697">H1598</f>
        <v>1.9892138861269637E-4</v>
      </c>
      <c r="I1597" s="1">
        <f t="shared" ref="I1597" si="1698">I1598</f>
        <v>1.0913497622864325E-4</v>
      </c>
      <c r="J1597" s="1">
        <f t="shared" ref="J1597" si="1699">J1598</f>
        <v>1.0059284844851591E-4</v>
      </c>
      <c r="K1597" s="1">
        <f t="shared" ref="K1597:L1597" si="1700">K1598</f>
        <v>9.6681533734586982E-5</v>
      </c>
      <c r="L1597" s="1">
        <f t="shared" si="1700"/>
        <v>8.4680575103465822E-5</v>
      </c>
      <c r="N1597" s="1"/>
    </row>
    <row r="1598" spans="2:14" x14ac:dyDescent="0.35">
      <c r="B1598" t="str">
        <f t="shared" si="1688"/>
        <v>SPS1</v>
      </c>
      <c r="C1598" t="str">
        <f t="shared" si="1689"/>
        <v>CH</v>
      </c>
      <c r="D1598" t="s">
        <v>1601</v>
      </c>
      <c r="E1598" t="str">
        <f t="shared" si="1695"/>
        <v>PJ/yr.</v>
      </c>
      <c r="F1598" s="1" cm="1">
        <f t="array" ref="F1598">SUMPRODUCT(("TFHGV-FCLH2O"=[1]OUT_TransportEnergyCons!$A$3:$A$1000)*1,("Var_Fin"=[1]OUT_TransportEnergyCons!$B$3:$B$1000)*1,ISNUMBER(SEARCH("h2",[1]OUT_TransportEnergyCons!$C$3:$C$1000))*1,[1]OUT_TransportEnergyCons!D$3:D$1000)</f>
        <v>2.1487083976774761E-3</v>
      </c>
      <c r="G1598" s="1" cm="1">
        <f t="array" ref="G1598">SUMPRODUCT(("TFHGV-FCLH2O"=[1]OUT_TransportEnergyCons!$A$3:$A$1000)*1,("Var_Fin"=[1]OUT_TransportEnergyCons!$B$3:$B$1000)*1,ISNUMBER(SEARCH("h2",[1]OUT_TransportEnergyCons!$C$3:$C$1000))*1,[1]OUT_TransportEnergyCons!E$3:E$1000)</f>
        <v>1.8393459991732693E-4</v>
      </c>
      <c r="H1598" s="1" cm="1">
        <f t="array" ref="H1598">SUMPRODUCT(("TFHGV-FCLH2O"=[1]OUT_TransportEnergyCons!$A$3:$A$1000)*1,("Var_Fin"=[1]OUT_TransportEnergyCons!$B$3:$B$1000)*1,ISNUMBER(SEARCH("h2",[1]OUT_TransportEnergyCons!$C$3:$C$1000))*1,[1]OUT_TransportEnergyCons!F$3:F$1000)</f>
        <v>1.9892138861269637E-4</v>
      </c>
      <c r="I1598" s="1" cm="1">
        <f t="array" ref="I1598">SUMPRODUCT(("TFHGV-FCLH2O"=[1]OUT_TransportEnergyCons!$A$3:$A$1000)*1,("Var_Fin"=[1]OUT_TransportEnergyCons!$B$3:$B$1000)*1,ISNUMBER(SEARCH("h2",[1]OUT_TransportEnergyCons!$C$3:$C$1000))*1,[1]OUT_TransportEnergyCons!G$3:G$1000)</f>
        <v>1.0913497622864325E-4</v>
      </c>
      <c r="J1598" s="1" cm="1">
        <f t="array" ref="J1598">SUMPRODUCT(("TFHGV-FCLH2O"=[2]OUT_TransportEnergyCons!$A$3:$A$1000)*1,("Var_Fin"=[2]OUT_TransportEnergyCons!$B$3:$B$1000)*1,ISNUMBER(SEARCH("h2",[2]OUT_TransportEnergyCons!$C$3:$C$1000))*1,[2]OUT_TransportEnergyCons!H$3:H$1000)</f>
        <v>1.0059284844851591E-4</v>
      </c>
      <c r="K1598" s="1" cm="1">
        <f t="array" ref="K1598">SUMPRODUCT(("TFHGV-FCLH2O"=[2]OUT_TransportEnergyCons!$A$3:$A$1000)*1,("Var_Fin"=[2]OUT_TransportEnergyCons!$B$3:$B$1000)*1,ISNUMBER(SEARCH("h2",[2]OUT_TransportEnergyCons!$C$3:$C$1000))*1,[2]OUT_TransportEnergyCons!I$3:I$1000)</f>
        <v>9.6681533734586982E-5</v>
      </c>
      <c r="L1598" s="1" cm="1">
        <f t="array" ref="L1598">SUMPRODUCT(("TFHGV-FCLH2O"=[2]OUT_TransportEnergyCons!$A$3:$A$1000)*1,("Var_Fin"=[2]OUT_TransportEnergyCons!$B$3:$B$1000)*1,ISNUMBER(SEARCH("h2",[2]OUT_TransportEnergyCons!$C$3:$C$1000))*1,[2]OUT_TransportEnergyCons!J$3:J$1000)</f>
        <v>8.4680575103465822E-5</v>
      </c>
      <c r="N1598" s="1"/>
    </row>
    <row r="1599" spans="2:14" x14ac:dyDescent="0.35">
      <c r="B1599" t="str">
        <f t="shared" si="1688"/>
        <v>SPS1</v>
      </c>
      <c r="C1599" t="str">
        <f t="shared" si="1689"/>
        <v>CH</v>
      </c>
      <c r="D1599" t="s">
        <v>1602</v>
      </c>
      <c r="E1599" t="str">
        <f t="shared" si="1695"/>
        <v>PJ/yr.</v>
      </c>
      <c r="F1599" s="1">
        <f>SUM(F1604:F1605)</f>
        <v>0</v>
      </c>
      <c r="G1599" s="1">
        <f t="shared" ref="G1599:K1599" si="1701">SUM(G1604:G1605)</f>
        <v>0</v>
      </c>
      <c r="H1599" s="1">
        <f t="shared" si="1701"/>
        <v>0</v>
      </c>
      <c r="I1599" s="1">
        <f t="shared" si="1701"/>
        <v>0</v>
      </c>
      <c r="J1599" s="1">
        <f t="shared" si="1701"/>
        <v>0</v>
      </c>
      <c r="K1599" s="1">
        <f t="shared" si="1701"/>
        <v>0</v>
      </c>
      <c r="L1599" s="1">
        <f t="shared" ref="L1599" si="1702">SUM(L1604:L1605)</f>
        <v>0</v>
      </c>
      <c r="N1599" s="1"/>
    </row>
    <row r="1600" spans="2:14" x14ac:dyDescent="0.35">
      <c r="B1600" t="str">
        <f t="shared" si="1688"/>
        <v>SPS1</v>
      </c>
      <c r="C1600" t="str">
        <f t="shared" si="1689"/>
        <v>CH</v>
      </c>
      <c r="D1600" t="s">
        <v>1603</v>
      </c>
      <c r="E1600" t="str">
        <f t="shared" si="1695"/>
        <v>PJ/yr.</v>
      </c>
      <c r="F1600" s="1">
        <f>F1599-F1601</f>
        <v>0</v>
      </c>
      <c r="G1600" s="1">
        <f t="shared" ref="G1600:K1600" si="1703">G1599-G1601</f>
        <v>0</v>
      </c>
      <c r="H1600" s="1">
        <f t="shared" si="1703"/>
        <v>0</v>
      </c>
      <c r="I1600" s="1">
        <f t="shared" si="1703"/>
        <v>0</v>
      </c>
      <c r="J1600" s="1">
        <f t="shared" si="1703"/>
        <v>0</v>
      </c>
      <c r="K1600" s="1">
        <f t="shared" si="1703"/>
        <v>0</v>
      </c>
      <c r="L1600" s="1">
        <f t="shared" ref="L1600" si="1704">L1599-L1601</f>
        <v>0</v>
      </c>
      <c r="N1600" s="1"/>
    </row>
    <row r="1601" spans="2:14" x14ac:dyDescent="0.35">
      <c r="B1601" t="str">
        <f t="shared" si="1688"/>
        <v>SPS1</v>
      </c>
      <c r="C1601" t="str">
        <f t="shared" si="1689"/>
        <v>CH</v>
      </c>
      <c r="D1601" t="s">
        <v>1604</v>
      </c>
      <c r="E1601" t="str">
        <f t="shared" si="1695"/>
        <v>PJ/yr.</v>
      </c>
      <c r="F1601" s="1">
        <f>SUM(F1602:F1603)</f>
        <v>0</v>
      </c>
      <c r="G1601" s="1">
        <f t="shared" ref="G1601:K1601" si="1705">SUM(G1602:G1603)</f>
        <v>0</v>
      </c>
      <c r="H1601" s="1">
        <f t="shared" si="1705"/>
        <v>0</v>
      </c>
      <c r="I1601" s="1">
        <f t="shared" si="1705"/>
        <v>0</v>
      </c>
      <c r="J1601" s="1">
        <f t="shared" si="1705"/>
        <v>0</v>
      </c>
      <c r="K1601" s="1">
        <f t="shared" si="1705"/>
        <v>0</v>
      </c>
      <c r="L1601" s="1">
        <f t="shared" ref="L1601" si="1706">SUM(L1602:L1603)</f>
        <v>0</v>
      </c>
      <c r="N1601" s="1"/>
    </row>
    <row r="1602" spans="2:14" x14ac:dyDescent="0.35">
      <c r="B1602" t="str">
        <f t="shared" si="1688"/>
        <v>SPS1</v>
      </c>
      <c r="C1602" t="str">
        <f t="shared" si="1689"/>
        <v>CH</v>
      </c>
      <c r="D1602" t="s">
        <v>1605</v>
      </c>
      <c r="E1602" t="str">
        <f t="shared" si="1695"/>
        <v>PJ/yr.</v>
      </c>
      <c r="F1602" s="1">
        <f>[1]Transport!B$25/SUM([1]Transport!B$21,[1]Transport!B$25)*F1599*(F$35+F$600)/(F$35+F$600+F$39)</f>
        <v>0</v>
      </c>
      <c r="G1602" s="1">
        <f>[1]Transport!C$25/SUM([1]Transport!C$21,[1]Transport!C$25)*G1599*(G$35+G$600)/(G$35+G$600+G$39)</f>
        <v>0</v>
      </c>
      <c r="H1602" s="1">
        <f>[1]Transport!D$25/SUM([1]Transport!D$21,[1]Transport!D$25)*H1599*(H$35+H$600)/(H$35+H$600+H$39)</f>
        <v>0</v>
      </c>
      <c r="I1602" s="1">
        <f>[1]Transport!E$25/SUM([1]Transport!E$21,[1]Transport!E$25)*I1599*(I$35+I$600)/(I$35+I$600+I$39)</f>
        <v>0</v>
      </c>
      <c r="J1602" s="1">
        <f>[2]Transport!F$25/SUM([2]Transport!F$21,[2]Transport!F$25)*J1599*(J$35+J$600)/(J$35+J$600+J$39)</f>
        <v>0</v>
      </c>
      <c r="K1602" s="1">
        <f>[2]Transport!G$25/SUM([2]Transport!G$21,[2]Transport!G$25)*K1599*(K$35+K$600)/(K$35+K$600+K$39)</f>
        <v>0</v>
      </c>
      <c r="L1602" s="1">
        <f>[2]Transport!H$25/SUM([2]Transport!H$21,[2]Transport!H$25)*L1599*(L$35+L$600)/(L$35+L$600+L$39)</f>
        <v>0</v>
      </c>
      <c r="N1602" s="1"/>
    </row>
    <row r="1603" spans="2:14" x14ac:dyDescent="0.35">
      <c r="B1603" t="str">
        <f t="shared" si="1688"/>
        <v>SPS1</v>
      </c>
      <c r="C1603" t="str">
        <f t="shared" si="1689"/>
        <v>CH</v>
      </c>
      <c r="D1603" t="s">
        <v>1606</v>
      </c>
      <c r="E1603" t="str">
        <f t="shared" si="1695"/>
        <v>PJ/yr.</v>
      </c>
      <c r="F1603" s="1">
        <f>(F$39+F$719)/([1]Transport!B$21+[1]Transport!B$25)*F1599</f>
        <v>0</v>
      </c>
      <c r="G1603" s="1">
        <f>(G$39+G$719)/([1]Transport!C$21+[1]Transport!C$25)*G1599</f>
        <v>0</v>
      </c>
      <c r="H1603" s="1">
        <f>(H$39+H$719)/([1]Transport!D$21+[1]Transport!D$25)*H1599</f>
        <v>0</v>
      </c>
      <c r="I1603" s="1">
        <f>(I$39+I$719)/([1]Transport!E$21+[1]Transport!E$25)*I1599</f>
        <v>0</v>
      </c>
      <c r="J1603" s="1">
        <f>(J$39+J$719)/([2]Transport!F$21+[2]Transport!F$25)*J1599</f>
        <v>0</v>
      </c>
      <c r="K1603" s="1">
        <f>(K$39+K$719)/([2]Transport!G$21+[2]Transport!G$25)*K1599</f>
        <v>0</v>
      </c>
      <c r="L1603" s="1">
        <f>(L$39+L$719)/([2]Transport!H$21+[2]Transport!H$25)*L1599</f>
        <v>0</v>
      </c>
      <c r="N1603" s="1"/>
    </row>
    <row r="1604" spans="2:14" x14ac:dyDescent="0.35">
      <c r="B1604" t="str">
        <f t="shared" si="1688"/>
        <v>SPS1</v>
      </c>
      <c r="C1604" t="str">
        <f t="shared" si="1689"/>
        <v>CH</v>
      </c>
      <c r="D1604" t="s">
        <v>1607</v>
      </c>
      <c r="E1604" t="str">
        <f t="shared" si="1695"/>
        <v>PJ/yr.</v>
      </c>
      <c r="F1604" s="1" cm="1">
        <f t="array" ref="F1604">SUMPRODUCT(("TFHGV-ICEGSLExt"=[1]OUT_TransportEnergyCons!$A$3:$A$1000)*1,("Var_Fin"=[1]OUT_TransportEnergyCons!$B$3:$B$1000)*1,ISNUMBER(SEARCH("gsl",[1]OUT_TransportEnergyCons!$C$3:$C$1000))*1,[1]OUT_TransportEnergyCons!D$3:D$1000)</f>
        <v>0</v>
      </c>
      <c r="G1604" s="1" cm="1">
        <f t="array" ref="G1604">SUMPRODUCT(("TFHGV-ICEGSLExt"=[1]OUT_TransportEnergyCons!$A$3:$A$1000)*1,("Var_Fin"=[1]OUT_TransportEnergyCons!$B$3:$B$1000)*1,ISNUMBER(SEARCH("gsl",[1]OUT_TransportEnergyCons!$C$3:$C$1000))*1,[1]OUT_TransportEnergyCons!E$3:E$1000)</f>
        <v>0</v>
      </c>
      <c r="H1604" s="1" cm="1">
        <f t="array" ref="H1604">SUMPRODUCT(("TFHGV-ICEGSLExt"=[1]OUT_TransportEnergyCons!$A$3:$A$1000)*1,("Var_Fin"=[1]OUT_TransportEnergyCons!$B$3:$B$1000)*1,ISNUMBER(SEARCH("gsl",[1]OUT_TransportEnergyCons!$C$3:$C$1000))*1,[1]OUT_TransportEnergyCons!F$3:F$1000)</f>
        <v>0</v>
      </c>
      <c r="I1604" s="1" cm="1">
        <f t="array" ref="I1604">SUMPRODUCT(("TFHGV-ICEGSLExt"=[1]OUT_TransportEnergyCons!$A$3:$A$1000)*1,("Var_Fin"=[1]OUT_TransportEnergyCons!$B$3:$B$1000)*1,ISNUMBER(SEARCH("gsl",[1]OUT_TransportEnergyCons!$C$3:$C$1000))*1,[1]OUT_TransportEnergyCons!G$3:G$1000)</f>
        <v>0</v>
      </c>
      <c r="J1604" s="1" cm="1">
        <f t="array" ref="J1604">SUMPRODUCT(("TFHGV-ICEGSLExt"=[2]OUT_TransportEnergyCons!$A$3:$A$1000)*1,("Var_Fin"=[2]OUT_TransportEnergyCons!$B$3:$B$1000)*1,ISNUMBER(SEARCH("gsl",[2]OUT_TransportEnergyCons!$C$3:$C$1000))*1,[2]OUT_TransportEnergyCons!H$3:H$1000)</f>
        <v>0</v>
      </c>
      <c r="K1604" s="1" cm="1">
        <f t="array" ref="K1604">SUMPRODUCT(("TFHGV-ICEGSLExt"=[2]OUT_TransportEnergyCons!$A$3:$A$1000)*1,("Var_Fin"=[2]OUT_TransportEnergyCons!$B$3:$B$1000)*1,ISNUMBER(SEARCH("gsl",[2]OUT_TransportEnergyCons!$C$3:$C$1000))*1,[2]OUT_TransportEnergyCons!I$3:I$1000)</f>
        <v>0</v>
      </c>
      <c r="L1604" s="1" cm="1">
        <f t="array" ref="L1604">SUMPRODUCT(("TFHGV-ICEGSLExt"=[2]OUT_TransportEnergyCons!$A$3:$A$1000)*1,("Var_Fin"=[2]OUT_TransportEnergyCons!$B$3:$B$1000)*1,ISNUMBER(SEARCH("gsl",[2]OUT_TransportEnergyCons!$C$3:$C$1000))*1,[2]OUT_TransportEnergyCons!J$3:J$1000)</f>
        <v>0</v>
      </c>
      <c r="N1604" s="1"/>
    </row>
    <row r="1605" spans="2:14" x14ac:dyDescent="0.35">
      <c r="B1605" t="str">
        <f t="shared" si="1688"/>
        <v>SPS1</v>
      </c>
      <c r="C1605" t="str">
        <f t="shared" si="1689"/>
        <v>CH</v>
      </c>
      <c r="D1605" t="s">
        <v>1608</v>
      </c>
      <c r="E1605" t="str">
        <f t="shared" si="1695"/>
        <v>PJ/yr.</v>
      </c>
      <c r="F1605" s="1" cm="1">
        <f t="array" ref="F1605">SUMPRODUCT(("TFHGV-ICEGSL"=[1]OUT_TransportEnergyCons!$A$3:$A$1000)*1,("Var_Fin"=[1]OUT_TransportEnergyCons!$B$3:$B$1000)*1,ISNUMBER(SEARCH("gsl",[1]OUT_TransportEnergyCons!$C$3:$C$1000))*1,[1]OUT_TransportEnergyCons!D$3:D$1000)</f>
        <v>0</v>
      </c>
      <c r="G1605" s="1" cm="1">
        <f t="array" ref="G1605">SUMPRODUCT(("TFHGV-ICEGSL"=[1]OUT_TransportEnergyCons!$A$3:$A$1000)*1,("Var_Fin"=[1]OUT_TransportEnergyCons!$B$3:$B$1000)*1,ISNUMBER(SEARCH("gsl",[1]OUT_TransportEnergyCons!$C$3:$C$1000))*1,[1]OUT_TransportEnergyCons!E$3:E$1000)</f>
        <v>0</v>
      </c>
      <c r="H1605" s="1" cm="1">
        <f t="array" ref="H1605">SUMPRODUCT(("TFHGV-ICEGSL"=[1]OUT_TransportEnergyCons!$A$3:$A$1000)*1,("Var_Fin"=[1]OUT_TransportEnergyCons!$B$3:$B$1000)*1,ISNUMBER(SEARCH("gsl",[1]OUT_TransportEnergyCons!$C$3:$C$1000))*1,[1]OUT_TransportEnergyCons!F$3:F$1000)</f>
        <v>0</v>
      </c>
      <c r="I1605" s="1" cm="1">
        <f t="array" ref="I1605">SUMPRODUCT(("TFHGV-ICEGSL"=[1]OUT_TransportEnergyCons!$A$3:$A$1000)*1,("Var_Fin"=[1]OUT_TransportEnergyCons!$B$3:$B$1000)*1,ISNUMBER(SEARCH("gsl",[1]OUT_TransportEnergyCons!$C$3:$C$1000))*1,[1]OUT_TransportEnergyCons!G$3:G$1000)</f>
        <v>0</v>
      </c>
      <c r="J1605" s="1" cm="1">
        <f t="array" ref="J1605">SUMPRODUCT(("TFHGV-ICEGSL"=[2]OUT_TransportEnergyCons!$A$3:$A$1000)*1,("Var_Fin"=[2]OUT_TransportEnergyCons!$B$3:$B$1000)*1,ISNUMBER(SEARCH("gsl",[2]OUT_TransportEnergyCons!$C$3:$C$1000))*1,[2]OUT_TransportEnergyCons!H$3:H$1000)</f>
        <v>0</v>
      </c>
      <c r="K1605" s="1" cm="1">
        <f t="array" ref="K1605">SUMPRODUCT(("TFHGV-ICEGSL"=[2]OUT_TransportEnergyCons!$A$3:$A$1000)*1,("Var_Fin"=[2]OUT_TransportEnergyCons!$B$3:$B$1000)*1,ISNUMBER(SEARCH("gsl",[2]OUT_TransportEnergyCons!$C$3:$C$1000))*1,[2]OUT_TransportEnergyCons!I$3:I$1000)</f>
        <v>0</v>
      </c>
      <c r="L1605" s="1" cm="1">
        <f t="array" ref="L1605">SUMPRODUCT(("TFHGV-ICEGSL"=[2]OUT_TransportEnergyCons!$A$3:$A$1000)*1,("Var_Fin"=[2]OUT_TransportEnergyCons!$B$3:$B$1000)*1,ISNUMBER(SEARCH("gsl",[2]OUT_TransportEnergyCons!$C$3:$C$1000))*1,[2]OUT_TransportEnergyCons!J$3:J$1000)</f>
        <v>0</v>
      </c>
      <c r="N1605" s="1"/>
    </row>
    <row r="1606" spans="2:14" x14ac:dyDescent="0.35">
      <c r="B1606" t="str">
        <f t="shared" si="1688"/>
        <v>SPS1</v>
      </c>
      <c r="C1606" t="str">
        <f t="shared" si="1689"/>
        <v>CH</v>
      </c>
      <c r="D1606" t="s">
        <v>1609</v>
      </c>
      <c r="E1606" t="str">
        <f t="shared" si="1695"/>
        <v>PJ/yr.</v>
      </c>
      <c r="F1606" s="1">
        <f>SUM(F1611:F1613)</f>
        <v>24.437717021555063</v>
      </c>
      <c r="G1606" s="1">
        <f t="shared" ref="G1606:K1606" si="1707">SUM(G1611:G1613)</f>
        <v>22.455603196598716</v>
      </c>
      <c r="H1606" s="1">
        <f t="shared" si="1707"/>
        <v>20.315553572850213</v>
      </c>
      <c r="I1606" s="1">
        <f t="shared" si="1707"/>
        <v>16.552854759866342</v>
      </c>
      <c r="J1606" s="1">
        <f t="shared" si="1707"/>
        <v>14.704981737754807</v>
      </c>
      <c r="K1606" s="1">
        <f t="shared" si="1707"/>
        <v>15.322156323969727</v>
      </c>
      <c r="L1606" s="1">
        <f t="shared" ref="L1606" si="1708">SUM(L1611:L1613)</f>
        <v>16.566642423460603</v>
      </c>
      <c r="N1606" s="1"/>
    </row>
    <row r="1607" spans="2:14" x14ac:dyDescent="0.35">
      <c r="B1607" t="str">
        <f t="shared" si="1688"/>
        <v>SPS1</v>
      </c>
      <c r="C1607" t="str">
        <f t="shared" si="1689"/>
        <v>CH</v>
      </c>
      <c r="D1607" t="s">
        <v>1610</v>
      </c>
      <c r="E1607" t="str">
        <f t="shared" si="1695"/>
        <v>PJ/yr.</v>
      </c>
      <c r="F1607" s="1">
        <f>IF(F1606-F1608&lt;0,0,F1606-F1608)</f>
        <v>23.826344235498684</v>
      </c>
      <c r="G1607" s="1">
        <f t="shared" ref="G1607:L1607" si="1709">IF(G1606-G1608&lt;0,0,G1606-G1608)</f>
        <v>21.870394016712975</v>
      </c>
      <c r="H1607" s="1">
        <f t="shared" si="1709"/>
        <v>19.403826639249573</v>
      </c>
      <c r="I1607" s="1">
        <f t="shared" si="1709"/>
        <v>15.813564077873021</v>
      </c>
      <c r="J1607" s="1">
        <f t="shared" si="1709"/>
        <v>14.097872955539524</v>
      </c>
      <c r="K1607" s="1">
        <f t="shared" si="1709"/>
        <v>14.691134059922323</v>
      </c>
      <c r="L1607" s="1">
        <f t="shared" si="1709"/>
        <v>15.873439431351091</v>
      </c>
      <c r="N1607" s="1"/>
    </row>
    <row r="1608" spans="2:14" x14ac:dyDescent="0.35">
      <c r="B1608" t="str">
        <f t="shared" si="1688"/>
        <v>SPS1</v>
      </c>
      <c r="C1608" t="str">
        <f t="shared" si="1689"/>
        <v>CH</v>
      </c>
      <c r="D1608" t="s">
        <v>1611</v>
      </c>
      <c r="E1608" t="str">
        <f t="shared" si="1695"/>
        <v>PJ/yr.</v>
      </c>
      <c r="F1608" s="1">
        <f>SUM(F1609:F1610)</f>
        <v>0.61137278605637857</v>
      </c>
      <c r="G1608" s="1">
        <f t="shared" ref="G1608:K1608" si="1710">SUM(G1609:G1610)</f>
        <v>0.58520917988574206</v>
      </c>
      <c r="H1608" s="1">
        <f t="shared" si="1710"/>
        <v>0.91172693360063839</v>
      </c>
      <c r="I1608" s="1">
        <f t="shared" si="1710"/>
        <v>0.73929068199332149</v>
      </c>
      <c r="J1608" s="1">
        <f t="shared" si="1710"/>
        <v>0.60710878221528242</v>
      </c>
      <c r="K1608" s="1">
        <f t="shared" si="1710"/>
        <v>0.63102226404740447</v>
      </c>
      <c r="L1608" s="1">
        <f t="shared" ref="L1608" si="1711">SUM(L1609:L1610)</f>
        <v>0.69320299210951231</v>
      </c>
      <c r="N1608" s="1"/>
    </row>
    <row r="1609" spans="2:14" x14ac:dyDescent="0.35">
      <c r="B1609" t="str">
        <f t="shared" si="1688"/>
        <v>SPS1</v>
      </c>
      <c r="C1609" t="str">
        <f t="shared" si="1689"/>
        <v>CH</v>
      </c>
      <c r="D1609" t="s">
        <v>1612</v>
      </c>
      <c r="E1609" t="str">
        <f t="shared" si="1695"/>
        <v>PJ/yr.</v>
      </c>
      <c r="F1609" s="1">
        <f>[1]Transport!B$26/SUM([1]Transport!B$22,[1]Transport!B$26)*F1606*(F$34+F$582)/(F$34+F$582+F$38)</f>
        <v>0.61137278605637857</v>
      </c>
      <c r="G1609" s="1">
        <f>[1]Transport!C$26/SUM([1]Transport!C$22,[1]Transport!C$26)*G1606*(G$34+G$582)/(G$34+G$582+G$38)</f>
        <v>0.58520917988574206</v>
      </c>
      <c r="H1609" s="1">
        <f>[1]Transport!D$26/SUM([1]Transport!D$22,[1]Transport!D$26)*H1606*(H$34+H$582)/(H$34+H$582+H$38)</f>
        <v>0.91172693360063839</v>
      </c>
      <c r="I1609" s="1">
        <f>[1]Transport!E$26/SUM([1]Transport!E$22,[1]Transport!E$26)*I1606*(I$34+I$582)/(I$34+I$582+I$38)</f>
        <v>0.73929068199332149</v>
      </c>
      <c r="J1609" s="1">
        <f>[2]Transport!F$26/SUM([2]Transport!F$22,[2]Transport!F$26)*J1606*(J$34+J$582)/(J$34+J$582+J$38)</f>
        <v>0.60710878221528242</v>
      </c>
      <c r="K1609" s="1">
        <f>[2]Transport!G$26/SUM([2]Transport!G$22,[2]Transport!G$26)*K1606*(K$34+K$582)/(K$34+K$582+K$38)</f>
        <v>0.63102226404740447</v>
      </c>
      <c r="L1609" s="1">
        <f>[2]Transport!H$26/SUM([2]Transport!H$22,[2]Transport!H$26)*L1606*(L$34+L$582)/(L$34+L$582+L$38)</f>
        <v>0.69320299210951231</v>
      </c>
      <c r="N1609" s="1"/>
    </row>
    <row r="1610" spans="2:14" x14ac:dyDescent="0.35">
      <c r="B1610" t="str">
        <f t="shared" si="1688"/>
        <v>SPS1</v>
      </c>
      <c r="C1610" t="str">
        <f t="shared" si="1689"/>
        <v>CH</v>
      </c>
      <c r="D1610" t="s">
        <v>1613</v>
      </c>
      <c r="E1610" t="str">
        <f t="shared" si="1695"/>
        <v>PJ/yr.</v>
      </c>
      <c r="F1610" s="1">
        <f>(F$38+F$718)/([1]Transport!B$22+[1]Transport!B$26)*F1606</f>
        <v>0</v>
      </c>
      <c r="G1610" s="1">
        <f>(G$38+G$718)/([1]Transport!C$22+[1]Transport!C$26)*G1606</f>
        <v>0</v>
      </c>
      <c r="H1610" s="1">
        <f>(H$38+H$718)/([1]Transport!D$22+[1]Transport!D$26)*H1606</f>
        <v>0</v>
      </c>
      <c r="I1610" s="1">
        <f>(I$38+I$718)/([1]Transport!E$22+[1]Transport!E$26)*I1606</f>
        <v>0</v>
      </c>
      <c r="J1610" s="1">
        <f>(J$38+J$718)/([2]Transport!F$22+[2]Transport!F$26)*J1606</f>
        <v>0</v>
      </c>
      <c r="K1610" s="1">
        <f>(K$38+K$718)/([2]Transport!G$22+[2]Transport!G$26)*K1606</f>
        <v>0</v>
      </c>
      <c r="L1610" s="1">
        <f>(L$38+L$718)/([2]Transport!H$22+[2]Transport!H$26)*L1606</f>
        <v>0</v>
      </c>
      <c r="N1610" s="1"/>
    </row>
    <row r="1611" spans="2:14" x14ac:dyDescent="0.35">
      <c r="B1611" t="str">
        <f t="shared" si="1688"/>
        <v>SPS1</v>
      </c>
      <c r="C1611" t="str">
        <f t="shared" si="1689"/>
        <v>CH</v>
      </c>
      <c r="D1611" t="s">
        <v>1614</v>
      </c>
      <c r="E1611" t="str">
        <f t="shared" si="1695"/>
        <v>PJ/yr.</v>
      </c>
      <c r="F1611" s="1" cm="1">
        <f t="array" ref="F1611">SUMPRODUCT(("TFHGV-ICEdslExt"=[1]OUT_TransportEnergyCons!$A$3:$A$1000)*1,("Var_Fin"=[1]OUT_TransportEnergyCons!$B$3:$B$1000)*1,ISNUMBER(SEARCH("dsl",[1]OUT_TransportEnergyCons!$C$3:$C$1000))*1,[1]OUT_TransportEnergyCons!D$3:D$1000)</f>
        <v>19.239089883182917</v>
      </c>
      <c r="G1611" s="1" cm="1">
        <f t="array" ref="G1611">SUMPRODUCT(("TFHGV-ICEdslExt"=[1]OUT_TransportEnergyCons!$A$3:$A$1000)*1,("Var_Fin"=[1]OUT_TransportEnergyCons!$B$3:$B$1000)*1,ISNUMBER(SEARCH("dsl",[1]OUT_TransportEnergyCons!$C$3:$C$1000))*1,[1]OUT_TransportEnergyCons!E$3:E$1000)</f>
        <v>15.558996042677476</v>
      </c>
      <c r="H1611" s="1" cm="1">
        <f t="array" ref="H1611">SUMPRODUCT(("TFHGV-ICEdslExt"=[1]OUT_TransportEnergyCons!$A$3:$A$1000)*1,("Var_Fin"=[1]OUT_TransportEnergyCons!$B$3:$B$1000)*1,ISNUMBER(SEARCH("dsl",[1]OUT_TransportEnergyCons!$C$3:$C$1000))*1,[1]OUT_TransportEnergyCons!F$3:F$1000)</f>
        <v>11.474365794336871</v>
      </c>
      <c r="I1611" s="1" cm="1">
        <f t="array" ref="I1611">SUMPRODUCT(("TFHGV-ICEdslExt"=[1]OUT_TransportEnergyCons!$A$3:$A$1000)*1,("Var_Fin"=[1]OUT_TransportEnergyCons!$B$3:$B$1000)*1,ISNUMBER(SEARCH("dsl",[1]OUT_TransportEnergyCons!$C$3:$C$1000))*1,[1]OUT_TransportEnergyCons!G$3:G$1000)</f>
        <v>4.9485862483134904</v>
      </c>
      <c r="J1611" s="1" cm="1">
        <f t="array" ref="J1611">SUMPRODUCT(("TFHGV-ICEdslExt"=[2]OUT_TransportEnergyCons!$A$3:$A$1000)*1,("Var_Fin"=[2]OUT_TransportEnergyCons!$B$3:$B$1000)*1,ISNUMBER(SEARCH("dsl",[2]OUT_TransportEnergyCons!$C$3:$C$1000))*1,[2]OUT_TransportEnergyCons!H$3:H$1000)</f>
        <v>0</v>
      </c>
      <c r="K1611" s="1" cm="1">
        <f t="array" ref="K1611">SUMPRODUCT(("TFHGV-ICEdslExt"=[2]OUT_TransportEnergyCons!$A$3:$A$1000)*1,("Var_Fin"=[2]OUT_TransportEnergyCons!$B$3:$B$1000)*1,ISNUMBER(SEARCH("dsl",[2]OUT_TransportEnergyCons!$C$3:$C$1000))*1,[2]OUT_TransportEnergyCons!I$3:I$1000)</f>
        <v>0</v>
      </c>
      <c r="L1611" s="1" cm="1">
        <f t="array" ref="L1611">SUMPRODUCT(("TFHGV-ICEdslExt"=[2]OUT_TransportEnergyCons!$A$3:$A$1000)*1,("Var_Fin"=[2]OUT_TransportEnergyCons!$B$3:$B$1000)*1,ISNUMBER(SEARCH("dsl",[2]OUT_TransportEnergyCons!$C$3:$C$1000))*1,[2]OUT_TransportEnergyCons!J$3:J$1000)</f>
        <v>0</v>
      </c>
      <c r="N1611" s="1"/>
    </row>
    <row r="1612" spans="2:14" x14ac:dyDescent="0.35">
      <c r="B1612" t="str">
        <f t="shared" si="1688"/>
        <v>SPS1</v>
      </c>
      <c r="C1612" t="str">
        <f t="shared" si="1689"/>
        <v>CH</v>
      </c>
      <c r="D1612" t="s">
        <v>1615</v>
      </c>
      <c r="E1612" t="str">
        <f t="shared" si="1695"/>
        <v>PJ/yr.</v>
      </c>
      <c r="F1612" s="1" cm="1">
        <f t="array" ref="F1612">SUMPRODUCT(("TFHGV-ICEdsl"=[1]OUT_TransportEnergyCons!$A$3:$A$1000)*1,("Var_Fin"=[1]OUT_TransportEnergyCons!$B$3:$B$1000)*1,ISNUMBER(SEARCH("dsl",[1]OUT_TransportEnergyCons!$C$3:$C$1000))*1,[1]OUT_TransportEnergyCons!D$3:D$1000)</f>
        <v>5.198627138372145</v>
      </c>
      <c r="G1612" s="1" cm="1">
        <f t="array" ref="G1612">SUMPRODUCT(("TFHGV-ICEdsl"=[1]OUT_TransportEnergyCons!$A$3:$A$1000)*1,("Var_Fin"=[1]OUT_TransportEnergyCons!$B$3:$B$1000)*1,ISNUMBER(SEARCH("dsl",[1]OUT_TransportEnergyCons!$C$3:$C$1000))*1,[1]OUT_TransportEnergyCons!E$3:E$1000)</f>
        <v>4.8046188807438899</v>
      </c>
      <c r="H1612" s="1" cm="1">
        <f t="array" ref="H1612">SUMPRODUCT(("TFHGV-ICEdsl"=[1]OUT_TransportEnergyCons!$A$3:$A$1000)*1,("Var_Fin"=[1]OUT_TransportEnergyCons!$B$3:$B$1000)*1,ISNUMBER(SEARCH("dsl",[1]OUT_TransportEnergyCons!$C$3:$C$1000))*1,[1]OUT_TransportEnergyCons!F$3:F$1000)</f>
        <v>4.3419388057865804</v>
      </c>
      <c r="I1612" s="1" cm="1">
        <f t="array" ref="I1612">SUMPRODUCT(("TFHGV-ICEdsl"=[1]OUT_TransportEnergyCons!$A$3:$A$1000)*1,("Var_Fin"=[1]OUT_TransportEnergyCons!$B$3:$B$1000)*1,ISNUMBER(SEARCH("dsl",[1]OUT_TransportEnergyCons!$C$3:$C$1000))*1,[1]OUT_TransportEnergyCons!G$3:G$1000)</f>
        <v>0.43932563911511552</v>
      </c>
      <c r="J1612" s="1" cm="1">
        <f t="array" ref="J1612">SUMPRODUCT(("TFHGV-ICEdsl"=[2]OUT_TransportEnergyCons!$A$3:$A$1000)*1,("Var_Fin"=[2]OUT_TransportEnergyCons!$B$3:$B$1000)*1,ISNUMBER(SEARCH("dsl",[2]OUT_TransportEnergyCons!$C$3:$C$1000))*1,[2]OUT_TransportEnergyCons!H$3:H$1000)</f>
        <v>1.4070469369928962E-3</v>
      </c>
      <c r="K1612" s="1" cm="1">
        <f t="array" ref="K1612">SUMPRODUCT(("TFHGV-ICEdsl"=[2]OUT_TransportEnergyCons!$A$3:$A$1000)*1,("Var_Fin"=[2]OUT_TransportEnergyCons!$B$3:$B$1000)*1,ISNUMBER(SEARCH("dsl",[2]OUT_TransportEnergyCons!$C$3:$C$1000))*1,[2]OUT_TransportEnergyCons!I$3:I$1000)</f>
        <v>2.0204839701612057E-3</v>
      </c>
      <c r="L1612" s="1" cm="1">
        <f t="array" ref="L1612">SUMPRODUCT(("TFHGV-ICEdsl"=[2]OUT_TransportEnergyCons!$A$3:$A$1000)*1,("Var_Fin"=[2]OUT_TransportEnergyCons!$B$3:$B$1000)*1,ISNUMBER(SEARCH("dsl",[2]OUT_TransportEnergyCons!$C$3:$C$1000))*1,[2]OUT_TransportEnergyCons!J$3:J$1000)</f>
        <v>6.5877079144987269E-4</v>
      </c>
      <c r="N1612" s="1"/>
    </row>
    <row r="1613" spans="2:14" x14ac:dyDescent="0.35">
      <c r="B1613" t="str">
        <f t="shared" si="1688"/>
        <v>SPS1</v>
      </c>
      <c r="C1613" t="str">
        <f t="shared" si="1689"/>
        <v>CH</v>
      </c>
      <c r="D1613" t="s">
        <v>1616</v>
      </c>
      <c r="E1613" t="str">
        <f t="shared" si="1695"/>
        <v>PJ/yr.</v>
      </c>
      <c r="F1613" s="1" cm="1">
        <f t="array" ref="F1613">SUMPRODUCT(("TFHGV-HYBDSL"=[1]OUT_TransportEnergyCons!$A$3:$A$1000)*1,("Var_Fin"=[1]OUT_TransportEnergyCons!$B$3:$B$1000)*1,ISNUMBER(SEARCH("dsl",[1]OUT_TransportEnergyCons!$C$3:$C$1000))*1,[1]OUT_TransportEnergyCons!D$3:D$1000)</f>
        <v>0</v>
      </c>
      <c r="G1613" s="1" cm="1">
        <f t="array" ref="G1613">SUMPRODUCT(("TFHGV-HYBDSL"=[1]OUT_TransportEnergyCons!$A$3:$A$1000)*1,("Var_Fin"=[1]OUT_TransportEnergyCons!$B$3:$B$1000)*1,ISNUMBER(SEARCH("dsl",[1]OUT_TransportEnergyCons!$C$3:$C$1000))*1,[1]OUT_TransportEnergyCons!E$3:E$1000)</f>
        <v>2.0919882731773516</v>
      </c>
      <c r="H1613" s="1" cm="1">
        <f t="array" ref="H1613">SUMPRODUCT(("TFHGV-HYBDSL"=[1]OUT_TransportEnergyCons!$A$3:$A$1000)*1,("Var_Fin"=[1]OUT_TransportEnergyCons!$B$3:$B$1000)*1,ISNUMBER(SEARCH("dsl",[1]OUT_TransportEnergyCons!$C$3:$C$1000))*1,[1]OUT_TransportEnergyCons!F$3:F$1000)</f>
        <v>4.4992489727267619</v>
      </c>
      <c r="I1613" s="1" cm="1">
        <f t="array" ref="I1613">SUMPRODUCT(("TFHGV-HYBDSL"=[1]OUT_TransportEnergyCons!$A$3:$A$1000)*1,("Var_Fin"=[1]OUT_TransportEnergyCons!$B$3:$B$1000)*1,ISNUMBER(SEARCH("dsl",[1]OUT_TransportEnergyCons!$C$3:$C$1000))*1,[1]OUT_TransportEnergyCons!G$3:G$1000)</f>
        <v>11.164942872437734</v>
      </c>
      <c r="J1613" s="1" cm="1">
        <f t="array" ref="J1613">SUMPRODUCT(("TFHGV-HYBDSL"=[2]OUT_TransportEnergyCons!$A$3:$A$1000)*1,("Var_Fin"=[2]OUT_TransportEnergyCons!$B$3:$B$1000)*1,ISNUMBER(SEARCH("dsl",[2]OUT_TransportEnergyCons!$C$3:$C$1000))*1,[2]OUT_TransportEnergyCons!H$3:H$1000)</f>
        <v>14.703574690817813</v>
      </c>
      <c r="K1613" s="1" cm="1">
        <f t="array" ref="K1613">SUMPRODUCT(("TFHGV-HYBDSL"=[2]OUT_TransportEnergyCons!$A$3:$A$1000)*1,("Var_Fin"=[2]OUT_TransportEnergyCons!$B$3:$B$1000)*1,ISNUMBER(SEARCH("dsl",[2]OUT_TransportEnergyCons!$C$3:$C$1000))*1,[2]OUT_TransportEnergyCons!I$3:I$1000)</f>
        <v>15.320135839999566</v>
      </c>
      <c r="L1613" s="1" cm="1">
        <f t="array" ref="L1613">SUMPRODUCT(("TFHGV-HYBDSL"=[2]OUT_TransportEnergyCons!$A$3:$A$1000)*1,("Var_Fin"=[2]OUT_TransportEnergyCons!$B$3:$B$1000)*1,ISNUMBER(SEARCH("dsl",[2]OUT_TransportEnergyCons!$C$3:$C$1000))*1,[2]OUT_TransportEnergyCons!J$3:J$1000)</f>
        <v>16.565983652669154</v>
      </c>
      <c r="N1613" s="1"/>
    </row>
    <row r="1614" spans="2:14" x14ac:dyDescent="0.35">
      <c r="B1614" t="str">
        <f t="shared" si="1688"/>
        <v>SPS1</v>
      </c>
      <c r="C1614" t="str">
        <f t="shared" si="1689"/>
        <v>CH</v>
      </c>
      <c r="D1614" t="s">
        <v>1617</v>
      </c>
      <c r="E1614" t="str">
        <f t="shared" si="1695"/>
        <v>PJ/yr.</v>
      </c>
      <c r="F1614" s="1">
        <f>F1619</f>
        <v>6.2711759877021683E-2</v>
      </c>
      <c r="G1614" s="1">
        <f t="shared" ref="G1614:K1614" si="1712">G1619</f>
        <v>4.0698522000365313E-3</v>
      </c>
      <c r="H1614" s="1">
        <f t="shared" si="1712"/>
        <v>5.6801901995569533E-3</v>
      </c>
      <c r="I1614" s="1">
        <f t="shared" si="1712"/>
        <v>5.4411760958365859E-3</v>
      </c>
      <c r="J1614" s="1">
        <f t="shared" si="1712"/>
        <v>2.8538418051854055E-3</v>
      </c>
      <c r="K1614" s="1">
        <f t="shared" si="1712"/>
        <v>2.7681277660060915E-3</v>
      </c>
      <c r="L1614" s="1">
        <f t="shared" ref="L1614" si="1713">L1619</f>
        <v>2.5906943491640689E-3</v>
      </c>
      <c r="N1614" s="1"/>
    </row>
    <row r="1615" spans="2:14" x14ac:dyDescent="0.35">
      <c r="B1615" t="str">
        <f t="shared" si="1688"/>
        <v>SPS1</v>
      </c>
      <c r="C1615" t="str">
        <f t="shared" si="1689"/>
        <v>CH</v>
      </c>
      <c r="D1615" t="s">
        <v>1618</v>
      </c>
      <c r="E1615" t="str">
        <f t="shared" si="1695"/>
        <v>PJ/yr.</v>
      </c>
      <c r="F1615" s="1">
        <f>IF(F1614-F1616&lt;0,0,F1614-F1616)</f>
        <v>5.8018589838107842E-2</v>
      </c>
      <c r="G1615" s="1">
        <f t="shared" ref="G1615:L1615" si="1714">IF(G1614-G1616&lt;0,0,G1614-G1616)</f>
        <v>3.6703153534165299E-3</v>
      </c>
      <c r="H1615" s="1">
        <f t="shared" si="1714"/>
        <v>5.158877605397412E-3</v>
      </c>
      <c r="I1615" s="1">
        <f t="shared" si="1714"/>
        <v>5.2284549551692254E-3</v>
      </c>
      <c r="J1615" s="1">
        <f t="shared" si="1714"/>
        <v>0</v>
      </c>
      <c r="K1615" s="1">
        <f t="shared" si="1714"/>
        <v>0</v>
      </c>
      <c r="L1615" s="1">
        <f t="shared" si="1714"/>
        <v>0</v>
      </c>
      <c r="N1615" s="1"/>
    </row>
    <row r="1616" spans="2:14" x14ac:dyDescent="0.35">
      <c r="B1616" t="str">
        <f t="shared" si="1688"/>
        <v>SPS1</v>
      </c>
      <c r="C1616" t="str">
        <f t="shared" si="1689"/>
        <v>CH</v>
      </c>
      <c r="D1616" t="s">
        <v>1619</v>
      </c>
      <c r="E1616" t="str">
        <f t="shared" si="1695"/>
        <v>PJ/yr.</v>
      </c>
      <c r="F1616" s="1">
        <f>SUM(F1617:F1618)</f>
        <v>4.6931700389138435E-3</v>
      </c>
      <c r="G1616" s="1">
        <f t="shared" ref="G1616:K1616" si="1715">SUM(G1617:G1618)</f>
        <v>3.9953684662000135E-4</v>
      </c>
      <c r="H1616" s="1">
        <f t="shared" si="1715"/>
        <v>5.2131259415954167E-4</v>
      </c>
      <c r="I1616" s="1">
        <f t="shared" si="1715"/>
        <v>2.1272114066736025E-4</v>
      </c>
      <c r="J1616" s="1">
        <f t="shared" si="1715"/>
        <v>3.3378057095895313E-3</v>
      </c>
      <c r="K1616" s="1">
        <f t="shared" si="1715"/>
        <v>2.8300336552280849E-3</v>
      </c>
      <c r="L1616" s="1">
        <f t="shared" ref="L1616" si="1716">SUM(L1617:L1618)</f>
        <v>2.6351104351095465E-3</v>
      </c>
      <c r="N1616" s="1"/>
    </row>
    <row r="1617" spans="2:14" x14ac:dyDescent="0.35">
      <c r="B1617" t="str">
        <f t="shared" si="1688"/>
        <v>SPS1</v>
      </c>
      <c r="C1617" t="str">
        <f t="shared" si="1689"/>
        <v>CH</v>
      </c>
      <c r="D1617" t="s">
        <v>1620</v>
      </c>
      <c r="E1617" t="str">
        <f t="shared" si="1695"/>
        <v>PJ/yr.</v>
      </c>
      <c r="F1617" s="1">
        <f>[1]Transport!B$27/SUM([1]Transport!B$24,[1]Transport!B$27)*F1614*(F$47+F$614)/(F$47+F$614+F$49)</f>
        <v>4.6931700389138435E-3</v>
      </c>
      <c r="G1617" s="1">
        <f>[1]Transport!C$27/SUM([1]Transport!C$24,[1]Transport!C$27)*G1614*(G$47+G$614)/(G$47+G$614+G$49)</f>
        <v>3.9953684662000135E-4</v>
      </c>
      <c r="H1617" s="1">
        <f>[1]Transport!D$27/SUM([1]Transport!D$24,[1]Transport!D$27)*H1614*(H$47+H$614)/(H$47+H$614+H$49)</f>
        <v>5.2131259415954167E-4</v>
      </c>
      <c r="I1617" s="1">
        <f>[1]Transport!E$27/SUM([1]Transport!E$24,[1]Transport!E$27)*I1614*(I$47+I$614)/(I$47+I$614+I$49)</f>
        <v>2.1272114066736025E-4</v>
      </c>
      <c r="J1617" s="1">
        <f>[2]Transport!F$27/SUM([2]Transport!F$24,[2]Transport!F$27)*J1614*(J$47+J$614)/(J$47+J$614+J$49)</f>
        <v>4.8396390440412582E-4</v>
      </c>
      <c r="K1617" s="1">
        <f>[2]Transport!G$27/SUM([2]Transport!G$24,[2]Transport!G$27)*K1614*(K$47+K$614)/(K$47+K$614+K$49)</f>
        <v>6.1905889221993318E-5</v>
      </c>
      <c r="L1617" s="1">
        <f>[2]Transport!H$27/SUM([2]Transport!H$24,[2]Transport!H$27)*L1614*(L$47+L$614)/(L$47+L$614+L$49)</f>
        <v>4.4416085945477734E-5</v>
      </c>
      <c r="N1617" s="1"/>
    </row>
    <row r="1618" spans="2:14" x14ac:dyDescent="0.35">
      <c r="B1618" t="str">
        <f t="shared" si="1688"/>
        <v>SPS1</v>
      </c>
      <c r="C1618" t="str">
        <f t="shared" si="1689"/>
        <v>CH</v>
      </c>
      <c r="D1618" t="s">
        <v>1621</v>
      </c>
      <c r="E1618" t="str">
        <f t="shared" si="1695"/>
        <v>PJ/yr.</v>
      </c>
      <c r="F1618" s="1">
        <f>IF((F$49+F$716)/([1]Transport!B$24+[1]Transport!B$27)*F1614&gt;F1614,F1614,(F$49+F$716)/([1]Transport!B$24+[1]Transport!B$27)*F1614)</f>
        <v>0</v>
      </c>
      <c r="G1618" s="1">
        <f>IF((G$49+G$716)/([1]Transport!C$24+[1]Transport!C$27)*G1614&gt;G1614,G1614,(G$49+G$716)/([1]Transport!C$24+[1]Transport!C$27)*G1614)</f>
        <v>0</v>
      </c>
      <c r="H1618" s="1">
        <f>IF((H$49+H$716)/([1]Transport!D$24+[1]Transport!D$27)*H1614&gt;H1614,H1614,(H$49+H$716)/([1]Transport!D$24+[1]Transport!D$27)*H1614)</f>
        <v>0</v>
      </c>
      <c r="I1618" s="1">
        <f>IF((I$49+I$716)/([1]Transport!E$24+[1]Transport!E$27)*I1614&gt;I1614,I1614,(I$49+I$716)/([1]Transport!E$24+[1]Transport!E$27)*I1614)</f>
        <v>0</v>
      </c>
      <c r="J1618" s="1">
        <f>IF((J$49+J$716)/([2]Transport!F$24+[2]Transport!F$27)*J1614&gt;J1614,J1614,(J$49+J$716)/([2]Transport!F$24+[2]Transport!F$27)*J1614)</f>
        <v>2.8538418051854055E-3</v>
      </c>
      <c r="K1618" s="1">
        <f>IF((K$49+K$716)/([2]Transport!G$24+[2]Transport!G$27)*K1614&gt;K1614,K1614,(K$49+K$716)/([2]Transport!G$24+[2]Transport!G$27)*K1614)</f>
        <v>2.7681277660060915E-3</v>
      </c>
      <c r="L1618" s="1">
        <f>IF((L$49+L$716)/([2]Transport!H$24+[2]Transport!H$27)*L1614&gt;L1614,L1614,(L$49+L$716)/([2]Transport!H$24+[2]Transport!H$27)*L1614)</f>
        <v>2.5906943491640689E-3</v>
      </c>
      <c r="N1618" s="1"/>
    </row>
    <row r="1619" spans="2:14" x14ac:dyDescent="0.35">
      <c r="B1619" t="str">
        <f t="shared" si="1688"/>
        <v>SPS1</v>
      </c>
      <c r="C1619" t="str">
        <f t="shared" si="1689"/>
        <v>CH</v>
      </c>
      <c r="D1619" t="s">
        <v>1622</v>
      </c>
      <c r="E1619" t="str">
        <f t="shared" si="1695"/>
        <v>PJ/yr.</v>
      </c>
      <c r="F1619" s="1" cm="1">
        <f t="array" ref="F1619">SUMPRODUCT(("TFHGV-ICENGA"=[1]OUT_TransportEnergyCons!$A$3:$A$1000)*1,("Var_Fin"=[1]OUT_TransportEnergyCons!$B$3:$B$1000)*1,ISNUMBER(SEARCH("nga",[1]OUT_TransportEnergyCons!$C$3:$C$1000))*1,[1]OUT_TransportEnergyCons!D$3:D$1000)</f>
        <v>6.2711759877021683E-2</v>
      </c>
      <c r="G1619" s="1" cm="1">
        <f t="array" ref="G1619">SUMPRODUCT(("TFHGV-ICENGA"=[1]OUT_TransportEnergyCons!$A$3:$A$1000)*1,("Var_Fin"=[1]OUT_TransportEnergyCons!$B$3:$B$1000)*1,ISNUMBER(SEARCH("nga",[1]OUT_TransportEnergyCons!$C$3:$C$1000))*1,[1]OUT_TransportEnergyCons!E$3:E$1000)</f>
        <v>4.0698522000365313E-3</v>
      </c>
      <c r="H1619" s="1" cm="1">
        <f t="array" ref="H1619">SUMPRODUCT(("TFHGV-ICENGA"=[1]OUT_TransportEnergyCons!$A$3:$A$1000)*1,("Var_Fin"=[1]OUT_TransportEnergyCons!$B$3:$B$1000)*1,ISNUMBER(SEARCH("nga",[1]OUT_TransportEnergyCons!$C$3:$C$1000))*1,[1]OUT_TransportEnergyCons!F$3:F$1000)</f>
        <v>5.6801901995569533E-3</v>
      </c>
      <c r="I1619" s="1" cm="1">
        <f t="array" ref="I1619">SUMPRODUCT(("TFHGV-ICENGA"=[1]OUT_TransportEnergyCons!$A$3:$A$1000)*1,("Var_Fin"=[1]OUT_TransportEnergyCons!$B$3:$B$1000)*1,ISNUMBER(SEARCH("nga",[1]OUT_TransportEnergyCons!$C$3:$C$1000))*1,[1]OUT_TransportEnergyCons!G$3:G$1000)</f>
        <v>5.4411760958365859E-3</v>
      </c>
      <c r="J1619" s="1" cm="1">
        <f t="array" ref="J1619">SUMPRODUCT(("TFHGV-ICENGA"=[2]OUT_TransportEnergyCons!$A$3:$A$1000)*1,("Var_Fin"=[2]OUT_TransportEnergyCons!$B$3:$B$1000)*1,ISNUMBER(SEARCH("nga",[2]OUT_TransportEnergyCons!$C$3:$C$1000))*1,[2]OUT_TransportEnergyCons!H$3:H$1000)</f>
        <v>2.8538418051854055E-3</v>
      </c>
      <c r="K1619" s="1" cm="1">
        <f t="array" ref="K1619">SUMPRODUCT(("TFHGV-ICENGA"=[2]OUT_TransportEnergyCons!$A$3:$A$1000)*1,("Var_Fin"=[2]OUT_TransportEnergyCons!$B$3:$B$1000)*1,ISNUMBER(SEARCH("nga",[2]OUT_TransportEnergyCons!$C$3:$C$1000))*1,[2]OUT_TransportEnergyCons!I$3:I$1000)</f>
        <v>2.7681277660060915E-3</v>
      </c>
      <c r="L1619" s="1" cm="1">
        <f t="array" ref="L1619">SUMPRODUCT(("TFHGV-ICENGA"=[2]OUT_TransportEnergyCons!$A$3:$A$1000)*1,("Var_Fin"=[2]OUT_TransportEnergyCons!$B$3:$B$1000)*1,ISNUMBER(SEARCH("nga",[2]OUT_TransportEnergyCons!$C$3:$C$1000))*1,[2]OUT_TransportEnergyCons!J$3:J$1000)</f>
        <v>2.5906943491640689E-3</v>
      </c>
      <c r="N1619" s="1"/>
    </row>
    <row r="1620" spans="2:14" x14ac:dyDescent="0.35">
      <c r="B1620" s="2" t="str">
        <f t="shared" si="1688"/>
        <v>SPS1</v>
      </c>
      <c r="C1620" s="2" t="str">
        <f t="shared" si="1689"/>
        <v>CH</v>
      </c>
      <c r="D1620" s="2" t="s">
        <v>1623</v>
      </c>
      <c r="E1620" s="2" t="s">
        <v>1517</v>
      </c>
      <c r="F1620" s="3">
        <f>SUM(F1621:F1629)</f>
        <v>2.2034082343554204</v>
      </c>
      <c r="G1620" s="3">
        <f t="shared" ref="G1620" si="1717">SUM(G1621:G1629)</f>
        <v>2.2263445037579528</v>
      </c>
      <c r="H1620" s="3">
        <f t="shared" ref="H1620" si="1718">SUM(H1621:H1629)</f>
        <v>2.2568834577116199</v>
      </c>
      <c r="I1620" s="3">
        <f t="shared" ref="I1620" si="1719">SUM(I1621:I1629)</f>
        <v>2.310358094685204</v>
      </c>
      <c r="J1620" s="3">
        <f t="shared" ref="J1620" si="1720">SUM(J1621:J1629)</f>
        <v>2.4043294893323508</v>
      </c>
      <c r="K1620" s="3">
        <f t="shared" ref="K1620:L1620" si="1721">SUM(K1621:K1629)</f>
        <v>2.5053213246676398</v>
      </c>
      <c r="L1620" s="3">
        <f t="shared" si="1721"/>
        <v>2.7086352176073865</v>
      </c>
      <c r="N1620" s="1"/>
    </row>
    <row r="1621" spans="2:14" x14ac:dyDescent="0.35">
      <c r="B1621" t="str">
        <f t="shared" si="1688"/>
        <v>SPS1</v>
      </c>
      <c r="C1621" t="str">
        <f t="shared" si="1689"/>
        <v>CH</v>
      </c>
      <c r="D1621" t="s">
        <v>1624</v>
      </c>
      <c r="E1621" t="s">
        <v>1517</v>
      </c>
      <c r="F1621" s="1" cm="1">
        <f t="array" ref="F1621">SUMPRODUCT(("TFHGV-BeVELCExt"=[1]OUT_TransportEnergyCons!$A$3:$A$1000)*1,("var_fout"=[1]OUT_TransportEnergyCons!$B$3:$B$1000)*1,ISNUMBER(SEARCH("TFHGV",[1]OUT_TransportEnergyCons!$C$3:$C$1000))*1,[1]OUT_TransportEnergyCons!D$3:D$1000)</f>
        <v>0</v>
      </c>
      <c r="G1621" s="1" cm="1">
        <f t="array" ref="G1621">SUMPRODUCT(("TFHGV-BeVELCExt"=[1]OUT_TransportEnergyCons!$A$3:$A$1000)*1,("var_fout"=[1]OUT_TransportEnergyCons!$B$3:$B$1000)*1,ISNUMBER(SEARCH("TFHGV",[1]OUT_TransportEnergyCons!$C$3:$C$1000))*1,[1]OUT_TransportEnergyCons!E$3:E$1000)</f>
        <v>0</v>
      </c>
      <c r="H1621" s="1" cm="1">
        <f t="array" ref="H1621">SUMPRODUCT(("TFHGV-BeVELCExt"=[1]OUT_TransportEnergyCons!$A$3:$A$1000)*1,("var_fout"=[1]OUT_TransportEnergyCons!$B$3:$B$1000)*1,ISNUMBER(SEARCH("TFHGV",[1]OUT_TransportEnergyCons!$C$3:$C$1000))*1,[1]OUT_TransportEnergyCons!F$3:F$1000)</f>
        <v>0</v>
      </c>
      <c r="I1621" s="1" cm="1">
        <f t="array" ref="I1621">SUMPRODUCT(("TFHGV-BeVELCExt"=[1]OUT_TransportEnergyCons!$A$3:$A$1000)*1,("var_fout"=[1]OUT_TransportEnergyCons!$B$3:$B$1000)*1,ISNUMBER(SEARCH("TFHGV",[1]OUT_TransportEnergyCons!$C$3:$C$1000))*1,[1]OUT_TransportEnergyCons!G$3:G$1000)</f>
        <v>0</v>
      </c>
      <c r="J1621" s="1" cm="1">
        <f t="array" ref="J1621">SUMPRODUCT(("TFHGV-BeVELCExt"=[2]OUT_TransportEnergyCons!$A$3:$A$1000)*1,("var_fout"=[2]OUT_TransportEnergyCons!$B$3:$B$1000)*1,ISNUMBER(SEARCH("TFHGV",[2]OUT_TransportEnergyCons!$C$3:$C$1000))*1,[2]OUT_TransportEnergyCons!H$3:H$1000)</f>
        <v>0</v>
      </c>
      <c r="K1621" s="1" cm="1">
        <f t="array" ref="K1621">SUMPRODUCT(("TFHGV-BeVELCExt"=[2]OUT_TransportEnergyCons!$A$3:$A$1000)*1,("var_fout"=[2]OUT_TransportEnergyCons!$B$3:$B$1000)*1,ISNUMBER(SEARCH("TFHGV",[2]OUT_TransportEnergyCons!$C$3:$C$1000))*1,[2]OUT_TransportEnergyCons!I$3:I$1000)</f>
        <v>0</v>
      </c>
      <c r="L1621" s="1" cm="1">
        <f t="array" ref="L1621">SUMPRODUCT(("TFHGV-BeVELCExt"=[2]OUT_TransportEnergyCons!$A$3:$A$1000)*1,("var_fout"=[2]OUT_TransportEnergyCons!$B$3:$B$1000)*1,ISNUMBER(SEARCH("TFHGV",[2]OUT_TransportEnergyCons!$C$3:$C$1000))*1,[2]OUT_TransportEnergyCons!J$3:J$1000)</f>
        <v>0</v>
      </c>
      <c r="N1621" s="1"/>
    </row>
    <row r="1622" spans="2:14" x14ac:dyDescent="0.35">
      <c r="B1622" t="str">
        <f t="shared" si="1688"/>
        <v>SPS1</v>
      </c>
      <c r="C1622" t="str">
        <f t="shared" si="1689"/>
        <v>CH</v>
      </c>
      <c r="D1622" t="s">
        <v>1625</v>
      </c>
      <c r="E1622" t="s">
        <v>1517</v>
      </c>
      <c r="F1622" s="1" cm="1">
        <f t="array" ref="F1622">SUMPRODUCT(("TFHGV-BEVELC"=[1]OUT_TransportEnergyCons!$A$3:$A$1000)*1,("var_fout"=[1]OUT_TransportEnergyCons!$B$3:$B$1000)*1,ISNUMBER(SEARCH("TFHGV",[1]OUT_TransportEnergyCons!$C$3:$C$1000))*1,[1]OUT_TransportEnergyCons!D$3:D$1000)</f>
        <v>2.7508551380735608E-3</v>
      </c>
      <c r="G1622" s="1" cm="1">
        <f t="array" ref="G1622">SUMPRODUCT(("TFHGV-BEVELC"=[1]OUT_TransportEnergyCons!$A$3:$A$1000)*1,("var_fout"=[1]OUT_TransportEnergyCons!$B$3:$B$1000)*1,ISNUMBER(SEARCH("TFHGV",[1]OUT_TransportEnergyCons!$C$3:$C$1000))*1,[1]OUT_TransportEnergyCons!E$3:E$1000)</f>
        <v>6.6967223268505011E-3</v>
      </c>
      <c r="H1622" s="1" cm="1">
        <f t="array" ref="H1622">SUMPRODUCT(("TFHGV-BEVELC"=[1]OUT_TransportEnergyCons!$A$3:$A$1000)*1,("var_fout"=[1]OUT_TransportEnergyCons!$B$3:$B$1000)*1,ISNUMBER(SEARCH("TFHGV",[1]OUT_TransportEnergyCons!$C$3:$C$1000))*1,[1]OUT_TransportEnergyCons!F$3:F$1000)</f>
        <v>6.4174225023840301E-3</v>
      </c>
      <c r="I1622" s="1" cm="1">
        <f t="array" ref="I1622">SUMPRODUCT(("TFHGV-BEVELC"=[1]OUT_TransportEnergyCons!$A$3:$A$1000)*1,("var_fout"=[1]OUT_TransportEnergyCons!$B$3:$B$1000)*1,ISNUMBER(SEARCH("TFHGV",[1]OUT_TransportEnergyCons!$C$3:$C$1000))*1,[1]OUT_TransportEnergyCons!G$3:G$1000)</f>
        <v>1.67166583851276E-3</v>
      </c>
      <c r="J1622" s="1" cm="1">
        <f t="array" ref="J1622">SUMPRODUCT(("TFHGV-BEVELC"=[2]OUT_TransportEnergyCons!$A$3:$A$1000)*1,("var_fout"=[2]OUT_TransportEnergyCons!$B$3:$B$1000)*1,ISNUMBER(SEARCH("TFHGV",[2]OUT_TransportEnergyCons!$C$3:$C$1000))*1,[2]OUT_TransportEnergyCons!H$3:H$1000)</f>
        <v>2.6662049553907702E-4</v>
      </c>
      <c r="K1622" s="1" cm="1">
        <f t="array" ref="K1622">SUMPRODUCT(("TFHGV-BEVELC"=[2]OUT_TransportEnergyCons!$A$3:$A$1000)*1,("var_fout"=[2]OUT_TransportEnergyCons!$B$3:$B$1000)*1,ISNUMBER(SEARCH("TFHGV",[2]OUT_TransportEnergyCons!$C$3:$C$1000))*1,[2]OUT_TransportEnergyCons!I$3:I$1000)</f>
        <v>4.0014484059495623E-4</v>
      </c>
      <c r="L1622" s="1" cm="1">
        <f t="array" ref="L1622">SUMPRODUCT(("TFHGV-BEVELC"=[2]OUT_TransportEnergyCons!$A$3:$A$1000)*1,("var_fout"=[2]OUT_TransportEnergyCons!$B$3:$B$1000)*1,ISNUMBER(SEARCH("TFHGV",[2]OUT_TransportEnergyCons!$C$3:$C$1000))*1,[2]OUT_TransportEnergyCons!J$3:J$1000)</f>
        <v>2.1587834917657274E-4</v>
      </c>
      <c r="N1622" s="1"/>
    </row>
    <row r="1623" spans="2:14" x14ac:dyDescent="0.35">
      <c r="B1623" t="str">
        <f t="shared" si="1688"/>
        <v>SPS1</v>
      </c>
      <c r="C1623" t="str">
        <f t="shared" si="1689"/>
        <v>CH</v>
      </c>
      <c r="D1623" t="s">
        <v>1626</v>
      </c>
      <c r="E1623" t="s">
        <v>1517</v>
      </c>
      <c r="F1623" s="1" cm="1">
        <f t="array" ref="F1623">SUMPRODUCT(("TFHGV-FCLH2O"=[1]OUT_TransportEnergyCons!$A$3:$A$1000)*1,("var_fout"=[1]OUT_TransportEnergyCons!$B$3:$B$1000)*1,ISNUMBER(SEARCH("TFHGV",[1]OUT_TransportEnergyCons!$C$3:$C$1000))*1,[1]OUT_TransportEnergyCons!D$3:D$1000)</f>
        <v>3.748609408869645E-4</v>
      </c>
      <c r="G1623" s="1" cm="1">
        <f t="array" ref="G1623">SUMPRODUCT(("TFHGV-FCLH2O"=[1]OUT_TransportEnergyCons!$A$3:$A$1000)*1,("var_fout"=[1]OUT_TransportEnergyCons!$B$3:$B$1000)*1,ISNUMBER(SEARCH("TFHGV",[1]OUT_TransportEnergyCons!$C$3:$C$1000))*1,[1]OUT_TransportEnergyCons!E$3:E$1000)</f>
        <v>3.2232611772582516E-5</v>
      </c>
      <c r="H1623" s="1" cm="1">
        <f t="array" ref="H1623">SUMPRODUCT(("TFHGV-FCLH2O"=[1]OUT_TransportEnergyCons!$A$3:$A$1000)*1,("var_fout"=[1]OUT_TransportEnergyCons!$B$3:$B$1000)*1,ISNUMBER(SEARCH("TFHGV",[1]OUT_TransportEnergyCons!$C$3:$C$1000))*1,[1]OUT_TransportEnergyCons!F$3:F$1000)</f>
        <v>3.4946160017248713E-5</v>
      </c>
      <c r="I1623" s="1" cm="1">
        <f t="array" ref="I1623">SUMPRODUCT(("TFHGV-FCLH2O"=[1]OUT_TransportEnergyCons!$A$3:$A$1000)*1,("var_fout"=[1]OUT_TransportEnergyCons!$B$3:$B$1000)*1,ISNUMBER(SEARCH("TFHGV",[1]OUT_TransportEnergyCons!$C$3:$C$1000))*1,[1]OUT_TransportEnergyCons!G$3:G$1000)</f>
        <v>1.9762372462176124E-5</v>
      </c>
      <c r="J1623" s="1" cm="1">
        <f t="array" ref="J1623">SUMPRODUCT(("TFHGV-FCLH2O"=[2]OUT_TransportEnergyCons!$A$3:$A$1000)*1,("var_fout"=[2]OUT_TransportEnergyCons!$B$3:$B$1000)*1,ISNUMBER(SEARCH("TFHGV",[2]OUT_TransportEnergyCons!$C$3:$C$1000))*1,[2]OUT_TransportEnergyCons!H$3:H$1000)</f>
        <v>1.9542623692184806E-5</v>
      </c>
      <c r="K1623" s="1" cm="1">
        <f t="array" ref="K1623">SUMPRODUCT(("TFHGV-FCLH2O"=[2]OUT_TransportEnergyCons!$A$3:$A$1000)*1,("var_fout"=[2]OUT_TransportEnergyCons!$B$3:$B$1000)*1,ISNUMBER(SEARCH("TFHGV",[2]OUT_TransportEnergyCons!$C$3:$C$1000))*1,[2]OUT_TransportEnergyCons!I$3:I$1000)</f>
        <v>1.9274562805678992E-5</v>
      </c>
      <c r="L1623" s="1" cm="1">
        <f t="array" ref="L1623">SUMPRODUCT(("TFHGV-FCLH2O"=[2]OUT_TransportEnergyCons!$A$3:$A$1000)*1,("var_fout"=[2]OUT_TransportEnergyCons!$B$3:$B$1000)*1,ISNUMBER(SEARCH("TFHGV",[2]OUT_TransportEnergyCons!$C$3:$C$1000))*1,[2]OUT_TransportEnergyCons!J$3:J$1000)</f>
        <v>1.8417155315076376E-5</v>
      </c>
      <c r="N1623" s="1"/>
    </row>
    <row r="1624" spans="2:14" x14ac:dyDescent="0.35">
      <c r="B1624" t="str">
        <f t="shared" si="1688"/>
        <v>SPS1</v>
      </c>
      <c r="C1624" t="str">
        <f t="shared" si="1689"/>
        <v>CH</v>
      </c>
      <c r="D1624" t="s">
        <v>1627</v>
      </c>
      <c r="E1624" t="s">
        <v>1517</v>
      </c>
      <c r="F1624" s="1" cm="1">
        <f t="array" ref="F1624">SUMPRODUCT(("TFHGV-ICEGSLExt"=[1]OUT_TransportEnergyCons!$A$3:$A$1000)*1,("var_fout"=[1]OUT_TransportEnergyCons!$B$3:$B$1000)*1,ISNUMBER(SEARCH("TFHGV",[1]OUT_TransportEnergyCons!$C$3:$C$1000))*1,[1]OUT_TransportEnergyCons!D$3:D$1000)</f>
        <v>0</v>
      </c>
      <c r="G1624" s="1" cm="1">
        <f t="array" ref="G1624">SUMPRODUCT(("TFHGV-ICEGSLExt"=[1]OUT_TransportEnergyCons!$A$3:$A$1000)*1,("var_fout"=[1]OUT_TransportEnergyCons!$B$3:$B$1000)*1,ISNUMBER(SEARCH("TFHGV",[1]OUT_TransportEnergyCons!$C$3:$C$1000))*1,[1]OUT_TransportEnergyCons!E$3:E$1000)</f>
        <v>0</v>
      </c>
      <c r="H1624" s="1" cm="1">
        <f t="array" ref="H1624">SUMPRODUCT(("TFHGV-ICEGSLExt"=[1]OUT_TransportEnergyCons!$A$3:$A$1000)*1,("var_fout"=[1]OUT_TransportEnergyCons!$B$3:$B$1000)*1,ISNUMBER(SEARCH("TFHGV",[1]OUT_TransportEnergyCons!$C$3:$C$1000))*1,[1]OUT_TransportEnergyCons!F$3:F$1000)</f>
        <v>0</v>
      </c>
      <c r="I1624" s="1" cm="1">
        <f t="array" ref="I1624">SUMPRODUCT(("TFHGV-ICEGSLExt"=[1]OUT_TransportEnergyCons!$A$3:$A$1000)*1,("var_fout"=[1]OUT_TransportEnergyCons!$B$3:$B$1000)*1,ISNUMBER(SEARCH("TFHGV",[1]OUT_TransportEnergyCons!$C$3:$C$1000))*1,[1]OUT_TransportEnergyCons!G$3:G$1000)</f>
        <v>0</v>
      </c>
      <c r="J1624" s="1" cm="1">
        <f t="array" ref="J1624">SUMPRODUCT(("TFHGV-ICEGSLExt"=[2]OUT_TransportEnergyCons!$A$3:$A$1000)*1,("var_fout"=[2]OUT_TransportEnergyCons!$B$3:$B$1000)*1,ISNUMBER(SEARCH("TFHGV",[2]OUT_TransportEnergyCons!$C$3:$C$1000))*1,[2]OUT_TransportEnergyCons!H$3:H$1000)</f>
        <v>0</v>
      </c>
      <c r="K1624" s="1" cm="1">
        <f t="array" ref="K1624">SUMPRODUCT(("TFHGV-ICEGSLExt"=[2]OUT_TransportEnergyCons!$A$3:$A$1000)*1,("var_fout"=[2]OUT_TransportEnergyCons!$B$3:$B$1000)*1,ISNUMBER(SEARCH("TFHGV",[2]OUT_TransportEnergyCons!$C$3:$C$1000))*1,[2]OUT_TransportEnergyCons!I$3:I$1000)</f>
        <v>0</v>
      </c>
      <c r="L1624" s="1" cm="1">
        <f t="array" ref="L1624">SUMPRODUCT(("TFHGV-ICEGSLExt"=[2]OUT_TransportEnergyCons!$A$3:$A$1000)*1,("var_fout"=[2]OUT_TransportEnergyCons!$B$3:$B$1000)*1,ISNUMBER(SEARCH("TFHGV",[2]OUT_TransportEnergyCons!$C$3:$C$1000))*1,[2]OUT_TransportEnergyCons!J$3:J$1000)</f>
        <v>0</v>
      </c>
      <c r="N1624" s="1"/>
    </row>
    <row r="1625" spans="2:14" x14ac:dyDescent="0.35">
      <c r="B1625" t="str">
        <f t="shared" si="1688"/>
        <v>SPS1</v>
      </c>
      <c r="C1625" t="str">
        <f t="shared" si="1689"/>
        <v>CH</v>
      </c>
      <c r="D1625" t="s">
        <v>1628</v>
      </c>
      <c r="E1625" t="s">
        <v>1517</v>
      </c>
      <c r="F1625" s="1" cm="1">
        <f t="array" ref="F1625">SUMPRODUCT(("TFHGV-ICEGSL"=[1]OUT_TransportEnergyCons!$A$3:$A$1000)*1,("var_fout"=[1]OUT_TransportEnergyCons!$B$3:$B$1000)*1,ISNUMBER(SEARCH("TFHGV",[1]OUT_TransportEnergyCons!$C$3:$C$1000))*1,[1]OUT_TransportEnergyCons!D$3:D$1000)</f>
        <v>0</v>
      </c>
      <c r="G1625" s="1" cm="1">
        <f t="array" ref="G1625">SUMPRODUCT(("TFHGV-ICEGSL"=[1]OUT_TransportEnergyCons!$A$3:$A$1000)*1,("var_fout"=[1]OUT_TransportEnergyCons!$B$3:$B$1000)*1,ISNUMBER(SEARCH("TFHGV",[1]OUT_TransportEnergyCons!$C$3:$C$1000))*1,[1]OUT_TransportEnergyCons!E$3:E$1000)</f>
        <v>0</v>
      </c>
      <c r="H1625" s="1" cm="1">
        <f t="array" ref="H1625">SUMPRODUCT(("TFHGV-ICEGSL"=[1]OUT_TransportEnergyCons!$A$3:$A$1000)*1,("var_fout"=[1]OUT_TransportEnergyCons!$B$3:$B$1000)*1,ISNUMBER(SEARCH("TFHGV",[1]OUT_TransportEnergyCons!$C$3:$C$1000))*1,[1]OUT_TransportEnergyCons!F$3:F$1000)</f>
        <v>0</v>
      </c>
      <c r="I1625" s="1" cm="1">
        <f t="array" ref="I1625">SUMPRODUCT(("TFHGV-ICEGSL"=[1]OUT_TransportEnergyCons!$A$3:$A$1000)*1,("var_fout"=[1]OUT_TransportEnergyCons!$B$3:$B$1000)*1,ISNUMBER(SEARCH("TFHGV",[1]OUT_TransportEnergyCons!$C$3:$C$1000))*1,[1]OUT_TransportEnergyCons!G$3:G$1000)</f>
        <v>0</v>
      </c>
      <c r="J1625" s="1" cm="1">
        <f t="array" ref="J1625">SUMPRODUCT(("TFHGV-ICEGSL"=[2]OUT_TransportEnergyCons!$A$3:$A$1000)*1,("var_fout"=[2]OUT_TransportEnergyCons!$B$3:$B$1000)*1,ISNUMBER(SEARCH("TFHGV",[2]OUT_TransportEnergyCons!$C$3:$C$1000))*1,[2]OUT_TransportEnergyCons!H$3:H$1000)</f>
        <v>0</v>
      </c>
      <c r="K1625" s="1" cm="1">
        <f t="array" ref="K1625">SUMPRODUCT(("TFHGV-ICEGSL"=[2]OUT_TransportEnergyCons!$A$3:$A$1000)*1,("var_fout"=[2]OUT_TransportEnergyCons!$B$3:$B$1000)*1,ISNUMBER(SEARCH("TFHGV",[2]OUT_TransportEnergyCons!$C$3:$C$1000))*1,[2]OUT_TransportEnergyCons!I$3:I$1000)</f>
        <v>0</v>
      </c>
      <c r="L1625" s="1" cm="1">
        <f t="array" ref="L1625">SUMPRODUCT(("TFHGV-ICEGSL"=[2]OUT_TransportEnergyCons!$A$3:$A$1000)*1,("var_fout"=[2]OUT_TransportEnergyCons!$B$3:$B$1000)*1,ISNUMBER(SEARCH("TFHGV",[2]OUT_TransportEnergyCons!$C$3:$C$1000))*1,[2]OUT_TransportEnergyCons!J$3:J$1000)</f>
        <v>0</v>
      </c>
      <c r="N1625" s="1"/>
    </row>
    <row r="1626" spans="2:14" x14ac:dyDescent="0.35">
      <c r="B1626" t="str">
        <f t="shared" si="1688"/>
        <v>SPS1</v>
      </c>
      <c r="C1626" t="str">
        <f t="shared" si="1689"/>
        <v>CH</v>
      </c>
      <c r="D1626" t="s">
        <v>1629</v>
      </c>
      <c r="E1626" t="s">
        <v>1517</v>
      </c>
      <c r="F1626" s="1" cm="1">
        <f t="array" ref="F1626">SUMPRODUCT(("TFHGV-ICEdslExt"=[1]OUT_TransportEnergyCons!$A$3:$A$1000)*1,("var_fout"=[1]OUT_TransportEnergyCons!$B$3:$B$1000)*1,ISNUMBER(SEARCH("TFHGV",[1]OUT_TransportEnergyCons!$C$3:$C$1000))*1,[1]OUT_TransportEnergyCons!D$3:D$1000)</f>
        <v>1.5767138670050349</v>
      </c>
      <c r="G1626" s="1" cm="1">
        <f t="array" ref="G1626">SUMPRODUCT(("TFHGV-ICEdslExt"=[1]OUT_TransportEnergyCons!$A$3:$A$1000)*1,("var_fout"=[1]OUT_TransportEnergyCons!$B$3:$B$1000)*1,ISNUMBER(SEARCH("TFHGV",[1]OUT_TransportEnergyCons!$C$3:$C$1000))*1,[1]OUT_TransportEnergyCons!E$3:E$1000)</f>
        <v>1.3068967085689625</v>
      </c>
      <c r="H1626" s="1" cm="1">
        <f t="array" ref="H1626">SUMPRODUCT(("TFHGV-ICEdslExt"=[1]OUT_TransportEnergyCons!$A$3:$A$1000)*1,("var_fout"=[1]OUT_TransportEnergyCons!$B$3:$B$1000)*1,ISNUMBER(SEARCH("TFHGV",[1]OUT_TransportEnergyCons!$C$3:$C$1000))*1,[1]OUT_TransportEnergyCons!F$3:F$1000)</f>
        <v>0.99895867310421316</v>
      </c>
      <c r="I1626" s="1" cm="1">
        <f t="array" ref="I1626">SUMPRODUCT(("TFHGV-ICEdslExt"=[1]OUT_TransportEnergyCons!$A$3:$A$1000)*1,("var_fout"=[1]OUT_TransportEnergyCons!$B$3:$B$1000)*1,ISNUMBER(SEARCH("TFHGV",[1]OUT_TransportEnergyCons!$C$3:$C$1000))*1,[1]OUT_TransportEnergyCons!G$3:G$1000)</f>
        <v>0.4308240857021321</v>
      </c>
      <c r="J1626" s="1" cm="1">
        <f t="array" ref="J1626">SUMPRODUCT(("TFHGV-ICEdslExt"=[2]OUT_TransportEnergyCons!$A$3:$A$1000)*1,("var_fout"=[2]OUT_TransportEnergyCons!$B$3:$B$1000)*1,ISNUMBER(SEARCH("TFHGV",[2]OUT_TransportEnergyCons!$C$3:$C$1000))*1,[2]OUT_TransportEnergyCons!H$3:H$1000)</f>
        <v>0</v>
      </c>
      <c r="K1626" s="1" cm="1">
        <f t="array" ref="K1626">SUMPRODUCT(("TFHGV-ICEdslExt"=[2]OUT_TransportEnergyCons!$A$3:$A$1000)*1,("var_fout"=[2]OUT_TransportEnergyCons!$B$3:$B$1000)*1,ISNUMBER(SEARCH("TFHGV",[2]OUT_TransportEnergyCons!$C$3:$C$1000))*1,[2]OUT_TransportEnergyCons!I$3:I$1000)</f>
        <v>0</v>
      </c>
      <c r="L1626" s="1" cm="1">
        <f t="array" ref="L1626">SUMPRODUCT(("TFHGV-ICEdslExt"=[2]OUT_TransportEnergyCons!$A$3:$A$1000)*1,("var_fout"=[2]OUT_TransportEnergyCons!$B$3:$B$1000)*1,ISNUMBER(SEARCH("TFHGV",[2]OUT_TransportEnergyCons!$C$3:$C$1000))*1,[2]OUT_TransportEnergyCons!J$3:J$1000)</f>
        <v>0</v>
      </c>
      <c r="N1626" s="1"/>
    </row>
    <row r="1627" spans="2:14" x14ac:dyDescent="0.35">
      <c r="B1627" t="str">
        <f t="shared" si="1688"/>
        <v>SPS1</v>
      </c>
      <c r="C1627" t="str">
        <f t="shared" si="1689"/>
        <v>CH</v>
      </c>
      <c r="D1627" t="s">
        <v>1630</v>
      </c>
      <c r="E1627" t="s">
        <v>1517</v>
      </c>
      <c r="F1627" s="1" cm="1">
        <f t="array" ref="F1627">SUMPRODUCT(("TFHGV-ICEdsl"=[1]OUT_TransportEnergyCons!$A$3:$A$1000)*1,("var_fout"=[1]OUT_TransportEnergyCons!$B$3:$B$1000)*1,ISNUMBER(SEARCH("TFHGV",[1]OUT_TransportEnergyCons!$C$3:$C$1000))*1,[1]OUT_TransportEnergyCons!D$3:D$1000)</f>
        <v>0.61709531429400066</v>
      </c>
      <c r="G1627" s="1" cm="1">
        <f t="array" ref="G1627">SUMPRODUCT(("TFHGV-ICEdsl"=[1]OUT_TransportEnergyCons!$A$3:$A$1000)*1,("var_fout"=[1]OUT_TransportEnergyCons!$B$3:$B$1000)*1,ISNUMBER(SEARCH("TFHGV",[1]OUT_TransportEnergyCons!$C$3:$C$1000))*1,[1]OUT_TransportEnergyCons!E$3:E$1000)</f>
        <v>0.57032514919005084</v>
      </c>
      <c r="H1627" s="1" cm="1">
        <f t="array" ref="H1627">SUMPRODUCT(("TFHGV-ICEdsl"=[1]OUT_TransportEnergyCons!$A$3:$A$1000)*1,("var_fout"=[1]OUT_TransportEnergyCons!$B$3:$B$1000)*1,ISNUMBER(SEARCH("TFHGV",[1]OUT_TransportEnergyCons!$C$3:$C$1000))*1,[1]OUT_TransportEnergyCons!F$3:F$1000)</f>
        <v>0.51540339799041424</v>
      </c>
      <c r="I1627" s="1" cm="1">
        <f t="array" ref="I1627">SUMPRODUCT(("TFHGV-ICEdsl"=[1]OUT_TransportEnergyCons!$A$3:$A$1000)*1,("var_fout"=[1]OUT_TransportEnergyCons!$B$3:$B$1000)*1,ISNUMBER(SEARCH("TFHGV",[1]OUT_TransportEnergyCons!$C$3:$C$1000))*1,[1]OUT_TransportEnergyCons!G$3:G$1000)</f>
        <v>5.2149497575247707E-2</v>
      </c>
      <c r="J1627" s="1" cm="1">
        <f t="array" ref="J1627">SUMPRODUCT(("TFHGV-ICEdsl"=[2]OUT_TransportEnergyCons!$A$3:$A$1000)*1,("var_fout"=[2]OUT_TransportEnergyCons!$B$3:$B$1000)*1,ISNUMBER(SEARCH("TFHGV",[2]OUT_TransportEnergyCons!$C$3:$C$1000))*1,[2]OUT_TransportEnergyCons!H$3:H$1000)</f>
        <v>1.6702141713551103E-4</v>
      </c>
      <c r="K1627" s="1" cm="1">
        <f t="array" ref="K1627">SUMPRODUCT(("TFHGV-ICEdsl"=[2]OUT_TransportEnergyCons!$A$3:$A$1000)*1,("var_fout"=[2]OUT_TransportEnergyCons!$B$3:$B$1000)*1,ISNUMBER(SEARCH("TFHGV",[2]OUT_TransportEnergyCons!$C$3:$C$1000))*1,[2]OUT_TransportEnergyCons!I$3:I$1000)</f>
        <v>2.3983854917955183E-4</v>
      </c>
      <c r="L1627" s="1" cm="1">
        <f t="array" ref="L1627">SUMPRODUCT(("TFHGV-ICEdsl"=[2]OUT_TransportEnergyCons!$A$3:$A$1000)*1,("var_fout"=[2]OUT_TransportEnergyCons!$B$3:$B$1000)*1,ISNUMBER(SEARCH("TFHGV",[2]OUT_TransportEnergyCons!$C$3:$C$1000))*1,[2]OUT_TransportEnergyCons!J$3:J$1000)</f>
        <v>7.8198408498433416E-5</v>
      </c>
      <c r="N1627" s="1"/>
    </row>
    <row r="1628" spans="2:14" x14ac:dyDescent="0.35">
      <c r="B1628" t="str">
        <f t="shared" si="1688"/>
        <v>SPS1</v>
      </c>
      <c r="C1628" t="str">
        <f t="shared" si="1689"/>
        <v>CH</v>
      </c>
      <c r="D1628" t="s">
        <v>1631</v>
      </c>
      <c r="E1628" t="s">
        <v>1517</v>
      </c>
      <c r="F1628" s="1" cm="1">
        <f t="array" ref="F1628">SUMPRODUCT(("TFHGV-HYBDSL"=[1]OUT_TransportEnergyCons!$A$3:$A$1000)*1,("var_fout"=[1]OUT_TransportEnergyCons!$B$3:$B$1000)*1,ISNUMBER(SEARCH("TFHGV",[1]OUT_TransportEnergyCons!$C$3:$C$1000))*1,[1]OUT_TransportEnergyCons!D$3:D$1000)</f>
        <v>0</v>
      </c>
      <c r="G1628" s="1" cm="1">
        <f t="array" ref="G1628">SUMPRODUCT(("TFHGV-HYBDSL"=[1]OUT_TransportEnergyCons!$A$3:$A$1000)*1,("var_fout"=[1]OUT_TransportEnergyCons!$B$3:$B$1000)*1,ISNUMBER(SEARCH("TFHGV",[1]OUT_TransportEnergyCons!$C$3:$C$1000))*1,[1]OUT_TransportEnergyCons!E$3:E$1000)</f>
        <v>0.34197073763963454</v>
      </c>
      <c r="H1628" s="1" cm="1">
        <f t="array" ref="H1628">SUMPRODUCT(("TFHGV-HYBDSL"=[1]OUT_TransportEnergyCons!$A$3:$A$1000)*1,("var_fout"=[1]OUT_TransportEnergyCons!$B$3:$B$1000)*1,ISNUMBER(SEARCH("TFHGV",[1]OUT_TransportEnergyCons!$C$3:$C$1000))*1,[1]OUT_TransportEnergyCons!F$3:F$1000)</f>
        <v>0.73547806637121538</v>
      </c>
      <c r="I1628" s="1" cm="1">
        <f t="array" ref="I1628">SUMPRODUCT(("TFHGV-HYBDSL"=[1]OUT_TransportEnergyCons!$A$3:$A$1000)*1,("var_fout"=[1]OUT_TransportEnergyCons!$B$3:$B$1000)*1,ISNUMBER(SEARCH("TFHGV",[1]OUT_TransportEnergyCons!$C$3:$C$1000))*1,[1]OUT_TransportEnergyCons!G$3:G$1000)</f>
        <v>1.8250980651975321</v>
      </c>
      <c r="J1628" s="1" cm="1">
        <f t="array" ref="J1628">SUMPRODUCT(("TFHGV-HYBDSL"=[2]OUT_TransportEnergyCons!$A$3:$A$1000)*1,("var_fout"=[2]OUT_TransportEnergyCons!$B$3:$B$1000)*1,ISNUMBER(SEARCH("TFHGV",[2]OUT_TransportEnergyCons!$C$3:$C$1000))*1,[2]OUT_TransportEnergyCons!H$3:H$1000)</f>
        <v>2.4035470692775491</v>
      </c>
      <c r="K1628" s="1" cm="1">
        <f t="array" ref="K1628">SUMPRODUCT(("TFHGV-HYBDSL"=[2]OUT_TransportEnergyCons!$A$3:$A$1000)*1,("var_fout"=[2]OUT_TransportEnergyCons!$B$3:$B$1000)*1,ISNUMBER(SEARCH("TFHGV",[2]OUT_TransportEnergyCons!$C$3:$C$1000))*1,[2]OUT_TransportEnergyCons!I$3:I$1000)</f>
        <v>2.5043343794594501</v>
      </c>
      <c r="L1628" s="1" cm="1">
        <f t="array" ref="L1628">SUMPRODUCT(("TFHGV-HYBDSL"=[2]OUT_TransportEnergyCons!$A$3:$A$1000)*1,("var_fout"=[2]OUT_TransportEnergyCons!$B$3:$B$1000)*1,ISNUMBER(SEARCH("TFHGV",[2]OUT_TransportEnergyCons!$C$3:$C$1000))*1,[2]OUT_TransportEnergyCons!J$3:J$1000)</f>
        <v>2.7079891995881789</v>
      </c>
      <c r="N1628" s="1"/>
    </row>
    <row r="1629" spans="2:14" x14ac:dyDescent="0.35">
      <c r="B1629" t="str">
        <f t="shared" si="1688"/>
        <v>SPS1</v>
      </c>
      <c r="C1629" t="str">
        <f t="shared" si="1689"/>
        <v>CH</v>
      </c>
      <c r="D1629" t="s">
        <v>1632</v>
      </c>
      <c r="E1629" t="s">
        <v>1517</v>
      </c>
      <c r="F1629" s="1" cm="1">
        <f t="array" ref="F1629">SUMPRODUCT(("TFHGV-ICENGA"=[1]OUT_TransportEnergyCons!$A$3:$A$1000)*1,("var_fout"=[1]OUT_TransportEnergyCons!$B$3:$B$1000)*1,ISNUMBER(SEARCH("TFHGV",[1]OUT_TransportEnergyCons!$C$3:$C$1000))*1,[1]OUT_TransportEnergyCons!D$3:D$1000)</f>
        <v>6.4733369774244778E-3</v>
      </c>
      <c r="G1629" s="1" cm="1">
        <f t="array" ref="G1629">SUMPRODUCT(("TFHGV-ICENGA"=[1]OUT_TransportEnergyCons!$A$3:$A$1000)*1,("var_fout"=[1]OUT_TransportEnergyCons!$B$3:$B$1000)*1,ISNUMBER(SEARCH("TFHGV",[1]OUT_TransportEnergyCons!$C$3:$C$1000))*1,[1]OUT_TransportEnergyCons!E$3:E$1000)</f>
        <v>4.2295342068182016E-4</v>
      </c>
      <c r="H1629" s="1" cm="1">
        <f t="array" ref="H1629">SUMPRODUCT(("TFHGV-ICENGA"=[1]OUT_TransportEnergyCons!$A$3:$A$1000)*1,("var_fout"=[1]OUT_TransportEnergyCons!$B$3:$B$1000)*1,ISNUMBER(SEARCH("TFHGV",[1]OUT_TransportEnergyCons!$C$3:$C$1000))*1,[1]OUT_TransportEnergyCons!F$3:F$1000)</f>
        <v>5.9095158337577113E-4</v>
      </c>
      <c r="I1629" s="1" cm="1">
        <f t="array" ref="I1629">SUMPRODUCT(("TFHGV-ICENGA"=[1]OUT_TransportEnergyCons!$A$3:$A$1000)*1,("var_fout"=[1]OUT_TransportEnergyCons!$B$3:$B$1000)*1,ISNUMBER(SEARCH("TFHGV",[1]OUT_TransportEnergyCons!$C$3:$C$1000))*1,[1]OUT_TransportEnergyCons!G$3:G$1000)</f>
        <v>5.9501799931725512E-4</v>
      </c>
      <c r="J1629" s="1" cm="1">
        <f t="array" ref="J1629">SUMPRODUCT(("TFHGV-ICENGA"=[2]OUT_TransportEnergyCons!$A$3:$A$1000)*1,("var_fout"=[2]OUT_TransportEnergyCons!$B$3:$B$1000)*1,ISNUMBER(SEARCH("TFHGV",[2]OUT_TransportEnergyCons!$C$3:$C$1000))*1,[2]OUT_TransportEnergyCons!H$3:H$1000)</f>
        <v>3.2923551843469761E-4</v>
      </c>
      <c r="K1629" s="1" cm="1">
        <f t="array" ref="K1629">SUMPRODUCT(("TFHGV-ICENGA"=[2]OUT_TransportEnergyCons!$A$3:$A$1000)*1,("var_fout"=[2]OUT_TransportEnergyCons!$B$3:$B$1000)*1,ISNUMBER(SEARCH("TFHGV",[2]OUT_TransportEnergyCons!$C$3:$C$1000))*1,[2]OUT_TransportEnergyCons!I$3:I$1000)</f>
        <v>3.2768725560921935E-4</v>
      </c>
      <c r="L1629" s="1" cm="1">
        <f t="array" ref="L1629">SUMPRODUCT(("TFHGV-ICENGA"=[2]OUT_TransportEnergyCons!$A$3:$A$1000)*1,("var_fout"=[2]OUT_TransportEnergyCons!$B$3:$B$1000)*1,ISNUMBER(SEARCH("TFHGV",[2]OUT_TransportEnergyCons!$C$3:$C$1000))*1,[2]OUT_TransportEnergyCons!J$3:J$1000)</f>
        <v>3.3352410621725057E-4</v>
      </c>
      <c r="N1629" s="1"/>
    </row>
    <row r="1630" spans="2:14" x14ac:dyDescent="0.35">
      <c r="B1630" s="2" t="str">
        <f t="shared" si="1688"/>
        <v>SPS1</v>
      </c>
      <c r="C1630" s="2" t="str">
        <f t="shared" si="1689"/>
        <v>CH</v>
      </c>
      <c r="D1630" s="2" t="s">
        <v>1633</v>
      </c>
      <c r="E1630" s="2" t="s">
        <v>1229</v>
      </c>
      <c r="F1630" s="24" t="s">
        <v>292</v>
      </c>
      <c r="G1630" s="24" t="s">
        <v>292</v>
      </c>
      <c r="H1630" s="24" t="s">
        <v>292</v>
      </c>
      <c r="I1630" s="24" t="s">
        <v>292</v>
      </c>
      <c r="J1630" s="24" t="s">
        <v>292</v>
      </c>
      <c r="K1630" s="24" t="s">
        <v>292</v>
      </c>
      <c r="L1630" s="24" t="s">
        <v>292</v>
      </c>
      <c r="N1630" s="1"/>
    </row>
    <row r="1631" spans="2:14" x14ac:dyDescent="0.35">
      <c r="B1631" t="str">
        <f t="shared" si="1688"/>
        <v>SPS1</v>
      </c>
      <c r="C1631" t="str">
        <f t="shared" si="1689"/>
        <v>CH</v>
      </c>
      <c r="D1631" t="s">
        <v>1634</v>
      </c>
      <c r="E1631" t="str">
        <f>E1630</f>
        <v>km/MJ</v>
      </c>
      <c r="F1631" s="1" t="str">
        <f>IFERROR(F1621/F1595,"-")</f>
        <v>-</v>
      </c>
      <c r="G1631" s="1" t="str">
        <f t="shared" ref="G1631:K1631" si="1722">IFERROR(G1621/G1595,"-")</f>
        <v>-</v>
      </c>
      <c r="H1631" s="1" t="str">
        <f t="shared" si="1722"/>
        <v>-</v>
      </c>
      <c r="I1631" s="1" t="str">
        <f t="shared" si="1722"/>
        <v>-</v>
      </c>
      <c r="J1631" s="1" t="str">
        <f t="shared" si="1722"/>
        <v>-</v>
      </c>
      <c r="K1631" s="1" t="str">
        <f t="shared" si="1722"/>
        <v>-</v>
      </c>
      <c r="L1631" s="1" t="str">
        <f t="shared" ref="L1631" si="1723">IFERROR(L1621/L1595,"-")</f>
        <v>-</v>
      </c>
      <c r="N1631" s="1"/>
    </row>
    <row r="1632" spans="2:14" x14ac:dyDescent="0.35">
      <c r="B1632" t="str">
        <f t="shared" si="1688"/>
        <v>SPS1</v>
      </c>
      <c r="C1632" t="str">
        <f t="shared" si="1689"/>
        <v>CH</v>
      </c>
      <c r="D1632" t="s">
        <v>1635</v>
      </c>
      <c r="E1632" t="str">
        <f t="shared" ref="E1632:E1639" si="1724">E1631</f>
        <v>km/MJ</v>
      </c>
      <c r="F1632" s="1">
        <f>IFERROR(F1622/F1596,"-")</f>
        <v>0.26872776416540906</v>
      </c>
      <c r="G1632" s="1">
        <f t="shared" ref="G1632:K1632" si="1725">IFERROR(G1622/G1596,"-")</f>
        <v>0.27039217869410498</v>
      </c>
      <c r="H1632" s="1">
        <f t="shared" si="1725"/>
        <v>0.2707193699633616</v>
      </c>
      <c r="I1632" s="1">
        <f t="shared" si="1725"/>
        <v>0.27371801503206022</v>
      </c>
      <c r="J1632" s="1">
        <f t="shared" si="1725"/>
        <v>0.30258095241664268</v>
      </c>
      <c r="K1632" s="1">
        <f t="shared" si="1725"/>
        <v>0.31274524944791959</v>
      </c>
      <c r="L1632" s="1">
        <f t="shared" ref="L1632" si="1726">IFERROR(L1622/L1596,"-")</f>
        <v>0.33469021146345374</v>
      </c>
      <c r="N1632" s="1"/>
    </row>
    <row r="1633" spans="2:14" x14ac:dyDescent="0.35">
      <c r="B1633" t="str">
        <f t="shared" si="1688"/>
        <v>SPS1</v>
      </c>
      <c r="C1633" t="str">
        <f t="shared" si="1689"/>
        <v>CH</v>
      </c>
      <c r="D1633" t="s">
        <v>1636</v>
      </c>
      <c r="E1633" t="str">
        <f t="shared" si="1724"/>
        <v>km/MJ</v>
      </c>
      <c r="F1633" s="1">
        <f>IFERROR(F1623/F1598,"-")</f>
        <v>0.17445873125089895</v>
      </c>
      <c r="G1633" s="1">
        <f t="shared" ref="G1633:K1633" si="1727">IFERROR(G1623/G1598,"-")</f>
        <v>0.17523952419539393</v>
      </c>
      <c r="H1633" s="1">
        <f t="shared" si="1727"/>
        <v>0.17567824285245431</v>
      </c>
      <c r="I1633" s="1">
        <f t="shared" si="1727"/>
        <v>0.18108193308049073</v>
      </c>
      <c r="J1633" s="1">
        <f t="shared" si="1727"/>
        <v>0.19427448365960975</v>
      </c>
      <c r="K1633" s="1">
        <f t="shared" si="1727"/>
        <v>0.19936136779327576</v>
      </c>
      <c r="L1633" s="1">
        <f t="shared" ref="L1633" si="1728">IFERROR(L1623/L1598,"-")</f>
        <v>0.21748972881411849</v>
      </c>
      <c r="N1633" s="1"/>
    </row>
    <row r="1634" spans="2:14" x14ac:dyDescent="0.35">
      <c r="B1634" t="str">
        <f t="shared" si="1688"/>
        <v>SPS1</v>
      </c>
      <c r="C1634" t="str">
        <f t="shared" si="1689"/>
        <v>CH</v>
      </c>
      <c r="D1634" t="s">
        <v>1637</v>
      </c>
      <c r="E1634" t="str">
        <f t="shared" si="1724"/>
        <v>km/MJ</v>
      </c>
      <c r="F1634" s="1" t="str">
        <f>IFERROR(F1624/F1604,"-")</f>
        <v>-</v>
      </c>
      <c r="G1634" s="1" t="str">
        <f t="shared" ref="G1634:K1634" si="1729">IFERROR(G1624/G1604,"-")</f>
        <v>-</v>
      </c>
      <c r="H1634" s="1" t="str">
        <f t="shared" si="1729"/>
        <v>-</v>
      </c>
      <c r="I1634" s="1" t="str">
        <f t="shared" si="1729"/>
        <v>-</v>
      </c>
      <c r="J1634" s="1" t="str">
        <f t="shared" si="1729"/>
        <v>-</v>
      </c>
      <c r="K1634" s="1" t="str">
        <f t="shared" si="1729"/>
        <v>-</v>
      </c>
      <c r="L1634" s="1" t="str">
        <f t="shared" ref="L1634" si="1730">IFERROR(L1624/L1604,"-")</f>
        <v>-</v>
      </c>
      <c r="N1634" s="1"/>
    </row>
    <row r="1635" spans="2:14" x14ac:dyDescent="0.35">
      <c r="B1635" t="str">
        <f t="shared" si="1688"/>
        <v>SPS1</v>
      </c>
      <c r="C1635" t="str">
        <f t="shared" si="1689"/>
        <v>CH</v>
      </c>
      <c r="D1635" t="s">
        <v>1638</v>
      </c>
      <c r="E1635" t="str">
        <f t="shared" si="1724"/>
        <v>km/MJ</v>
      </c>
      <c r="F1635" s="1" t="str">
        <f>IFERROR(F1625/F1605,"-")</f>
        <v>-</v>
      </c>
      <c r="G1635" s="1" t="str">
        <f t="shared" ref="G1635:K1635" si="1731">IFERROR(G1625/G1605,"-")</f>
        <v>-</v>
      </c>
      <c r="H1635" s="1" t="str">
        <f t="shared" si="1731"/>
        <v>-</v>
      </c>
      <c r="I1635" s="1" t="str">
        <f t="shared" si="1731"/>
        <v>-</v>
      </c>
      <c r="J1635" s="1" t="str">
        <f t="shared" si="1731"/>
        <v>-</v>
      </c>
      <c r="K1635" s="1" t="str">
        <f t="shared" si="1731"/>
        <v>-</v>
      </c>
      <c r="L1635" s="1" t="str">
        <f t="shared" ref="L1635" si="1732">IFERROR(L1625/L1605,"-")</f>
        <v>-</v>
      </c>
      <c r="N1635" s="1"/>
    </row>
    <row r="1636" spans="2:14" x14ac:dyDescent="0.35">
      <c r="B1636" t="str">
        <f t="shared" si="1688"/>
        <v>SPS1</v>
      </c>
      <c r="C1636" t="str">
        <f t="shared" si="1689"/>
        <v>CH</v>
      </c>
      <c r="D1636" t="s">
        <v>1639</v>
      </c>
      <c r="E1636" t="str">
        <f t="shared" si="1724"/>
        <v>km/MJ</v>
      </c>
      <c r="F1636" s="1">
        <f>IFERROR(F1626/F1611,"-")</f>
        <v>8.1953661871669747E-2</v>
      </c>
      <c r="G1636" s="1">
        <f t="shared" ref="G1636:K1636" si="1733">IFERROR(G1626/G1611,"-")</f>
        <v>8.3996210615660302E-2</v>
      </c>
      <c r="H1636" s="1">
        <f t="shared" si="1733"/>
        <v>8.7060033731646017E-2</v>
      </c>
      <c r="I1636" s="1">
        <f t="shared" si="1733"/>
        <v>8.7060033731646017E-2</v>
      </c>
      <c r="J1636" s="1" t="str">
        <f t="shared" si="1733"/>
        <v>-</v>
      </c>
      <c r="K1636" s="1" t="str">
        <f t="shared" si="1733"/>
        <v>-</v>
      </c>
      <c r="L1636" s="1" t="str">
        <f t="shared" ref="L1636" si="1734">IFERROR(L1626/L1611,"-")</f>
        <v>-</v>
      </c>
      <c r="N1636" s="1"/>
    </row>
    <row r="1637" spans="2:14" x14ac:dyDescent="0.35">
      <c r="B1637" t="str">
        <f t="shared" si="1688"/>
        <v>SPS1</v>
      </c>
      <c r="C1637" t="str">
        <f t="shared" si="1689"/>
        <v>CH</v>
      </c>
      <c r="D1637" t="s">
        <v>1640</v>
      </c>
      <c r="E1637" t="str">
        <f t="shared" si="1724"/>
        <v>km/MJ</v>
      </c>
      <c r="F1637" s="1">
        <f>IFERROR(F1627/F1612,"-")</f>
        <v>0.1187035149605349</v>
      </c>
      <c r="G1637" s="1">
        <f t="shared" ref="G1637:K1637" si="1735">IFERROR(G1627/G1612,"-")</f>
        <v>0.11870351496053491</v>
      </c>
      <c r="H1637" s="1">
        <f t="shared" si="1735"/>
        <v>0.11870351496053487</v>
      </c>
      <c r="I1637" s="1">
        <f t="shared" si="1735"/>
        <v>0.11870351496053498</v>
      </c>
      <c r="J1637" s="1">
        <f t="shared" si="1735"/>
        <v>0.11870351496053488</v>
      </c>
      <c r="K1637" s="1">
        <f t="shared" si="1735"/>
        <v>0.11870351496053499</v>
      </c>
      <c r="L1637" s="1">
        <f t="shared" ref="L1637" si="1736">IFERROR(L1627/L1612,"-")</f>
        <v>0.11870351496053495</v>
      </c>
      <c r="N1637" s="1"/>
    </row>
    <row r="1638" spans="2:14" x14ac:dyDescent="0.35">
      <c r="B1638" t="str">
        <f t="shared" si="1688"/>
        <v>SPS1</v>
      </c>
      <c r="C1638" t="str">
        <f t="shared" si="1689"/>
        <v>CH</v>
      </c>
      <c r="D1638" t="s">
        <v>1641</v>
      </c>
      <c r="E1638" t="str">
        <f t="shared" si="1724"/>
        <v>km/MJ</v>
      </c>
      <c r="F1638" s="1" t="str">
        <f>IFERROR(F1628/F1613,"-")</f>
        <v>-</v>
      </c>
      <c r="G1638" s="1">
        <f t="shared" ref="G1638:K1638" si="1737">IFERROR(G1628/G1613,"-")</f>
        <v>0.16346685209675813</v>
      </c>
      <c r="H1638" s="1">
        <f t="shared" si="1737"/>
        <v>0.16346685209675788</v>
      </c>
      <c r="I1638" s="1">
        <f t="shared" si="1737"/>
        <v>0.16346685209675804</v>
      </c>
      <c r="J1638" s="1">
        <f t="shared" si="1737"/>
        <v>0.16346685209675796</v>
      </c>
      <c r="K1638" s="1">
        <f t="shared" si="1737"/>
        <v>0.16346685209675799</v>
      </c>
      <c r="L1638" s="1">
        <f t="shared" ref="L1638" si="1738">IFERROR(L1628/L1613,"-")</f>
        <v>0.16346685209675796</v>
      </c>
      <c r="N1638" s="1"/>
    </row>
    <row r="1639" spans="2:14" x14ac:dyDescent="0.35">
      <c r="B1639" t="str">
        <f t="shared" si="1688"/>
        <v>SPS1</v>
      </c>
      <c r="C1639" t="str">
        <f t="shared" si="1689"/>
        <v>CH</v>
      </c>
      <c r="D1639" t="s">
        <v>1642</v>
      </c>
      <c r="E1639" t="str">
        <f t="shared" si="1724"/>
        <v>km/MJ</v>
      </c>
      <c r="F1639" s="1">
        <f>IFERROR(F1629/F1619,"-")</f>
        <v>0.10322365358776008</v>
      </c>
      <c r="G1639" s="1">
        <f t="shared" ref="G1639:K1639" si="1739">IFERROR(G1629/G1619,"-")</f>
        <v>0.10392353331111721</v>
      </c>
      <c r="H1639" s="1">
        <f t="shared" si="1739"/>
        <v>0.10403728794536925</v>
      </c>
      <c r="I1639" s="1">
        <f t="shared" si="1739"/>
        <v>0.10935466686559618</v>
      </c>
      <c r="J1639" s="1">
        <f t="shared" si="1739"/>
        <v>0.11536572133622809</v>
      </c>
      <c r="K1639" s="1">
        <f t="shared" si="1739"/>
        <v>0.11837865998577547</v>
      </c>
      <c r="L1639" s="1">
        <f t="shared" ref="L1639" si="1740">IFERROR(L1629/L1619,"-")</f>
        <v>0.12873927266829749</v>
      </c>
      <c r="N1639" s="1"/>
    </row>
    <row r="1640" spans="2:14" x14ac:dyDescent="0.35">
      <c r="B1640" s="2" t="str">
        <f>B1639</f>
        <v>SPS1</v>
      </c>
      <c r="C1640" s="2" t="str">
        <f>C1639</f>
        <v>CH</v>
      </c>
      <c r="D1640" s="2" t="s">
        <v>1651</v>
      </c>
      <c r="E1640" s="2" t="s">
        <v>8</v>
      </c>
      <c r="F1640" s="1">
        <f>F1641+F1645+F1649+F1655</f>
        <v>28.743325214240478</v>
      </c>
      <c r="G1640" s="1">
        <f t="shared" ref="G1640:K1640" si="1741">G1641+G1645+G1649+G1655</f>
        <v>27.887781739748313</v>
      </c>
      <c r="H1640" s="1">
        <f t="shared" si="1741"/>
        <v>27.127084106375847</v>
      </c>
      <c r="I1640" s="1">
        <f t="shared" si="1741"/>
        <v>26.895295073935472</v>
      </c>
      <c r="J1640" s="1">
        <f t="shared" si="1741"/>
        <v>27.481094537523681</v>
      </c>
      <c r="K1640" s="1">
        <f t="shared" si="1741"/>
        <v>28.02701461753022</v>
      </c>
      <c r="L1640" s="1">
        <f t="shared" ref="L1640" si="1742">L1641+L1645+L1649+L1655</f>
        <v>29.20328280843421</v>
      </c>
      <c r="N1640" s="1"/>
    </row>
    <row r="1641" spans="2:14" x14ac:dyDescent="0.35">
      <c r="B1641" t="str">
        <f t="shared" ref="B1641:B1662" si="1743">B1640</f>
        <v>SPS1</v>
      </c>
      <c r="C1641" t="str">
        <f t="shared" ref="C1641:C1687" si="1744">C1640</f>
        <v>CH</v>
      </c>
      <c r="D1641" t="s">
        <v>1652</v>
      </c>
      <c r="E1641" t="s">
        <v>8</v>
      </c>
      <c r="F1641" s="1">
        <f>SUM(F1642:F1644)</f>
        <v>9.2070288128700302</v>
      </c>
      <c r="G1641" s="1">
        <f t="shared" ref="G1641:K1641" si="1745">SUM(G1642:G1644)</f>
        <v>9.5325227643857939</v>
      </c>
      <c r="H1641" s="1">
        <f t="shared" si="1745"/>
        <v>9.9905715764277367</v>
      </c>
      <c r="I1641" s="1">
        <f t="shared" si="1745"/>
        <v>10.642520841766235</v>
      </c>
      <c r="J1641" s="1">
        <f t="shared" si="1745"/>
        <v>11.228020065133014</v>
      </c>
      <c r="K1641" s="1">
        <f t="shared" si="1745"/>
        <v>11.773781882163982</v>
      </c>
      <c r="L1641" s="1">
        <f t="shared" ref="L1641" si="1746">SUM(L1642:L1644)</f>
        <v>12.95063405936259</v>
      </c>
      <c r="N1641" s="1"/>
    </row>
    <row r="1642" spans="2:14" x14ac:dyDescent="0.35">
      <c r="B1642" t="str">
        <f t="shared" si="1743"/>
        <v>SPS1</v>
      </c>
      <c r="C1642" t="str">
        <f t="shared" si="1744"/>
        <v>CH</v>
      </c>
      <c r="D1642" t="s">
        <v>1653</v>
      </c>
      <c r="E1642" t="str">
        <f t="shared" ref="E1642:E1644" si="1747">E1641</f>
        <v>PJ/yr.</v>
      </c>
      <c r="F1642" s="1" cm="1">
        <f t="array" ref="F1642">SUMPRODUCT(("TPRLPELCEXT"=[1]OUT_TransportEnergyCons!$A$3:$A$1000)*1,("Var_Fin"=[1]OUT_TransportEnergyCons!$B$3:$B$1000)*1,ISNUMBER(SEARCH("ELC",[1]OUT_TransportEnergyCons!$C$3:$C$1000))*1,[1]OUT_TransportEnergyCons!D$3:D$1000)</f>
        <v>7.7047200131009461</v>
      </c>
      <c r="G1642" s="1" cm="1">
        <f t="array" ref="G1642">SUMPRODUCT(("TPRLPELCEXT"=[1]OUT_TransportEnergyCons!$A$3:$A$1000)*1,("Var_Fin"=[1]OUT_TransportEnergyCons!$B$3:$B$1000)*1,ISNUMBER(SEARCH("ELC",[1]OUT_TransportEnergyCons!$C$3:$C$1000))*1,[1]OUT_TransportEnergyCons!E$3:E$1000)</f>
        <v>7.9059054368509232</v>
      </c>
      <c r="H1642" s="1" cm="1">
        <f t="array" ref="H1642">SUMPRODUCT(("TPRLPELCEXT"=[1]OUT_TransportEnergyCons!$A$3:$A$1000)*1,("Var_Fin"=[1]OUT_TransportEnergyCons!$B$3:$B$1000)*1,ISNUMBER(SEARCH("ELC",[1]OUT_TransportEnergyCons!$C$3:$C$1000))*1,[1]OUT_TransportEnergyCons!F$3:F$1000)</f>
        <v>8.2079014523043536</v>
      </c>
      <c r="I1642" s="1" cm="1">
        <f t="array" ref="I1642">SUMPRODUCT(("TPRLPELCEXT"=[1]OUT_TransportEnergyCons!$A$3:$A$1000)*1,("Var_Fin"=[1]OUT_TransportEnergyCons!$B$3:$B$1000)*1,ISNUMBER(SEARCH("ELC",[1]OUT_TransportEnergyCons!$C$3:$C$1000))*1,[1]OUT_TransportEnergyCons!G$3:G$1000)</f>
        <v>8.711809997176081</v>
      </c>
      <c r="J1642" s="1" cm="1">
        <f t="array" ref="J1642">SUMPRODUCT(("TPRLPELCEXT"=[2]OUT_TransportEnergyCons!$A$3:$A$1000)*1,("Var_Fin"=[2]OUT_TransportEnergyCons!$B$3:$B$1000)*1,ISNUMBER(SEARCH("ELC",[2]OUT_TransportEnergyCons!$C$3:$C$1000))*1,[2]OUT_TransportEnergyCons!H$3:H$1000)</f>
        <v>9.2102053769306007</v>
      </c>
      <c r="K1642" s="1" cm="1">
        <f t="array" ref="K1642">SUMPRODUCT(("TPRLPELCEXT"=[2]OUT_TransportEnergyCons!$A$3:$A$1000)*1,("Var_Fin"=[2]OUT_TransportEnergyCons!$B$3:$B$1000)*1,ISNUMBER(SEARCH("ELC",[2]OUT_TransportEnergyCons!$C$3:$C$1000))*1,[2]OUT_TransportEnergyCons!I$3:I$1000)</f>
        <v>9.709181617434183</v>
      </c>
      <c r="L1642" s="1" cm="1">
        <f t="array" ref="L1642">SUMPRODUCT(("TPRLPELCEXT"=[2]OUT_TransportEnergyCons!$A$3:$A$1000)*1,("Var_Fin"=[2]OUT_TransportEnergyCons!$B$3:$B$1000)*1,ISNUMBER(SEARCH("ELC",[2]OUT_TransportEnergyCons!$C$3:$C$1000))*1,[2]OUT_TransportEnergyCons!J$3:J$1000)</f>
        <v>10.452417706014934</v>
      </c>
      <c r="N1642" s="1"/>
    </row>
    <row r="1643" spans="2:14" x14ac:dyDescent="0.35">
      <c r="B1643" t="str">
        <f t="shared" si="1743"/>
        <v>SPS1</v>
      </c>
      <c r="C1643" t="str">
        <f t="shared" si="1744"/>
        <v>CH</v>
      </c>
      <c r="D1643" t="s">
        <v>1654</v>
      </c>
      <c r="E1643" t="str">
        <f t="shared" si="1747"/>
        <v>PJ/yr.</v>
      </c>
      <c r="F1643" s="1" cm="1">
        <f t="array" ref="F1643">SUMPRODUCT(("TFRLFELCEXT"=[1]OUT_TransportEnergyCons!$A$3:$A$1000)*1,("Var_Fin"=[1]OUT_TransportEnergyCons!$B$3:$B$1000)*1,ISNUMBER(SEARCH("ELC",[1]OUT_TransportEnergyCons!$C$3:$C$1000))*1,[1]OUT_TransportEnergyCons!D$3:D$1000)</f>
        <v>1.5023087997690843</v>
      </c>
      <c r="G1643" s="1" cm="1">
        <f t="array" ref="G1643">SUMPRODUCT(("TFRLFELCEXT"=[1]OUT_TransportEnergyCons!$A$3:$A$1000)*1,("Var_Fin"=[1]OUT_TransportEnergyCons!$B$3:$B$1000)*1,ISNUMBER(SEARCH("ELC",[1]OUT_TransportEnergyCons!$C$3:$C$1000))*1,[1]OUT_TransportEnergyCons!E$3:E$1000)</f>
        <v>1.5903477002800355</v>
      </c>
      <c r="H1643" s="1" cm="1">
        <f t="array" ref="H1643">SUMPRODUCT(("TFRLFELCEXT"=[1]OUT_TransportEnergyCons!$A$3:$A$1000)*1,("Var_Fin"=[1]OUT_TransportEnergyCons!$B$3:$B$1000)*1,ISNUMBER(SEARCH("ELC",[1]OUT_TransportEnergyCons!$C$3:$C$1000))*1,[1]OUT_TransportEnergyCons!F$3:F$1000)</f>
        <v>1.7463998426698581</v>
      </c>
      <c r="I1643" s="1" cm="1">
        <f t="array" ref="I1643">SUMPRODUCT(("TFRLFELCEXT"=[1]OUT_TransportEnergyCons!$A$3:$A$1000)*1,("Var_Fin"=[1]OUT_TransportEnergyCons!$B$3:$B$1000)*1,ISNUMBER(SEARCH("ELC",[1]OUT_TransportEnergyCons!$C$3:$C$1000))*1,[1]OUT_TransportEnergyCons!G$3:G$1000)</f>
        <v>1.8944363750162725</v>
      </c>
      <c r="J1643" s="1" cm="1">
        <f t="array" ref="J1643">SUMPRODUCT(("TFRLFELCEXT"=[2]OUT_TransportEnergyCons!$A$3:$A$1000)*1,("Var_Fin"=[2]OUT_TransportEnergyCons!$B$3:$B$1000)*1,ISNUMBER(SEARCH("ELC",[2]OUT_TransportEnergyCons!$C$3:$C$1000))*1,[2]OUT_TransportEnergyCons!H$3:H$1000)</f>
        <v>1.9813882509166827</v>
      </c>
      <c r="K1643" s="1" cm="1">
        <f t="array" ref="K1643">SUMPRODUCT(("TFRLFELCEXT"=[2]OUT_TransportEnergyCons!$A$3:$A$1000)*1,("Var_Fin"=[2]OUT_TransportEnergyCons!$B$3:$B$1000)*1,ISNUMBER(SEARCH("ELC",[2]OUT_TransportEnergyCons!$C$3:$C$1000))*1,[2]OUT_TransportEnergyCons!I$3:I$1000)</f>
        <v>2.0281482378396412</v>
      </c>
      <c r="L1643" s="1" cm="1">
        <f t="array" ref="L1643">SUMPRODUCT(("TFRLFELCEXT"=[2]OUT_TransportEnergyCons!$A$3:$A$1000)*1,("Var_Fin"=[2]OUT_TransportEnergyCons!$B$3:$B$1000)*1,ISNUMBER(SEARCH("ELC",[2]OUT_TransportEnergyCons!$C$3:$C$1000))*1,[2]OUT_TransportEnergyCons!J$3:J$1000)</f>
        <v>2.1804179507313637</v>
      </c>
      <c r="N1643" s="1"/>
    </row>
    <row r="1644" spans="2:14" x14ac:dyDescent="0.35">
      <c r="B1644" t="str">
        <f t="shared" si="1743"/>
        <v>SPS1</v>
      </c>
      <c r="C1644" t="str">
        <f t="shared" si="1744"/>
        <v>CH</v>
      </c>
      <c r="D1644" t="s">
        <v>1655</v>
      </c>
      <c r="E1644" t="str">
        <f t="shared" si="1747"/>
        <v>PJ/yr.</v>
      </c>
      <c r="F1644" s="1" cm="1">
        <f t="array" ref="F1644">SUMPRODUCT(("TPSHPELCEXT"=[1]OUT_TransportEnergyCons!$A$3:$A$1000)*1,("Var_Fin"=[1]OUT_TransportEnergyCons!$B$3:$B$1000)*1,ISNUMBER(SEARCH("ELC",[1]OUT_TransportEnergyCons!$C$3:$C$1000))*1,[1]OUT_TransportEnergyCons!D$3:D$1000)+[1]Transport_Aviation_Intl!B$13</f>
        <v>0</v>
      </c>
      <c r="G1644" s="1" cm="1">
        <f t="array" ref="G1644">SUMPRODUCT(("TPSHPELCEXT"=[1]OUT_TransportEnergyCons!$A$3:$A$1000)*1,("Var_Fin"=[1]OUT_TransportEnergyCons!$B$3:$B$1000)*1,ISNUMBER(SEARCH("ELC",[1]OUT_TransportEnergyCons!$C$3:$C$1000))*1,[1]OUT_TransportEnergyCons!E$3:E$1000)+[1]Transport_Aviation_Intl!C$13</f>
        <v>3.6269627254836186E-2</v>
      </c>
      <c r="H1644" s="1" cm="1">
        <f t="array" ref="H1644">SUMPRODUCT(("TPSHPELCEXT"=[1]OUT_TransportEnergyCons!$A$3:$A$1000)*1,("Var_Fin"=[1]OUT_TransportEnergyCons!$B$3:$B$1000)*1,ISNUMBER(SEARCH("ELC",[1]OUT_TransportEnergyCons!$C$3:$C$1000))*1,[1]OUT_TransportEnergyCons!F$3:F$1000)+[1]Transport_Aviation_Intl!D$13</f>
        <v>3.6270281453525711E-2</v>
      </c>
      <c r="I1644" s="1" cm="1">
        <f t="array" ref="I1644">SUMPRODUCT(("TPSHPELCEXT"=[1]OUT_TransportEnergyCons!$A$3:$A$1000)*1,("Var_Fin"=[1]OUT_TransportEnergyCons!$B$3:$B$1000)*1,ISNUMBER(SEARCH("ELC",[1]OUT_TransportEnergyCons!$C$3:$C$1000))*1,[1]OUT_TransportEnergyCons!G$3:G$1000)+[1]Transport_Aviation_Intl!E$13</f>
        <v>3.6274469573881467E-2</v>
      </c>
      <c r="J1644" s="1" cm="1">
        <f t="array" ref="J1644">SUMPRODUCT(("TPSHPELCEXT"=[2]OUT_TransportEnergyCons!$A$3:$A$1000)*1,("Var_Fin"=[2]OUT_TransportEnergyCons!$B$3:$B$1000)*1,ISNUMBER(SEARCH("ELC",[2]OUT_TransportEnergyCons!$C$3:$C$1000))*1,[2]OUT_TransportEnergyCons!H$3:H$1000)+[2]Transport_Aviation_Intl!F$13</f>
        <v>3.6426437285731722E-2</v>
      </c>
      <c r="K1644" s="1" cm="1">
        <f t="array" ref="K1644">SUMPRODUCT(("TPSHPELCEXT"=[2]OUT_TransportEnergyCons!$A$3:$A$1000)*1,("Var_Fin"=[2]OUT_TransportEnergyCons!$B$3:$B$1000)*1,ISNUMBER(SEARCH("ELC",[2]OUT_TransportEnergyCons!$C$3:$C$1000))*1,[2]OUT_TransportEnergyCons!I$3:I$1000)+[2]Transport_Aviation_Intl!G$13</f>
        <v>3.6452026890157814E-2</v>
      </c>
      <c r="L1644" s="1" cm="1">
        <f t="array" ref="L1644">SUMPRODUCT(("TPSHPELCEXT"=[2]OUT_TransportEnergyCons!$A$3:$A$1000)*1,("Var_Fin"=[2]OUT_TransportEnergyCons!$B$3:$B$1000)*1,ISNUMBER(SEARCH("ELC",[2]OUT_TransportEnergyCons!$C$3:$C$1000))*1,[2]OUT_TransportEnergyCons!J$3:J$1000)+[2]Transport_Aviation_Intl!H$13</f>
        <v>0.31779840261629294</v>
      </c>
      <c r="N1644" s="1"/>
    </row>
    <row r="1645" spans="2:14" x14ac:dyDescent="0.35">
      <c r="B1645" t="str">
        <f t="shared" si="1743"/>
        <v>SPS1</v>
      </c>
      <c r="C1645" t="str">
        <f t="shared" si="1744"/>
        <v>CH</v>
      </c>
      <c r="D1645" t="s">
        <v>1656</v>
      </c>
      <c r="E1645" t="s">
        <v>8</v>
      </c>
      <c r="F1645" s="1">
        <f>SUM(F1646:F1648)</f>
        <v>0</v>
      </c>
      <c r="G1645" s="1">
        <f t="shared" ref="G1645:K1645" si="1748">SUM(G1646:G1648)</f>
        <v>0</v>
      </c>
      <c r="H1645" s="1">
        <f t="shared" si="1748"/>
        <v>0</v>
      </c>
      <c r="I1645" s="1">
        <f t="shared" si="1748"/>
        <v>0</v>
      </c>
      <c r="J1645" s="1">
        <f t="shared" si="1748"/>
        <v>2.7524597006057962E-5</v>
      </c>
      <c r="K1645" s="1">
        <f t="shared" si="1748"/>
        <v>1.8646760423687465E-4</v>
      </c>
      <c r="L1645" s="1">
        <f t="shared" ref="L1645" si="1749">SUM(L1646:L1648)</f>
        <v>2.4368286343806836E-4</v>
      </c>
      <c r="N1645" s="1"/>
    </row>
    <row r="1646" spans="2:14" x14ac:dyDescent="0.35">
      <c r="B1646" t="str">
        <f t="shared" si="1743"/>
        <v>SPS1</v>
      </c>
      <c r="C1646" t="str">
        <f t="shared" si="1744"/>
        <v>CH</v>
      </c>
      <c r="D1646" t="s">
        <v>1657</v>
      </c>
      <c r="E1646" t="str">
        <f t="shared" ref="E1646:E1648" si="1750">E1645</f>
        <v>PJ/yr.</v>
      </c>
      <c r="F1646" s="1" cm="1">
        <f t="array" ref="F1646">SUMPRODUCT(("TPRLPH2OFCL"=[1]OUT_TransportEnergyCons!$A$3:$A$1000)*1,("Var_Fin"=[1]OUT_TransportEnergyCons!$B$3:$B$1000)*1,ISNUMBER(SEARCH("h2",[1]OUT_TransportEnergyCons!$C$3:$C$1000))*1,[1]OUT_TransportEnergyCons!D$3:D$1000)</f>
        <v>0</v>
      </c>
      <c r="G1646" s="1" cm="1">
        <f t="array" ref="G1646">SUMPRODUCT(("TPRLPH2OFCL"=[1]OUT_TransportEnergyCons!$A$3:$A$1000)*1,("Var_Fin"=[1]OUT_TransportEnergyCons!$B$3:$B$1000)*1,ISNUMBER(SEARCH("h2",[1]OUT_TransportEnergyCons!$C$3:$C$1000))*1,[1]OUT_TransportEnergyCons!E$3:E$1000)</f>
        <v>0</v>
      </c>
      <c r="H1646" s="1" cm="1">
        <f t="array" ref="H1646">SUMPRODUCT(("TPRLPH2OFCL"=[1]OUT_TransportEnergyCons!$A$3:$A$1000)*1,("Var_Fin"=[1]OUT_TransportEnergyCons!$B$3:$B$1000)*1,ISNUMBER(SEARCH("h2",[1]OUT_TransportEnergyCons!$C$3:$C$1000))*1,[1]OUT_TransportEnergyCons!F$3:F$1000)</f>
        <v>0</v>
      </c>
      <c r="I1646" s="1" cm="1">
        <f t="array" ref="I1646">SUMPRODUCT(("TPRLPH2OFCL"=[1]OUT_TransportEnergyCons!$A$3:$A$1000)*1,("Var_Fin"=[1]OUT_TransportEnergyCons!$B$3:$B$1000)*1,ISNUMBER(SEARCH("h2",[1]OUT_TransportEnergyCons!$C$3:$C$1000))*1,[1]OUT_TransportEnergyCons!G$3:G$1000)</f>
        <v>0</v>
      </c>
      <c r="J1646" s="1" cm="1">
        <f t="array" ref="J1646">SUMPRODUCT(("TPRLPH2OFCL"=[2]OUT_TransportEnergyCons!$A$3:$A$1000)*1,("Var_Fin"=[2]OUT_TransportEnergyCons!$B$3:$B$1000)*1,ISNUMBER(SEARCH("h2",[2]OUT_TransportEnergyCons!$C$3:$C$1000))*1,[2]OUT_TransportEnergyCons!H$3:H$1000)</f>
        <v>0</v>
      </c>
      <c r="K1646" s="1" cm="1">
        <f t="array" ref="K1646">SUMPRODUCT(("TPRLPH2OFCL"=[2]OUT_TransportEnergyCons!$A$3:$A$1000)*1,("Var_Fin"=[2]OUT_TransportEnergyCons!$B$3:$B$1000)*1,ISNUMBER(SEARCH("h2",[2]OUT_TransportEnergyCons!$C$3:$C$1000))*1,[2]OUT_TransportEnergyCons!I$3:I$1000)</f>
        <v>1.575312826092088E-4</v>
      </c>
      <c r="L1646" s="1" cm="1">
        <f t="array" ref="L1646">SUMPRODUCT(("TPRLPH2OFCL"=[2]OUT_TransportEnergyCons!$A$3:$A$1000)*1,("Var_Fin"=[2]OUT_TransportEnergyCons!$B$3:$B$1000)*1,ISNUMBER(SEARCH("h2",[2]OUT_TransportEnergyCons!$C$3:$C$1000))*1,[2]OUT_TransportEnergyCons!J$3:J$1000)</f>
        <v>1.9613724280618069E-4</v>
      </c>
      <c r="N1646" s="1"/>
    </row>
    <row r="1647" spans="2:14" x14ac:dyDescent="0.35">
      <c r="B1647" t="str">
        <f t="shared" si="1743"/>
        <v>SPS1</v>
      </c>
      <c r="C1647" t="str">
        <f t="shared" si="1744"/>
        <v>CH</v>
      </c>
      <c r="D1647" t="s">
        <v>1658</v>
      </c>
      <c r="E1647" t="str">
        <f t="shared" si="1750"/>
        <v>PJ/yr.</v>
      </c>
      <c r="F1647" s="1" cm="1">
        <f t="array" ref="F1647">SUMPRODUCT(("TFRLFH2OFCL"=[1]OUT_TransportEnergyCons!$A$3:$A$1000)*1,("Var_Fin"=[1]OUT_TransportEnergyCons!$B$3:$B$1000)*1,ISNUMBER(SEARCH("h2",[1]OUT_TransportEnergyCons!$C$3:$C$1000))*1,[1]OUT_TransportEnergyCons!D$3:D$1000)</f>
        <v>0</v>
      </c>
      <c r="G1647" s="1" cm="1">
        <f t="array" ref="G1647">SUMPRODUCT(("TFRLFH2OFCL"=[1]OUT_TransportEnergyCons!$A$3:$A$1000)*1,("Var_Fin"=[1]OUT_TransportEnergyCons!$B$3:$B$1000)*1,ISNUMBER(SEARCH("h2",[1]OUT_TransportEnergyCons!$C$3:$C$1000))*1,[1]OUT_TransportEnergyCons!E$3:E$1000)</f>
        <v>0</v>
      </c>
      <c r="H1647" s="1" cm="1">
        <f t="array" ref="H1647">SUMPRODUCT(("TFRLFH2OFCL"=[1]OUT_TransportEnergyCons!$A$3:$A$1000)*1,("Var_Fin"=[1]OUT_TransportEnergyCons!$B$3:$B$1000)*1,ISNUMBER(SEARCH("h2",[1]OUT_TransportEnergyCons!$C$3:$C$1000))*1,[1]OUT_TransportEnergyCons!F$3:F$1000)</f>
        <v>0</v>
      </c>
      <c r="I1647" s="1" cm="1">
        <f t="array" ref="I1647">SUMPRODUCT(("TFRLFH2OFCL"=[1]OUT_TransportEnergyCons!$A$3:$A$1000)*1,("Var_Fin"=[1]OUT_TransportEnergyCons!$B$3:$B$1000)*1,ISNUMBER(SEARCH("h2",[1]OUT_TransportEnergyCons!$C$3:$C$1000))*1,[1]OUT_TransportEnergyCons!G$3:G$1000)</f>
        <v>0</v>
      </c>
      <c r="J1647" s="1" cm="1">
        <f t="array" ref="J1647">SUMPRODUCT(("TFRLFH2OFCL"=[2]OUT_TransportEnergyCons!$A$3:$A$1000)*1,("Var_Fin"=[2]OUT_TransportEnergyCons!$B$3:$B$1000)*1,ISNUMBER(SEARCH("h2",[2]OUT_TransportEnergyCons!$C$3:$C$1000))*1,[2]OUT_TransportEnergyCons!H$3:H$1000)</f>
        <v>0</v>
      </c>
      <c r="K1647" s="1" cm="1">
        <f t="array" ref="K1647">SUMPRODUCT(("TFRLFH2OFCL"=[2]OUT_TransportEnergyCons!$A$3:$A$1000)*1,("Var_Fin"=[2]OUT_TransportEnergyCons!$B$3:$B$1000)*1,ISNUMBER(SEARCH("h2",[2]OUT_TransportEnergyCons!$C$3:$C$1000))*1,[2]OUT_TransportEnergyCons!I$3:I$1000)</f>
        <v>0</v>
      </c>
      <c r="L1647" s="1" cm="1">
        <f t="array" ref="L1647">SUMPRODUCT(("TFRLFH2OFCL"=[2]OUT_TransportEnergyCons!$A$3:$A$1000)*1,("Var_Fin"=[2]OUT_TransportEnergyCons!$B$3:$B$1000)*1,ISNUMBER(SEARCH("h2",[2]OUT_TransportEnergyCons!$C$3:$C$1000))*1,[2]OUT_TransportEnergyCons!J$3:J$1000)</f>
        <v>6.9058879809588907E-6</v>
      </c>
      <c r="N1647" s="1"/>
    </row>
    <row r="1648" spans="2:14" x14ac:dyDescent="0.35">
      <c r="B1648" t="str">
        <f t="shared" si="1743"/>
        <v>SPS1</v>
      </c>
      <c r="C1648" t="str">
        <f t="shared" si="1744"/>
        <v>CH</v>
      </c>
      <c r="D1648" t="s">
        <v>1659</v>
      </c>
      <c r="E1648" t="str">
        <f t="shared" si="1750"/>
        <v>PJ/yr.</v>
      </c>
      <c r="F1648" s="1" cm="1">
        <f t="array" ref="F1648">SUMPRODUCT(("TPSHPH2OEXT"=[1]OUT_TransportEnergyCons!$A$3:$A$1000)*1,("Var_Fin"=[1]OUT_TransportEnergyCons!$B$3:$B$1000)*1,ISNUMBER(SEARCH("h2",[1]OUT_TransportEnergyCons!$C$3:$C$1000))*1,[1]OUT_TransportEnergyCons!D$3:D$1000)+[1]Transport_Aviation_Intl!B$14</f>
        <v>0</v>
      </c>
      <c r="G1648" s="1" cm="1">
        <f t="array" ref="G1648">SUMPRODUCT(("TPSHPH2OEXT"=[1]OUT_TransportEnergyCons!$A$3:$A$1000)*1,("Var_Fin"=[1]OUT_TransportEnergyCons!$B$3:$B$1000)*1,ISNUMBER(SEARCH("h2",[1]OUT_TransportEnergyCons!$C$3:$C$1000))*1,[1]OUT_TransportEnergyCons!E$3:E$1000)+[1]Transport_Aviation_Intl!C$14</f>
        <v>0</v>
      </c>
      <c r="H1648" s="1" cm="1">
        <f t="array" ref="H1648">SUMPRODUCT(("TPSHPH2OEXT"=[1]OUT_TransportEnergyCons!$A$3:$A$1000)*1,("Var_Fin"=[1]OUT_TransportEnergyCons!$B$3:$B$1000)*1,ISNUMBER(SEARCH("h2",[1]OUT_TransportEnergyCons!$C$3:$C$1000))*1,[1]OUT_TransportEnergyCons!F$3:F$1000)+[1]Transport_Aviation_Intl!D$14</f>
        <v>0</v>
      </c>
      <c r="I1648" s="1" cm="1">
        <f t="array" ref="I1648">SUMPRODUCT(("TPSHPH2OEXT"=[1]OUT_TransportEnergyCons!$A$3:$A$1000)*1,("Var_Fin"=[1]OUT_TransportEnergyCons!$B$3:$B$1000)*1,ISNUMBER(SEARCH("h2",[1]OUT_TransportEnergyCons!$C$3:$C$1000))*1,[1]OUT_TransportEnergyCons!G$3:G$1000)+[1]Transport_Aviation_Intl!E$14</f>
        <v>0</v>
      </c>
      <c r="J1648" s="1" cm="1">
        <f t="array" ref="J1648">SUMPRODUCT(("TPSHPH2OEXT"=[2]OUT_TransportEnergyCons!$A$3:$A$1000)*1,("Var_Fin"=[2]OUT_TransportEnergyCons!$B$3:$B$1000)*1,ISNUMBER(SEARCH("h2",[2]OUT_TransportEnergyCons!$C$3:$C$1000))*1,[2]OUT_TransportEnergyCons!H$3:H$1000)+[2]Transport_Aviation_Intl!F$14</f>
        <v>2.7524597006057962E-5</v>
      </c>
      <c r="K1648" s="1" cm="1">
        <f t="array" ref="K1648">SUMPRODUCT(("TPSHPH2OEXT"=[2]OUT_TransportEnergyCons!$A$3:$A$1000)*1,("Var_Fin"=[2]OUT_TransportEnergyCons!$B$3:$B$1000)*1,ISNUMBER(SEARCH("h2",[2]OUT_TransportEnergyCons!$C$3:$C$1000))*1,[2]OUT_TransportEnergyCons!I$3:I$1000)+[2]Transport_Aviation_Intl!G$14</f>
        <v>2.8936321627665837E-5</v>
      </c>
      <c r="L1648" s="1" cm="1">
        <f t="array" ref="L1648">SUMPRODUCT(("TPSHPH2OEXT"=[2]OUT_TransportEnergyCons!$A$3:$A$1000)*1,("Var_Fin"=[2]OUT_TransportEnergyCons!$B$3:$B$1000)*1,ISNUMBER(SEARCH("h2",[2]OUT_TransportEnergyCons!$C$3:$C$1000))*1,[2]OUT_TransportEnergyCons!J$3:J$1000)+[2]Transport_Aviation_Intl!H$14</f>
        <v>4.0639732650928771E-5</v>
      </c>
      <c r="N1648" s="1"/>
    </row>
    <row r="1649" spans="2:14" x14ac:dyDescent="0.35">
      <c r="B1649" t="str">
        <f t="shared" si="1743"/>
        <v>SPS1</v>
      </c>
      <c r="C1649" t="str">
        <f t="shared" si="1744"/>
        <v>CH</v>
      </c>
      <c r="D1649" t="s">
        <v>1660</v>
      </c>
      <c r="E1649" t="str">
        <f>E1648</f>
        <v>PJ/yr.</v>
      </c>
      <c r="F1649" s="1">
        <f>F1654</f>
        <v>1.759807763728358</v>
      </c>
      <c r="G1649" s="1">
        <f t="shared" ref="G1649:K1649" si="1751">G1654</f>
        <v>0.69756674035842603</v>
      </c>
      <c r="H1649" s="1">
        <f t="shared" si="1751"/>
        <v>2.4270407462273076E-5</v>
      </c>
      <c r="I1649" s="1">
        <f t="shared" si="1751"/>
        <v>2.3089611959390059E-5</v>
      </c>
      <c r="J1649" s="1">
        <f t="shared" si="1751"/>
        <v>3.6269097921705308E-4</v>
      </c>
      <c r="K1649" s="1">
        <f t="shared" si="1751"/>
        <v>1.3985256347593775E-4</v>
      </c>
      <c r="L1649" s="1">
        <f t="shared" ref="L1649" si="1752">L1654</f>
        <v>0</v>
      </c>
      <c r="N1649" s="1"/>
    </row>
    <row r="1650" spans="2:14" x14ac:dyDescent="0.35">
      <c r="B1650" t="str">
        <f t="shared" si="1743"/>
        <v>SPS1</v>
      </c>
      <c r="C1650" t="str">
        <f t="shared" si="1744"/>
        <v>CH</v>
      </c>
      <c r="D1650" t="s">
        <v>1661</v>
      </c>
      <c r="E1650" t="str">
        <f t="shared" ref="E1650:E1662" si="1753">E1649</f>
        <v>PJ/yr.</v>
      </c>
      <c r="F1650" s="1">
        <f>F1649-F1651</f>
        <v>1.6634751643659509</v>
      </c>
      <c r="G1650" s="1">
        <f t="shared" ref="G1650:K1650" si="1754">G1649-G1651</f>
        <v>0.65938156516117052</v>
      </c>
      <c r="H1650" s="1">
        <f t="shared" si="1754"/>
        <v>2.294183689504705E-5</v>
      </c>
      <c r="I1650" s="1">
        <f t="shared" si="1754"/>
        <v>2.1825224821234534E-5</v>
      </c>
      <c r="J1650" s="1">
        <f t="shared" si="1754"/>
        <v>3.4282446887968566E-4</v>
      </c>
      <c r="K1650" s="1">
        <f t="shared" si="1754"/>
        <v>1.3219435046401984E-4</v>
      </c>
      <c r="L1650" s="1">
        <f t="shared" ref="L1650" si="1755">L1649-L1651</f>
        <v>0</v>
      </c>
      <c r="N1650" s="1"/>
    </row>
    <row r="1651" spans="2:14" x14ac:dyDescent="0.35">
      <c r="B1651" t="str">
        <f t="shared" si="1743"/>
        <v>SPS1</v>
      </c>
      <c r="C1651" t="str">
        <f t="shared" si="1744"/>
        <v>CH</v>
      </c>
      <c r="D1651" t="s">
        <v>1662</v>
      </c>
      <c r="E1651" t="str">
        <f t="shared" si="1753"/>
        <v>PJ/yr.</v>
      </c>
      <c r="F1651" s="1">
        <f>SUM(F1652:F1653)</f>
        <v>9.6332599362407068E-2</v>
      </c>
      <c r="G1651" s="1">
        <f t="shared" ref="G1651:K1651" si="1756">SUM(G1652:G1653)</f>
        <v>3.8185175197255471E-2</v>
      </c>
      <c r="H1651" s="1">
        <f t="shared" si="1756"/>
        <v>1.3285705672260266E-6</v>
      </c>
      <c r="I1651" s="1">
        <f t="shared" si="1756"/>
        <v>1.264387138155525E-6</v>
      </c>
      <c r="J1651" s="1">
        <f t="shared" si="1756"/>
        <v>1.9866510337367427E-5</v>
      </c>
      <c r="K1651" s="1">
        <f t="shared" si="1756"/>
        <v>7.6582130119178937E-6</v>
      </c>
      <c r="L1651" s="1">
        <f t="shared" ref="L1651" si="1757">SUM(L1652:L1653)</f>
        <v>0</v>
      </c>
      <c r="N1651" s="1"/>
    </row>
    <row r="1652" spans="2:14" x14ac:dyDescent="0.35">
      <c r="B1652" t="str">
        <f t="shared" si="1743"/>
        <v>SPS1</v>
      </c>
      <c r="C1652" t="str">
        <f t="shared" si="1744"/>
        <v>CH</v>
      </c>
      <c r="D1652" t="s">
        <v>1663</v>
      </c>
      <c r="E1652" t="str">
        <f t="shared" si="1753"/>
        <v>PJ/yr.</v>
      </c>
      <c r="F1652" s="1">
        <f>[1]Transport!B$25/SUM([1]Transport!B$21,[1]Transport!B$25)*F1649*(F$35+F$600)/(F$35+F$600+F$39)</f>
        <v>9.6332599362407068E-2</v>
      </c>
      <c r="G1652" s="1">
        <f>[1]Transport!C$25/SUM([1]Transport!C$21,[1]Transport!C$25)*G1649*(G$35+G$600)/(G$35+G$600+G$39)</f>
        <v>3.8185175197255471E-2</v>
      </c>
      <c r="H1652" s="1">
        <f>[1]Transport!D$25/SUM([1]Transport!D$21,[1]Transport!D$25)*H1649*(H$35+H$600)/(H$35+H$600+H$39)</f>
        <v>1.3285705672260266E-6</v>
      </c>
      <c r="I1652" s="1">
        <f>[1]Transport!E$25/SUM([1]Transport!E$21,[1]Transport!E$25)*I1649*(I$35+I$600)/(I$35+I$600+I$39)</f>
        <v>1.264387138155525E-6</v>
      </c>
      <c r="J1652" s="1">
        <f>[2]Transport!F$25/SUM([2]Transport!F$21,[2]Transport!F$25)*J1649*(J$35+J$600)/(J$35+J$600+J$39)</f>
        <v>1.9866510337367427E-5</v>
      </c>
      <c r="K1652" s="1">
        <f>[2]Transport!G$25/SUM([2]Transport!G$21,[2]Transport!G$25)*K1649*(K$35+K$600)/(K$35+K$600+K$39)</f>
        <v>7.6582130119178937E-6</v>
      </c>
      <c r="L1652" s="1">
        <f>[2]Transport!H$25/SUM([2]Transport!H$21,[2]Transport!H$25)*L1649*(L$35+L$600)/(L$35+L$600+L$39)</f>
        <v>0</v>
      </c>
      <c r="N1652" s="1"/>
    </row>
    <row r="1653" spans="2:14" x14ac:dyDescent="0.35">
      <c r="B1653" t="str">
        <f t="shared" si="1743"/>
        <v>SPS1</v>
      </c>
      <c r="C1653" t="str">
        <f t="shared" si="1744"/>
        <v>CH</v>
      </c>
      <c r="D1653" t="s">
        <v>1664</v>
      </c>
      <c r="E1653" t="str">
        <f t="shared" si="1753"/>
        <v>PJ/yr.</v>
      </c>
      <c r="F1653" s="1">
        <f>(F$39+F$719)/([1]Transport!B$21+[1]Transport!B$25)*F1649</f>
        <v>0</v>
      </c>
      <c r="G1653" s="1">
        <f>(G$39+G$719)/([1]Transport!C$21+[1]Transport!C$25)*G1649</f>
        <v>0</v>
      </c>
      <c r="H1653" s="1">
        <f>(H$39+H$719)/([1]Transport!D$21+[1]Transport!D$25)*H1649</f>
        <v>0</v>
      </c>
      <c r="I1653" s="1">
        <f>(I$39+I$719)/([1]Transport!E$21+[1]Transport!E$25)*I1649</f>
        <v>0</v>
      </c>
      <c r="J1653" s="1">
        <f>(J$39+J$719)/([2]Transport!F$21+[2]Transport!F$25)*J1649</f>
        <v>0</v>
      </c>
      <c r="K1653" s="1">
        <f>(K$39+K$719)/([2]Transport!G$21+[2]Transport!G$25)*K1649</f>
        <v>0</v>
      </c>
      <c r="L1653" s="1">
        <f>(L$39+L$719)/([2]Transport!H$21+[2]Transport!H$25)*L1649</f>
        <v>0</v>
      </c>
      <c r="N1653" s="1"/>
    </row>
    <row r="1654" spans="2:14" x14ac:dyDescent="0.35">
      <c r="B1654" t="str">
        <f t="shared" si="1743"/>
        <v>SPS1</v>
      </c>
      <c r="C1654" t="str">
        <f t="shared" si="1744"/>
        <v>CH</v>
      </c>
      <c r="D1654" t="s">
        <v>1665</v>
      </c>
      <c r="E1654" t="str">
        <f t="shared" si="1753"/>
        <v>PJ/yr.</v>
      </c>
      <c r="F1654" s="1" cm="1">
        <f t="array" ref="F1654">SUMPRODUCT(("TPSHPGSLEXT"=[1]OUT_TransportEnergyCons!$A$3:$A$1000)*1,("Var_Fin"=[1]OUT_TransportEnergyCons!$B$3:$B$1000)*1,ISNUMBER(SEARCH("GSL",[1]OUT_TransportEnergyCons!$C$3:$C$1000))*1,[1]OUT_TransportEnergyCons!D$3:D$1000)</f>
        <v>1.759807763728358</v>
      </c>
      <c r="G1654" s="1" cm="1">
        <f t="array" ref="G1654">SUMPRODUCT(("TPSHPGSLEXT"=[1]OUT_TransportEnergyCons!$A$3:$A$1000)*1,("Var_Fin"=[1]OUT_TransportEnergyCons!$B$3:$B$1000)*1,ISNUMBER(SEARCH("GSL",[1]OUT_TransportEnergyCons!$C$3:$C$1000))*1,[1]OUT_TransportEnergyCons!E$3:E$1000)</f>
        <v>0.69756674035842603</v>
      </c>
      <c r="H1654" s="1" cm="1">
        <f t="array" ref="H1654">SUMPRODUCT(("TPSHPGSLEXT"=[1]OUT_TransportEnergyCons!$A$3:$A$1000)*1,("Var_Fin"=[1]OUT_TransportEnergyCons!$B$3:$B$1000)*1,ISNUMBER(SEARCH("GSL",[1]OUT_TransportEnergyCons!$C$3:$C$1000))*1,[1]OUT_TransportEnergyCons!F$3:F$1000)</f>
        <v>2.4270407462273076E-5</v>
      </c>
      <c r="I1654" s="1" cm="1">
        <f t="array" ref="I1654">SUMPRODUCT(("TPSHPGSLEXT"=[1]OUT_TransportEnergyCons!$A$3:$A$1000)*1,("Var_Fin"=[1]OUT_TransportEnergyCons!$B$3:$B$1000)*1,ISNUMBER(SEARCH("GSL",[1]OUT_TransportEnergyCons!$C$3:$C$1000))*1,[1]OUT_TransportEnergyCons!G$3:G$1000)</f>
        <v>2.3089611959390059E-5</v>
      </c>
      <c r="J1654" s="1" cm="1">
        <f t="array" ref="J1654">SUMPRODUCT(("TPSHPGSLEXT"=[2]OUT_TransportEnergyCons!$A$3:$A$1000)*1,("Var_Fin"=[2]OUT_TransportEnergyCons!$B$3:$B$1000)*1,ISNUMBER(SEARCH("GSL",[2]OUT_TransportEnergyCons!$C$3:$C$1000))*1,[2]OUT_TransportEnergyCons!H$3:H$1000)</f>
        <v>3.6269097921705308E-4</v>
      </c>
      <c r="K1654" s="1" cm="1">
        <f t="array" ref="K1654">SUMPRODUCT(("TPSHPGSLEXT"=[2]OUT_TransportEnergyCons!$A$3:$A$1000)*1,("Var_Fin"=[2]OUT_TransportEnergyCons!$B$3:$B$1000)*1,ISNUMBER(SEARCH("GSL",[2]OUT_TransportEnergyCons!$C$3:$C$1000))*1,[2]OUT_TransportEnergyCons!I$3:I$1000)</f>
        <v>1.3985256347593775E-4</v>
      </c>
      <c r="L1654" s="1" cm="1">
        <f t="array" ref="L1654">SUMPRODUCT(("TPSHPGSLEXT"=[2]OUT_TransportEnergyCons!$A$3:$A$1000)*1,("Var_Fin"=[2]OUT_TransportEnergyCons!$B$3:$B$1000)*1,ISNUMBER(SEARCH("GSL",[2]OUT_TransportEnergyCons!$C$3:$C$1000))*1,[2]OUT_TransportEnergyCons!J$3:J$1000)</f>
        <v>0</v>
      </c>
      <c r="N1654" s="1"/>
    </row>
    <row r="1655" spans="2:14" x14ac:dyDescent="0.35">
      <c r="B1655" t="str">
        <f t="shared" si="1743"/>
        <v>SPS1</v>
      </c>
      <c r="C1655" t="str">
        <f t="shared" si="1744"/>
        <v>CH</v>
      </c>
      <c r="D1655" t="s">
        <v>1666</v>
      </c>
      <c r="E1655" t="str">
        <f t="shared" si="1753"/>
        <v>PJ/yr.</v>
      </c>
      <c r="F1655" s="1">
        <f>[1]TRA_FuelByFleet!F$99</f>
        <v>17.776488637642093</v>
      </c>
      <c r="G1655" s="1">
        <f>[1]TRA_FuelByFleet!G$99</f>
        <v>17.657692235004092</v>
      </c>
      <c r="H1655" s="1">
        <f>[1]TRA_FuelByFleet!H$99</f>
        <v>17.136488259540648</v>
      </c>
      <c r="I1655" s="1">
        <f>[1]TRA_FuelByFleet!I$99</f>
        <v>16.252751142557276</v>
      </c>
      <c r="J1655" s="1">
        <f>[2]TRA_FuelByFleet!J$99</f>
        <v>16.25268425681444</v>
      </c>
      <c r="K1655" s="1">
        <f>[2]TRA_FuelByFleet!K$99</f>
        <v>16.252906415198524</v>
      </c>
      <c r="L1655" s="1">
        <f>[2]TRA_FuelByFleet!L$99</f>
        <v>16.25240506620818</v>
      </c>
      <c r="N1655" s="1"/>
    </row>
    <row r="1656" spans="2:14" x14ac:dyDescent="0.35">
      <c r="B1656" t="str">
        <f t="shared" si="1743"/>
        <v>SPS1</v>
      </c>
      <c r="C1656" t="str">
        <f t="shared" si="1744"/>
        <v>CH</v>
      </c>
      <c r="D1656" t="s">
        <v>1667</v>
      </c>
      <c r="E1656" t="str">
        <f t="shared" si="1753"/>
        <v>PJ/yr.</v>
      </c>
      <c r="F1656" s="1">
        <f>F1655-F1657</f>
        <v>17.331763732483861</v>
      </c>
      <c r="G1656" s="1">
        <f t="shared" ref="G1656:K1656" si="1758">G1655-G1657</f>
        <v>17.197520067681204</v>
      </c>
      <c r="H1656" s="1">
        <f t="shared" si="1758"/>
        <v>16.367432282920152</v>
      </c>
      <c r="I1656" s="1">
        <f t="shared" si="1758"/>
        <v>15.526863816729865</v>
      </c>
      <c r="J1656" s="1">
        <f t="shared" si="1758"/>
        <v>15.581677143520967</v>
      </c>
      <c r="K1656" s="1">
        <f t="shared" si="1758"/>
        <v>15.583552468755299</v>
      </c>
      <c r="L1656" s="1">
        <f t="shared" ref="L1656" si="1759">L1655-L1657</f>
        <v>15.572350802169932</v>
      </c>
      <c r="N1656" s="1"/>
    </row>
    <row r="1657" spans="2:14" x14ac:dyDescent="0.35">
      <c r="B1657" t="str">
        <f t="shared" si="1743"/>
        <v>SPS1</v>
      </c>
      <c r="C1657" t="str">
        <f t="shared" si="1744"/>
        <v>CH</v>
      </c>
      <c r="D1657" t="s">
        <v>1668</v>
      </c>
      <c r="E1657" t="str">
        <f t="shared" si="1753"/>
        <v>PJ/yr.</v>
      </c>
      <c r="F1657" s="1">
        <f>SUM(F1658:F1659)</f>
        <v>0.44472490515823271</v>
      </c>
      <c r="G1657" s="1">
        <f t="shared" ref="G1657:K1657" si="1760">SUM(G1658:G1659)</f>
        <v>0.46017216732288696</v>
      </c>
      <c r="H1657" s="1">
        <f t="shared" si="1760"/>
        <v>0.7690559766204963</v>
      </c>
      <c r="I1657" s="1">
        <f t="shared" si="1760"/>
        <v>0.72588732582741056</v>
      </c>
      <c r="J1657" s="1">
        <f t="shared" si="1760"/>
        <v>0.67100711329347407</v>
      </c>
      <c r="K1657" s="1">
        <f t="shared" si="1760"/>
        <v>0.6693539464432251</v>
      </c>
      <c r="L1657" s="1">
        <f t="shared" ref="L1657" si="1761">SUM(L1658:L1659)</f>
        <v>0.68005426403824731</v>
      </c>
      <c r="N1657" s="1"/>
    </row>
    <row r="1658" spans="2:14" x14ac:dyDescent="0.35">
      <c r="B1658" t="str">
        <f t="shared" si="1743"/>
        <v>SPS1</v>
      </c>
      <c r="C1658" t="str">
        <f t="shared" si="1744"/>
        <v>CH</v>
      </c>
      <c r="D1658" t="s">
        <v>1669</v>
      </c>
      <c r="E1658" t="str">
        <f t="shared" si="1753"/>
        <v>PJ/yr.</v>
      </c>
      <c r="F1658" s="1">
        <f>[1]Transport!B$26/SUM([1]Transport!B$22,[1]Transport!B$26)*F1655*(F$34+F$582)/(F$34+F$582+F$38)</f>
        <v>0.44472490515823271</v>
      </c>
      <c r="G1658" s="1">
        <f>[1]Transport!C$26/SUM([1]Transport!C$22,[1]Transport!C$26)*G1655*(G$34+G$582)/(G$34+G$582+G$38)</f>
        <v>0.46017216732288696</v>
      </c>
      <c r="H1658" s="1">
        <f>[1]Transport!D$26/SUM([1]Transport!D$22,[1]Transport!D$26)*H1655*(H$34+H$582)/(H$34+H$582+H$38)</f>
        <v>0.7690559766204963</v>
      </c>
      <c r="I1658" s="1">
        <f>[1]Transport!E$26/SUM([1]Transport!E$22,[1]Transport!E$26)*I1655*(I$34+I$582)/(I$34+I$582+I$38)</f>
        <v>0.72588732582741056</v>
      </c>
      <c r="J1658" s="1">
        <f>[2]Transport!F$26/SUM([2]Transport!F$22,[2]Transport!F$26)*J1655*(J$34+J$582)/(J$34+J$582+J$38)</f>
        <v>0.67100711329347407</v>
      </c>
      <c r="K1658" s="1">
        <f>[2]Transport!G$26/SUM([2]Transport!G$22,[2]Transport!G$26)*K1655*(K$34+K$582)/(K$34+K$582+K$38)</f>
        <v>0.6693539464432251</v>
      </c>
      <c r="L1658" s="1">
        <f>[2]Transport!H$26/SUM([2]Transport!H$22,[2]Transport!H$26)*L1655*(L$34+L$582)/(L$34+L$582+L$38)</f>
        <v>0.68005426403824731</v>
      </c>
      <c r="N1658" s="1"/>
    </row>
    <row r="1659" spans="2:14" x14ac:dyDescent="0.35">
      <c r="B1659" t="str">
        <f>B1658</f>
        <v>SPS1</v>
      </c>
      <c r="C1659" t="str">
        <f>C1658</f>
        <v>CH</v>
      </c>
      <c r="D1659" t="s">
        <v>1670</v>
      </c>
      <c r="E1659" t="str">
        <f>E1658</f>
        <v>PJ/yr.</v>
      </c>
      <c r="F1659" s="1">
        <f>[1]Transport!B$26/SUM([1]Transport!B$22,[1]Transport!B$26)*F1655-F1658</f>
        <v>0</v>
      </c>
      <c r="G1659" s="1">
        <f>[1]Transport!C$26/SUM([1]Transport!C$22,[1]Transport!C$26)*G1655-G1658</f>
        <v>0</v>
      </c>
      <c r="H1659" s="1">
        <f>[1]Transport!D$26/SUM([1]Transport!D$22,[1]Transport!D$26)*H1655-H1658</f>
        <v>0</v>
      </c>
      <c r="I1659" s="1">
        <f>[1]Transport!E$26/SUM([1]Transport!E$22,[1]Transport!E$26)*I1655-I1658</f>
        <v>0</v>
      </c>
      <c r="J1659" s="1">
        <f>[2]Transport!F$26/SUM([2]Transport!F$22,[2]Transport!F$26)*J1655-J1658</f>
        <v>0</v>
      </c>
      <c r="K1659" s="1">
        <f>[2]Transport!G$26/SUM([2]Transport!G$22,[2]Transport!G$26)*K1655-K1658</f>
        <v>0</v>
      </c>
      <c r="L1659" s="1">
        <f>[2]Transport!H$26/SUM([2]Transport!H$22,[2]Transport!H$26)*L1655-L1658</f>
        <v>0</v>
      </c>
      <c r="N1659" s="1"/>
    </row>
    <row r="1660" spans="2:14" x14ac:dyDescent="0.35">
      <c r="B1660" t="str">
        <f>B1659</f>
        <v>SPS1</v>
      </c>
      <c r="C1660" t="str">
        <f>C1659</f>
        <v>CH</v>
      </c>
      <c r="D1660" t="s">
        <v>1671</v>
      </c>
      <c r="E1660" t="str">
        <f>E1659</f>
        <v>PJ/yr.</v>
      </c>
      <c r="F1660" s="1" cm="1">
        <f t="array" ref="F1660">SUMPRODUCT(("TPRLPDSLEXT"=[1]OUT_TransportEnergyCons!$A$3:$A$1000)*1,("Var_Fin"=[1]OUT_TransportEnergyCons!$B$3:$B$1000)*1,ISNUMBER(SEARCH("DSL",[1]OUT_TransportEnergyCons!$C$3:$C$1000))*1,[1]OUT_TransportEnergyCons!D$3:D$1000)</f>
        <v>0</v>
      </c>
      <c r="G1660" s="1" cm="1">
        <f t="array" ref="G1660">SUMPRODUCT(("TPRLPDSLEXT"=[1]OUT_TransportEnergyCons!$A$3:$A$1000)*1,("Var_Fin"=[1]OUT_TransportEnergyCons!$B$3:$B$1000)*1,ISNUMBER(SEARCH("DSL",[1]OUT_TransportEnergyCons!$C$3:$C$1000))*1,[1]OUT_TransportEnergyCons!E$3:E$1000)</f>
        <v>0</v>
      </c>
      <c r="H1660" s="1" cm="1">
        <f t="array" ref="H1660">SUMPRODUCT(("TPRLPDSLEXT"=[1]OUT_TransportEnergyCons!$A$3:$A$1000)*1,("Var_Fin"=[1]OUT_TransportEnergyCons!$B$3:$B$1000)*1,ISNUMBER(SEARCH("DSL",[1]OUT_TransportEnergyCons!$C$3:$C$1000))*1,[1]OUT_TransportEnergyCons!F$3:F$1000)</f>
        <v>0</v>
      </c>
      <c r="I1660" s="1" cm="1">
        <f t="array" ref="I1660">SUMPRODUCT(("TPRLPDSLEXT"=[1]OUT_TransportEnergyCons!$A$3:$A$1000)*1,("Var_Fin"=[1]OUT_TransportEnergyCons!$B$3:$B$1000)*1,ISNUMBER(SEARCH("DSL",[1]OUT_TransportEnergyCons!$C$3:$C$1000))*1,[1]OUT_TransportEnergyCons!G$3:G$1000)</f>
        <v>0</v>
      </c>
      <c r="J1660" s="1" cm="1">
        <f t="array" ref="J1660">SUMPRODUCT(("TPRLPDSLEXT"=[2]OUT_TransportEnergyCons!$A$3:$A$1000)*1,("Var_Fin"=[2]OUT_TransportEnergyCons!$B$3:$B$1000)*1,ISNUMBER(SEARCH("DSL",[2]OUT_TransportEnergyCons!$C$3:$C$1000))*1,[2]OUT_TransportEnergyCons!H$3:H$1000)</f>
        <v>0</v>
      </c>
      <c r="K1660" s="1" cm="1">
        <f t="array" ref="K1660">SUMPRODUCT(("TPRLPDSLEXT"=[2]OUT_TransportEnergyCons!$A$3:$A$1000)*1,("Var_Fin"=[2]OUT_TransportEnergyCons!$B$3:$B$1000)*1,ISNUMBER(SEARCH("DSL",[2]OUT_TransportEnergyCons!$C$3:$C$1000))*1,[2]OUT_TransportEnergyCons!I$3:I$1000)</f>
        <v>0</v>
      </c>
      <c r="L1660" s="1" cm="1">
        <f t="array" ref="L1660">SUMPRODUCT(("TPRLPDSLEXT"=[2]OUT_TransportEnergyCons!$A$3:$A$1000)*1,("Var_Fin"=[2]OUT_TransportEnergyCons!$B$3:$B$1000)*1,ISNUMBER(SEARCH("DSL",[2]OUT_TransportEnergyCons!$C$3:$C$1000))*1,[2]OUT_TransportEnergyCons!J$3:J$1000)</f>
        <v>0</v>
      </c>
      <c r="N1660" s="1"/>
    </row>
    <row r="1661" spans="2:14" x14ac:dyDescent="0.35">
      <c r="B1661" t="str">
        <f t="shared" si="1743"/>
        <v>SPS1</v>
      </c>
      <c r="C1661" t="str">
        <f t="shared" si="1744"/>
        <v>CH</v>
      </c>
      <c r="D1661" t="s">
        <v>1672</v>
      </c>
      <c r="E1661" t="str">
        <f t="shared" si="1753"/>
        <v>PJ/yr.</v>
      </c>
      <c r="F1661" s="1" cm="1">
        <f t="array" ref="F1661">SUMPRODUCT(("TFRLFDSLEXT"=[1]OUT_TransportEnergyCons!$A$3:$A$1000)*1,("Var_Fin"=[1]OUT_TransportEnergyCons!$B$3:$B$1000)*1,ISNUMBER(SEARCH("DSL",[1]OUT_TransportEnergyCons!$C$3:$C$1000))*1,[1]OUT_TransportEnergyCons!D$3:D$1000)</f>
        <v>0.39609083130738326</v>
      </c>
      <c r="G1661" s="1" cm="1">
        <f t="array" ref="G1661">SUMPRODUCT(("TFRLFDSLEXT"=[1]OUT_TransportEnergyCons!$A$3:$A$1000)*1,("Var_Fin"=[1]OUT_TransportEnergyCons!$B$3:$B$1000)*1,ISNUMBER(SEARCH("DSL",[1]OUT_TransportEnergyCons!$C$3:$C$1000))*1,[1]OUT_TransportEnergyCons!E$3:E$1000)</f>
        <v>0.27729257284026015</v>
      </c>
      <c r="H1661" s="1" cm="1">
        <f t="array" ref="H1661">SUMPRODUCT(("TFRLFDSLEXT"=[1]OUT_TransportEnergyCons!$A$3:$A$1000)*1,("Var_Fin"=[1]OUT_TransportEnergyCons!$B$3:$B$1000)*1,ISNUMBER(SEARCH("DSL",[1]OUT_TransportEnergyCons!$C$3:$C$1000))*1,[1]OUT_TransportEnergyCons!F$3:F$1000)</f>
        <v>0</v>
      </c>
      <c r="I1661" s="1" cm="1">
        <f t="array" ref="I1661">SUMPRODUCT(("TFRLFDSLEXT"=[1]OUT_TransportEnergyCons!$A$3:$A$1000)*1,("Var_Fin"=[1]OUT_TransportEnergyCons!$B$3:$B$1000)*1,ISNUMBER(SEARCH("DSL",[1]OUT_TransportEnergyCons!$C$3:$C$1000))*1,[1]OUT_TransportEnergyCons!G$3:G$1000)</f>
        <v>0</v>
      </c>
      <c r="J1661" s="1" cm="1">
        <f t="array" ref="J1661">SUMPRODUCT(("TFRLFDSLEXT"=[2]OUT_TransportEnergyCons!$A$3:$A$1000)*1,("Var_Fin"=[2]OUT_TransportEnergyCons!$B$3:$B$1000)*1,ISNUMBER(SEARCH("DSL",[2]OUT_TransportEnergyCons!$C$3:$C$1000))*1,[2]OUT_TransportEnergyCons!H$3:H$1000)</f>
        <v>3.8007162549228362E-4</v>
      </c>
      <c r="K1661" s="1" cm="1">
        <f t="array" ref="K1661">SUMPRODUCT(("TFRLFDSLEXT"=[2]OUT_TransportEnergyCons!$A$3:$A$1000)*1,("Var_Fin"=[2]OUT_TransportEnergyCons!$B$3:$B$1000)*1,ISNUMBER(SEARCH("DSL",[2]OUT_TransportEnergyCons!$C$3:$C$1000))*1,[2]OUT_TransportEnergyCons!I$3:I$1000)</f>
        <v>3.8764142102845563E-4</v>
      </c>
      <c r="L1661" s="1" cm="1">
        <f t="array" ref="L1661">SUMPRODUCT(("TFRLFDSLEXT"=[2]OUT_TransportEnergyCons!$A$3:$A$1000)*1,("Var_Fin"=[2]OUT_TransportEnergyCons!$B$3:$B$1000)*1,ISNUMBER(SEARCH("DSL",[2]OUT_TransportEnergyCons!$C$3:$C$1000))*1,[2]OUT_TransportEnergyCons!J$3:J$1000)</f>
        <v>3.0759313864955566E-5</v>
      </c>
      <c r="N1661" s="1"/>
    </row>
    <row r="1662" spans="2:14" x14ac:dyDescent="0.35">
      <c r="B1662" t="str">
        <f t="shared" si="1743"/>
        <v>SPS1</v>
      </c>
      <c r="C1662" t="str">
        <f t="shared" si="1744"/>
        <v>CH</v>
      </c>
      <c r="D1662" t="s">
        <v>1673</v>
      </c>
      <c r="E1662" t="str">
        <f t="shared" si="1753"/>
        <v>PJ/yr.</v>
      </c>
      <c r="F1662" s="1" cm="1">
        <f t="array" ref="F1662">SUMPRODUCT(("TPSHPDSLEXT"=[1]OUT_TransportEnergyCons!$A$3:$A$1000)*1,("Var_Fin"=[1]OUT_TransportEnergyCons!$B$3:$B$1000)*1,ISNUMBER(SEARCH("DSL",[1]OUT_TransportEnergyCons!$C$3:$C$1000))*1,[1]OUT_TransportEnergyCons!D$3:D$1000)</f>
        <v>17.38039780633471</v>
      </c>
      <c r="G1662" s="1" cm="1">
        <f t="array" ref="G1662">SUMPRODUCT(("TPSHPDSLEXT"=[1]OUT_TransportEnergyCons!$A$3:$A$1000)*1,("Var_Fin"=[1]OUT_TransportEnergyCons!$B$3:$B$1000)*1,ISNUMBER(SEARCH("DSL",[1]OUT_TransportEnergyCons!$C$3:$C$1000))*1,[1]OUT_TransportEnergyCons!E$3:E$1000)</f>
        <v>17.380399662163832</v>
      </c>
      <c r="H1662" s="1" cm="1">
        <f t="array" ref="H1662">SUMPRODUCT(("TPSHPDSLEXT"=[1]OUT_TransportEnergyCons!$A$3:$A$1000)*1,("Var_Fin"=[1]OUT_TransportEnergyCons!$B$3:$B$1000)*1,ISNUMBER(SEARCH("DSL",[1]OUT_TransportEnergyCons!$C$3:$C$1000))*1,[1]OUT_TransportEnergyCons!F$3:F$1000)</f>
        <v>17.136488259540648</v>
      </c>
      <c r="I1662" s="1" cm="1">
        <f t="array" ref="I1662">SUMPRODUCT(("TPSHPDSLEXT"=[1]OUT_TransportEnergyCons!$A$3:$A$1000)*1,("Var_Fin"=[1]OUT_TransportEnergyCons!$B$3:$B$1000)*1,ISNUMBER(SEARCH("DSL",[1]OUT_TransportEnergyCons!$C$3:$C$1000))*1,[1]OUT_TransportEnergyCons!G$3:G$1000)</f>
        <v>16.252751142557276</v>
      </c>
      <c r="J1662" s="1" cm="1">
        <f t="array" ref="J1662">SUMPRODUCT(("TPSHPDSLEXT"=[2]OUT_TransportEnergyCons!$A$3:$A$1000)*1,("Var_Fin"=[2]OUT_TransportEnergyCons!$B$3:$B$1000)*1,ISNUMBER(SEARCH("DSL",[2]OUT_TransportEnergyCons!$C$3:$C$1000))*1,[2]OUT_TransportEnergyCons!H$3:H$1000)</f>
        <v>16.252304185188947</v>
      </c>
      <c r="K1662" s="1" cm="1">
        <f t="array" ref="K1662">SUMPRODUCT(("TPSHPDSLEXT"=[2]OUT_TransportEnergyCons!$A$3:$A$1000)*1,("Var_Fin"=[2]OUT_TransportEnergyCons!$B$3:$B$1000)*1,ISNUMBER(SEARCH("DSL",[2]OUT_TransportEnergyCons!$C$3:$C$1000))*1,[2]OUT_TransportEnergyCons!I$3:I$1000)</f>
        <v>16.252518773777496</v>
      </c>
      <c r="L1662" s="1" cm="1">
        <f t="array" ref="L1662">SUMPRODUCT(("TPSHPDSLEXT"=[2]OUT_TransportEnergyCons!$A$3:$A$1000)*1,("Var_Fin"=[2]OUT_TransportEnergyCons!$B$3:$B$1000)*1,ISNUMBER(SEARCH("DSL",[2]OUT_TransportEnergyCons!$C$3:$C$1000))*1,[2]OUT_TransportEnergyCons!J$3:J$1000)</f>
        <v>16.252374306894314</v>
      </c>
      <c r="N1662" s="1"/>
    </row>
    <row r="1663" spans="2:14" x14ac:dyDescent="0.35">
      <c r="B1663" t="str">
        <f t="shared" ref="B1663:C1665" si="1762">B1657</f>
        <v>SPS1</v>
      </c>
      <c r="C1663" t="str">
        <f t="shared" si="1762"/>
        <v>CH</v>
      </c>
      <c r="D1663" t="s">
        <v>2479</v>
      </c>
      <c r="E1663" t="str">
        <f>E1657</f>
        <v>PJ/yr.</v>
      </c>
      <c r="F1663" s="1">
        <f>IF([1]Transport!B$23+[1]Transport_Aviation_Intl!B$11&lt;0,0,[1]Transport!B$23+[1]Transport_Aviation_Intl!B$11)</f>
        <v>30.629609213461446</v>
      </c>
      <c r="G1663" s="1">
        <f>IF([1]Transport!C$23+[1]Transport_Aviation_Intl!C$11&lt;0,0,[1]Transport!C$23+[1]Transport_Aviation_Intl!C$11)</f>
        <v>59.879987839215204</v>
      </c>
      <c r="H1663" s="1">
        <f>IF([1]Transport!D$23+[1]Transport_Aviation_Intl!D$11&lt;0,0,[1]Transport!D$23+[1]Transport_Aviation_Intl!D$11)</f>
        <v>82.509215674652694</v>
      </c>
      <c r="I1663" s="1">
        <f>IF([1]Transport!E$23+[1]Transport_Aviation_Intl!E$11&lt;0,0,[1]Transport!E$23+[1]Transport_Aviation_Intl!E$11)</f>
        <v>81.796170380401847</v>
      </c>
      <c r="J1663" s="1">
        <f>IF([2]Transport!F$23+[2]Transport_Aviation_Intl!F$11&lt;0,0,[2]Transport!F$23+[2]Transport_Aviation_Intl!F$11)</f>
        <v>80.362901913568152</v>
      </c>
      <c r="K1663" s="1">
        <f>IF([2]Transport!G$23+[2]Transport_Aviation_Intl!G$11&lt;0,0,[2]Transport!G$23+[2]Transport_Aviation_Intl!G$11)</f>
        <v>78.990590168112817</v>
      </c>
      <c r="L1663" s="1">
        <f>IF([2]Transport!H$23+[2]Transport_Aviation_Intl!H$11&lt;0,0,[2]Transport!H$23+[2]Transport_Aviation_Intl!H$11)</f>
        <v>75.425467269211026</v>
      </c>
      <c r="N1663" s="1"/>
    </row>
    <row r="1664" spans="2:14" x14ac:dyDescent="0.35">
      <c r="B1664" t="str">
        <f t="shared" si="1762"/>
        <v>SPS1</v>
      </c>
      <c r="C1664" t="str">
        <f t="shared" si="1762"/>
        <v>CH</v>
      </c>
      <c r="D1664" t="s">
        <v>2480</v>
      </c>
      <c r="E1664" t="str">
        <f>E1658</f>
        <v>PJ/yr.</v>
      </c>
      <c r="F1664" s="1">
        <f t="shared" ref="F1664:K1664" si="1763">F36</f>
        <v>3.9081036054261899E-4</v>
      </c>
      <c r="G1664" s="1">
        <f t="shared" si="1763"/>
        <v>1.2177234380080199E-5</v>
      </c>
      <c r="H1664" s="1">
        <f t="shared" si="1763"/>
        <v>4.9472060891920101E-4</v>
      </c>
      <c r="I1664" s="1">
        <f t="shared" si="1763"/>
        <v>5.0757674168398523</v>
      </c>
      <c r="J1664" s="1">
        <f t="shared" si="1763"/>
        <v>5.0757674168398523</v>
      </c>
      <c r="K1664" s="1">
        <f t="shared" si="1763"/>
        <v>5.9698983500304035</v>
      </c>
      <c r="L1664" s="1">
        <f t="shared" ref="L1664" si="1764">L36</f>
        <v>6.0865012603720299</v>
      </c>
      <c r="N1664" s="1"/>
    </row>
    <row r="1665" spans="2:14" x14ac:dyDescent="0.35">
      <c r="B1665" t="str">
        <f t="shared" si="1762"/>
        <v>SPS1</v>
      </c>
      <c r="C1665" t="str">
        <f t="shared" si="1762"/>
        <v>CH</v>
      </c>
      <c r="D1665" t="s">
        <v>2481</v>
      </c>
      <c r="E1665" t="str">
        <f>E1659</f>
        <v>PJ/yr.</v>
      </c>
      <c r="F1665" s="1">
        <f t="shared" ref="F1665:K1665" si="1765">F40</f>
        <v>0</v>
      </c>
      <c r="G1665" s="1">
        <f t="shared" si="1765"/>
        <v>0</v>
      </c>
      <c r="H1665" s="1">
        <f t="shared" si="1765"/>
        <v>0</v>
      </c>
      <c r="I1665" s="1">
        <f t="shared" si="1765"/>
        <v>0</v>
      </c>
      <c r="J1665" s="1">
        <f t="shared" si="1765"/>
        <v>0.89413093319055115</v>
      </c>
      <c r="K1665" s="1">
        <f t="shared" si="1765"/>
        <v>0.1166029103416264</v>
      </c>
      <c r="L1665" s="1">
        <f t="shared" ref="L1665" si="1766">L40</f>
        <v>5.9441406114038031E-2</v>
      </c>
      <c r="N1665" s="1"/>
    </row>
    <row r="1666" spans="2:14" x14ac:dyDescent="0.35">
      <c r="B1666" s="2" t="str">
        <f>B1662</f>
        <v>SPS1</v>
      </c>
      <c r="C1666" s="2" t="str">
        <f>C1662</f>
        <v>CH</v>
      </c>
      <c r="D1666" s="2" t="s">
        <v>1674</v>
      </c>
      <c r="E1666" s="21" t="s">
        <v>292</v>
      </c>
      <c r="F1666" s="21" t="s">
        <v>292</v>
      </c>
      <c r="G1666" s="21" t="s">
        <v>292</v>
      </c>
      <c r="H1666" s="21" t="s">
        <v>292</v>
      </c>
      <c r="I1666" s="21" t="s">
        <v>292</v>
      </c>
      <c r="J1666" s="21" t="s">
        <v>292</v>
      </c>
      <c r="K1666" s="21" t="s">
        <v>292</v>
      </c>
      <c r="L1666" s="21" t="s">
        <v>292</v>
      </c>
      <c r="N1666" s="1"/>
    </row>
    <row r="1667" spans="2:14" x14ac:dyDescent="0.35">
      <c r="B1667" t="str">
        <f t="shared" ref="B1667:B1687" si="1767">B1666</f>
        <v>SPS1</v>
      </c>
      <c r="C1667" t="str">
        <f t="shared" si="1744"/>
        <v>CH</v>
      </c>
      <c r="D1667" t="s">
        <v>1675</v>
      </c>
      <c r="E1667" t="s">
        <v>1517</v>
      </c>
      <c r="F1667" s="1" cm="1">
        <f t="array" ref="F1667">SUMPRODUCT(("TPRLPELCEXT"=[1]OUT_TransportEnergyCons!$A$3:$A$1000)*1,("var_fout"=[1]OUT_TransportEnergyCons!$B$3:$B$1000)*1,ISNUMBER(SEARCH("TPRLP",[1]OUT_TransportEnergyCons!$C$3:$C$1000))*1,[1]OUT_TransportEnergyCons!D$3:D$1000)</f>
        <v>0.19499999999999984</v>
      </c>
      <c r="G1667" s="1" cm="1">
        <f t="array" ref="G1667">SUMPRODUCT(("TPRLPELCEXT"=[1]OUT_TransportEnergyCons!$A$3:$A$1000)*1,("var_fout"=[1]OUT_TransportEnergyCons!$B$3:$B$1000)*1,ISNUMBER(SEARCH("TPRLP",[1]OUT_TransportEnergyCons!$C$3:$C$1000))*1,[1]OUT_TransportEnergyCons!E$3:E$1000)</f>
        <v>0.20003409052507212</v>
      </c>
      <c r="H1667" s="1" cm="1">
        <f t="array" ref="H1667">SUMPRODUCT(("TPRLPELCEXT"=[1]OUT_TransportEnergyCons!$A$3:$A$1000)*1,("var_fout"=[1]OUT_TransportEnergyCons!$B$3:$B$1000)*1,ISNUMBER(SEARCH("TPRLP",[1]OUT_TransportEnergyCons!$C$3:$C$1000))*1,[1]OUT_TransportEnergyCons!F$3:F$1000)</f>
        <v>0.20758522631268006</v>
      </c>
      <c r="I1667" s="1" cm="1">
        <f t="array" ref="I1667">SUMPRODUCT(("TPRLPELCEXT"=[1]OUT_TransportEnergyCons!$A$3:$A$1000)*1,("var_fout"=[1]OUT_TransportEnergyCons!$B$3:$B$1000)*1,ISNUMBER(SEARCH("TPRLP",[1]OUT_TransportEnergyCons!$C$3:$C$1000))*1,[1]OUT_TransportEnergyCons!G$3:G$1000)</f>
        <v>0.22017045262536084</v>
      </c>
      <c r="J1667" s="1" cm="1">
        <f t="array" ref="J1667">SUMPRODUCT(("TPRLPELCEXT"=[2]OUT_TransportEnergyCons!$A$3:$A$1000)*1,("var_fout"=[2]OUT_TransportEnergyCons!$B$3:$B$1000)*1,ISNUMBER(SEARCH("TPRLP",[2]OUT_TransportEnergyCons!$C$3:$C$1000))*1,[2]OUT_TransportEnergyCons!H$3:H$1000)</f>
        <v>0.23259804492562927</v>
      </c>
      <c r="K1667" s="1" cm="1">
        <f t="array" ref="K1667">SUMPRODUCT(("TPRLPELCEXT"=[2]OUT_TransportEnergyCons!$A$3:$A$1000)*1,("var_fout"=[2]OUT_TransportEnergyCons!$B$3:$B$1000)*1,ISNUMBER(SEARCH("TPRLP",[2]OUT_TransportEnergyCons!$C$3:$C$1000))*1,[2]OUT_TransportEnergyCons!I$3:I$1000)</f>
        <v>0.24502209480175866</v>
      </c>
      <c r="L1667" s="1" cm="1">
        <f t="array" ref="L1667">SUMPRODUCT(("TPRLPELCEXT"=[2]OUT_TransportEnergyCons!$A$3:$A$1000)*1,("var_fout"=[2]OUT_TransportEnergyCons!$B$3:$B$1000)*1,ISNUMBER(SEARCH("TPRLP",[2]OUT_TransportEnergyCons!$C$3:$C$1000))*1,[2]OUT_TransportEnergyCons!J$3:J$1000)</f>
        <v>0.2633967756800723</v>
      </c>
      <c r="N1667" s="1"/>
    </row>
    <row r="1668" spans="2:14" x14ac:dyDescent="0.35">
      <c r="B1668" t="str">
        <f t="shared" si="1767"/>
        <v>SPS1</v>
      </c>
      <c r="C1668" t="str">
        <f t="shared" si="1744"/>
        <v>CH</v>
      </c>
      <c r="D1668" t="s">
        <v>1676</v>
      </c>
      <c r="E1668" t="str">
        <f t="shared" ref="E1668:E1671" si="1768">E1667</f>
        <v>Billion km/yr.</v>
      </c>
      <c r="F1668" s="1" cm="1">
        <f t="array" ref="F1668">SUMPRODUCT(("TFRLFELCEXT"=[1]OUT_TransportEnergyCons!$A$3:$A$1000)*1,("var_fout"=[1]OUT_TransportEnergyCons!$B$3:$B$1000)*1,ISNUMBER(SEARCH("TfRLf",[1]OUT_TransportEnergyCons!$C$3:$C$1000))*1,[1]OUT_TransportEnergyCons!D$3:D$1000)</f>
        <v>2.5094614594832879E-2</v>
      </c>
      <c r="G1668" s="1" cm="1">
        <f t="array" ref="G1668">SUMPRODUCT(("TFRLFELCEXT"=[1]OUT_TransportEnergyCons!$A$3:$A$1000)*1,("var_fout"=[1]OUT_TransportEnergyCons!$B$3:$B$1000)*1,ISNUMBER(SEARCH("TfRLf",[1]OUT_TransportEnergyCons!$C$3:$C$1000))*1,[1]OUT_TransportEnergyCons!E$3:E$1000)</f>
        <v>2.6565219225528479E-2</v>
      </c>
      <c r="H1668" s="1" cm="1">
        <f t="array" ref="H1668">SUMPRODUCT(("TFRLFELCEXT"=[1]OUT_TransportEnergyCons!$A$3:$A$1000)*1,("var_fout"=[1]OUT_TransportEnergyCons!$B$3:$B$1000)*1,ISNUMBER(SEARCH("TfRLf",[1]OUT_TransportEnergyCons!$C$3:$C$1000))*1,[1]OUT_TransportEnergyCons!F$3:F$1000)</f>
        <v>2.9171919239914641E-2</v>
      </c>
      <c r="I1668" s="1" cm="1">
        <f t="array" ref="I1668">SUMPRODUCT(("TFRLFELCEXT"=[1]OUT_TransportEnergyCons!$A$3:$A$1000)*1,("var_fout"=[1]OUT_TransportEnergyCons!$B$3:$B$1000)*1,ISNUMBER(SEARCH("TfRLf",[1]OUT_TransportEnergyCons!$C$3:$C$1000))*1,[1]OUT_TransportEnergyCons!G$3:G$1000)</f>
        <v>3.1644726245877636E-2</v>
      </c>
      <c r="J1668" s="1" cm="1">
        <f t="array" ref="J1668">SUMPRODUCT(("TFRLFELCEXT"=[2]OUT_TransportEnergyCons!$A$3:$A$1000)*1,("var_fout"=[2]OUT_TransportEnergyCons!$B$3:$B$1000)*1,ISNUMBER(SEARCH("TfRLf",[2]OUT_TransportEnergyCons!$C$3:$C$1000))*1,[2]OUT_TransportEnergyCons!H$3:H$1000)</f>
        <v>3.3097173182455447E-2</v>
      </c>
      <c r="K1668" s="1" cm="1">
        <f t="array" ref="K1668">SUMPRODUCT(("TFRLFELCEXT"=[2]OUT_TransportEnergyCons!$A$3:$A$1000)*1,("var_fout"=[2]OUT_TransportEnergyCons!$B$3:$B$1000)*1,ISNUMBER(SEARCH("TfRLf",[2]OUT_TransportEnergyCons!$C$3:$C$1000))*1,[2]OUT_TransportEnergyCons!I$3:I$1000)</f>
        <v>3.3878253510595348E-2</v>
      </c>
      <c r="L1668" s="1" cm="1">
        <f t="array" ref="L1668">SUMPRODUCT(("TFRLFELCEXT"=[2]OUT_TransportEnergyCons!$A$3:$A$1000)*1,("var_fout"=[2]OUT_TransportEnergyCons!$B$3:$B$1000)*1,ISNUMBER(SEARCH("TfRLf",[2]OUT_TransportEnergyCons!$C$3:$C$1000))*1,[2]OUT_TransportEnergyCons!J$3:J$1000)</f>
        <v>3.6421771700777664E-2</v>
      </c>
      <c r="N1668" s="1"/>
    </row>
    <row r="1669" spans="2:14" x14ac:dyDescent="0.35">
      <c r="B1669" t="str">
        <f t="shared" si="1767"/>
        <v>SPS1</v>
      </c>
      <c r="C1669" t="str">
        <f t="shared" si="1744"/>
        <v>CH</v>
      </c>
      <c r="D1669" t="s">
        <v>1677</v>
      </c>
      <c r="E1669" t="s">
        <v>8</v>
      </c>
      <c r="F1669" s="1" cm="1">
        <f t="array" ref="F1669">SUMPRODUCT(("TPSHPELCEXT"=[1]OUT_TransportEnergyCons!$A$3:$A$1000)*1,("var_fout"=[1]OUT_TransportEnergyCons!$B$3:$B$1000)*1,ISNUMBER(SEARCH("TPSHP",[1]OUT_TransportEnergyCons!$C$3:$C$1000))*1,[1]OUT_TransportEnergyCons!D$3:D$1000)</f>
        <v>0</v>
      </c>
      <c r="G1669" s="1" cm="1">
        <f t="array" ref="G1669">SUMPRODUCT(("TPSHPELCEXT"=[1]OUT_TransportEnergyCons!$A$3:$A$1000)*1,("var_fout"=[1]OUT_TransportEnergyCons!$B$3:$B$1000)*1,ISNUMBER(SEARCH("TPSHP",[1]OUT_TransportEnergyCons!$C$3:$C$1000))*1,[1]OUT_TransportEnergyCons!E$3:E$1000)</f>
        <v>8.9491362900520094E-2</v>
      </c>
      <c r="H1669" s="1" cm="1">
        <f t="array" ref="H1669">SUMPRODUCT(("TPSHPELCEXT"=[1]OUT_TransportEnergyCons!$A$3:$A$1000)*1,("var_fout"=[1]OUT_TransportEnergyCons!$B$3:$B$1000)*1,ISNUMBER(SEARCH("TPSHP",[1]OUT_TransportEnergyCons!$C$3:$C$1000))*1,[1]OUT_TransportEnergyCons!F$3:F$1000)</f>
        <v>8.9492977064677806E-2</v>
      </c>
      <c r="I1669" s="1" cm="1">
        <f t="array" ref="I1669">SUMPRODUCT(("TPSHPELCEXT"=[1]OUT_TransportEnergyCons!$A$3:$A$1000)*1,("var_fout"=[1]OUT_TransportEnergyCons!$B$3:$B$1000)*1,ISNUMBER(SEARCH("TPSHP",[1]OUT_TransportEnergyCons!$C$3:$C$1000))*1,[1]OUT_TransportEnergyCons!G$3:G$1000)</f>
        <v>8.9503310796425206E-2</v>
      </c>
      <c r="J1669" s="1" cm="1">
        <f t="array" ref="J1669">SUMPRODUCT(("TPSHPELCEXT"=[2]OUT_TransportEnergyCons!$A$3:$A$1000)*1,("var_fout"=[2]OUT_TransportEnergyCons!$B$3:$B$1000)*1,ISNUMBER(SEARCH("TPSHP",[2]OUT_TransportEnergyCons!$C$3:$C$1000))*1,[2]OUT_TransportEnergyCons!H$3:H$1000)</f>
        <v>8.9503919892089598E-2</v>
      </c>
      <c r="K1669" s="1" cm="1">
        <f t="array" ref="K1669">SUMPRODUCT(("TPSHPELCEXT"=[2]OUT_TransportEnergyCons!$A$3:$A$1000)*1,("var_fout"=[2]OUT_TransportEnergyCons!$B$3:$B$1000)*1,ISNUMBER(SEARCH("TPSHP",[2]OUT_TransportEnergyCons!$C$3:$C$1000))*1,[2]OUT_TransportEnergyCons!I$3:I$1000)</f>
        <v>8.9504372770231197E-2</v>
      </c>
      <c r="L1669" s="1" cm="1">
        <f t="array" ref="L1669">SUMPRODUCT(("TPSHPELCEXT"=[2]OUT_TransportEnergyCons!$A$3:$A$1000)*1,("var_fout"=[2]OUT_TransportEnergyCons!$B$3:$B$1000)*1,ISNUMBER(SEARCH("TPSHP",[2]OUT_TransportEnergyCons!$C$3:$C$1000))*1,[2]OUT_TransportEnergyCons!J$3:J$1000)</f>
        <v>8.9520206609872505E-2</v>
      </c>
      <c r="N1669" s="1"/>
    </row>
    <row r="1670" spans="2:14" x14ac:dyDescent="0.35">
      <c r="B1670" t="str">
        <f t="shared" si="1767"/>
        <v>SPS1</v>
      </c>
      <c r="C1670" t="str">
        <f t="shared" si="1744"/>
        <v>CH</v>
      </c>
      <c r="D1670" t="s">
        <v>1678</v>
      </c>
      <c r="E1670" t="s">
        <v>1517</v>
      </c>
      <c r="F1670" s="1" cm="1">
        <f t="array" ref="F1670">SUMPRODUCT(("TPRLPH2OFCL"=[1]OUT_TransportEnergyCons!$A$3:$A$1000)*1,("var_fout"=[1]OUT_TransportEnergyCons!$B$3:$B$1000)*1,ISNUMBER(SEARCH("TPRLP",[1]OUT_TransportEnergyCons!$C$3:$C$1000))*1,[1]OUT_TransportEnergyCons!D$3:D$1000)</f>
        <v>0</v>
      </c>
      <c r="G1670" s="1" cm="1">
        <f t="array" ref="G1670">SUMPRODUCT(("TPRLPH2OFCL"=[1]OUT_TransportEnergyCons!$A$3:$A$1000)*1,("var_fout"=[1]OUT_TransportEnergyCons!$B$3:$B$1000)*1,ISNUMBER(SEARCH("TPRLP",[1]OUT_TransportEnergyCons!$C$3:$C$1000))*1,[1]OUT_TransportEnergyCons!E$3:E$1000)</f>
        <v>0</v>
      </c>
      <c r="H1670" s="1" cm="1">
        <f t="array" ref="H1670">SUMPRODUCT(("TPRLPH2OFCL"=[1]OUT_TransportEnergyCons!$A$3:$A$1000)*1,("var_fout"=[1]OUT_TransportEnergyCons!$B$3:$B$1000)*1,ISNUMBER(SEARCH("TPRLP",[1]OUT_TransportEnergyCons!$C$3:$C$1000))*1,[1]OUT_TransportEnergyCons!F$3:F$1000)</f>
        <v>0</v>
      </c>
      <c r="I1670" s="1" cm="1">
        <f t="array" ref="I1670">SUMPRODUCT(("TPRLPH2OFCL"=[1]OUT_TransportEnergyCons!$A$3:$A$1000)*1,("var_fout"=[1]OUT_TransportEnergyCons!$B$3:$B$1000)*1,ISNUMBER(SEARCH("TPRLP",[1]OUT_TransportEnergyCons!$C$3:$C$1000))*1,[1]OUT_TransportEnergyCons!G$3:G$1000)</f>
        <v>0</v>
      </c>
      <c r="J1670" s="1" cm="1">
        <f t="array" ref="J1670">SUMPRODUCT(("TPRLPH2OFCL"=[2]OUT_TransportEnergyCons!$A$3:$A$1000)*1,("var_fout"=[2]OUT_TransportEnergyCons!$B$3:$B$1000)*1,ISNUMBER(SEARCH("TPRLP",[2]OUT_TransportEnergyCons!$C$3:$C$1000))*1,[2]OUT_TransportEnergyCons!H$3:H$1000)</f>
        <v>0</v>
      </c>
      <c r="K1670" s="1" cm="1">
        <f t="array" ref="K1670">SUMPRODUCT(("TPRLPH2OFCL"=[2]OUT_TransportEnergyCons!$A$3:$A$1000)*1,("var_fout"=[2]OUT_TransportEnergyCons!$B$3:$B$1000)*1,ISNUMBER(SEARCH("TPRLP",[2]OUT_TransportEnergyCons!$C$3:$C$1000))*1,[2]OUT_TransportEnergyCons!I$3:I$1000)</f>
        <v>2.8264079682510223E-6</v>
      </c>
      <c r="L1670" s="1" cm="1">
        <f t="array" ref="L1670">SUMPRODUCT(("TPRLPH2OFCL"=[2]OUT_TransportEnergyCons!$A$3:$A$1000)*1,("var_fout"=[2]OUT_TransportEnergyCons!$B$3:$B$1000)*1,ISNUMBER(SEARCH("TPRLP",[2]OUT_TransportEnergyCons!$C$3:$C$1000))*1,[2]OUT_TransportEnergyCons!J$3:J$1000)</f>
        <v>3.7893867079902013E-6</v>
      </c>
      <c r="N1670" s="1"/>
    </row>
    <row r="1671" spans="2:14" x14ac:dyDescent="0.35">
      <c r="B1671" t="str">
        <f t="shared" si="1767"/>
        <v>SPS1</v>
      </c>
      <c r="C1671" t="str">
        <f t="shared" si="1744"/>
        <v>CH</v>
      </c>
      <c r="D1671" t="s">
        <v>1679</v>
      </c>
      <c r="E1671" t="str">
        <f t="shared" si="1768"/>
        <v>Billion km/yr.</v>
      </c>
      <c r="F1671" s="1" cm="1">
        <f t="array" ref="F1671">SUMPRODUCT(("TFRLFH2OFCL"=[1]OUT_TransportEnergyCons!$A$3:$A$1000)*1,("var_fout"=[1]OUT_TransportEnergyCons!$B$3:$B$1000)*1,ISNUMBER(SEARCH("TfRLf",[1]OUT_TransportEnergyCons!$C$3:$C$1000))*1,[1]OUT_TransportEnergyCons!D$3:D$1000)</f>
        <v>0</v>
      </c>
      <c r="G1671" s="1" cm="1">
        <f t="array" ref="G1671">SUMPRODUCT(("TFRLFH2OFCL"=[1]OUT_TransportEnergyCons!$A$3:$A$1000)*1,("var_fout"=[1]OUT_TransportEnergyCons!$B$3:$B$1000)*1,ISNUMBER(SEARCH("TfRLf",[1]OUT_TransportEnergyCons!$C$3:$C$1000))*1,[1]OUT_TransportEnergyCons!E$3:E$1000)</f>
        <v>0</v>
      </c>
      <c r="H1671" s="1" cm="1">
        <f t="array" ref="H1671">SUMPRODUCT(("TFRLFH2OFCL"=[1]OUT_TransportEnergyCons!$A$3:$A$1000)*1,("var_fout"=[1]OUT_TransportEnergyCons!$B$3:$B$1000)*1,ISNUMBER(SEARCH("TfRLf",[1]OUT_TransportEnergyCons!$C$3:$C$1000))*1,[1]OUT_TransportEnergyCons!F$3:F$1000)</f>
        <v>0</v>
      </c>
      <c r="I1671" s="1" cm="1">
        <f t="array" ref="I1671">SUMPRODUCT(("TFRLFH2OFCL"=[1]OUT_TransportEnergyCons!$A$3:$A$1000)*1,("var_fout"=[1]OUT_TransportEnergyCons!$B$3:$B$1000)*1,ISNUMBER(SEARCH("TfRLf",[1]OUT_TransportEnergyCons!$C$3:$C$1000))*1,[1]OUT_TransportEnergyCons!G$3:G$1000)</f>
        <v>0</v>
      </c>
      <c r="J1671" s="1" cm="1">
        <f t="array" ref="J1671">SUMPRODUCT(("TFRLFH2OFCL"=[2]OUT_TransportEnergyCons!$A$3:$A$1000)*1,("var_fout"=[2]OUT_TransportEnergyCons!$B$3:$B$1000)*1,ISNUMBER(SEARCH("TfRLf",[2]OUT_TransportEnergyCons!$C$3:$C$1000))*1,[2]OUT_TransportEnergyCons!H$3:H$1000)</f>
        <v>0</v>
      </c>
      <c r="K1671" s="1" cm="1">
        <f t="array" ref="K1671">SUMPRODUCT(("TFRLFH2OFCL"=[2]OUT_TransportEnergyCons!$A$3:$A$1000)*1,("var_fout"=[2]OUT_TransportEnergyCons!$B$3:$B$1000)*1,ISNUMBER(SEARCH("TfRLf",[2]OUT_TransportEnergyCons!$C$3:$C$1000))*1,[2]OUT_TransportEnergyCons!I$3:I$1000)</f>
        <v>0</v>
      </c>
      <c r="L1671" s="1" cm="1">
        <f t="array" ref="L1671">SUMPRODUCT(("TFRLFH2OFCL"=[2]OUT_TransportEnergyCons!$A$3:$A$1000)*1,("var_fout"=[2]OUT_TransportEnergyCons!$B$3:$B$1000)*1,ISNUMBER(SEARCH("TfRLf",[2]OUT_TransportEnergyCons!$C$3:$C$1000))*1,[2]OUT_TransportEnergyCons!J$3:J$1000)</f>
        <v>4.0980228664300697E-8</v>
      </c>
      <c r="N1671" s="1"/>
    </row>
    <row r="1672" spans="2:14" x14ac:dyDescent="0.35">
      <c r="B1672" t="str">
        <f t="shared" si="1767"/>
        <v>SPS1</v>
      </c>
      <c r="C1672" t="str">
        <f t="shared" si="1744"/>
        <v>CH</v>
      </c>
      <c r="D1672" t="s">
        <v>1680</v>
      </c>
      <c r="E1672" t="s">
        <v>8</v>
      </c>
      <c r="F1672" s="1" cm="1">
        <f t="array" ref="F1672">SUMPRODUCT(("TPSHPH2OEXT"=[1]OUT_TransportEnergyCons!$A$3:$A$1000)*1,("var_fout"=[1]OUT_TransportEnergyCons!$B$3:$B$1000)*1,ISNUMBER(SEARCH("TPSHP",[1]OUT_TransportEnergyCons!$C$3:$C$1000))*1,[1]OUT_TransportEnergyCons!D$3:D$1000)</f>
        <v>0</v>
      </c>
      <c r="G1672" s="1" cm="1">
        <f t="array" ref="G1672">SUMPRODUCT(("TPSHPH2OEXT"=[1]OUT_TransportEnergyCons!$A$3:$A$1000)*1,("var_fout"=[1]OUT_TransportEnergyCons!$B$3:$B$1000)*1,ISNUMBER(SEARCH("TPSHP",[1]OUT_TransportEnergyCons!$C$3:$C$1000))*1,[1]OUT_TransportEnergyCons!E$3:E$1000)</f>
        <v>0</v>
      </c>
      <c r="H1672" s="1" cm="1">
        <f t="array" ref="H1672">SUMPRODUCT(("TPSHPH2OEXT"=[1]OUT_TransportEnergyCons!$A$3:$A$1000)*1,("var_fout"=[1]OUT_TransportEnergyCons!$B$3:$B$1000)*1,ISNUMBER(SEARCH("TPSHP",[1]OUT_TransportEnergyCons!$C$3:$C$1000))*1,[1]OUT_TransportEnergyCons!F$3:F$1000)</f>
        <v>0</v>
      </c>
      <c r="I1672" s="1" cm="1">
        <f t="array" ref="I1672">SUMPRODUCT(("TPSHPH2OEXT"=[1]OUT_TransportEnergyCons!$A$3:$A$1000)*1,("var_fout"=[1]OUT_TransportEnergyCons!$B$3:$B$1000)*1,ISNUMBER(SEARCH("TPSHP",[1]OUT_TransportEnergyCons!$C$3:$C$1000))*1,[1]OUT_TransportEnergyCons!G$3:G$1000)</f>
        <v>0</v>
      </c>
      <c r="J1672" s="1" cm="1">
        <f t="array" ref="J1672">SUMPRODUCT(("TPSHPH2OEXT"=[2]OUT_TransportEnergyCons!$A$3:$A$1000)*1,("var_fout"=[2]OUT_TransportEnergyCons!$B$3:$B$1000)*1,ISNUMBER(SEARCH("TPSHP",[2]OUT_TransportEnergyCons!$C$3:$C$1000))*1,[2]OUT_TransportEnergyCons!H$3:H$1000)</f>
        <v>4.9364766369560698E-5</v>
      </c>
      <c r="K1672" s="1" cm="1">
        <f t="array" ref="K1672">SUMPRODUCT(("TPSHPH2OEXT"=[2]OUT_TransportEnergyCons!$A$3:$A$1000)*1,("var_fout"=[2]OUT_TransportEnergyCons!$B$3:$B$1000)*1,ISNUMBER(SEARCH("TPSHP",[2]OUT_TransportEnergyCons!$C$3:$C$1000))*1,[2]OUT_TransportEnergyCons!I$3:I$1000)</f>
        <v>5.1896663788748901E-5</v>
      </c>
      <c r="L1672" s="1" cm="1">
        <f t="array" ref="L1672">SUMPRODUCT(("TPSHPH2OEXT"=[2]OUT_TransportEnergyCons!$A$3:$A$1000)*1,("var_fout"=[2]OUT_TransportEnergyCons!$B$3:$B$1000)*1,ISNUMBER(SEARCH("TPSHP",[2]OUT_TransportEnergyCons!$C$3:$C$1000))*1,[2]OUT_TransportEnergyCons!J$3:J$1000)</f>
        <v>7.2886477036992095E-5</v>
      </c>
      <c r="N1672" s="1"/>
    </row>
    <row r="1673" spans="2:14" x14ac:dyDescent="0.35">
      <c r="B1673" t="str">
        <f t="shared" si="1767"/>
        <v>SPS1</v>
      </c>
      <c r="C1673" t="str">
        <f t="shared" si="1744"/>
        <v>CH</v>
      </c>
      <c r="D1673" t="s">
        <v>1681</v>
      </c>
      <c r="E1673" t="s">
        <v>8</v>
      </c>
      <c r="F1673" s="1" cm="1">
        <f t="array" ref="F1673">SUMPRODUCT(("TPSHPGSLEXT"=[1]OUT_TransportEnergyCons!$A$3:$A$1000)*1,("var_fout"=[1]OUT_TransportEnergyCons!$B$3:$B$1000)*1,ISNUMBER(SEARCH("TPSHP",[1]OUT_TransportEnergyCons!$C$3:$C$1000))*1,[1]OUT_TransportEnergyCons!D$3:D$1000)</f>
        <v>1.5951113482171899</v>
      </c>
      <c r="G1673" s="1" cm="1">
        <f t="array" ref="G1673">SUMPRODUCT(("TPSHPGSLEXT"=[1]OUT_TransportEnergyCons!$A$3:$A$1000)*1,("var_fout"=[1]OUT_TransportEnergyCons!$B$3:$B$1000)*1,ISNUMBER(SEARCH("TPSHP",[1]OUT_TransportEnergyCons!$C$3:$C$1000))*1,[1]OUT_TransportEnergyCons!E$3:E$1000)</f>
        <v>0.63228305194382195</v>
      </c>
      <c r="H1673" s="1" cm="1">
        <f t="array" ref="H1673">SUMPRODUCT(("TPSHPGSLEXT"=[1]OUT_TransportEnergyCons!$A$3:$A$1000)*1,("var_fout"=[1]OUT_TransportEnergyCons!$B$3:$B$1000)*1,ISNUMBER(SEARCH("TPSHP",[1]OUT_TransportEnergyCons!$C$3:$C$1000))*1,[1]OUT_TransportEnergyCons!F$3:F$1000)</f>
        <v>2.1998995098707101E-5</v>
      </c>
      <c r="I1673" s="1" cm="1">
        <f t="array" ref="I1673">SUMPRODUCT(("TPSHPGSLEXT"=[1]OUT_TransportEnergyCons!$A$3:$A$1000)*1,("var_fout"=[1]OUT_TransportEnergyCons!$B$3:$B$1000)*1,ISNUMBER(SEARCH("TPSHP",[1]OUT_TransportEnergyCons!$C$3:$C$1000))*1,[1]OUT_TransportEnergyCons!G$3:G$1000)</f>
        <v>2.09287075676519E-5</v>
      </c>
      <c r="J1673" s="1" cm="1">
        <f t="array" ref="J1673">SUMPRODUCT(("TPSHPGSLEXT"=[2]OUT_TransportEnergyCons!$A$3:$A$1000)*1,("var_fout"=[2]OUT_TransportEnergyCons!$B$3:$B$1000)*1,ISNUMBER(SEARCH("TPSHP",[2]OUT_TransportEnergyCons!$C$3:$C$1000))*1,[2]OUT_TransportEnergyCons!H$3:H$1000)</f>
        <v>3.2874755343699399E-4</v>
      </c>
      <c r="K1673" s="1" cm="1">
        <f t="array" ref="K1673">SUMPRODUCT(("TPSHPGSLEXT"=[2]OUT_TransportEnergyCons!$A$3:$A$1000)*1,("var_fout"=[2]OUT_TransportEnergyCons!$B$3:$B$1000)*1,ISNUMBER(SEARCH("TPSHP",[2]OUT_TransportEnergyCons!$C$3:$C$1000))*1,[2]OUT_TransportEnergyCons!I$3:I$1000)</f>
        <v>1.2676407939303099E-4</v>
      </c>
      <c r="L1673" s="1" cm="1">
        <f t="array" ref="L1673">SUMPRODUCT(("TPSHPGSLEXT"=[2]OUT_TransportEnergyCons!$A$3:$A$1000)*1,("var_fout"=[2]OUT_TransportEnergyCons!$B$3:$B$1000)*1,ISNUMBER(SEARCH("TPSHP",[2]OUT_TransportEnergyCons!$C$3:$C$1000))*1,[2]OUT_TransportEnergyCons!J$3:J$1000)</f>
        <v>0</v>
      </c>
      <c r="N1673" s="1"/>
    </row>
    <row r="1674" spans="2:14" x14ac:dyDescent="0.35">
      <c r="B1674" t="str">
        <f t="shared" si="1767"/>
        <v>SPS1</v>
      </c>
      <c r="C1674" t="str">
        <f t="shared" si="1744"/>
        <v>CH</v>
      </c>
      <c r="D1674" t="s">
        <v>1682</v>
      </c>
      <c r="E1674" t="s">
        <v>1517</v>
      </c>
      <c r="F1674" s="1" cm="1">
        <f t="array" ref="F1674">SUMPRODUCT(("TPRLPDSLEXT"=[1]OUT_TransportEnergyCons!$A$3:$A$1000)*1,("var_fout"=[1]OUT_TransportEnergyCons!$B$3:$B$1000)*1,ISNUMBER(SEARCH("TPRLP",[1]OUT_TransportEnergyCons!$C$3:$C$1000))*1,[1]OUT_TransportEnergyCons!D$3:D$1000)</f>
        <v>0</v>
      </c>
      <c r="G1674" s="1" cm="1">
        <f t="array" ref="G1674">SUMPRODUCT(("TPRLPDSLEXT"=[1]OUT_TransportEnergyCons!$A$3:$A$1000)*1,("var_fout"=[1]OUT_TransportEnergyCons!$B$3:$B$1000)*1,ISNUMBER(SEARCH("TPRLP",[1]OUT_TransportEnergyCons!$C$3:$C$1000))*1,[1]OUT_TransportEnergyCons!E$3:E$1000)</f>
        <v>0</v>
      </c>
      <c r="H1674" s="1" cm="1">
        <f t="array" ref="H1674">SUMPRODUCT(("TPRLPDSLEXT"=[1]OUT_TransportEnergyCons!$A$3:$A$1000)*1,("var_fout"=[1]OUT_TransportEnergyCons!$B$3:$B$1000)*1,ISNUMBER(SEARCH("TPRLP",[1]OUT_TransportEnergyCons!$C$3:$C$1000))*1,[1]OUT_TransportEnergyCons!F$3:F$1000)</f>
        <v>0</v>
      </c>
      <c r="I1674" s="1" cm="1">
        <f t="array" ref="I1674">SUMPRODUCT(("TPRLPDSLEXT"=[1]OUT_TransportEnergyCons!$A$3:$A$1000)*1,("var_fout"=[1]OUT_TransportEnergyCons!$B$3:$B$1000)*1,ISNUMBER(SEARCH("TPRLP",[1]OUT_TransportEnergyCons!$C$3:$C$1000))*1,[1]OUT_TransportEnergyCons!G$3:G$1000)</f>
        <v>0</v>
      </c>
      <c r="J1674" s="1" cm="1">
        <f t="array" ref="J1674">SUMPRODUCT(("TPRLPDSLEXT"=[2]OUT_TransportEnergyCons!$A$3:$A$1000)*1,("var_fout"=[2]OUT_TransportEnergyCons!$B$3:$B$1000)*1,ISNUMBER(SEARCH("TPRLP",[2]OUT_TransportEnergyCons!$C$3:$C$1000))*1,[2]OUT_TransportEnergyCons!H$3:H$1000)</f>
        <v>0</v>
      </c>
      <c r="K1674" s="1" cm="1">
        <f t="array" ref="K1674">SUMPRODUCT(("TPRLPDSLEXT"=[2]OUT_TransportEnergyCons!$A$3:$A$1000)*1,("var_fout"=[2]OUT_TransportEnergyCons!$B$3:$B$1000)*1,ISNUMBER(SEARCH("TPRLP",[2]OUT_TransportEnergyCons!$C$3:$C$1000))*1,[2]OUT_TransportEnergyCons!I$3:I$1000)</f>
        <v>0</v>
      </c>
      <c r="L1674" s="1" cm="1">
        <f t="array" ref="L1674">SUMPRODUCT(("TPRLPDSLEXT"=[2]OUT_TransportEnergyCons!$A$3:$A$1000)*1,("var_fout"=[2]OUT_TransportEnergyCons!$B$3:$B$1000)*1,ISNUMBER(SEARCH("TPRLP",[2]OUT_TransportEnergyCons!$C$3:$C$1000))*1,[2]OUT_TransportEnergyCons!J$3:J$1000)</f>
        <v>0</v>
      </c>
      <c r="N1674" s="1"/>
    </row>
    <row r="1675" spans="2:14" x14ac:dyDescent="0.35">
      <c r="B1675" t="str">
        <f t="shared" si="1767"/>
        <v>SPS1</v>
      </c>
      <c r="C1675" t="str">
        <f t="shared" si="1744"/>
        <v>CH</v>
      </c>
      <c r="D1675" t="s">
        <v>1683</v>
      </c>
      <c r="E1675" t="str">
        <f t="shared" ref="E1675" si="1769">E1674</f>
        <v>Billion km/yr.</v>
      </c>
      <c r="F1675" s="1" cm="1">
        <f t="array" ref="F1675">SUMPRODUCT(("TFRLFDSLEXT"=[1]OUT_TransportEnergyCons!$A$3:$A$1000)*1,("var_fout"=[1]OUT_TransportEnergyCons!$B$3:$B$1000)*1,ISNUMBER(SEARCH("TfRLf",[1]OUT_TransportEnergyCons!$C$3:$C$1000))*1,[1]OUT_TransportEnergyCons!D$3:D$1000)</f>
        <v>1.6053854051671186E-3</v>
      </c>
      <c r="G1675" s="1" cm="1">
        <f t="array" ref="G1675">SUMPRODUCT(("TFRLFDSLEXT"=[1]OUT_TransportEnergyCons!$A$3:$A$1000)*1,("var_fout"=[1]OUT_TransportEnergyCons!$B$3:$B$1000)*1,ISNUMBER(SEARCH("TfRLf",[1]OUT_TransportEnergyCons!$C$3:$C$1000))*1,[1]OUT_TransportEnergyCons!E$3:E$1000)</f>
        <v>1.1238872859784281E-3</v>
      </c>
      <c r="H1675" s="1" cm="1">
        <f t="array" ref="H1675">SUMPRODUCT(("TFRLFDSLEXT"=[1]OUT_TransportEnergyCons!$A$3:$A$1000)*1,("var_fout"=[1]OUT_TransportEnergyCons!$B$3:$B$1000)*1,ISNUMBER(SEARCH("TfRLf",[1]OUT_TransportEnergyCons!$C$3:$C$1000))*1,[1]OUT_TransportEnergyCons!F$3:F$1000)</f>
        <v>0</v>
      </c>
      <c r="I1675" s="1" cm="1">
        <f t="array" ref="I1675">SUMPRODUCT(("TFRLFDSLEXT"=[1]OUT_TransportEnergyCons!$A$3:$A$1000)*1,("var_fout"=[1]OUT_TransportEnergyCons!$B$3:$B$1000)*1,ISNUMBER(SEARCH("TfRLf",[1]OUT_TransportEnergyCons!$C$3:$C$1000))*1,[1]OUT_TransportEnergyCons!G$3:G$1000)</f>
        <v>0</v>
      </c>
      <c r="J1675" s="1" cm="1">
        <f t="array" ref="J1675">SUMPRODUCT(("TFRLFDSLEXT"=[2]OUT_TransportEnergyCons!$A$3:$A$1000)*1,("var_fout"=[2]OUT_TransportEnergyCons!$B$3:$B$1000)*1,ISNUMBER(SEARCH("TfRLf",[2]OUT_TransportEnergyCons!$C$3:$C$1000))*1,[2]OUT_TransportEnergyCons!H$3:H$1000)</f>
        <v>1.5404583803908976E-6</v>
      </c>
      <c r="K1675" s="1" cm="1">
        <f t="array" ref="K1675">SUMPRODUCT(("TFRLFDSLEXT"=[2]OUT_TransportEnergyCons!$A$3:$A$1000)*1,("var_fout"=[2]OUT_TransportEnergyCons!$B$3:$B$1000)*1,ISNUMBER(SEARCH("TfRLf",[2]OUT_TransportEnergyCons!$C$3:$C$1000))*1,[2]OUT_TransportEnergyCons!I$3:I$1000)</f>
        <v>1.5711393210068606E-6</v>
      </c>
      <c r="L1675" s="1" cm="1">
        <f t="array" ref="L1675">SUMPRODUCT(("TFRLFDSLEXT"=[2]OUT_TransportEnergyCons!$A$3:$A$1000)*1,("var_fout"=[2]OUT_TransportEnergyCons!$B$3:$B$1000)*1,ISNUMBER(SEARCH("TfRLf",[2]OUT_TransportEnergyCons!$C$3:$C$1000))*1,[2]OUT_TransportEnergyCons!J$3:J$1000)</f>
        <v>1.2466977180149109E-7</v>
      </c>
      <c r="N1675" s="1"/>
    </row>
    <row r="1676" spans="2:14" x14ac:dyDescent="0.35">
      <c r="B1676" t="str">
        <f t="shared" si="1767"/>
        <v>SPS1</v>
      </c>
      <c r="C1676" t="str">
        <f t="shared" si="1744"/>
        <v>CH</v>
      </c>
      <c r="D1676" t="s">
        <v>1684</v>
      </c>
      <c r="E1676" t="s">
        <v>8</v>
      </c>
      <c r="F1676" s="1" cm="1">
        <f t="array" ref="F1676">SUMPRODUCT(("TPSHPDSLEXT"=[1]OUT_TransportEnergyCons!$A$3:$A$1000)*1,("var_fout"=[1]OUT_TransportEnergyCons!$B$3:$B$1000)*1,ISNUMBER(SEARCH("TPSHP",[1]OUT_TransportEnergyCons!$C$3:$C$1000))*1,[1]OUT_TransportEnergyCons!D$3:D$1000)</f>
        <v>17.176521919007701</v>
      </c>
      <c r="G1676" s="1" cm="1">
        <f t="array" ref="G1676">SUMPRODUCT(("TPSHPDSLEXT"=[1]OUT_TransportEnergyCons!$A$3:$A$1000)*1,("var_fout"=[1]OUT_TransportEnergyCons!$B$3:$B$1000)*1,ISNUMBER(SEARCH("TPSHP",[1]OUT_TransportEnergyCons!$C$3:$C$1000))*1,[1]OUT_TransportEnergyCons!E$3:E$1000)</f>
        <v>17.1765237530674</v>
      </c>
      <c r="H1676" s="1" cm="1">
        <f t="array" ref="H1676">SUMPRODUCT(("TPSHPDSLEXT"=[1]OUT_TransportEnergyCons!$A$3:$A$1000)*1,("var_fout"=[1]OUT_TransportEnergyCons!$B$3:$B$1000)*1,ISNUMBER(SEARCH("TPSHP",[1]OUT_TransportEnergyCons!$C$3:$C$1000))*1,[1]OUT_TransportEnergyCons!F$3:F$1000)</f>
        <v>16.935473484820601</v>
      </c>
      <c r="I1676" s="1" cm="1">
        <f t="array" ref="I1676">SUMPRODUCT(("TPSHPDSLEXT"=[1]OUT_TransportEnergyCons!$A$3:$A$1000)*1,("var_fout"=[1]OUT_TransportEnergyCons!$B$3:$B$1000)*1,ISNUMBER(SEARCH("TPSHP",[1]OUT_TransportEnergyCons!$C$3:$C$1000))*1,[1]OUT_TransportEnergyCons!G$3:G$1000)</f>
        <v>16.062102798508</v>
      </c>
      <c r="J1676" s="1" cm="1">
        <f t="array" ref="J1676">SUMPRODUCT(("TPSHPDSLEXT"=[2]OUT_TransportEnergyCons!$A$3:$A$1000)*1,("var_fout"=[2]OUT_TransportEnergyCons!$B$3:$B$1000)*1,ISNUMBER(SEARCH("TPSHP",[2]OUT_TransportEnergyCons!$C$3:$C$1000))*1,[2]OUT_TransportEnergyCons!H$3:H$1000)</f>
        <v>16.061661084047898</v>
      </c>
      <c r="K1676" s="1" cm="1">
        <f t="array" ref="K1676">SUMPRODUCT(("TPSHPDSLEXT"=[2]OUT_TransportEnergyCons!$A$3:$A$1000)*1,("var_fout"=[2]OUT_TransportEnergyCons!$B$3:$B$1000)*1,ISNUMBER(SEARCH("TPSHP",[2]OUT_TransportEnergyCons!$C$3:$C$1000))*1,[2]OUT_TransportEnergyCons!I$3:I$1000)</f>
        <v>16.061873155465101</v>
      </c>
      <c r="L1676" s="1" cm="1">
        <f t="array" ref="L1676">SUMPRODUCT(("TPSHPDSLEXT"=[2]OUT_TransportEnergyCons!$A$3:$A$1000)*1,("var_fout"=[2]OUT_TransportEnergyCons!$B$3:$B$1000)*1,ISNUMBER(SEARCH("TPSHP",[2]OUT_TransportEnergyCons!$C$3:$C$1000))*1,[2]OUT_TransportEnergyCons!J$3:J$1000)</f>
        <v>16.0617303832102</v>
      </c>
      <c r="N1676" s="1"/>
    </row>
    <row r="1677" spans="2:14" x14ac:dyDescent="0.35">
      <c r="B1677" s="2" t="str">
        <f t="shared" si="1767"/>
        <v>SPS1</v>
      </c>
      <c r="C1677" s="2" t="str">
        <f t="shared" si="1744"/>
        <v>CH</v>
      </c>
      <c r="D1677" s="2" t="s">
        <v>1685</v>
      </c>
      <c r="E1677" s="21" t="s">
        <v>292</v>
      </c>
      <c r="F1677" s="21" t="s">
        <v>292</v>
      </c>
      <c r="G1677" s="21" t="s">
        <v>292</v>
      </c>
      <c r="H1677" s="21" t="s">
        <v>292</v>
      </c>
      <c r="I1677" s="21" t="s">
        <v>292</v>
      </c>
      <c r="J1677" s="21" t="s">
        <v>292</v>
      </c>
      <c r="K1677" s="21" t="s">
        <v>292</v>
      </c>
      <c r="L1677" s="21" t="s">
        <v>292</v>
      </c>
      <c r="N1677" s="1"/>
    </row>
    <row r="1678" spans="2:14" x14ac:dyDescent="0.35">
      <c r="B1678" t="str">
        <f t="shared" si="1767"/>
        <v>SPS1</v>
      </c>
      <c r="C1678" t="str">
        <f t="shared" si="1744"/>
        <v>CH</v>
      </c>
      <c r="D1678" t="s">
        <v>1686</v>
      </c>
      <c r="E1678" t="s">
        <v>1229</v>
      </c>
      <c r="F1678" s="7">
        <f t="shared" ref="F1678:K1680" si="1770">IFERROR(F1667/F1642,"-")</f>
        <v>2.5309161094553195E-2</v>
      </c>
      <c r="G1678" s="7">
        <f t="shared" si="1770"/>
        <v>2.5301857215832019E-2</v>
      </c>
      <c r="H1678" s="7">
        <f t="shared" si="1770"/>
        <v>2.5290901397750198E-2</v>
      </c>
      <c r="I1678" s="7">
        <f t="shared" si="1770"/>
        <v>2.5272641700947188E-2</v>
      </c>
      <c r="J1678" s="7">
        <f t="shared" si="1770"/>
        <v>2.5254382004144305E-2</v>
      </c>
      <c r="K1678" s="7">
        <f t="shared" si="1770"/>
        <v>2.5236122307341277E-2</v>
      </c>
      <c r="L1678" s="7">
        <f t="shared" ref="L1678" si="1771">IFERROR(L1667/L1642,"-")</f>
        <v>2.5199602913735294E-2</v>
      </c>
      <c r="N1678" s="1"/>
    </row>
    <row r="1679" spans="2:14" x14ac:dyDescent="0.35">
      <c r="B1679" t="str">
        <f t="shared" si="1767"/>
        <v>SPS1</v>
      </c>
      <c r="C1679" t="str">
        <f t="shared" si="1744"/>
        <v>CH</v>
      </c>
      <c r="D1679" t="s">
        <v>1687</v>
      </c>
      <c r="E1679" t="s">
        <v>1229</v>
      </c>
      <c r="F1679" s="7">
        <f t="shared" si="1770"/>
        <v>1.67040322194013E-2</v>
      </c>
      <c r="G1679" s="7">
        <f t="shared" si="1770"/>
        <v>1.6704032219401303E-2</v>
      </c>
      <c r="H1679" s="7">
        <f t="shared" si="1770"/>
        <v>1.6704032219401282E-2</v>
      </c>
      <c r="I1679" s="7">
        <f t="shared" si="1770"/>
        <v>1.670403221940131E-2</v>
      </c>
      <c r="J1679" s="7">
        <f t="shared" si="1770"/>
        <v>1.6704032219401296E-2</v>
      </c>
      <c r="K1679" s="7">
        <f t="shared" si="1770"/>
        <v>1.6704032219401307E-2</v>
      </c>
      <c r="L1679" s="7">
        <f t="shared" ref="L1679" si="1772">IFERROR(L1668/L1643,"-")</f>
        <v>1.6704032219401303E-2</v>
      </c>
      <c r="N1679" s="1"/>
    </row>
    <row r="1680" spans="2:14" x14ac:dyDescent="0.35">
      <c r="B1680" t="str">
        <f t="shared" si="1767"/>
        <v>SPS1</v>
      </c>
      <c r="C1680" t="str">
        <f t="shared" si="1744"/>
        <v>CH</v>
      </c>
      <c r="D1680" t="s">
        <v>1688</v>
      </c>
      <c r="E1680" t="s">
        <v>240</v>
      </c>
      <c r="F1680" t="str">
        <f t="shared" si="1770"/>
        <v>-</v>
      </c>
      <c r="G1680">
        <f t="shared" si="1770"/>
        <v>2.4673913043478364</v>
      </c>
      <c r="H1680">
        <f t="shared" si="1770"/>
        <v>2.4673913043478324</v>
      </c>
      <c r="I1680">
        <f t="shared" si="1770"/>
        <v>2.4673913043478337</v>
      </c>
      <c r="J1680">
        <f t="shared" si="1770"/>
        <v>2.4571142983326668</v>
      </c>
      <c r="K1680">
        <f t="shared" si="1770"/>
        <v>2.4554018090664176</v>
      </c>
      <c r="L1680">
        <f t="shared" ref="L1680" si="1773">IFERROR(L1669/L1644,"-")</f>
        <v>0.28168866134282755</v>
      </c>
      <c r="N1680" s="1"/>
    </row>
    <row r="1681" spans="2:14" x14ac:dyDescent="0.35">
      <c r="B1681" t="str">
        <f t="shared" si="1767"/>
        <v>SPS1</v>
      </c>
      <c r="C1681" t="str">
        <f t="shared" si="1744"/>
        <v>CH</v>
      </c>
      <c r="D1681" t="s">
        <v>1689</v>
      </c>
      <c r="E1681" t="s">
        <v>1229</v>
      </c>
      <c r="F1681" t="str">
        <f t="shared" ref="F1681:K1683" si="1774">IFERROR(F1670/F1646,"-")</f>
        <v>-</v>
      </c>
      <c r="G1681" t="str">
        <f t="shared" si="1774"/>
        <v>-</v>
      </c>
      <c r="H1681" t="str">
        <f t="shared" si="1774"/>
        <v>-</v>
      </c>
      <c r="I1681" t="str">
        <f t="shared" si="1774"/>
        <v>-</v>
      </c>
      <c r="J1681" t="str">
        <f t="shared" si="1774"/>
        <v>-</v>
      </c>
      <c r="K1681">
        <f t="shared" si="1774"/>
        <v>1.7941883805152228E-2</v>
      </c>
      <c r="L1681">
        <f t="shared" ref="L1681" si="1775">IFERROR(L1670/L1646,"-")</f>
        <v>1.9320077379362397E-2</v>
      </c>
      <c r="N1681" s="1"/>
    </row>
    <row r="1682" spans="2:14" x14ac:dyDescent="0.35">
      <c r="B1682" t="str">
        <f t="shared" si="1767"/>
        <v>SPS1</v>
      </c>
      <c r="C1682" t="str">
        <f t="shared" si="1744"/>
        <v>CH</v>
      </c>
      <c r="D1682" t="s">
        <v>1690</v>
      </c>
      <c r="E1682" t="s">
        <v>1229</v>
      </c>
      <c r="F1682" t="str">
        <f t="shared" si="1774"/>
        <v>-</v>
      </c>
      <c r="G1682" t="str">
        <f t="shared" si="1774"/>
        <v>-</v>
      </c>
      <c r="H1682" t="str">
        <f t="shared" si="1774"/>
        <v>-</v>
      </c>
      <c r="I1682" t="str">
        <f t="shared" si="1774"/>
        <v>-</v>
      </c>
      <c r="J1682" t="str">
        <f t="shared" si="1774"/>
        <v>-</v>
      </c>
      <c r="K1682" t="str">
        <f t="shared" si="1774"/>
        <v>-</v>
      </c>
      <c r="L1682">
        <f t="shared" ref="L1682" si="1776">IFERROR(L1671/L1647,"-")</f>
        <v>5.9340998257273415E-3</v>
      </c>
      <c r="N1682" s="1"/>
    </row>
    <row r="1683" spans="2:14" x14ac:dyDescent="0.35">
      <c r="B1683" t="str">
        <f t="shared" si="1767"/>
        <v>SPS1</v>
      </c>
      <c r="C1683" t="str">
        <f t="shared" si="1744"/>
        <v>CH</v>
      </c>
      <c r="D1683" t="s">
        <v>1691</v>
      </c>
      <c r="E1683" t="s">
        <v>240</v>
      </c>
      <c r="F1683" t="str">
        <f t="shared" si="1774"/>
        <v>-</v>
      </c>
      <c r="G1683" t="str">
        <f t="shared" si="1774"/>
        <v>-</v>
      </c>
      <c r="H1683" t="str">
        <f t="shared" si="1774"/>
        <v>-</v>
      </c>
      <c r="I1683" t="str">
        <f t="shared" si="1774"/>
        <v>-</v>
      </c>
      <c r="J1683">
        <f t="shared" si="1774"/>
        <v>1.7934782608695734</v>
      </c>
      <c r="K1683">
        <f t="shared" si="1774"/>
        <v>1.7934782608695787</v>
      </c>
      <c r="L1683">
        <f t="shared" ref="L1683" si="1777">IFERROR(L1672/L1648,"-")</f>
        <v>1.7934782608695721</v>
      </c>
      <c r="N1683" s="1"/>
    </row>
    <row r="1684" spans="2:14" x14ac:dyDescent="0.35">
      <c r="B1684" t="str">
        <f t="shared" si="1767"/>
        <v>SPS1</v>
      </c>
      <c r="C1684" t="str">
        <f t="shared" si="1744"/>
        <v>CH</v>
      </c>
      <c r="D1684" t="s">
        <v>1692</v>
      </c>
      <c r="E1684" t="s">
        <v>240</v>
      </c>
      <c r="F1684" s="4">
        <f t="shared" ref="F1684:K1684" si="1778">IFERROR(F1673/F1654,"-")</f>
        <v>0.90641226905247907</v>
      </c>
      <c r="G1684" s="4">
        <f t="shared" si="1778"/>
        <v>0.90641226905247829</v>
      </c>
      <c r="H1684" s="4">
        <f t="shared" si="1778"/>
        <v>0.90641226905247674</v>
      </c>
      <c r="I1684" s="4">
        <f t="shared" si="1778"/>
        <v>0.90641226905247474</v>
      </c>
      <c r="J1684" s="4">
        <f t="shared" si="1778"/>
        <v>0.9064122690524774</v>
      </c>
      <c r="K1684" s="4">
        <f t="shared" si="1778"/>
        <v>0.90641226905248196</v>
      </c>
      <c r="L1684" s="4" t="str">
        <f t="shared" ref="L1684" si="1779">IFERROR(L1673/L1654,"-")</f>
        <v>-</v>
      </c>
      <c r="N1684" s="1"/>
    </row>
    <row r="1685" spans="2:14" x14ac:dyDescent="0.35">
      <c r="B1685" t="str">
        <f t="shared" si="1767"/>
        <v>SPS1</v>
      </c>
      <c r="C1685" t="str">
        <f t="shared" si="1744"/>
        <v>CH</v>
      </c>
      <c r="D1685" t="s">
        <v>1693</v>
      </c>
      <c r="E1685" t="s">
        <v>1229</v>
      </c>
      <c r="F1685" t="str">
        <f t="shared" ref="F1685:K1687" si="1780">IFERROR(F1674/F1660,"-")</f>
        <v>-</v>
      </c>
      <c r="G1685" t="str">
        <f t="shared" si="1780"/>
        <v>-</v>
      </c>
      <c r="H1685" t="str">
        <f t="shared" si="1780"/>
        <v>-</v>
      </c>
      <c r="I1685" t="str">
        <f t="shared" si="1780"/>
        <v>-</v>
      </c>
      <c r="J1685" t="str">
        <f t="shared" si="1780"/>
        <v>-</v>
      </c>
      <c r="K1685" t="str">
        <f t="shared" si="1780"/>
        <v>-</v>
      </c>
      <c r="L1685" t="str">
        <f t="shared" ref="L1685" si="1781">IFERROR(L1674/L1660,"-")</f>
        <v>-</v>
      </c>
      <c r="N1685" s="1"/>
    </row>
    <row r="1686" spans="2:14" x14ac:dyDescent="0.35">
      <c r="B1686" t="str">
        <f t="shared" si="1767"/>
        <v>SPS1</v>
      </c>
      <c r="C1686" t="str">
        <f t="shared" si="1744"/>
        <v>CH</v>
      </c>
      <c r="D1686" t="s">
        <v>1694</v>
      </c>
      <c r="E1686" t="s">
        <v>1229</v>
      </c>
      <c r="F1686" s="1">
        <f t="shared" si="1780"/>
        <v>4.0530738867855069E-3</v>
      </c>
      <c r="G1686" s="1">
        <f t="shared" si="1780"/>
        <v>4.0530738867855121E-3</v>
      </c>
      <c r="H1686" t="str">
        <f t="shared" si="1780"/>
        <v>-</v>
      </c>
      <c r="I1686" t="str">
        <f t="shared" si="1780"/>
        <v>-</v>
      </c>
      <c r="J1686">
        <f t="shared" si="1780"/>
        <v>4.0530738867855121E-3</v>
      </c>
      <c r="K1686">
        <f t="shared" si="1780"/>
        <v>4.0530738867855095E-3</v>
      </c>
      <c r="L1686">
        <f t="shared" ref="L1686" si="1782">IFERROR(L1675/L1661,"-")</f>
        <v>4.0530738867855165E-3</v>
      </c>
      <c r="N1686" s="1"/>
    </row>
    <row r="1687" spans="2:14" x14ac:dyDescent="0.35">
      <c r="B1687" t="str">
        <f t="shared" si="1767"/>
        <v>SPS1</v>
      </c>
      <c r="C1687" t="str">
        <f t="shared" si="1744"/>
        <v>CH</v>
      </c>
      <c r="D1687" t="s">
        <v>1695</v>
      </c>
      <c r="E1687" t="s">
        <v>240</v>
      </c>
      <c r="F1687" s="4">
        <f t="shared" si="1780"/>
        <v>0.98826978015125178</v>
      </c>
      <c r="G1687" s="4">
        <f t="shared" si="1780"/>
        <v>0.98826978015124367</v>
      </c>
      <c r="H1687" s="4">
        <f t="shared" si="1780"/>
        <v>0.98826978015124345</v>
      </c>
      <c r="I1687" s="4">
        <f t="shared" si="1780"/>
        <v>0.98826978015124656</v>
      </c>
      <c r="J1687" s="4">
        <f t="shared" si="1780"/>
        <v>0.98826978015124856</v>
      </c>
      <c r="K1687" s="4">
        <f t="shared" si="1780"/>
        <v>0.988269780151247</v>
      </c>
      <c r="L1687" s="4">
        <f t="shared" ref="L1687" si="1783">IFERROR(L1676/L1662,"-")</f>
        <v>0.98826978015124589</v>
      </c>
      <c r="N1687" s="1"/>
    </row>
    <row r="1688" spans="2:14" x14ac:dyDescent="0.35">
      <c r="B1688" s="2" t="str">
        <f>B1687</f>
        <v>SPS1</v>
      </c>
      <c r="C1688" s="2" t="str">
        <f>C1687</f>
        <v>CH</v>
      </c>
      <c r="D1688" s="2" t="s">
        <v>1701</v>
      </c>
      <c r="E1688" s="2" t="s">
        <v>442</v>
      </c>
      <c r="F1688" s="3">
        <f>SUM(F1689:F1691,F1694:F1696,-F1701)</f>
        <v>34.596313172436687</v>
      </c>
      <c r="G1688" s="3">
        <f t="shared" ref="G1688:K1688" si="1784">SUM(G1689:G1691,G1694:G1696,-G1701)</f>
        <v>32.332973192367419</v>
      </c>
      <c r="H1688" s="3">
        <f t="shared" si="1784"/>
        <v>30.621673200125194</v>
      </c>
      <c r="I1688" s="3">
        <f t="shared" si="1784"/>
        <v>23.908513964394544</v>
      </c>
      <c r="J1688" s="3">
        <f t="shared" si="1784"/>
        <v>20.301611457406263</v>
      </c>
      <c r="K1688" s="3">
        <f t="shared" si="1784"/>
        <v>19.255732440132867</v>
      </c>
      <c r="L1688" s="3">
        <f t="shared" ref="L1688" si="1785">SUM(L1689:L1691,L1694:L1696,-L1701)</f>
        <v>16.646211909682403</v>
      </c>
      <c r="N1688" s="1"/>
    </row>
    <row r="1689" spans="2:14" x14ac:dyDescent="0.35">
      <c r="B1689" t="str">
        <f>B1688</f>
        <v>SPS1</v>
      </c>
      <c r="C1689" t="str">
        <f t="shared" ref="C1689" si="1786">C1688</f>
        <v>CH</v>
      </c>
      <c r="D1689" t="s">
        <v>1702</v>
      </c>
      <c r="E1689" t="str">
        <f>E1688</f>
        <v>Mt/yr.</v>
      </c>
      <c r="F1689" s="1">
        <f>[1]Summary!B53+[1]Summary!B59</f>
        <v>2.6032787722438342</v>
      </c>
      <c r="G1689" s="1">
        <f>[1]Summary!C53+[1]Summary!C59</f>
        <v>2.3489418869843472</v>
      </c>
      <c r="H1689" s="1">
        <f>[1]Summary!D53+[1]Summary!D59</f>
        <v>2.3343115197309583</v>
      </c>
      <c r="I1689" s="1">
        <f>[1]Summary!E53+[1]Summary!E59</f>
        <v>2.4066962427459213</v>
      </c>
      <c r="J1689" s="1">
        <f>[2]Summary!F53+[2]Summary!F59</f>
        <v>2.3621505630028907</v>
      </c>
      <c r="K1689" s="1">
        <f>[2]Summary!G53+[2]Summary!G59</f>
        <v>2.5943516097263268</v>
      </c>
      <c r="L1689" s="1">
        <f>[2]Summary!H53+[2]Summary!H59</f>
        <v>3.7487501088923314</v>
      </c>
      <c r="N1689" s="1"/>
    </row>
    <row r="1690" spans="2:14" x14ac:dyDescent="0.35">
      <c r="B1690" t="str">
        <f t="shared" ref="B1690:B1701" si="1787">B1689</f>
        <v>SPS1</v>
      </c>
      <c r="C1690" t="str">
        <f t="shared" ref="C1690:C1701" si="1788">C1689</f>
        <v>CH</v>
      </c>
      <c r="D1690" t="s">
        <v>1703</v>
      </c>
      <c r="E1690" t="str">
        <f t="shared" ref="E1690:E1701" si="1789">E1689</f>
        <v>Mt/yr.</v>
      </c>
      <c r="F1690" s="1">
        <f>[1]Summary!B54+[1]Summary!B61</f>
        <v>0</v>
      </c>
      <c r="G1690" s="1">
        <f>[1]Summary!C54+[1]Summary!C61</f>
        <v>0</v>
      </c>
      <c r="H1690" s="1">
        <f>[1]Summary!D54+[1]Summary!D61</f>
        <v>0</v>
      </c>
      <c r="I1690" s="1">
        <f>[1]Summary!E54+[1]Summary!E61</f>
        <v>0</v>
      </c>
      <c r="J1690" s="1">
        <f>[2]Summary!F54+[2]Summary!F61</f>
        <v>0</v>
      </c>
      <c r="K1690" s="1">
        <f>[2]Summary!G54+[2]Summary!G61+[2]Summary!G62</f>
        <v>0</v>
      </c>
      <c r="L1690" s="1">
        <f>[2]Summary!H54+[2]Summary!H61+[2]Summary!H62</f>
        <v>0</v>
      </c>
      <c r="N1690" s="1"/>
    </row>
    <row r="1691" spans="2:14" x14ac:dyDescent="0.35">
      <c r="B1691" t="str">
        <f t="shared" si="1787"/>
        <v>SPS1</v>
      </c>
      <c r="C1691" t="str">
        <f t="shared" si="1788"/>
        <v>CH</v>
      </c>
      <c r="D1691" t="s">
        <v>1704</v>
      </c>
      <c r="E1691" t="str">
        <f t="shared" si="1789"/>
        <v>Mt/yr.</v>
      </c>
      <c r="F1691" s="1">
        <f>[1]Summary!B55+[1]Summary!B60</f>
        <v>6.4916335366911131</v>
      </c>
      <c r="G1691" s="1">
        <f>[1]Summary!C55+[1]Summary!C60</f>
        <v>6.2473838442459515</v>
      </c>
      <c r="H1691" s="1">
        <f>[1]Summary!D55+[1]Summary!D60</f>
        <v>5.9456565169538731</v>
      </c>
      <c r="I1691" s="1">
        <f>[1]Summary!E55+[1]Summary!E60</f>
        <v>5.3716687749723881</v>
      </c>
      <c r="J1691" s="1">
        <f>[2]Summary!F55+[2]Summary!F60</f>
        <v>5.0325544749988351</v>
      </c>
      <c r="K1691" s="1">
        <f>[2]Summary!G55+[2]Summary!G60</f>
        <v>4.6786549197685021</v>
      </c>
      <c r="L1691" s="1">
        <f>[2]Summary!H55+[2]Summary!H60</f>
        <v>3.7138675403836205</v>
      </c>
      <c r="N1691" s="1"/>
    </row>
    <row r="1692" spans="2:14" x14ac:dyDescent="0.35">
      <c r="B1692" t="str">
        <f t="shared" si="1787"/>
        <v>SPS1</v>
      </c>
      <c r="C1692" t="str">
        <f t="shared" si="1788"/>
        <v>CH</v>
      </c>
      <c r="D1692" t="s">
        <v>1714</v>
      </c>
      <c r="E1692" t="str">
        <f t="shared" si="1789"/>
        <v>Mt/yr.</v>
      </c>
      <c r="F1692" s="1">
        <f>F1691-F1693</f>
        <v>4.4022867362064737</v>
      </c>
      <c r="G1692" s="1">
        <f t="shared" ref="G1692:K1692" si="1790">G1691-G1693</f>
        <v>4.1363706743718716</v>
      </c>
      <c r="H1692" s="1">
        <f t="shared" si="1790"/>
        <v>3.8433870458926132</v>
      </c>
      <c r="I1692" s="1">
        <f t="shared" si="1790"/>
        <v>3.2780117125597483</v>
      </c>
      <c r="J1692" s="1">
        <f t="shared" si="1790"/>
        <v>2.9470195202293552</v>
      </c>
      <c r="K1692" s="1">
        <f t="shared" si="1790"/>
        <v>2.6012420726421919</v>
      </c>
      <c r="L1692" s="1">
        <f t="shared" ref="L1692" si="1791">L1691-L1693</f>
        <v>1.6501189841286306</v>
      </c>
      <c r="N1692" s="1"/>
    </row>
    <row r="1693" spans="2:14" x14ac:dyDescent="0.35">
      <c r="B1693" t="str">
        <f t="shared" si="1787"/>
        <v>SPS1</v>
      </c>
      <c r="C1693" t="str">
        <f t="shared" si="1788"/>
        <v>CH</v>
      </c>
      <c r="D1693" t="s">
        <v>1713</v>
      </c>
      <c r="E1693" t="str">
        <f t="shared" si="1789"/>
        <v>Mt/yr.</v>
      </c>
      <c r="F1693" s="1" cm="1">
        <f t="array" ref="F1693">SUMPRODUCT(ISNUMBER(SEARCH("processco2",[1]OUT_CO2_emissions!$D$3:$D$1000))*1,("var_fout"=[1]OUT_CO2_emissions!$C$3:$C$1000)*1,("CO2"=[1]OUT_CO2_emissions!$B$3:$B$1000)*1,[1]OUT_CO2_emissions!E$3:E$1000)/1000</f>
        <v>2.0893468004846398</v>
      </c>
      <c r="G1693" s="1" cm="1">
        <f t="array" ref="G1693">SUMPRODUCT(ISNUMBER(SEARCH("processco2",[1]OUT_CO2_emissions!$D$3:$D$1000))*1,("var_fout"=[1]OUT_CO2_emissions!$C$3:$C$1000)*1,("CO2"=[1]OUT_CO2_emissions!$B$3:$B$1000)*1,[1]OUT_CO2_emissions!F$3:F$1000)/1000</f>
        <v>2.1110131698740804</v>
      </c>
      <c r="H1693" s="1" cm="1">
        <f t="array" ref="H1693">SUMPRODUCT(ISNUMBER(SEARCH("processco2",[1]OUT_CO2_emissions!$D$3:$D$1000))*1,("var_fout"=[1]OUT_CO2_emissions!$C$3:$C$1000)*1,("CO2"=[1]OUT_CO2_emissions!$B$3:$B$1000)*1,[1]OUT_CO2_emissions!G$3:G$1000)/1000</f>
        <v>2.1022694710612599</v>
      </c>
      <c r="I1693" s="1" cm="1">
        <f t="array" ref="I1693">SUMPRODUCT(ISNUMBER(SEARCH("processco2",[1]OUT_CO2_emissions!$D$3:$D$1000))*1,("var_fout"=[1]OUT_CO2_emissions!$C$3:$C$1000)*1,("CO2"=[1]OUT_CO2_emissions!$B$3:$B$1000)*1,[1]OUT_CO2_emissions!H$3:H$1000)/1000</f>
        <v>2.0936570624126398</v>
      </c>
      <c r="J1693" s="1" cm="1">
        <f t="array" ref="J1693">SUMPRODUCT(ISNUMBER(SEARCH("processco2",[2]OUT_CO2_emissions!$D$3:$D$1000))*1,("var_fout"=[2]OUT_CO2_emissions!$C$3:$C$1000)*1,("CO2"=[2]OUT_CO2_emissions!$B$3:$B$1000)*1,[2]OUT_CO2_emissions!I$3:I$1000)/1000</f>
        <v>2.0855349547694799</v>
      </c>
      <c r="K1693" s="1" cm="1">
        <f t="array" ref="K1693">SUMPRODUCT(ISNUMBER(SEARCH("processco2",[2]OUT_CO2_emissions!$D$3:$D$1000))*1,("var_fout"=[2]OUT_CO2_emissions!$C$3:$C$1000)*1,("CO2"=[2]OUT_CO2_emissions!$B$3:$B$1000)*1,[2]OUT_CO2_emissions!J$3:J$1000)/1000</f>
        <v>2.0774128471263102</v>
      </c>
      <c r="L1693" s="1" cm="1">
        <f t="array" ref="L1693">SUMPRODUCT(ISNUMBER(SEARCH("processco2",[2]OUT_CO2_emissions!$D$3:$D$1000))*1,("var_fout"=[2]OUT_CO2_emissions!$C$3:$C$1000)*1,("CO2"=[2]OUT_CO2_emissions!$B$3:$B$1000)*1,[2]OUT_CO2_emissions!K$3:K$1000)/1000</f>
        <v>2.06374855625499</v>
      </c>
      <c r="N1693" s="1"/>
    </row>
    <row r="1694" spans="2:14" x14ac:dyDescent="0.35">
      <c r="B1694" t="str">
        <f t="shared" si="1787"/>
        <v>SPS1</v>
      </c>
      <c r="C1694" t="str">
        <f t="shared" si="1788"/>
        <v>CH</v>
      </c>
      <c r="D1694" t="s">
        <v>1705</v>
      </c>
      <c r="E1694" t="str">
        <f t="shared" si="1789"/>
        <v>Mt/yr.</v>
      </c>
      <c r="F1694" s="1">
        <f>[1]Summary!B56</f>
        <v>3.7896191883983401</v>
      </c>
      <c r="G1694" s="1">
        <f>[1]Summary!C56</f>
        <v>3.4838527740473801</v>
      </c>
      <c r="H1694" s="1">
        <f>[1]Summary!D56</f>
        <v>3.4139556459734002</v>
      </c>
      <c r="I1694" s="1">
        <f>[1]Summary!E56</f>
        <v>2.7492464452779699</v>
      </c>
      <c r="J1694" s="1">
        <f>[2]Summary!F56</f>
        <v>3.1057866511437902</v>
      </c>
      <c r="K1694" s="1">
        <f>[2]Summary!G56</f>
        <v>2.7052683135427587</v>
      </c>
      <c r="L1694" s="1">
        <f>[2]Summary!H56</f>
        <v>1.8112519663108242</v>
      </c>
      <c r="N1694" s="1"/>
    </row>
    <row r="1695" spans="2:14" x14ac:dyDescent="0.35">
      <c r="B1695" t="str">
        <f t="shared" si="1787"/>
        <v>SPS1</v>
      </c>
      <c r="C1695" t="str">
        <f t="shared" si="1788"/>
        <v>CH</v>
      </c>
      <c r="D1695" t="s">
        <v>1706</v>
      </c>
      <c r="E1695" t="str">
        <f t="shared" si="1789"/>
        <v>Mt/yr.</v>
      </c>
      <c r="F1695" s="1">
        <f>[1]Summary!B57</f>
        <v>7.1742764520305569</v>
      </c>
      <c r="G1695" s="1">
        <f>[1]Summary!C57</f>
        <v>6.4163909367503074</v>
      </c>
      <c r="H1695" s="1">
        <f>[1]Summary!D57</f>
        <v>6.5193057300018653</v>
      </c>
      <c r="I1695" s="1">
        <f>[1]Summary!E57</f>
        <v>4.9637638921579113</v>
      </c>
      <c r="J1695" s="1">
        <f>[2]Summary!F57</f>
        <v>4.2221731293166291</v>
      </c>
      <c r="K1695" s="1">
        <f>[2]Summary!G57</f>
        <v>3.9910951613071601</v>
      </c>
      <c r="L1695" s="1">
        <f>[2]Summary!H57</f>
        <v>2.6419116621525598</v>
      </c>
      <c r="N1695" s="1"/>
    </row>
    <row r="1696" spans="2:14" x14ac:dyDescent="0.35">
      <c r="B1696" t="str">
        <f t="shared" si="1787"/>
        <v>SPS1</v>
      </c>
      <c r="C1696" t="str">
        <f t="shared" si="1788"/>
        <v>CH</v>
      </c>
      <c r="D1696" t="s">
        <v>1707</v>
      </c>
      <c r="E1696" t="str">
        <f t="shared" si="1789"/>
        <v>Mt/yr.</v>
      </c>
      <c r="F1696" s="1">
        <f>[1]Summary!B58</f>
        <v>14.53750522307284</v>
      </c>
      <c r="G1696" s="1">
        <f>[1]Summary!C58</f>
        <v>13.836403750339436</v>
      </c>
      <c r="H1696" s="1">
        <f>[1]Summary!D58</f>
        <v>12.408443787465096</v>
      </c>
      <c r="I1696" s="1">
        <f>[1]Summary!E58</f>
        <v>8.417138609240352</v>
      </c>
      <c r="J1696" s="1">
        <f>[2]Summary!F58</f>
        <v>5.5789466389441174</v>
      </c>
      <c r="K1696" s="1">
        <f>[2]Summary!G58</f>
        <v>5.2863624357881225</v>
      </c>
      <c r="L1696" s="1">
        <f>[2]Summary!H58</f>
        <v>4.7304306319430696</v>
      </c>
      <c r="N1696" s="1"/>
    </row>
    <row r="1697" spans="2:14" x14ac:dyDescent="0.35">
      <c r="B1697" t="str">
        <f t="shared" si="1787"/>
        <v>SPS1</v>
      </c>
      <c r="C1697" t="str">
        <f t="shared" si="1788"/>
        <v>CH</v>
      </c>
      <c r="D1697" t="s">
        <v>1708</v>
      </c>
      <c r="E1697" t="str">
        <f t="shared" si="1789"/>
        <v>Mt/yr.</v>
      </c>
      <c r="F1697" s="1">
        <f>-[1]Summary!B59</f>
        <v>0</v>
      </c>
      <c r="G1697" s="1">
        <f>-[1]Summary!C59</f>
        <v>0</v>
      </c>
      <c r="H1697" s="1">
        <f>-[1]Summary!D59</f>
        <v>0</v>
      </c>
      <c r="I1697" s="1">
        <f>-[1]Summary!E59</f>
        <v>0</v>
      </c>
      <c r="J1697" s="1">
        <f>-[2]Summary!F59</f>
        <v>0</v>
      </c>
      <c r="K1697" s="1">
        <f>-[2]Summary!G59</f>
        <v>0</v>
      </c>
      <c r="L1697" s="1">
        <f>-[2]Summary!H59</f>
        <v>0</v>
      </c>
      <c r="N1697" s="1"/>
    </row>
    <row r="1698" spans="2:14" x14ac:dyDescent="0.35">
      <c r="B1698" t="str">
        <f t="shared" si="1787"/>
        <v>SPS1</v>
      </c>
      <c r="C1698" t="str">
        <f t="shared" si="1788"/>
        <v>CH</v>
      </c>
      <c r="D1698" t="s">
        <v>1709</v>
      </c>
      <c r="E1698" t="str">
        <f t="shared" si="1789"/>
        <v>Mt/yr.</v>
      </c>
      <c r="F1698" s="1">
        <f>-[1]Summary!B60</f>
        <v>0</v>
      </c>
      <c r="G1698" s="1">
        <f>-[1]Summary!C60</f>
        <v>0</v>
      </c>
      <c r="H1698" s="1">
        <f>-[1]Summary!D60</f>
        <v>0</v>
      </c>
      <c r="I1698" s="1">
        <f>-[1]Summary!E60</f>
        <v>0</v>
      </c>
      <c r="J1698" s="1">
        <f>-[2]Summary!F60</f>
        <v>0</v>
      </c>
      <c r="K1698" s="1">
        <f>-[2]Summary!G60</f>
        <v>0</v>
      </c>
      <c r="L1698" s="1">
        <f>-[2]Summary!H60</f>
        <v>0</v>
      </c>
      <c r="N1698" s="1"/>
    </row>
    <row r="1699" spans="2:14" x14ac:dyDescent="0.35">
      <c r="B1699" t="str">
        <f t="shared" si="1787"/>
        <v>SPS1</v>
      </c>
      <c r="C1699" t="str">
        <f t="shared" si="1788"/>
        <v>CH</v>
      </c>
      <c r="D1699" t="s">
        <v>1710</v>
      </c>
      <c r="E1699" t="str">
        <f t="shared" si="1789"/>
        <v>Mt/yr.</v>
      </c>
      <c r="F1699" s="1">
        <f>-[1]Summary!B61</f>
        <v>0</v>
      </c>
      <c r="G1699" s="1">
        <f>-[1]Summary!C61</f>
        <v>0</v>
      </c>
      <c r="H1699" s="1">
        <f>-[1]Summary!D61</f>
        <v>0</v>
      </c>
      <c r="I1699" s="1">
        <f>-[1]Summary!E61</f>
        <v>0</v>
      </c>
      <c r="J1699" s="1">
        <f>-[2]Summary!F61</f>
        <v>0</v>
      </c>
      <c r="K1699" s="1">
        <f>-[2]Summary!G61</f>
        <v>0</v>
      </c>
      <c r="L1699" s="1">
        <f>-[2]Summary!H61</f>
        <v>0</v>
      </c>
      <c r="N1699" s="1"/>
    </row>
    <row r="1700" spans="2:14" x14ac:dyDescent="0.35">
      <c r="B1700" t="str">
        <f t="shared" si="1787"/>
        <v>SPS1</v>
      </c>
      <c r="C1700" t="str">
        <f t="shared" si="1788"/>
        <v>CH</v>
      </c>
      <c r="D1700" t="s">
        <v>1711</v>
      </c>
      <c r="E1700" t="str">
        <f t="shared" si="1789"/>
        <v>Mt/yr.</v>
      </c>
      <c r="F1700" s="1">
        <f>-[1]Summary!B62</f>
        <v>0</v>
      </c>
      <c r="G1700" s="1">
        <f>-[1]Summary!C62</f>
        <v>0</v>
      </c>
      <c r="H1700" s="1">
        <f>-[1]Summary!D62</f>
        <v>0</v>
      </c>
      <c r="I1700" s="1">
        <f>-[1]Summary!E62</f>
        <v>0</v>
      </c>
      <c r="J1700" s="1">
        <f>-[2]Summary!F62</f>
        <v>0</v>
      </c>
      <c r="K1700" s="1">
        <f>-[2]Summary!G62</f>
        <v>0</v>
      </c>
      <c r="L1700" s="1">
        <f>-[2]Summary!H62</f>
        <v>0</v>
      </c>
      <c r="N1700" s="1"/>
    </row>
    <row r="1701" spans="2:14" x14ac:dyDescent="0.35">
      <c r="B1701" t="str">
        <f t="shared" si="1787"/>
        <v>SPS1</v>
      </c>
      <c r="C1701" t="str">
        <f t="shared" si="1788"/>
        <v>CH</v>
      </c>
      <c r="D1701" t="s">
        <v>1712</v>
      </c>
      <c r="E1701" t="str">
        <f t="shared" si="1789"/>
        <v>Mt/yr.</v>
      </c>
      <c r="F1701" s="1">
        <f>-[1]Summary!B63</f>
        <v>0</v>
      </c>
      <c r="G1701" s="1">
        <f>-[1]Summary!C63</f>
        <v>0</v>
      </c>
      <c r="H1701" s="1">
        <f>-[1]Summary!D63</f>
        <v>0</v>
      </c>
      <c r="I1701" s="1">
        <f>-[1]Summary!E63</f>
        <v>0</v>
      </c>
      <c r="J1701" s="1">
        <f>-[2]Summary!F63</f>
        <v>0</v>
      </c>
      <c r="K1701" s="1">
        <f>-[2]Summary!G63</f>
        <v>0</v>
      </c>
      <c r="L1701" s="1">
        <f>-[2]Summary!H63</f>
        <v>0</v>
      </c>
      <c r="N1701" s="1"/>
    </row>
    <row r="1702" spans="2:14" x14ac:dyDescent="0.35">
      <c r="B1702" s="2" t="str">
        <f>B1701</f>
        <v>SPS1</v>
      </c>
      <c r="C1702" s="2" t="str">
        <f>C1701</f>
        <v>CH</v>
      </c>
      <c r="D1702" s="2" t="s">
        <v>1715</v>
      </c>
      <c r="E1702" s="2" t="s">
        <v>442</v>
      </c>
      <c r="F1702" s="3">
        <f>SUM(F1703:F1705)</f>
        <v>0</v>
      </c>
      <c r="G1702" s="3">
        <f t="shared" ref="G1702:K1702" si="1792">SUM(G1703:G1705)</f>
        <v>0</v>
      </c>
      <c r="H1702" s="3">
        <f t="shared" si="1792"/>
        <v>0</v>
      </c>
      <c r="I1702" s="3">
        <f t="shared" si="1792"/>
        <v>0</v>
      </c>
      <c r="J1702" s="3">
        <f t="shared" si="1792"/>
        <v>0</v>
      </c>
      <c r="K1702" s="3">
        <f t="shared" si="1792"/>
        <v>0</v>
      </c>
      <c r="L1702" s="3">
        <f t="shared" ref="L1702" si="1793">SUM(L1703:L1705)</f>
        <v>0</v>
      </c>
      <c r="N1702" s="1"/>
    </row>
    <row r="1703" spans="2:14" x14ac:dyDescent="0.35">
      <c r="B1703" t="str">
        <f>B1702</f>
        <v>SPS1</v>
      </c>
      <c r="C1703" t="str">
        <f>C1702</f>
        <v>CH</v>
      </c>
      <c r="D1703" t="s">
        <v>1716</v>
      </c>
      <c r="E1703" t="str">
        <f>E1702</f>
        <v>Mt/yr.</v>
      </c>
      <c r="F1703" s="1">
        <v>0</v>
      </c>
      <c r="G1703" s="1">
        <v>0</v>
      </c>
      <c r="H1703" s="1">
        <v>0</v>
      </c>
      <c r="I1703" s="1">
        <v>0</v>
      </c>
      <c r="J1703" s="1">
        <f>[2]Summary!B$77</f>
        <v>0</v>
      </c>
      <c r="K1703" s="1">
        <f>[2]Summary!B$77</f>
        <v>0</v>
      </c>
      <c r="L1703" s="1">
        <f>[2]Summary!C$77</f>
        <v>0</v>
      </c>
      <c r="N1703" s="1"/>
    </row>
    <row r="1704" spans="2:14" x14ac:dyDescent="0.35">
      <c r="B1704" t="str">
        <f t="shared" ref="B1704:B1705" si="1794">B1703</f>
        <v>SPS1</v>
      </c>
      <c r="C1704" t="str">
        <f t="shared" ref="C1704:C1705" si="1795">C1703</f>
        <v>CH</v>
      </c>
      <c r="D1704" t="s">
        <v>1717</v>
      </c>
      <c r="E1704" t="str">
        <f>E1703</f>
        <v>Mt/yr.</v>
      </c>
      <c r="F1704" s="1">
        <v>0</v>
      </c>
      <c r="G1704" s="1">
        <v>0</v>
      </c>
      <c r="H1704" s="1">
        <v>0</v>
      </c>
      <c r="I1704" s="1">
        <v>0</v>
      </c>
      <c r="J1704" s="1">
        <f>[2]Summary!B$78</f>
        <v>0</v>
      </c>
      <c r="K1704" s="1">
        <f>[2]Summary!B$78</f>
        <v>0</v>
      </c>
      <c r="L1704" s="1">
        <f>[2]Summary!C$78</f>
        <v>0</v>
      </c>
      <c r="N1704" s="1"/>
    </row>
    <row r="1705" spans="2:14" x14ac:dyDescent="0.35">
      <c r="B1705" t="str">
        <f t="shared" si="1794"/>
        <v>SPS1</v>
      </c>
      <c r="C1705" t="str">
        <f t="shared" si="1795"/>
        <v>CH</v>
      </c>
      <c r="D1705" t="s">
        <v>1718</v>
      </c>
      <c r="E1705" t="str">
        <f>E1704</f>
        <v>Mt/yr.</v>
      </c>
      <c r="F1705" s="1">
        <v>0</v>
      </c>
      <c r="G1705" s="1">
        <v>0</v>
      </c>
      <c r="H1705" s="1">
        <v>0</v>
      </c>
      <c r="I1705" s="1">
        <v>0</v>
      </c>
      <c r="J1705" s="1">
        <f>[2]Summary!B$79</f>
        <v>0</v>
      </c>
      <c r="K1705" s="1">
        <f>[2]Summary!B$79</f>
        <v>0</v>
      </c>
      <c r="L1705" s="1">
        <f>[2]Summary!C$79</f>
        <v>0</v>
      </c>
      <c r="N1705" s="1"/>
    </row>
    <row r="1706" spans="2:14" x14ac:dyDescent="0.35">
      <c r="B1706" s="2" t="str">
        <f t="shared" ref="B1706:C1711" si="1796">B1705</f>
        <v>SPS1</v>
      </c>
      <c r="C1706" s="2" t="str">
        <f t="shared" si="1796"/>
        <v>CH</v>
      </c>
      <c r="D1706" s="2" t="s">
        <v>1720</v>
      </c>
      <c r="E1706" s="21" t="s">
        <v>292</v>
      </c>
      <c r="F1706" s="21" t="s">
        <v>292</v>
      </c>
      <c r="G1706" s="21" t="s">
        <v>292</v>
      </c>
      <c r="H1706" s="21" t="s">
        <v>292</v>
      </c>
      <c r="I1706" s="21" t="s">
        <v>292</v>
      </c>
      <c r="J1706" s="21" t="s">
        <v>292</v>
      </c>
      <c r="K1706" s="21" t="s">
        <v>292</v>
      </c>
      <c r="L1706" s="21" t="s">
        <v>292</v>
      </c>
      <c r="N1706" s="1"/>
    </row>
    <row r="1707" spans="2:14" x14ac:dyDescent="0.35">
      <c r="B1707" t="str">
        <f t="shared" si="1796"/>
        <v>SPS1</v>
      </c>
      <c r="C1707" t="str">
        <f t="shared" si="1796"/>
        <v>CH</v>
      </c>
      <c r="D1707" t="s">
        <v>1723</v>
      </c>
      <c r="E1707" t="s">
        <v>8</v>
      </c>
      <c r="F1707" s="1">
        <f>SUM(F1708:F1709)</f>
        <v>0</v>
      </c>
      <c r="G1707" s="1">
        <f t="shared" ref="G1707:K1707" si="1797">SUM(G1708:G1709)</f>
        <v>0</v>
      </c>
      <c r="H1707" s="1">
        <f t="shared" si="1797"/>
        <v>0</v>
      </c>
      <c r="I1707" s="1">
        <f t="shared" si="1797"/>
        <v>0</v>
      </c>
      <c r="J1707" s="1">
        <f t="shared" si="1797"/>
        <v>0</v>
      </c>
      <c r="K1707" s="1">
        <f t="shared" si="1797"/>
        <v>0</v>
      </c>
      <c r="L1707" s="1">
        <f t="shared" ref="L1707" si="1798">SUM(L1708:L1709)</f>
        <v>0</v>
      </c>
      <c r="N1707" s="1"/>
    </row>
    <row r="1708" spans="2:14" x14ac:dyDescent="0.35">
      <c r="B1708" t="str">
        <f t="shared" si="1796"/>
        <v>SPS1</v>
      </c>
      <c r="C1708" t="str">
        <f t="shared" si="1796"/>
        <v>CH</v>
      </c>
      <c r="D1708" t="s">
        <v>1724</v>
      </c>
      <c r="E1708" t="s">
        <v>8</v>
      </c>
      <c r="F1708" s="1" cm="1">
        <f t="array" ref="F1708">SUMPRODUCT(("SUP_DAC"=[1]OUT_SyntheticFuels!$C$1:$C$1000)*1,("Var_Fin"=[1]OUT_SyntheticFuels!$B$1:$B$1000)*1,ISNUMBER(SEARCH("ELC",[1]OUT_SyntheticFuels!$A$1:$A$1000))*1,[1]OUT_SyntheticFuels!E$1:E$1000)</f>
        <v>0</v>
      </c>
      <c r="G1708" s="1" cm="1">
        <f t="array" ref="G1708">SUMPRODUCT(("SUP_DAC"=[1]OUT_SyntheticFuels!$C$1:$C$1000)*1,("Var_Fin"=[1]OUT_SyntheticFuels!$B$1:$B$1000)*1,ISNUMBER(SEARCH("ELC",[1]OUT_SyntheticFuels!$A$1:$A$1000))*1,[1]OUT_SyntheticFuels!F$1:F$1000)</f>
        <v>0</v>
      </c>
      <c r="H1708" s="1" cm="1">
        <f t="array" ref="H1708">SUMPRODUCT(("SUP_DAC"=[1]OUT_SyntheticFuels!$C$1:$C$1000)*1,("Var_Fin"=[1]OUT_SyntheticFuels!$B$1:$B$1000)*1,ISNUMBER(SEARCH("ELC",[1]OUT_SyntheticFuels!$A$1:$A$1000))*1,[1]OUT_SyntheticFuels!G$1:G$1000)</f>
        <v>0</v>
      </c>
      <c r="I1708" s="1" cm="1">
        <f t="array" ref="I1708">SUMPRODUCT(("SUP_DAC"=[1]OUT_SyntheticFuels!$C$1:$C$1000)*1,("Var_Fin"=[1]OUT_SyntheticFuels!$B$1:$B$1000)*1,ISNUMBER(SEARCH("ELC",[1]OUT_SyntheticFuels!$A$1:$A$1000))*1,[1]OUT_SyntheticFuels!H$1:H$1000)</f>
        <v>0</v>
      </c>
      <c r="J1708" s="1" cm="1">
        <f t="array" ref="J1708">SUMPRODUCT(("SUP_DAC"=[2]OUT_SyntheticFuels!$C$1:$C$1000)*1,("Var_Fin"=[2]OUT_SyntheticFuels!$B$1:$B$1000)*1,ISNUMBER(SEARCH("ELC",[2]OUT_SyntheticFuels!$A$1:$A$1000))*1,[2]OUT_SyntheticFuels!I$1:I$1000)</f>
        <v>0</v>
      </c>
      <c r="K1708" s="1" cm="1">
        <f t="array" ref="K1708">SUMPRODUCT(("SUP_DAC"=[2]OUT_SyntheticFuels!$C$1:$C$1000)*1,("Var_Fin"=[2]OUT_SyntheticFuels!$B$1:$B$1000)*1,ISNUMBER(SEARCH("ELC",[2]OUT_SyntheticFuels!$A$1:$A$1000))*1,[2]OUT_SyntheticFuels!J$1:J$1000)</f>
        <v>0</v>
      </c>
      <c r="L1708" s="1" cm="1">
        <f t="array" ref="L1708">SUMPRODUCT(("SUP_DAC"=[2]OUT_SyntheticFuels!$C$1:$C$1000)*1,("Var_Fin"=[2]OUT_SyntheticFuels!$B$1:$B$1000)*1,ISNUMBER(SEARCH("ELC",[2]OUT_SyntheticFuels!$A$1:$A$1000))*1,[2]OUT_SyntheticFuels!K$1:K$1000)</f>
        <v>0</v>
      </c>
      <c r="N1708" s="1"/>
    </row>
    <row r="1709" spans="2:14" x14ac:dyDescent="0.35">
      <c r="B1709" t="str">
        <f t="shared" si="1796"/>
        <v>SPS1</v>
      </c>
      <c r="C1709" t="str">
        <f t="shared" si="1796"/>
        <v>CH</v>
      </c>
      <c r="D1709" t="s">
        <v>1725</v>
      </c>
      <c r="E1709" t="s">
        <v>8</v>
      </c>
      <c r="F1709" s="1" cm="1">
        <f t="array" ref="F1709">SUMPRODUCT(("SUP_DAC"=[1]OUT_SyntheticFuels!$C$1:$C$1000)*1,("Var_Fin"=[1]OUT_SyntheticFuels!$B$1:$B$1000)*1,ISNUMBER(SEARCH("HEAT",[1]OUT_SyntheticFuels!$A$1:$A$1000))*1,[1]OUT_SyntheticFuels!E$1:E$1000)</f>
        <v>0</v>
      </c>
      <c r="G1709" s="1" cm="1">
        <f t="array" ref="G1709">SUMPRODUCT(("SUP_DAC"=[1]OUT_SyntheticFuels!$C$1:$C$1000)*1,("Var_Fin"=[1]OUT_SyntheticFuels!$B$1:$B$1000)*1,ISNUMBER(SEARCH("HEAT",[1]OUT_SyntheticFuels!$A$1:$A$1000))*1,[1]OUT_SyntheticFuels!F$1:F$1000)</f>
        <v>0</v>
      </c>
      <c r="H1709" s="1" cm="1">
        <f t="array" ref="H1709">SUMPRODUCT(("SUP_DAC"=[1]OUT_SyntheticFuels!$C$1:$C$1000)*1,("Var_Fin"=[1]OUT_SyntheticFuels!$B$1:$B$1000)*1,ISNUMBER(SEARCH("HEAT",[1]OUT_SyntheticFuels!$A$1:$A$1000))*1,[1]OUT_SyntheticFuels!G$1:G$1000)</f>
        <v>0</v>
      </c>
      <c r="I1709" s="1" cm="1">
        <f t="array" ref="I1709">SUMPRODUCT(("SUP_DAC"=[1]OUT_SyntheticFuels!$C$1:$C$1000)*1,("Var_Fin"=[1]OUT_SyntheticFuels!$B$1:$B$1000)*1,ISNUMBER(SEARCH("HEAT",[1]OUT_SyntheticFuels!$A$1:$A$1000))*1,[1]OUT_SyntheticFuels!H$1:H$1000)</f>
        <v>0</v>
      </c>
      <c r="J1709" s="1" cm="1">
        <f t="array" ref="J1709">SUMPRODUCT(("SUP_DAC"=[2]OUT_SyntheticFuels!$C$1:$C$1000)*1,("Var_Fin"=[2]OUT_SyntheticFuels!$B$1:$B$1000)*1,ISNUMBER(SEARCH("HEAT",[2]OUT_SyntheticFuels!$A$1:$A$1000))*1,[2]OUT_SyntheticFuels!I$1:I$1000)</f>
        <v>0</v>
      </c>
      <c r="K1709" s="1" cm="1">
        <f t="array" ref="K1709">SUMPRODUCT(("SUP_DAC"=[2]OUT_SyntheticFuels!$C$1:$C$1000)*1,("Var_Fin"=[2]OUT_SyntheticFuels!$B$1:$B$1000)*1,ISNUMBER(SEARCH("HEAT",[2]OUT_SyntheticFuels!$A$1:$A$1000))*1,[2]OUT_SyntheticFuels!J$1:J$1000)</f>
        <v>0</v>
      </c>
      <c r="L1709" s="1" cm="1">
        <f t="array" ref="L1709">SUMPRODUCT(("SUP_DAC"=[2]OUT_SyntheticFuels!$C$1:$C$1000)*1,("Var_Fin"=[2]OUT_SyntheticFuels!$B$1:$B$1000)*1,ISNUMBER(SEARCH("HEAT",[2]OUT_SyntheticFuels!$A$1:$A$1000))*1,[2]OUT_SyntheticFuels!K$1:K$1000)</f>
        <v>0</v>
      </c>
      <c r="N1709" s="1"/>
    </row>
    <row r="1710" spans="2:14" x14ac:dyDescent="0.35">
      <c r="B1710" t="str">
        <f t="shared" si="1796"/>
        <v>SPS1</v>
      </c>
      <c r="C1710" t="str">
        <f t="shared" si="1796"/>
        <v>CH</v>
      </c>
      <c r="D1710" t="s">
        <v>1726</v>
      </c>
      <c r="E1710" t="s">
        <v>442</v>
      </c>
      <c r="F1710" s="1">
        <f>F1701</f>
        <v>0</v>
      </c>
      <c r="G1710" s="1">
        <f t="shared" ref="G1710:K1710" si="1799">G1701</f>
        <v>0</v>
      </c>
      <c r="H1710" s="1">
        <f t="shared" si="1799"/>
        <v>0</v>
      </c>
      <c r="I1710" s="1">
        <f t="shared" si="1799"/>
        <v>0</v>
      </c>
      <c r="J1710" s="1">
        <f t="shared" si="1799"/>
        <v>0</v>
      </c>
      <c r="K1710" s="1">
        <f t="shared" si="1799"/>
        <v>0</v>
      </c>
      <c r="L1710" s="1">
        <f t="shared" ref="L1710" si="1800">L1701</f>
        <v>0</v>
      </c>
      <c r="N1710" s="1"/>
    </row>
    <row r="1711" spans="2:14" x14ac:dyDescent="0.35">
      <c r="B1711" s="2" t="str">
        <f t="shared" si="1796"/>
        <v>SPS1</v>
      </c>
      <c r="C1711" s="2" t="str">
        <f t="shared" si="1796"/>
        <v>CH</v>
      </c>
      <c r="D1711" s="2" t="s">
        <v>1768</v>
      </c>
      <c r="E1711" s="2" t="s">
        <v>8</v>
      </c>
      <c r="F1711" s="3">
        <f>SUM(F1712:F1713,F1730,F1739:F1740,F1741,F1742,F1747,F1750,,F1755:F1758,F1751)</f>
        <v>962.3127223137601</v>
      </c>
      <c r="G1711" s="3">
        <f t="shared" ref="G1711:K1711" si="1801">SUM(G1712:G1713,G1730,G1739:G1740,G1741,G1742,G1747,G1750,,G1755:G1758,G1751)</f>
        <v>960.67929099383468</v>
      </c>
      <c r="H1711" s="3">
        <f t="shared" si="1801"/>
        <v>913.0708182576318</v>
      </c>
      <c r="I1711" s="3">
        <f t="shared" si="1801"/>
        <v>864.17176047983014</v>
      </c>
      <c r="J1711" s="3">
        <f t="shared" si="1801"/>
        <v>806.50848348222303</v>
      </c>
      <c r="K1711" s="3">
        <f t="shared" si="1801"/>
        <v>753.49160436273905</v>
      </c>
      <c r="L1711" s="3">
        <f t="shared" ref="L1711" si="1802">SUM(L1712:L1713,L1730,L1739:L1740,L1741,L1742,L1747,L1750,,L1755:L1758,L1751)</f>
        <v>661.11250534161081</v>
      </c>
      <c r="N1711" s="1"/>
    </row>
    <row r="1712" spans="2:14" x14ac:dyDescent="0.35">
      <c r="B1712" t="str">
        <f>B1711</f>
        <v>SPS1</v>
      </c>
      <c r="C1712" t="str">
        <f t="shared" ref="C1712" si="1803">C1711</f>
        <v>CH</v>
      </c>
      <c r="D1712" t="s">
        <v>1738</v>
      </c>
      <c r="E1712" t="str">
        <f>E1711</f>
        <v>PJ/yr.</v>
      </c>
      <c r="F1712" s="1">
        <f t="shared" ref="F1712:K1722" si="1804">F21</f>
        <v>3.6600053352139246</v>
      </c>
      <c r="G1712" s="1">
        <f t="shared" si="1804"/>
        <v>3.5647180569304484</v>
      </c>
      <c r="H1712" s="1">
        <f t="shared" si="1804"/>
        <v>3.3672800381153882</v>
      </c>
      <c r="I1712" s="1">
        <f t="shared" si="1804"/>
        <v>6.2984430927136275E-3</v>
      </c>
      <c r="J1712" s="1">
        <f t="shared" si="1804"/>
        <v>2.3452261786348957E-3</v>
      </c>
      <c r="K1712" s="1">
        <f t="shared" si="1804"/>
        <v>6.9834283561204908E-4</v>
      </c>
      <c r="L1712" s="1">
        <f t="shared" ref="L1712" si="1805">L21</f>
        <v>3.697954643951093E-4</v>
      </c>
      <c r="N1712" s="1"/>
    </row>
    <row r="1713" spans="2:14" x14ac:dyDescent="0.35">
      <c r="B1713" t="str">
        <f t="shared" ref="B1713:B1765" si="1806">B1712</f>
        <v>SPS1</v>
      </c>
      <c r="C1713" t="str">
        <f t="shared" ref="C1713:C1765" si="1807">C1712</f>
        <v>CH</v>
      </c>
      <c r="D1713" t="s">
        <v>1739</v>
      </c>
      <c r="E1713" t="str">
        <f t="shared" ref="E1713:E1741" si="1808">E1712</f>
        <v>PJ/yr.</v>
      </c>
      <c r="F1713" s="1">
        <f t="shared" si="1804"/>
        <v>310.48071753532099</v>
      </c>
      <c r="G1713" s="1">
        <f t="shared" si="1804"/>
        <v>286.47395305645483</v>
      </c>
      <c r="H1713" s="1">
        <f t="shared" si="1804"/>
        <v>263.66721080045807</v>
      </c>
      <c r="I1713" s="1">
        <f t="shared" si="1804"/>
        <v>186.63073000034581</v>
      </c>
      <c r="J1713" s="1">
        <f t="shared" si="1804"/>
        <v>131.57428861519512</v>
      </c>
      <c r="K1713" s="1">
        <f t="shared" si="1804"/>
        <v>116.12756964166798</v>
      </c>
      <c r="L1713" s="1">
        <f t="shared" ref="L1713" si="1809">L22</f>
        <v>87.915197553522887</v>
      </c>
      <c r="N1713" s="1"/>
    </row>
    <row r="1714" spans="2:14" x14ac:dyDescent="0.35">
      <c r="B1714" t="str">
        <f t="shared" si="1806"/>
        <v>SPS1</v>
      </c>
      <c r="C1714" t="str">
        <f t="shared" si="1807"/>
        <v>CH</v>
      </c>
      <c r="D1714" t="s">
        <v>1740</v>
      </c>
      <c r="E1714" t="str">
        <f t="shared" si="1808"/>
        <v>PJ/yr.</v>
      </c>
      <c r="F1714" s="1">
        <f t="shared" si="1804"/>
        <v>303.67559664876916</v>
      </c>
      <c r="G1714" s="1">
        <f t="shared" si="1804"/>
        <v>279.76995589187948</v>
      </c>
      <c r="H1714" s="1">
        <f t="shared" si="1804"/>
        <v>256.4863474859086</v>
      </c>
      <c r="I1714" s="1">
        <f t="shared" si="1804"/>
        <v>174.92568279325724</v>
      </c>
      <c r="J1714" s="1">
        <f t="shared" si="1804"/>
        <v>120.70620187607875</v>
      </c>
      <c r="K1714" s="1">
        <f t="shared" si="1804"/>
        <v>105.30664143974683</v>
      </c>
      <c r="L1714" s="1">
        <f t="shared" ref="L1714" si="1810">L23</f>
        <v>77.379968517869216</v>
      </c>
      <c r="N1714" s="1"/>
    </row>
    <row r="1715" spans="2:14" x14ac:dyDescent="0.35">
      <c r="B1715" t="str">
        <f t="shared" si="1806"/>
        <v>SPS1</v>
      </c>
      <c r="C1715" t="str">
        <f t="shared" si="1807"/>
        <v>CH</v>
      </c>
      <c r="D1715" t="s">
        <v>1741</v>
      </c>
      <c r="E1715" t="str">
        <f t="shared" si="1808"/>
        <v>PJ/yr.</v>
      </c>
      <c r="F1715" s="1">
        <f t="shared" si="1804"/>
        <v>101.72708482972673</v>
      </c>
      <c r="G1715" s="1">
        <f t="shared" si="1804"/>
        <v>88.213218937770236</v>
      </c>
      <c r="H1715" s="1">
        <f t="shared" si="1804"/>
        <v>87.829415595172208</v>
      </c>
      <c r="I1715" s="1">
        <f t="shared" si="1804"/>
        <v>60.373687305546881</v>
      </c>
      <c r="J1715" s="1">
        <f t="shared" si="1804"/>
        <v>44.765996005392061</v>
      </c>
      <c r="K1715" s="1">
        <f t="shared" si="1804"/>
        <v>33.357016648655971</v>
      </c>
      <c r="L1715" s="1">
        <f t="shared" ref="L1715" si="1811">L24</f>
        <v>12.984924448041776</v>
      </c>
      <c r="N1715" s="1"/>
    </row>
    <row r="1716" spans="2:14" x14ac:dyDescent="0.35">
      <c r="B1716" t="str">
        <f t="shared" si="1806"/>
        <v>SPS1</v>
      </c>
      <c r="C1716" t="str">
        <f t="shared" si="1807"/>
        <v>CH</v>
      </c>
      <c r="D1716" t="s">
        <v>1742</v>
      </c>
      <c r="E1716" t="str">
        <f t="shared" si="1808"/>
        <v>PJ/yr.</v>
      </c>
      <c r="F1716" s="1">
        <f t="shared" si="1804"/>
        <v>2.7763729691048495</v>
      </c>
      <c r="G1716" s="1">
        <f t="shared" si="1804"/>
        <v>2.7644096080017775</v>
      </c>
      <c r="H1716" s="1">
        <f t="shared" si="1804"/>
        <v>1.1874232333030327E-3</v>
      </c>
      <c r="I1716" s="1">
        <f t="shared" si="1804"/>
        <v>2.1723863373345604E-4</v>
      </c>
      <c r="J1716" s="1">
        <f t="shared" si="1804"/>
        <v>1.0803012795516564E-3</v>
      </c>
      <c r="K1716" s="1">
        <f t="shared" si="1804"/>
        <v>7.5511097622294214E-4</v>
      </c>
      <c r="L1716" s="1">
        <f t="shared" ref="L1716" si="1812">L25</f>
        <v>0</v>
      </c>
      <c r="N1716" s="1"/>
    </row>
    <row r="1717" spans="2:14" x14ac:dyDescent="0.35">
      <c r="B1717" t="str">
        <f t="shared" si="1806"/>
        <v>SPS1</v>
      </c>
      <c r="C1717" t="str">
        <f t="shared" si="1807"/>
        <v>CH</v>
      </c>
      <c r="D1717" t="s">
        <v>1743</v>
      </c>
      <c r="E1717" t="str">
        <f t="shared" si="1808"/>
        <v>PJ/yr.</v>
      </c>
      <c r="F1717" s="1">
        <f t="shared" si="1804"/>
        <v>117.52488736368969</v>
      </c>
      <c r="G1717" s="1">
        <f t="shared" si="1804"/>
        <v>112.68583504147009</v>
      </c>
      <c r="H1717" s="1">
        <f t="shared" si="1804"/>
        <v>95.748445720999754</v>
      </c>
      <c r="I1717" s="1">
        <f t="shared" si="1804"/>
        <v>69.136065180247627</v>
      </c>
      <c r="J1717" s="1">
        <f t="shared" si="1804"/>
        <v>47.814421090423515</v>
      </c>
      <c r="K1717" s="1">
        <f t="shared" si="1804"/>
        <v>45.182592263173177</v>
      </c>
      <c r="L1717" s="1">
        <f t="shared" ref="L1717" si="1813">L26</f>
        <v>43.053152531609555</v>
      </c>
      <c r="N1717" s="1"/>
    </row>
    <row r="1718" spans="2:14" x14ac:dyDescent="0.35">
      <c r="B1718" t="str">
        <f t="shared" si="1806"/>
        <v>SPS1</v>
      </c>
      <c r="C1718" t="str">
        <f t="shared" si="1807"/>
        <v>CH</v>
      </c>
      <c r="D1718" t="s">
        <v>1744</v>
      </c>
      <c r="E1718" t="str">
        <f t="shared" si="1808"/>
        <v>PJ/yr.</v>
      </c>
      <c r="F1718" s="1">
        <f t="shared" si="1804"/>
        <v>80.538262271559617</v>
      </c>
      <c r="G1718" s="1">
        <f t="shared" si="1804"/>
        <v>74.701288745619181</v>
      </c>
      <c r="H1718" s="1">
        <f t="shared" si="1804"/>
        <v>71.058841507539654</v>
      </c>
      <c r="I1718" s="1">
        <f t="shared" si="1804"/>
        <v>42.843897482028098</v>
      </c>
      <c r="J1718" s="1">
        <f t="shared" si="1804"/>
        <v>26.493193139048255</v>
      </c>
      <c r="K1718" s="1">
        <f t="shared" si="1804"/>
        <v>25.689377942042903</v>
      </c>
      <c r="L1718" s="1">
        <f t="shared" ref="L1718" si="1814">L27</f>
        <v>20.761590721883039</v>
      </c>
      <c r="N1718" s="1"/>
    </row>
    <row r="1719" spans="2:14" x14ac:dyDescent="0.35">
      <c r="B1719" t="str">
        <f t="shared" si="1806"/>
        <v>SPS1</v>
      </c>
      <c r="C1719" t="str">
        <f t="shared" si="1807"/>
        <v>CH</v>
      </c>
      <c r="D1719" t="s">
        <v>1745</v>
      </c>
      <c r="E1719" t="str">
        <f t="shared" si="1808"/>
        <v>PJ/yr.</v>
      </c>
      <c r="F1719" s="1">
        <f t="shared" si="1804"/>
        <v>1.1089892146883049</v>
      </c>
      <c r="G1719" s="1">
        <f t="shared" si="1804"/>
        <v>1.4052035590182419</v>
      </c>
      <c r="H1719" s="1">
        <f t="shared" si="1804"/>
        <v>1.8484572389636504</v>
      </c>
      <c r="I1719" s="1">
        <f t="shared" si="1804"/>
        <v>2.5718155868009052</v>
      </c>
      <c r="J1719" s="1">
        <f t="shared" si="1804"/>
        <v>1.6315113399353696</v>
      </c>
      <c r="K1719" s="1">
        <f t="shared" si="1804"/>
        <v>1.0768994748985496</v>
      </c>
      <c r="L1719" s="1">
        <f t="shared" ref="L1719" si="1815">L28</f>
        <v>0.58030081633485397</v>
      </c>
      <c r="N1719" s="1"/>
    </row>
    <row r="1720" spans="2:14" x14ac:dyDescent="0.35">
      <c r="B1720" t="str">
        <f t="shared" si="1806"/>
        <v>SPS1</v>
      </c>
      <c r="C1720" t="str">
        <f t="shared" si="1807"/>
        <v>CH</v>
      </c>
      <c r="D1720" t="s">
        <v>1746</v>
      </c>
      <c r="E1720" t="str">
        <f t="shared" si="1808"/>
        <v>PJ/yr.</v>
      </c>
      <c r="F1720" s="1">
        <f t="shared" si="1804"/>
        <v>6.8051208865518049</v>
      </c>
      <c r="G1720" s="1">
        <f t="shared" si="1804"/>
        <v>6.7039971645753589</v>
      </c>
      <c r="H1720" s="1">
        <f t="shared" si="1804"/>
        <v>7.1808633145494687</v>
      </c>
      <c r="I1720" s="1">
        <f t="shared" si="1804"/>
        <v>11.705047207088555</v>
      </c>
      <c r="J1720" s="1">
        <f t="shared" si="1804"/>
        <v>10.868086739116375</v>
      </c>
      <c r="K1720" s="1">
        <f t="shared" si="1804"/>
        <v>10.820928201921154</v>
      </c>
      <c r="L1720" s="1">
        <f t="shared" ref="L1720" si="1816">L29</f>
        <v>10.535229035653675</v>
      </c>
      <c r="N1720" s="1"/>
    </row>
    <row r="1721" spans="2:14" x14ac:dyDescent="0.35">
      <c r="B1721" t="str">
        <f t="shared" si="1806"/>
        <v>SPS1</v>
      </c>
      <c r="C1721" t="str">
        <f t="shared" si="1807"/>
        <v>CH</v>
      </c>
      <c r="D1721" t="s">
        <v>1747</v>
      </c>
      <c r="E1721" t="str">
        <f t="shared" si="1808"/>
        <v>PJ/yr.</v>
      </c>
      <c r="F1721" s="1">
        <f t="shared" si="1804"/>
        <v>2.3705794343086715</v>
      </c>
      <c r="G1721" s="1">
        <f t="shared" si="1804"/>
        <v>2.3780005632590169</v>
      </c>
      <c r="H1721" s="1">
        <f t="shared" si="1804"/>
        <v>3.295181723845106</v>
      </c>
      <c r="I1721" s="1">
        <f t="shared" si="1804"/>
        <v>4.1472494018671</v>
      </c>
      <c r="J1721" s="1">
        <f t="shared" si="1804"/>
        <v>3.3630014538355777</v>
      </c>
      <c r="K1721" s="1">
        <f t="shared" si="1804"/>
        <v>3.2462451831199406</v>
      </c>
      <c r="L1721" s="1">
        <f t="shared" ref="L1721" si="1817">L30</f>
        <v>3.1864924655104083</v>
      </c>
      <c r="N1721" s="1"/>
    </row>
    <row r="1722" spans="2:14" x14ac:dyDescent="0.35">
      <c r="B1722" t="str">
        <f t="shared" si="1806"/>
        <v>SPS1</v>
      </c>
      <c r="C1722" t="str">
        <f t="shared" si="1807"/>
        <v>CH</v>
      </c>
      <c r="D1722" t="s">
        <v>1748</v>
      </c>
      <c r="E1722" t="str">
        <f t="shared" si="1808"/>
        <v>PJ/yr.</v>
      </c>
      <c r="F1722" s="1">
        <f t="shared" si="1804"/>
        <v>4.4341506418825913</v>
      </c>
      <c r="G1722" s="1">
        <f t="shared" si="1804"/>
        <v>4.3259844240819616</v>
      </c>
      <c r="H1722" s="1">
        <f t="shared" si="1804"/>
        <v>3.8851868700954437</v>
      </c>
      <c r="I1722" s="1">
        <f t="shared" si="1804"/>
        <v>2.4820303883816024</v>
      </c>
      <c r="J1722" s="1">
        <f t="shared" si="1804"/>
        <v>1.5351869352503935</v>
      </c>
      <c r="K1722" s="1">
        <f t="shared" si="1804"/>
        <v>1.4881817584291834</v>
      </c>
      <c r="L1722" s="1">
        <f t="shared" ref="L1722" si="1818">L31</f>
        <v>1.2027939036571993</v>
      </c>
      <c r="N1722" s="1"/>
    </row>
    <row r="1723" spans="2:14" x14ac:dyDescent="0.35">
      <c r="B1723" t="str">
        <f t="shared" si="1806"/>
        <v>SPS1</v>
      </c>
      <c r="C1723" t="str">
        <f t="shared" si="1807"/>
        <v>CH</v>
      </c>
      <c r="D1723" t="s">
        <v>1749</v>
      </c>
      <c r="E1723" t="str">
        <f t="shared" si="1808"/>
        <v>PJ/yr.</v>
      </c>
      <c r="F1723" s="1">
        <f t="shared" ref="F1723:K1725" si="1819">F33</f>
        <v>6.8051208865518049</v>
      </c>
      <c r="G1723" s="1">
        <f t="shared" si="1819"/>
        <v>6.7039971645753589</v>
      </c>
      <c r="H1723" s="1">
        <f t="shared" si="1819"/>
        <v>7.1808633145494687</v>
      </c>
      <c r="I1723" s="1">
        <f t="shared" si="1819"/>
        <v>11.705047207088555</v>
      </c>
      <c r="J1723" s="1">
        <f t="shared" si="1819"/>
        <v>9.973955805925824</v>
      </c>
      <c r="K1723" s="1">
        <f t="shared" si="1819"/>
        <v>10.704325291579528</v>
      </c>
      <c r="L1723" s="1">
        <f t="shared" ref="L1723" si="1820">L33</f>
        <v>10.475787629539639</v>
      </c>
      <c r="N1723" s="1"/>
    </row>
    <row r="1724" spans="2:14" x14ac:dyDescent="0.35">
      <c r="B1724" t="str">
        <f t="shared" si="1806"/>
        <v>SPS1</v>
      </c>
      <c r="C1724" t="str">
        <f t="shared" si="1807"/>
        <v>CH</v>
      </c>
      <c r="D1724" t="s">
        <v>1750</v>
      </c>
      <c r="E1724" t="str">
        <f t="shared" si="1808"/>
        <v>PJ/yr.</v>
      </c>
      <c r="F1724" s="1">
        <f t="shared" si="1819"/>
        <v>2.3705794343086715</v>
      </c>
      <c r="G1724" s="1">
        <f t="shared" si="1819"/>
        <v>2.3780005632590169</v>
      </c>
      <c r="H1724" s="1">
        <f t="shared" si="1819"/>
        <v>3.295181723845106</v>
      </c>
      <c r="I1724" s="1">
        <f t="shared" si="1819"/>
        <v>4.1472494018671</v>
      </c>
      <c r="J1724" s="1">
        <f t="shared" si="1819"/>
        <v>3.3630014538355777</v>
      </c>
      <c r="K1724" s="1">
        <f t="shared" si="1819"/>
        <v>3.2462451831199406</v>
      </c>
      <c r="L1724" s="1">
        <f t="shared" ref="L1724" si="1821">L34</f>
        <v>3.1864924655104083</v>
      </c>
      <c r="N1724" s="1"/>
    </row>
    <row r="1725" spans="2:14" x14ac:dyDescent="0.35">
      <c r="B1725" t="str">
        <f t="shared" si="1806"/>
        <v>SPS1</v>
      </c>
      <c r="C1725" t="str">
        <f t="shared" si="1807"/>
        <v>CH</v>
      </c>
      <c r="D1725" t="s">
        <v>1751</v>
      </c>
      <c r="E1725" t="str">
        <f t="shared" si="1808"/>
        <v>PJ/yr.</v>
      </c>
      <c r="F1725" s="1">
        <f t="shared" si="1819"/>
        <v>4.4341506418825913</v>
      </c>
      <c r="G1725" s="1">
        <f t="shared" si="1819"/>
        <v>4.3259844240819616</v>
      </c>
      <c r="H1725" s="1">
        <f t="shared" si="1819"/>
        <v>3.8851868700954437</v>
      </c>
      <c r="I1725" s="1">
        <f t="shared" si="1819"/>
        <v>2.4820303883816024</v>
      </c>
      <c r="J1725" s="1">
        <f t="shared" si="1819"/>
        <v>1.5351869352503935</v>
      </c>
      <c r="K1725" s="1">
        <f t="shared" si="1819"/>
        <v>1.4881817584291834</v>
      </c>
      <c r="L1725" s="1">
        <f t="shared" ref="L1725" si="1822">L35</f>
        <v>1.2027939036571993</v>
      </c>
      <c r="N1725" s="1"/>
    </row>
    <row r="1726" spans="2:14" x14ac:dyDescent="0.35">
      <c r="B1726" t="str">
        <f t="shared" si="1806"/>
        <v>SPS1</v>
      </c>
      <c r="C1726" t="str">
        <f t="shared" si="1807"/>
        <v>CH</v>
      </c>
      <c r="D1726" t="s">
        <v>1752</v>
      </c>
      <c r="E1726" t="str">
        <f t="shared" si="1808"/>
        <v>PJ/yr.</v>
      </c>
      <c r="F1726" s="1">
        <f t="shared" ref="F1726:K1739" si="1823">F37</f>
        <v>0</v>
      </c>
      <c r="G1726" s="1">
        <f t="shared" si="1823"/>
        <v>0</v>
      </c>
      <c r="H1726" s="1">
        <f t="shared" si="1823"/>
        <v>0</v>
      </c>
      <c r="I1726" s="1">
        <f t="shared" si="1823"/>
        <v>0</v>
      </c>
      <c r="J1726" s="1">
        <f t="shared" si="1823"/>
        <v>0.89413093319055115</v>
      </c>
      <c r="K1726" s="1">
        <f t="shared" si="1823"/>
        <v>0.1166029103416264</v>
      </c>
      <c r="L1726" s="1">
        <f t="shared" ref="L1726" si="1824">L37</f>
        <v>5.9441406114038031E-2</v>
      </c>
      <c r="N1726" s="1"/>
    </row>
    <row r="1727" spans="2:14" x14ac:dyDescent="0.35">
      <c r="B1727" t="str">
        <f t="shared" si="1806"/>
        <v>SPS1</v>
      </c>
      <c r="C1727" t="str">
        <f t="shared" si="1807"/>
        <v>CH</v>
      </c>
      <c r="D1727" t="s">
        <v>1753</v>
      </c>
      <c r="E1727" t="str">
        <f t="shared" si="1808"/>
        <v>PJ/yr.</v>
      </c>
      <c r="F1727" s="1">
        <f t="shared" si="1823"/>
        <v>0</v>
      </c>
      <c r="G1727" s="1">
        <f t="shared" si="1823"/>
        <v>0</v>
      </c>
      <c r="H1727" s="1">
        <f t="shared" si="1823"/>
        <v>0</v>
      </c>
      <c r="I1727" s="1">
        <f t="shared" si="1823"/>
        <v>0</v>
      </c>
      <c r="J1727" s="1">
        <f t="shared" si="1823"/>
        <v>0</v>
      </c>
      <c r="K1727" s="1">
        <f t="shared" si="1823"/>
        <v>0</v>
      </c>
      <c r="L1727" s="1">
        <f t="shared" ref="L1727" si="1825">L38</f>
        <v>0</v>
      </c>
      <c r="N1727" s="1"/>
    </row>
    <row r="1728" spans="2:14" x14ac:dyDescent="0.35">
      <c r="B1728" t="str">
        <f t="shared" si="1806"/>
        <v>SPS1</v>
      </c>
      <c r="C1728" t="str">
        <f t="shared" si="1807"/>
        <v>CH</v>
      </c>
      <c r="D1728" t="s">
        <v>1754</v>
      </c>
      <c r="E1728" t="str">
        <f t="shared" si="1808"/>
        <v>PJ/yr.</v>
      </c>
      <c r="F1728" s="1">
        <f t="shared" si="1823"/>
        <v>0</v>
      </c>
      <c r="G1728" s="1">
        <f t="shared" si="1823"/>
        <v>0</v>
      </c>
      <c r="H1728" s="1">
        <f t="shared" si="1823"/>
        <v>0</v>
      </c>
      <c r="I1728" s="1">
        <f t="shared" si="1823"/>
        <v>0</v>
      </c>
      <c r="J1728" s="1">
        <f t="shared" si="1823"/>
        <v>0</v>
      </c>
      <c r="K1728" s="1">
        <f t="shared" si="1823"/>
        <v>0</v>
      </c>
      <c r="L1728" s="1">
        <f t="shared" ref="L1728" si="1826">L39</f>
        <v>0</v>
      </c>
      <c r="N1728" s="1"/>
    </row>
    <row r="1729" spans="2:14" x14ac:dyDescent="0.35">
      <c r="B1729" t="str">
        <f t="shared" si="1806"/>
        <v>SPS1</v>
      </c>
      <c r="C1729" t="str">
        <f t="shared" si="1807"/>
        <v>CH</v>
      </c>
      <c r="D1729" t="s">
        <v>1755</v>
      </c>
      <c r="E1729" t="str">
        <f t="shared" si="1808"/>
        <v>PJ/yr.</v>
      </c>
      <c r="F1729" s="1">
        <f t="shared" si="1823"/>
        <v>0</v>
      </c>
      <c r="G1729" s="1">
        <f t="shared" si="1823"/>
        <v>0</v>
      </c>
      <c r="H1729" s="1">
        <f t="shared" si="1823"/>
        <v>0</v>
      </c>
      <c r="I1729" s="1">
        <f t="shared" si="1823"/>
        <v>0</v>
      </c>
      <c r="J1729" s="1">
        <f t="shared" si="1823"/>
        <v>0.89413093319055115</v>
      </c>
      <c r="K1729" s="1">
        <f t="shared" si="1823"/>
        <v>0.1166029103416264</v>
      </c>
      <c r="L1729" s="1">
        <f t="shared" ref="L1729" si="1827">L40</f>
        <v>5.9441406114038031E-2</v>
      </c>
      <c r="N1729" s="1"/>
    </row>
    <row r="1730" spans="2:14" x14ac:dyDescent="0.35">
      <c r="B1730" t="str">
        <f t="shared" si="1806"/>
        <v>SPS1</v>
      </c>
      <c r="C1730" t="str">
        <f t="shared" si="1807"/>
        <v>CH</v>
      </c>
      <c r="D1730" t="s">
        <v>1756</v>
      </c>
      <c r="E1730" t="str">
        <f t="shared" si="1808"/>
        <v>PJ/yr.</v>
      </c>
      <c r="F1730" s="1">
        <f t="shared" si="1823"/>
        <v>117.04779675687243</v>
      </c>
      <c r="G1730" s="1">
        <f t="shared" si="1823"/>
        <v>107.23650069597142</v>
      </c>
      <c r="H1730" s="1">
        <f t="shared" si="1823"/>
        <v>107.19739835677576</v>
      </c>
      <c r="I1730" s="1">
        <f t="shared" si="1823"/>
        <v>103.74283725623924</v>
      </c>
      <c r="J1730" s="1">
        <f t="shared" si="1823"/>
        <v>111.59187032001689</v>
      </c>
      <c r="K1730" s="1">
        <f t="shared" si="1823"/>
        <v>112.9758099363316</v>
      </c>
      <c r="L1730" s="1">
        <f t="shared" ref="L1730" si="1828">L41</f>
        <v>102.98811951712985</v>
      </c>
      <c r="N1730" s="1"/>
    </row>
    <row r="1731" spans="2:14" x14ac:dyDescent="0.35">
      <c r="B1731" t="str">
        <f t="shared" si="1806"/>
        <v>SPS1</v>
      </c>
      <c r="C1731" t="str">
        <f t="shared" si="1807"/>
        <v>CH</v>
      </c>
      <c r="D1731" t="s">
        <v>1757</v>
      </c>
      <c r="E1731" t="str">
        <f t="shared" si="1808"/>
        <v>PJ/yr.</v>
      </c>
      <c r="F1731" s="1">
        <f t="shared" si="1823"/>
        <v>117.04779675687243</v>
      </c>
      <c r="G1731" s="1">
        <f t="shared" si="1823"/>
        <v>106.71999995850206</v>
      </c>
      <c r="H1731" s="1">
        <f t="shared" si="1823"/>
        <v>107.15776278528217</v>
      </c>
      <c r="I1731" s="1">
        <f t="shared" si="1823"/>
        <v>101.03270197674955</v>
      </c>
      <c r="J1731" s="1">
        <f t="shared" si="1823"/>
        <v>108.08710111100581</v>
      </c>
      <c r="K1731" s="1">
        <f t="shared" si="1823"/>
        <v>109.4232965734022</v>
      </c>
      <c r="L1731" s="1">
        <f t="shared" ref="L1731" si="1829">L42</f>
        <v>99.14960479885184</v>
      </c>
      <c r="N1731" s="1"/>
    </row>
    <row r="1732" spans="2:14" x14ac:dyDescent="0.35">
      <c r="B1732" t="str">
        <f t="shared" si="1806"/>
        <v>SPS1</v>
      </c>
      <c r="C1732" t="str">
        <f t="shared" si="1807"/>
        <v>CH</v>
      </c>
      <c r="D1732" t="s">
        <v>1758</v>
      </c>
      <c r="E1732" t="str">
        <f t="shared" si="1808"/>
        <v>PJ/yr.</v>
      </c>
      <c r="F1732" s="1">
        <f t="shared" si="1823"/>
        <v>117.04779675687243</v>
      </c>
      <c r="G1732" s="1">
        <f t="shared" si="1823"/>
        <v>106.71999995850206</v>
      </c>
      <c r="H1732" s="1">
        <f t="shared" si="1823"/>
        <v>107.15776278528217</v>
      </c>
      <c r="I1732" s="1">
        <f t="shared" si="1823"/>
        <v>101.03240281673969</v>
      </c>
      <c r="J1732" s="1">
        <f t="shared" si="1823"/>
        <v>108.08579834731759</v>
      </c>
      <c r="K1732" s="1">
        <f t="shared" si="1823"/>
        <v>109.42256816883426</v>
      </c>
      <c r="L1732" s="1">
        <f t="shared" ref="L1732" si="1830">L43</f>
        <v>99.149177671289451</v>
      </c>
      <c r="N1732" s="1"/>
    </row>
    <row r="1733" spans="2:14" x14ac:dyDescent="0.35">
      <c r="B1733" t="str">
        <f t="shared" si="1806"/>
        <v>SPS1</v>
      </c>
      <c r="C1733" t="str">
        <f t="shared" si="1807"/>
        <v>CH</v>
      </c>
      <c r="D1733" t="s">
        <v>1759</v>
      </c>
      <c r="E1733" t="str">
        <f t="shared" si="1808"/>
        <v>PJ/yr.</v>
      </c>
      <c r="F1733" s="1">
        <f t="shared" si="1823"/>
        <v>0</v>
      </c>
      <c r="G1733" s="1">
        <f t="shared" si="1823"/>
        <v>0</v>
      </c>
      <c r="H1733" s="1">
        <f t="shared" si="1823"/>
        <v>0</v>
      </c>
      <c r="I1733" s="1">
        <f t="shared" si="1823"/>
        <v>2.991600098631315E-4</v>
      </c>
      <c r="J1733" s="1">
        <f t="shared" si="1823"/>
        <v>1.3027636882107154E-3</v>
      </c>
      <c r="K1733" s="1">
        <f t="shared" si="1823"/>
        <v>7.2840456793775107E-4</v>
      </c>
      <c r="L1733" s="1">
        <f t="shared" ref="L1733" si="1831">L44</f>
        <v>4.2712756238823349E-4</v>
      </c>
      <c r="N1733" s="1"/>
    </row>
    <row r="1734" spans="2:14" x14ac:dyDescent="0.35">
      <c r="B1734" t="str">
        <f t="shared" si="1806"/>
        <v>SPS1</v>
      </c>
      <c r="C1734" t="str">
        <f t="shared" si="1807"/>
        <v>CH</v>
      </c>
      <c r="D1734" t="s">
        <v>1760</v>
      </c>
      <c r="E1734" t="str">
        <f t="shared" si="1808"/>
        <v>PJ/yr.</v>
      </c>
      <c r="F1734" s="1">
        <f t="shared" si="1823"/>
        <v>0</v>
      </c>
      <c r="G1734" s="1">
        <f t="shared" si="1823"/>
        <v>0.51650073746935232</v>
      </c>
      <c r="H1734" s="1">
        <f t="shared" si="1823"/>
        <v>3.9635571493592869E-2</v>
      </c>
      <c r="I1734" s="1">
        <f t="shared" si="1823"/>
        <v>2.7101352794896929</v>
      </c>
      <c r="J1734" s="1">
        <f t="shared" si="1823"/>
        <v>3.5047692090110916</v>
      </c>
      <c r="K1734" s="1">
        <f t="shared" si="1823"/>
        <v>3.5525133629294086</v>
      </c>
      <c r="L1734" s="1">
        <f t="shared" ref="L1734" si="1832">L45</f>
        <v>3.8385147182780064</v>
      </c>
      <c r="N1734" s="1"/>
    </row>
    <row r="1735" spans="2:14" x14ac:dyDescent="0.35">
      <c r="B1735" t="str">
        <f t="shared" si="1806"/>
        <v>SPS1</v>
      </c>
      <c r="C1735" t="str">
        <f t="shared" si="1807"/>
        <v>CH</v>
      </c>
      <c r="D1735" t="s">
        <v>1761</v>
      </c>
      <c r="E1735" t="str">
        <f t="shared" si="1808"/>
        <v>PJ/yr.</v>
      </c>
      <c r="F1735" s="1">
        <f t="shared" si="1823"/>
        <v>0</v>
      </c>
      <c r="G1735" s="1">
        <f t="shared" si="1823"/>
        <v>0.51650073746935232</v>
      </c>
      <c r="H1735" s="1">
        <f t="shared" si="1823"/>
        <v>3.9635571493592869E-2</v>
      </c>
      <c r="I1735" s="1">
        <f t="shared" si="1823"/>
        <v>2.7101352794896929</v>
      </c>
      <c r="J1735" s="1">
        <f t="shared" si="1823"/>
        <v>2.7101352794896929</v>
      </c>
      <c r="K1735" s="1">
        <f t="shared" si="1823"/>
        <v>3.5047692090110916</v>
      </c>
      <c r="L1735" s="1">
        <f t="shared" ref="L1735" si="1833">L46</f>
        <v>3.5525133629294086</v>
      </c>
      <c r="N1735" s="1"/>
    </row>
    <row r="1736" spans="2:14" x14ac:dyDescent="0.35">
      <c r="B1736" t="str">
        <f t="shared" si="1806"/>
        <v>SPS1</v>
      </c>
      <c r="C1736" t="str">
        <f t="shared" si="1807"/>
        <v>CH</v>
      </c>
      <c r="D1736" t="s">
        <v>1762</v>
      </c>
      <c r="E1736" t="str">
        <f t="shared" si="1808"/>
        <v>PJ/yr.</v>
      </c>
      <c r="F1736" s="1">
        <f t="shared" si="1823"/>
        <v>0</v>
      </c>
      <c r="G1736" s="1">
        <f t="shared" si="1823"/>
        <v>0.51650073746935232</v>
      </c>
      <c r="H1736" s="1">
        <f t="shared" si="1823"/>
        <v>3.9635571493592869E-2</v>
      </c>
      <c r="I1736" s="1">
        <f t="shared" si="1823"/>
        <v>2.7101352794896929</v>
      </c>
      <c r="J1736" s="1">
        <f t="shared" si="1823"/>
        <v>2.7101352794896929</v>
      </c>
      <c r="K1736" s="1">
        <f t="shared" si="1823"/>
        <v>3.5047692090110916</v>
      </c>
      <c r="L1736" s="1">
        <f t="shared" ref="L1736" si="1834">L47</f>
        <v>3.5525133629294086</v>
      </c>
      <c r="N1736" s="1"/>
    </row>
    <row r="1737" spans="2:14" x14ac:dyDescent="0.35">
      <c r="B1737" t="str">
        <f t="shared" si="1806"/>
        <v>SPS1</v>
      </c>
      <c r="C1737" t="str">
        <f t="shared" si="1807"/>
        <v>CH</v>
      </c>
      <c r="D1737" t="s">
        <v>1763</v>
      </c>
      <c r="E1737" t="str">
        <f t="shared" si="1808"/>
        <v>PJ/yr.</v>
      </c>
      <c r="F1737" s="1">
        <f t="shared" si="1823"/>
        <v>0</v>
      </c>
      <c r="G1737" s="1">
        <f t="shared" si="1823"/>
        <v>0</v>
      </c>
      <c r="H1737" s="1">
        <f t="shared" si="1823"/>
        <v>0</v>
      </c>
      <c r="I1737" s="1">
        <f t="shared" si="1823"/>
        <v>0</v>
      </c>
      <c r="J1737" s="1">
        <f t="shared" si="1823"/>
        <v>0.79463392952139866</v>
      </c>
      <c r="K1737" s="1">
        <f t="shared" si="1823"/>
        <v>4.7744153918316989E-2</v>
      </c>
      <c r="L1737" s="1">
        <f t="shared" ref="L1737" si="1835">L48</f>
        <v>0.28600135534859783</v>
      </c>
      <c r="N1737" s="1"/>
    </row>
    <row r="1738" spans="2:14" x14ac:dyDescent="0.35">
      <c r="B1738" t="str">
        <f t="shared" si="1806"/>
        <v>SPS1</v>
      </c>
      <c r="C1738" t="str">
        <f t="shared" si="1807"/>
        <v>CH</v>
      </c>
      <c r="D1738" t="s">
        <v>1764</v>
      </c>
      <c r="E1738" t="str">
        <f t="shared" si="1808"/>
        <v>PJ/yr.</v>
      </c>
      <c r="F1738" s="1">
        <f t="shared" si="1823"/>
        <v>0</v>
      </c>
      <c r="G1738" s="1">
        <f t="shared" si="1823"/>
        <v>0</v>
      </c>
      <c r="H1738" s="1">
        <f t="shared" si="1823"/>
        <v>0</v>
      </c>
      <c r="I1738" s="1">
        <f t="shared" si="1823"/>
        <v>0</v>
      </c>
      <c r="J1738" s="1">
        <f t="shared" si="1823"/>
        <v>0.79463392952139866</v>
      </c>
      <c r="K1738" s="1">
        <f t="shared" si="1823"/>
        <v>4.7744153918316989E-2</v>
      </c>
      <c r="L1738" s="1">
        <f t="shared" ref="L1738" si="1836">L49</f>
        <v>0.28600135534859783</v>
      </c>
      <c r="N1738" s="1"/>
    </row>
    <row r="1739" spans="2:14" x14ac:dyDescent="0.35">
      <c r="B1739" t="str">
        <f t="shared" si="1806"/>
        <v>SPS1</v>
      </c>
      <c r="C1739" t="str">
        <f t="shared" si="1807"/>
        <v>CH</v>
      </c>
      <c r="D1739" t="s">
        <v>1765</v>
      </c>
      <c r="E1739" t="str">
        <f t="shared" si="1808"/>
        <v>PJ/yr.</v>
      </c>
      <c r="F1739" s="1">
        <f t="shared" si="1823"/>
        <v>250.94817811360252</v>
      </c>
      <c r="G1739" s="1">
        <f t="shared" si="1823"/>
        <v>253.30007324334682</v>
      </c>
      <c r="H1739" s="1">
        <f t="shared" si="1823"/>
        <v>233.22742609086151</v>
      </c>
      <c r="I1739" s="1">
        <f t="shared" si="1823"/>
        <v>211.90228197968187</v>
      </c>
      <c r="J1739" s="1">
        <f t="shared" si="1823"/>
        <v>167.60344994841279</v>
      </c>
      <c r="K1739" s="1">
        <f t="shared" si="1823"/>
        <v>98.945503358515836</v>
      </c>
      <c r="L1739" s="1">
        <f t="shared" ref="L1739" si="1837">L50</f>
        <v>0</v>
      </c>
      <c r="N1739" s="1"/>
    </row>
    <row r="1740" spans="2:14" x14ac:dyDescent="0.35">
      <c r="B1740" t="str">
        <f t="shared" si="1806"/>
        <v>SPS1</v>
      </c>
      <c r="C1740" t="str">
        <f t="shared" si="1807"/>
        <v>CH</v>
      </c>
      <c r="D1740" t="s">
        <v>1766</v>
      </c>
      <c r="E1740" t="str">
        <f t="shared" si="1808"/>
        <v>PJ/yr.</v>
      </c>
      <c r="F1740" s="1">
        <f t="shared" ref="F1740:K1740" si="1838">-F58+F51</f>
        <v>-20.010001508963057</v>
      </c>
      <c r="G1740" s="1">
        <f t="shared" si="1838"/>
        <v>14.65135746265819</v>
      </c>
      <c r="H1740" s="1">
        <f t="shared" si="1838"/>
        <v>-24.173229243661538</v>
      </c>
      <c r="I1740" s="1">
        <f t="shared" si="1838"/>
        <v>-8.0357426187227858</v>
      </c>
      <c r="J1740" s="1">
        <f t="shared" si="1838"/>
        <v>12.226240933879843</v>
      </c>
      <c r="K1740" s="1">
        <f t="shared" si="1838"/>
        <v>23.017451338482232</v>
      </c>
      <c r="L1740" s="1">
        <f t="shared" ref="L1740" si="1839">-L58+L51</f>
        <v>22.805189403020265</v>
      </c>
      <c r="N1740" s="1"/>
    </row>
    <row r="1741" spans="2:14" x14ac:dyDescent="0.35">
      <c r="B1741" t="str">
        <f t="shared" si="1806"/>
        <v>SPS1</v>
      </c>
      <c r="C1741" t="str">
        <f t="shared" si="1807"/>
        <v>CH</v>
      </c>
      <c r="D1741" t="s">
        <v>1767</v>
      </c>
      <c r="E1741" t="str">
        <f t="shared" si="1808"/>
        <v>PJ/yr.</v>
      </c>
      <c r="F1741" s="1">
        <f t="shared" ref="F1741:K1741" si="1840">F56</f>
        <v>0</v>
      </c>
      <c r="G1741" s="1">
        <f t="shared" si="1840"/>
        <v>0</v>
      </c>
      <c r="H1741" s="1">
        <f t="shared" si="1840"/>
        <v>0</v>
      </c>
      <c r="I1741" s="1">
        <f t="shared" si="1840"/>
        <v>0</v>
      </c>
      <c r="J1741" s="1">
        <f t="shared" si="1840"/>
        <v>0</v>
      </c>
      <c r="K1741" s="1">
        <f t="shared" si="1840"/>
        <v>3.8475246849480662E-4</v>
      </c>
      <c r="L1741" s="1">
        <f t="shared" ref="L1741" si="1841">L56</f>
        <v>3.8753382085759464E-4</v>
      </c>
      <c r="N1741" s="1"/>
    </row>
    <row r="1742" spans="2:14" x14ac:dyDescent="0.35">
      <c r="B1742" t="str">
        <f t="shared" si="1806"/>
        <v>SPS1</v>
      </c>
      <c r="C1742" t="str">
        <f t="shared" si="1807"/>
        <v>CH</v>
      </c>
      <c r="D1742" t="s">
        <v>1769</v>
      </c>
      <c r="E1742" t="str">
        <f t="shared" ref="E1742:K1751" si="1842">E3</f>
        <v>PJ/yr.</v>
      </c>
      <c r="F1742" s="1">
        <f t="shared" si="1842"/>
        <v>44.97243534260808</v>
      </c>
      <c r="G1742" s="1">
        <f t="shared" si="1842"/>
        <v>48.190470921063309</v>
      </c>
      <c r="H1742" s="1">
        <f t="shared" si="1842"/>
        <v>48.190518046394359</v>
      </c>
      <c r="I1742" s="1">
        <f t="shared" si="1842"/>
        <v>48.190519675321539</v>
      </c>
      <c r="J1742" s="1">
        <f t="shared" si="1842"/>
        <v>51.205952473963521</v>
      </c>
      <c r="K1742" s="1">
        <f t="shared" si="1842"/>
        <v>52.13670807270249</v>
      </c>
      <c r="L1742" s="1">
        <f t="shared" ref="L1742" si="1843">L3</f>
        <v>52.136713275963452</v>
      </c>
      <c r="N1742" s="1"/>
    </row>
    <row r="1743" spans="2:14" x14ac:dyDescent="0.35">
      <c r="B1743" t="str">
        <f t="shared" si="1806"/>
        <v>SPS1</v>
      </c>
      <c r="C1743" t="str">
        <f t="shared" si="1807"/>
        <v>CH</v>
      </c>
      <c r="D1743" t="s">
        <v>1770</v>
      </c>
      <c r="E1743" t="str">
        <f t="shared" si="1842"/>
        <v>PJ/yr.</v>
      </c>
      <c r="F1743" s="1">
        <f t="shared" si="1842"/>
        <v>11.111878213818668</v>
      </c>
      <c r="G1743" s="1">
        <f t="shared" si="1842"/>
        <v>11.952883852329043</v>
      </c>
      <c r="H1743" s="1">
        <f t="shared" si="1842"/>
        <v>13.214393722284331</v>
      </c>
      <c r="I1743" s="1">
        <f t="shared" si="1842"/>
        <v>15.316910326063205</v>
      </c>
      <c r="J1743" s="1">
        <f t="shared" si="1842"/>
        <v>15.849138910221734</v>
      </c>
      <c r="K1743" s="1">
        <f t="shared" si="1842"/>
        <v>16.266396091308938</v>
      </c>
      <c r="L1743" s="1">
        <f t="shared" ref="L1743" si="1844">L4</f>
        <v>16.956993929394535</v>
      </c>
      <c r="N1743" s="1"/>
    </row>
    <row r="1744" spans="2:14" x14ac:dyDescent="0.35">
      <c r="B1744" t="str">
        <f t="shared" si="1806"/>
        <v>SPS1</v>
      </c>
      <c r="C1744" t="str">
        <f t="shared" si="1807"/>
        <v>CH</v>
      </c>
      <c r="D1744" t="s">
        <v>1771</v>
      </c>
      <c r="E1744" t="str">
        <f t="shared" si="1842"/>
        <v>PJ/yr.</v>
      </c>
      <c r="F1744" s="1">
        <f t="shared" si="1842"/>
        <v>7.511671348406523</v>
      </c>
      <c r="G1744" s="1">
        <f t="shared" si="1842"/>
        <v>7.5431417282590161</v>
      </c>
      <c r="H1744" s="1">
        <f t="shared" si="1842"/>
        <v>7.5903487008532862</v>
      </c>
      <c r="I1744" s="1">
        <f t="shared" si="1842"/>
        <v>7.6690271540081607</v>
      </c>
      <c r="J1744" s="1">
        <f t="shared" si="1842"/>
        <v>7.6690262090070105</v>
      </c>
      <c r="K1744" s="1">
        <f t="shared" si="1842"/>
        <v>7.6690264958770546</v>
      </c>
      <c r="L1744" s="1">
        <f t="shared" ref="L1744" si="1845">L5</f>
        <v>7.6690268748015518</v>
      </c>
      <c r="N1744" s="1"/>
    </row>
    <row r="1745" spans="2:14" x14ac:dyDescent="0.35">
      <c r="B1745" t="str">
        <f t="shared" si="1806"/>
        <v>SPS1</v>
      </c>
      <c r="C1745" t="str">
        <f t="shared" si="1807"/>
        <v>CH</v>
      </c>
      <c r="D1745" t="s">
        <v>1772</v>
      </c>
      <c r="E1745" t="str">
        <f t="shared" si="1842"/>
        <v>PJ/yr.</v>
      </c>
      <c r="F1745" s="1">
        <f t="shared" si="1842"/>
        <v>3.1682451864176526</v>
      </c>
      <c r="G1745" s="1">
        <f t="shared" si="1842"/>
        <v>3.4956727093226689</v>
      </c>
      <c r="H1745" s="1">
        <f t="shared" si="1842"/>
        <v>3.9868152394287297</v>
      </c>
      <c r="I1745" s="1">
        <f t="shared" si="1842"/>
        <v>4.8053865474766759</v>
      </c>
      <c r="J1745" s="1">
        <f t="shared" si="1842"/>
        <v>4.8053853760272203</v>
      </c>
      <c r="K1745" s="1">
        <f t="shared" si="1842"/>
        <v>4.8053857399336355</v>
      </c>
      <c r="L1745" s="1">
        <f t="shared" ref="L1745" si="1846">L6</f>
        <v>4.8053858039942208</v>
      </c>
      <c r="N1745" s="1"/>
    </row>
    <row r="1746" spans="2:14" x14ac:dyDescent="0.35">
      <c r="B1746" t="str">
        <f t="shared" si="1806"/>
        <v>SPS1</v>
      </c>
      <c r="C1746" t="str">
        <f t="shared" si="1807"/>
        <v>CH</v>
      </c>
      <c r="D1746" t="s">
        <v>1773</v>
      </c>
      <c r="E1746" t="str">
        <f t="shared" si="1842"/>
        <v>PJ/yr.</v>
      </c>
      <c r="F1746" s="1">
        <f t="shared" si="1842"/>
        <v>23.180640593965236</v>
      </c>
      <c r="G1746" s="1">
        <f t="shared" si="1842"/>
        <v>25.198772631152583</v>
      </c>
      <c r="H1746" s="1">
        <f t="shared" si="1842"/>
        <v>23.398960383828015</v>
      </c>
      <c r="I1746" s="1">
        <f t="shared" si="1842"/>
        <v>20.399195647773499</v>
      </c>
      <c r="J1746" s="1">
        <f t="shared" si="1842"/>
        <v>22.882401978707552</v>
      </c>
      <c r="K1746" s="1">
        <f t="shared" si="1842"/>
        <v>23.395899745582863</v>
      </c>
      <c r="L1746" s="1">
        <f t="shared" ref="L1746" si="1847">L7</f>
        <v>22.705306667773144</v>
      </c>
      <c r="N1746" s="1"/>
    </row>
    <row r="1747" spans="2:14" x14ac:dyDescent="0.35">
      <c r="B1747" t="str">
        <f t="shared" si="1806"/>
        <v>SPS1</v>
      </c>
      <c r="C1747" t="str">
        <f t="shared" si="1807"/>
        <v>CH</v>
      </c>
      <c r="D1747" t="s">
        <v>1774</v>
      </c>
      <c r="E1747" t="str">
        <f t="shared" si="1842"/>
        <v>PJ/yr.</v>
      </c>
      <c r="F1747" s="1">
        <f t="shared" si="1842"/>
        <v>70.031507525952819</v>
      </c>
      <c r="G1747" s="1">
        <f t="shared" si="1842"/>
        <v>70.696978637661886</v>
      </c>
      <c r="H1747" s="1">
        <f t="shared" si="1842"/>
        <v>70.30407000901107</v>
      </c>
      <c r="I1747" s="1">
        <f t="shared" si="1842"/>
        <v>69.854559989066217</v>
      </c>
      <c r="J1747" s="1">
        <f t="shared" si="1842"/>
        <v>69.752071593195353</v>
      </c>
      <c r="K1747" s="1">
        <f t="shared" si="1842"/>
        <v>69.973945961346288</v>
      </c>
      <c r="L1747" s="1">
        <f t="shared" ref="L1747" si="1848">L8</f>
        <v>70.41768660079687</v>
      </c>
      <c r="N1747" s="1"/>
    </row>
    <row r="1748" spans="2:14" x14ac:dyDescent="0.35">
      <c r="B1748" t="str">
        <f t="shared" si="1806"/>
        <v>SPS1</v>
      </c>
      <c r="C1748" t="str">
        <f t="shared" si="1807"/>
        <v>CH</v>
      </c>
      <c r="D1748" t="s">
        <v>1775</v>
      </c>
      <c r="E1748" t="str">
        <f t="shared" si="1842"/>
        <v>PJ/yr.</v>
      </c>
      <c r="F1748" s="1">
        <f t="shared" si="1842"/>
        <v>35.931071219635335</v>
      </c>
      <c r="G1748" s="1">
        <f t="shared" si="1842"/>
        <v>35.882383983203951</v>
      </c>
      <c r="H1748" s="1">
        <f t="shared" si="1842"/>
        <v>35.489472801443291</v>
      </c>
      <c r="I1748" s="1">
        <f t="shared" si="1842"/>
        <v>35.039964672616627</v>
      </c>
      <c r="J1748" s="1">
        <f t="shared" si="1842"/>
        <v>34.937585695956862</v>
      </c>
      <c r="K1748" s="1">
        <f t="shared" si="1842"/>
        <v>35.159449798680114</v>
      </c>
      <c r="L1748" s="1">
        <f t="shared" ref="L1748" si="1849">L9</f>
        <v>35.603176042519124</v>
      </c>
      <c r="N1748" s="1"/>
    </row>
    <row r="1749" spans="2:14" x14ac:dyDescent="0.35">
      <c r="B1749" t="str">
        <f t="shared" si="1806"/>
        <v>SPS1</v>
      </c>
      <c r="C1749" t="str">
        <f t="shared" si="1807"/>
        <v>CH</v>
      </c>
      <c r="D1749" t="s">
        <v>1776</v>
      </c>
      <c r="E1749" t="str">
        <f t="shared" si="1842"/>
        <v>PJ/yr.</v>
      </c>
      <c r="F1749" s="1">
        <f t="shared" si="1842"/>
        <v>34.100436306317484</v>
      </c>
      <c r="G1749" s="1">
        <f t="shared" si="1842"/>
        <v>34.814594654457927</v>
      </c>
      <c r="H1749" s="1">
        <f t="shared" si="1842"/>
        <v>34.814597207567772</v>
      </c>
      <c r="I1749" s="1">
        <f t="shared" si="1842"/>
        <v>34.814595316449584</v>
      </c>
      <c r="J1749" s="1">
        <f t="shared" si="1842"/>
        <v>34.814485897238484</v>
      </c>
      <c r="K1749" s="1">
        <f t="shared" si="1842"/>
        <v>34.814496162666167</v>
      </c>
      <c r="L1749" s="1">
        <f t="shared" ref="L1749" si="1850">L10</f>
        <v>34.814510558277746</v>
      </c>
      <c r="N1749" s="1"/>
    </row>
    <row r="1750" spans="2:14" x14ac:dyDescent="0.35">
      <c r="B1750" t="str">
        <f t="shared" si="1806"/>
        <v>SPS1</v>
      </c>
      <c r="C1750" t="str">
        <f t="shared" si="1807"/>
        <v>CH</v>
      </c>
      <c r="D1750" t="s">
        <v>1777</v>
      </c>
      <c r="E1750" t="str">
        <f t="shared" si="1842"/>
        <v>PJ/yr.</v>
      </c>
      <c r="F1750" s="1">
        <f t="shared" si="1842"/>
        <v>3.798085649147819</v>
      </c>
      <c r="G1750" s="1">
        <f t="shared" si="1842"/>
        <v>12.115548025655132</v>
      </c>
      <c r="H1750" s="1">
        <f t="shared" si="1842"/>
        <v>12.540331484817028</v>
      </c>
      <c r="I1750" s="1">
        <f t="shared" si="1842"/>
        <v>12.540425793035288</v>
      </c>
      <c r="J1750" s="1">
        <f t="shared" si="1842"/>
        <v>12.54042684227449</v>
      </c>
      <c r="K1750" s="1">
        <f t="shared" si="1842"/>
        <v>12.641669574355801</v>
      </c>
      <c r="L1750" s="1">
        <f t="shared" ref="L1750" si="1851">L11</f>
        <v>17.636690575994571</v>
      </c>
      <c r="N1750" s="1"/>
    </row>
    <row r="1751" spans="2:14" x14ac:dyDescent="0.35">
      <c r="B1751" t="str">
        <f t="shared" si="1806"/>
        <v>SPS1</v>
      </c>
      <c r="C1751" t="str">
        <f t="shared" si="1807"/>
        <v>CH</v>
      </c>
      <c r="D1751" t="s">
        <v>1778</v>
      </c>
      <c r="E1751" t="str">
        <f t="shared" si="1842"/>
        <v>PJ/yr.</v>
      </c>
      <c r="F1751" s="1">
        <f t="shared" si="1842"/>
        <v>149.43048165857232</v>
      </c>
      <c r="G1751" s="1">
        <f t="shared" si="1842"/>
        <v>125.60470577767911</v>
      </c>
      <c r="H1751" s="1">
        <f t="shared" si="1842"/>
        <v>137.62371386910246</v>
      </c>
      <c r="I1751" s="1">
        <f t="shared" si="1842"/>
        <v>150.6245500727326</v>
      </c>
      <c r="J1751" s="1">
        <f t="shared" si="1842"/>
        <v>150.69272006801111</v>
      </c>
      <c r="K1751" s="1">
        <f t="shared" si="1842"/>
        <v>150.82546570861854</v>
      </c>
      <c r="L1751" s="1">
        <f t="shared" ref="L1751" si="1852">L12</f>
        <v>151.06688373926661</v>
      </c>
      <c r="N1751" s="1"/>
    </row>
    <row r="1752" spans="2:14" x14ac:dyDescent="0.35">
      <c r="B1752" t="str">
        <f t="shared" si="1806"/>
        <v>SPS1</v>
      </c>
      <c r="C1752" t="str">
        <f t="shared" si="1807"/>
        <v>CH</v>
      </c>
      <c r="D1752" t="s">
        <v>1779</v>
      </c>
      <c r="E1752" t="str">
        <f t="shared" ref="E1752:K1758" si="1853">E13</f>
        <v>PJ/yr.</v>
      </c>
      <c r="F1752" s="1">
        <f t="shared" si="1853"/>
        <v>66.745679999995161</v>
      </c>
      <c r="G1752" s="1">
        <f t="shared" si="1853"/>
        <v>49.798799902568817</v>
      </c>
      <c r="H1752" s="1">
        <f t="shared" si="1853"/>
        <v>69.098091987387846</v>
      </c>
      <c r="I1752" s="1">
        <f t="shared" si="1853"/>
        <v>70.384657838973283</v>
      </c>
      <c r="J1752" s="1">
        <f t="shared" si="1853"/>
        <v>71.52327812530406</v>
      </c>
      <c r="K1752" s="1">
        <f t="shared" si="1853"/>
        <v>72.607215568765483</v>
      </c>
      <c r="L1752" s="1">
        <f t="shared" ref="L1752" si="1854">L13</f>
        <v>74.776919064631173</v>
      </c>
      <c r="N1752" s="1"/>
    </row>
    <row r="1753" spans="2:14" x14ac:dyDescent="0.35">
      <c r="B1753" t="str">
        <f t="shared" si="1806"/>
        <v>SPS1</v>
      </c>
      <c r="C1753" t="str">
        <f t="shared" si="1807"/>
        <v>CH</v>
      </c>
      <c r="D1753" t="s">
        <v>1780</v>
      </c>
      <c r="E1753" t="str">
        <f t="shared" si="1853"/>
        <v>PJ/yr.</v>
      </c>
      <c r="F1753" s="1">
        <f t="shared" si="1853"/>
        <v>66.632400218261907</v>
      </c>
      <c r="G1753" s="1">
        <f t="shared" si="1853"/>
        <v>55.76400049992705</v>
      </c>
      <c r="H1753" s="1">
        <f t="shared" si="1853"/>
        <v>65.549520725005422</v>
      </c>
      <c r="I1753" s="1">
        <f t="shared" si="1853"/>
        <v>64.46572592756182</v>
      </c>
      <c r="J1753" s="1">
        <f t="shared" si="1853"/>
        <v>63.385979563224339</v>
      </c>
      <c r="K1753" s="1">
        <f t="shared" si="1853"/>
        <v>62.302042598831932</v>
      </c>
      <c r="L1753" s="1">
        <f t="shared" ref="L1753" si="1855">L14</f>
        <v>60.132340541967814</v>
      </c>
      <c r="N1753" s="1"/>
    </row>
    <row r="1754" spans="2:14" x14ac:dyDescent="0.35">
      <c r="B1754" t="str">
        <f t="shared" si="1806"/>
        <v>SPS1</v>
      </c>
      <c r="C1754" t="str">
        <f t="shared" si="1807"/>
        <v>CH</v>
      </c>
      <c r="D1754" t="s">
        <v>1781</v>
      </c>
      <c r="E1754" t="str">
        <f t="shared" si="1853"/>
        <v>PJ/yr.</v>
      </c>
      <c r="F1754" s="1">
        <f t="shared" si="1853"/>
        <v>16.052401440315233</v>
      </c>
      <c r="G1754" s="1">
        <f t="shared" si="1853"/>
        <v>20.041905375183251</v>
      </c>
      <c r="H1754" s="1">
        <f t="shared" si="1853"/>
        <v>2.9761011567091971</v>
      </c>
      <c r="I1754" s="1">
        <f t="shared" si="1853"/>
        <v>15.77416630619749</v>
      </c>
      <c r="J1754" s="1">
        <f t="shared" si="1853"/>
        <v>15.783462379482728</v>
      </c>
      <c r="K1754" s="1">
        <f t="shared" si="1853"/>
        <v>15.916207541021121</v>
      </c>
      <c r="L1754" s="1">
        <f t="shared" ref="L1754" si="1856">L15</f>
        <v>16.157624132667632</v>
      </c>
      <c r="N1754" s="1"/>
    </row>
    <row r="1755" spans="2:14" x14ac:dyDescent="0.35">
      <c r="B1755" t="str">
        <f t="shared" si="1806"/>
        <v>SPS1</v>
      </c>
      <c r="C1755" t="str">
        <f t="shared" si="1807"/>
        <v>CH</v>
      </c>
      <c r="D1755" t="s">
        <v>1782</v>
      </c>
      <c r="E1755" t="str">
        <f t="shared" si="1853"/>
        <v>PJ/yr.</v>
      </c>
      <c r="F1755" s="1">
        <f t="shared" si="1853"/>
        <v>12.556465000061728</v>
      </c>
      <c r="G1755" s="1">
        <f t="shared" si="1853"/>
        <v>16.522192758234073</v>
      </c>
      <c r="H1755" s="1">
        <f t="shared" si="1853"/>
        <v>30.34331457243988</v>
      </c>
      <c r="I1755" s="1">
        <f t="shared" si="1853"/>
        <v>40.766964163093263</v>
      </c>
      <c r="J1755" s="1">
        <f t="shared" si="1853"/>
        <v>42.651103352334808</v>
      </c>
      <c r="K1755" s="1">
        <f t="shared" si="1853"/>
        <v>52.374004325489423</v>
      </c>
      <c r="L1755" s="1">
        <f t="shared" ref="L1755" si="1857">L16</f>
        <v>70.01370716975218</v>
      </c>
      <c r="N1755" s="1"/>
    </row>
    <row r="1756" spans="2:14" x14ac:dyDescent="0.35">
      <c r="B1756" t="str">
        <f t="shared" si="1806"/>
        <v>SPS1</v>
      </c>
      <c r="C1756" t="str">
        <f t="shared" si="1807"/>
        <v>CH</v>
      </c>
      <c r="D1756" t="s">
        <v>1783</v>
      </c>
      <c r="E1756" t="str">
        <f t="shared" si="1853"/>
        <v>PJ/yr.</v>
      </c>
      <c r="F1756" s="1">
        <f t="shared" si="1853"/>
        <v>0.52400642375679729</v>
      </c>
      <c r="G1756" s="1">
        <f t="shared" si="1853"/>
        <v>0.54529296852200548</v>
      </c>
      <c r="H1756" s="1">
        <f t="shared" si="1853"/>
        <v>0.50316556827708514</v>
      </c>
      <c r="I1756" s="1">
        <f t="shared" si="1853"/>
        <v>2.0502669905397286</v>
      </c>
      <c r="J1756" s="1">
        <f t="shared" si="1853"/>
        <v>0.93821047002472202</v>
      </c>
      <c r="K1756" s="1">
        <f t="shared" si="1853"/>
        <v>0.93822668666419484</v>
      </c>
      <c r="L1756" s="1">
        <f t="shared" ref="L1756" si="1858">L17</f>
        <v>0.93859980693928891</v>
      </c>
      <c r="N1756" s="1"/>
    </row>
    <row r="1757" spans="2:14" x14ac:dyDescent="0.35">
      <c r="B1757" t="str">
        <f t="shared" si="1806"/>
        <v>SPS1</v>
      </c>
      <c r="C1757" t="str">
        <f t="shared" si="1807"/>
        <v>CH</v>
      </c>
      <c r="D1757" t="s">
        <v>1784</v>
      </c>
      <c r="E1757" t="str">
        <f t="shared" si="1853"/>
        <v>PJ/yr.</v>
      </c>
      <c r="F1757" s="1">
        <f t="shared" si="1853"/>
        <v>18.873044481613956</v>
      </c>
      <c r="G1757" s="1">
        <f t="shared" si="1853"/>
        <v>21.777499389657525</v>
      </c>
      <c r="H1757" s="1">
        <f t="shared" si="1853"/>
        <v>30.279618665040868</v>
      </c>
      <c r="I1757" s="1">
        <f t="shared" si="1853"/>
        <v>45.898068735404799</v>
      </c>
      <c r="J1757" s="1">
        <f t="shared" si="1853"/>
        <v>55.729803638735731</v>
      </c>
      <c r="K1757" s="1">
        <f t="shared" si="1853"/>
        <v>63.517401676433231</v>
      </c>
      <c r="L1757" s="1">
        <f t="shared" ref="L1757" si="1859">L18</f>
        <v>85.086384660448374</v>
      </c>
      <c r="N1757" s="1"/>
    </row>
    <row r="1758" spans="2:14" x14ac:dyDescent="0.35">
      <c r="B1758" t="str">
        <f t="shared" si="1806"/>
        <v>SPS1</v>
      </c>
      <c r="C1758" t="str">
        <f t="shared" si="1807"/>
        <v>CH</v>
      </c>
      <c r="D1758" t="s">
        <v>1785</v>
      </c>
      <c r="E1758" t="str">
        <f t="shared" si="1853"/>
        <v>PJ/yr.</v>
      </c>
      <c r="F1758" s="1">
        <f t="shared" si="1853"/>
        <v>0</v>
      </c>
      <c r="G1758" s="1">
        <f t="shared" si="1853"/>
        <v>0</v>
      </c>
      <c r="H1758" s="1">
        <f t="shared" si="1853"/>
        <v>0</v>
      </c>
      <c r="I1758" s="1">
        <f t="shared" si="1853"/>
        <v>0</v>
      </c>
      <c r="J1758" s="1">
        <f t="shared" si="1853"/>
        <v>0</v>
      </c>
      <c r="K1758" s="1">
        <f t="shared" si="1853"/>
        <v>1.6764986827461054E-2</v>
      </c>
      <c r="L1758" s="1">
        <f t="shared" ref="L1758" si="1860">L19</f>
        <v>0.10657570949114312</v>
      </c>
      <c r="N1758" s="1"/>
    </row>
    <row r="1759" spans="2:14" x14ac:dyDescent="0.35">
      <c r="B1759" s="9" t="str">
        <f t="shared" si="1806"/>
        <v>SPS1</v>
      </c>
      <c r="C1759" s="2" t="str">
        <f t="shared" si="1807"/>
        <v>CH</v>
      </c>
      <c r="D1759" s="2" t="s">
        <v>1788</v>
      </c>
      <c r="E1759" s="2" t="s">
        <v>1857</v>
      </c>
      <c r="F1759" s="3">
        <f t="shared" ref="F1759:K1759" si="1861">SUM(F1760,F1762,F1766,F1770,F1786,F1793,F1801,F1803,F1811,F1815,F1809)</f>
        <v>22.36930300458253</v>
      </c>
      <c r="G1759" s="3">
        <f t="shared" si="1861"/>
        <v>24.365395281033383</v>
      </c>
      <c r="H1759" s="3">
        <f t="shared" si="1861"/>
        <v>29.725855118308392</v>
      </c>
      <c r="I1759" s="3">
        <f t="shared" si="1861"/>
        <v>31.988663550524585</v>
      </c>
      <c r="J1759" s="3">
        <f t="shared" si="1861"/>
        <v>32.248243220332725</v>
      </c>
      <c r="K1759" s="3">
        <f t="shared" si="1861"/>
        <v>34.664229559333315</v>
      </c>
      <c r="L1759" s="3">
        <f t="shared" ref="L1759" si="1862">SUM(L1760,L1762,L1766,L1770,L1786,L1793,L1801,L1803,L1811,L1815,L1809)</f>
        <v>38.35004871300309</v>
      </c>
      <c r="N1759" s="1"/>
    </row>
    <row r="1760" spans="2:14" x14ac:dyDescent="0.35">
      <c r="B1760" s="5" t="str">
        <f t="shared" si="1806"/>
        <v>SPS1</v>
      </c>
      <c r="C1760" s="5" t="str">
        <f t="shared" si="1807"/>
        <v>CH</v>
      </c>
      <c r="D1760" t="s">
        <v>1790</v>
      </c>
      <c r="E1760" t="str">
        <f>E1759</f>
        <v>GWe/yr.</v>
      </c>
      <c r="F1760" s="1">
        <f>+F1761</f>
        <v>3.0805587016157077</v>
      </c>
      <c r="G1760" s="1">
        <f t="shared" ref="G1760:L1760" si="1863">+G1761</f>
        <v>3.080558631060204</v>
      </c>
      <c r="H1760" s="1">
        <f t="shared" si="1863"/>
        <v>2.840241771507114</v>
      </c>
      <c r="I1760" s="1">
        <f t="shared" si="1863"/>
        <v>2.6090416682333681</v>
      </c>
      <c r="J1760" s="1">
        <f t="shared" si="1863"/>
        <v>2.0753298924702968</v>
      </c>
      <c r="K1760" s="1">
        <f t="shared" si="1863"/>
        <v>1.2356852375203127</v>
      </c>
      <c r="L1760" s="1">
        <f t="shared" si="1863"/>
        <v>0</v>
      </c>
      <c r="N1760" s="1"/>
    </row>
    <row r="1761" spans="2:14" x14ac:dyDescent="0.35">
      <c r="B1761" s="5" t="str">
        <f t="shared" si="1806"/>
        <v>SPS1</v>
      </c>
      <c r="C1761" s="5" t="str">
        <f t="shared" si="1807"/>
        <v>CH</v>
      </c>
      <c r="D1761" t="s">
        <v>1791</v>
      </c>
      <c r="E1761" t="str">
        <f t="shared" ref="E1761:E1822" si="1864">E1760</f>
        <v>GWe/yr.</v>
      </c>
      <c r="F1761" s="1">
        <f>'[1]Electricity and CHPs_CAP'!B$14</f>
        <v>3.0805587016157077</v>
      </c>
      <c r="G1761" s="1">
        <f>'[1]Electricity and CHPs_CAP'!C$14</f>
        <v>3.080558631060204</v>
      </c>
      <c r="H1761" s="1">
        <f>'[1]Electricity and CHPs_CAP'!D$14</f>
        <v>2.840241771507114</v>
      </c>
      <c r="I1761" s="1">
        <f>'[1]Electricity and CHPs_CAP'!E$14</f>
        <v>2.6090416682333681</v>
      </c>
      <c r="J1761" s="1">
        <f>'[2]Electricity and CHPs_CAP'!F$14</f>
        <v>2.0753298924702968</v>
      </c>
      <c r="K1761" s="1">
        <f>'[2]Electricity and CHPs_CAP'!G$14</f>
        <v>1.2356852375203127</v>
      </c>
      <c r="L1761" s="1">
        <f>'[2]Electricity and CHPs_CAP'!H$14</f>
        <v>0</v>
      </c>
      <c r="N1761" s="1"/>
    </row>
    <row r="1762" spans="2:14" x14ac:dyDescent="0.35">
      <c r="B1762" s="5" t="str">
        <f t="shared" si="1806"/>
        <v>SPS1</v>
      </c>
      <c r="C1762" s="5" t="str">
        <f t="shared" si="1807"/>
        <v>CH</v>
      </c>
      <c r="D1762" t="s">
        <v>1792</v>
      </c>
      <c r="E1762" t="str">
        <f t="shared" si="1864"/>
        <v>GWe/yr.</v>
      </c>
      <c r="F1762" s="1">
        <f>SUM(F1763:F1765)</f>
        <v>15.403610001059999</v>
      </c>
      <c r="G1762" s="1">
        <f t="shared" ref="G1762:K1762" si="1865">SUM(G1763:G1765)</f>
        <v>16.118447877867197</v>
      </c>
      <c r="H1762" s="1">
        <f t="shared" si="1865"/>
        <v>16.562183720253408</v>
      </c>
      <c r="I1762" s="1">
        <f t="shared" si="1865"/>
        <v>16.637546634106311</v>
      </c>
      <c r="J1762" s="1">
        <f t="shared" si="1865"/>
        <v>16.657336199528551</v>
      </c>
      <c r="K1762" s="1">
        <f t="shared" si="1865"/>
        <v>16.693841292214618</v>
      </c>
      <c r="L1762" s="1">
        <f t="shared" ref="L1762" si="1866">SUM(L1763:L1765)</f>
        <v>16.961066154482054</v>
      </c>
      <c r="N1762" s="1"/>
    </row>
    <row r="1763" spans="2:14" x14ac:dyDescent="0.35">
      <c r="B1763" s="5" t="str">
        <f t="shared" si="1806"/>
        <v>SPS1</v>
      </c>
      <c r="C1763" s="5" t="str">
        <f t="shared" si="1807"/>
        <v>CH</v>
      </c>
      <c r="D1763" t="s">
        <v>1793</v>
      </c>
      <c r="E1763" t="str">
        <f t="shared" si="1864"/>
        <v>GWe/yr.</v>
      </c>
      <c r="F1763" s="1">
        <f>'[1]Electricity and CHPs_CAP'!B$15</f>
        <v>7.3394300010600002</v>
      </c>
      <c r="G1763" s="1">
        <f>'[1]Electricity and CHPs_CAP'!C$15</f>
        <v>7.340129520814533</v>
      </c>
      <c r="H1763" s="1">
        <f>'[1]Electricity and CHPs_CAP'!D$15</f>
        <v>7.3433065433839069</v>
      </c>
      <c r="I1763" s="1">
        <f>'[1]Electricity and CHPs_CAP'!E$15</f>
        <v>7.4148363376080182</v>
      </c>
      <c r="J1763" s="1">
        <f>'[2]Electricity and CHPs_CAP'!F$15</f>
        <v>7.4265834663458472</v>
      </c>
      <c r="K1763" s="1">
        <f>'[2]Electricity and CHPs_CAP'!G$15</f>
        <v>7.4630880342742287</v>
      </c>
      <c r="L1763" s="1">
        <f>'[2]Electricity and CHPs_CAP'!H$15</f>
        <v>7.7303099832206401</v>
      </c>
      <c r="N1763" s="1"/>
    </row>
    <row r="1764" spans="2:14" x14ac:dyDescent="0.35">
      <c r="B1764" s="5" t="str">
        <f t="shared" si="1806"/>
        <v>SPS1</v>
      </c>
      <c r="C1764" s="5" t="str">
        <f t="shared" si="1807"/>
        <v>CH</v>
      </c>
      <c r="D1764" t="s">
        <v>1794</v>
      </c>
      <c r="E1764" t="str">
        <f t="shared" si="1864"/>
        <v>GWe/yr.</v>
      </c>
      <c r="F1764" s="1">
        <f>'[1]Electricity and CHPs_CAP'!B$16</f>
        <v>4.7247299999999992</v>
      </c>
      <c r="G1764" s="1">
        <f>'[1]Electricity and CHPs_CAP'!C$16</f>
        <v>4.8072225801712865</v>
      </c>
      <c r="H1764" s="1">
        <f>'[1]Electricity and CHPs_CAP'!D$16</f>
        <v>4.8593603461091757</v>
      </c>
      <c r="I1764" s="1">
        <f>'[1]Electricity and CHPs_CAP'!E$16</f>
        <v>4.8631934657379645</v>
      </c>
      <c r="J1764" s="1">
        <f>'[2]Electricity and CHPs_CAP'!F$16</f>
        <v>4.8711350907539801</v>
      </c>
      <c r="K1764" s="1">
        <f>'[2]Electricity and CHPs_CAP'!G$16</f>
        <v>4.8711355461204322</v>
      </c>
      <c r="L1764" s="1">
        <f>'[2]Electricity and CHPs_CAP'!H$16</f>
        <v>4.8711382666774652</v>
      </c>
      <c r="N1764" s="1"/>
    </row>
    <row r="1765" spans="2:14" x14ac:dyDescent="0.35">
      <c r="B1765" s="5" t="str">
        <f t="shared" si="1806"/>
        <v>SPS1</v>
      </c>
      <c r="C1765" s="5" t="str">
        <f t="shared" si="1807"/>
        <v>CH</v>
      </c>
      <c r="D1765" t="s">
        <v>1795</v>
      </c>
      <c r="E1765" t="str">
        <f t="shared" si="1864"/>
        <v>GWe/yr.</v>
      </c>
      <c r="F1765" s="1">
        <f>'[1]Electricity and CHPs_CAP'!B$17</f>
        <v>3.3394499999999998</v>
      </c>
      <c r="G1765" s="1">
        <f>'[1]Electricity and CHPs_CAP'!C$17</f>
        <v>3.9710957768813762</v>
      </c>
      <c r="H1765" s="1">
        <f>'[1]Electricity and CHPs_CAP'!D$17</f>
        <v>4.3595168307603265</v>
      </c>
      <c r="I1765" s="1">
        <f>'[1]Electricity and CHPs_CAP'!E$17</f>
        <v>4.3595168307603265</v>
      </c>
      <c r="J1765" s="1">
        <f>'[2]Electricity and CHPs_CAP'!F$17</f>
        <v>4.3596176424287227</v>
      </c>
      <c r="K1765" s="1">
        <f>'[2]Electricity and CHPs_CAP'!G$17</f>
        <v>4.3596177118199568</v>
      </c>
      <c r="L1765" s="1">
        <f>'[2]Electricity and CHPs_CAP'!H$17</f>
        <v>4.3596179045839483</v>
      </c>
      <c r="N1765" s="1"/>
    </row>
    <row r="1766" spans="2:14" x14ac:dyDescent="0.35">
      <c r="B1766" s="5" t="str">
        <f>B1757</f>
        <v>SPS1</v>
      </c>
      <c r="C1766" s="5" t="str">
        <f>C1757</f>
        <v>CH</v>
      </c>
      <c r="D1766" t="s">
        <v>1796</v>
      </c>
      <c r="E1766" t="str">
        <f t="shared" si="1864"/>
        <v>GWe/yr.</v>
      </c>
      <c r="F1766" s="1">
        <f>SUM(F1767:F1769)</f>
        <v>2.7423595326744897E-2</v>
      </c>
      <c r="G1766" s="1">
        <f t="shared" ref="G1766:K1766" si="1867">SUM(G1767:G1769)</f>
        <v>2.5085412806716147E-2</v>
      </c>
      <c r="H1766" s="1">
        <f t="shared" si="1867"/>
        <v>2.0447958979994199E-2</v>
      </c>
      <c r="I1766" s="1">
        <f t="shared" si="1867"/>
        <v>3.9473137204027897E-2</v>
      </c>
      <c r="J1766" s="1">
        <f t="shared" si="1867"/>
        <v>5.57036667245846E-2</v>
      </c>
      <c r="K1766" s="1">
        <f t="shared" si="1867"/>
        <v>6.485302041291055E-2</v>
      </c>
      <c r="L1766" s="1">
        <f t="shared" ref="L1766" si="1868">SUM(L1767:L1769)</f>
        <v>7.9015540952280694E-2</v>
      </c>
      <c r="N1766" s="1"/>
    </row>
    <row r="1767" spans="2:14" x14ac:dyDescent="0.35">
      <c r="B1767" s="5" t="str">
        <f>B1766</f>
        <v>SPS1</v>
      </c>
      <c r="C1767" s="5" t="str">
        <f>C1766</f>
        <v>CH</v>
      </c>
      <c r="D1767" t="s">
        <v>1797</v>
      </c>
      <c r="E1767" t="str">
        <f t="shared" si="1864"/>
        <v>GWe/yr.</v>
      </c>
      <c r="F1767" s="1">
        <f>'[1]Electricity and CHPs_CAP'!B$18</f>
        <v>1.7740408038023209E-2</v>
      </c>
      <c r="G1767" s="1">
        <f>'[1]Electricity and CHPs_CAP'!C$18</f>
        <v>1.7709049015198347E-2</v>
      </c>
      <c r="H1767" s="1">
        <f>'[1]Electricity and CHPs_CAP'!D$18</f>
        <v>1.069946053958622E-2</v>
      </c>
      <c r="I1767" s="1">
        <f>'[1]Electricity and CHPs_CAP'!E$18</f>
        <v>1.5061168316146473E-2</v>
      </c>
      <c r="J1767" s="1">
        <f>'[2]Electricity and CHPs_CAP'!F$18</f>
        <v>2.5509641637014649E-2</v>
      </c>
      <c r="K1767" s="1">
        <f>'[2]Electricity and CHPs_CAP'!G$18</f>
        <v>2.5509182025420955E-2</v>
      </c>
      <c r="L1767" s="1">
        <f>'[2]Electricity and CHPs_CAP'!H$18</f>
        <v>9.2266943522344384E-3</v>
      </c>
      <c r="N1767" s="1"/>
    </row>
    <row r="1768" spans="2:14" x14ac:dyDescent="0.35">
      <c r="B1768" s="5" t="str">
        <f t="shared" ref="B1768:C1769" si="1869">B1767</f>
        <v>SPS1</v>
      </c>
      <c r="C1768" s="5" t="str">
        <f t="shared" si="1869"/>
        <v>CH</v>
      </c>
      <c r="D1768" t="s">
        <v>1798</v>
      </c>
      <c r="E1768" t="str">
        <f t="shared" si="1864"/>
        <v>GWe/yr.</v>
      </c>
      <c r="F1768" s="1">
        <f>'[1]Electricity and CHPs_CAP'!B$28</f>
        <v>1.3779547072016105E-3</v>
      </c>
      <c r="G1768" s="1">
        <f>'[1]Electricity and CHPs_CAP'!C$28</f>
        <v>3.0197636330717668E-4</v>
      </c>
      <c r="H1768" s="1">
        <f>'[1]Electricity and CHPs_CAP'!D$28</f>
        <v>2.832903513590463E-4</v>
      </c>
      <c r="I1768" s="1">
        <f>'[1]Electricity and CHPs_CAP'!E$28</f>
        <v>2.0645003532958339E-4</v>
      </c>
      <c r="J1768" s="1">
        <f>'[2]Electricity and CHPs_CAP'!F$28</f>
        <v>4.5032294643895885E-4</v>
      </c>
      <c r="K1768" s="1">
        <f>'[2]Electricity and CHPs_CAP'!G$28</f>
        <v>1.714457542902314E-4</v>
      </c>
      <c r="L1768" s="1">
        <f>'[2]Electricity and CHPs_CAP'!H$28</f>
        <v>1.0981340663322399E-4</v>
      </c>
      <c r="N1768" s="1"/>
    </row>
    <row r="1769" spans="2:14" x14ac:dyDescent="0.35">
      <c r="B1769" s="5" t="str">
        <f t="shared" si="1869"/>
        <v>SPS1</v>
      </c>
      <c r="C1769" s="5" t="str">
        <f t="shared" si="1869"/>
        <v>CH</v>
      </c>
      <c r="D1769" t="s">
        <v>1799</v>
      </c>
      <c r="E1769" t="str">
        <f t="shared" si="1864"/>
        <v>GWe/yr.</v>
      </c>
      <c r="F1769" s="1">
        <f>'[1]Electricity and CHPs_CAP'!B$41</f>
        <v>8.3052325815200796E-3</v>
      </c>
      <c r="G1769" s="1">
        <f>'[1]Electricity and CHPs_CAP'!C$41</f>
        <v>7.0743874282106203E-3</v>
      </c>
      <c r="H1769" s="1">
        <f>'[1]Electricity and CHPs_CAP'!D$41</f>
        <v>9.4652080890489324E-3</v>
      </c>
      <c r="I1769" s="1">
        <f>'[1]Electricity and CHPs_CAP'!E$41</f>
        <v>2.4205518852551837E-2</v>
      </c>
      <c r="J1769" s="1">
        <f>'[2]Electricity and CHPs_CAP'!F$41</f>
        <v>2.9743702141130996E-2</v>
      </c>
      <c r="K1769" s="1">
        <f>'[2]Electricity and CHPs_CAP'!G$41</f>
        <v>3.9172392633199361E-2</v>
      </c>
      <c r="L1769" s="1">
        <f>'[2]Electricity and CHPs_CAP'!H$41</f>
        <v>6.9679033193413037E-2</v>
      </c>
      <c r="N1769" s="1"/>
    </row>
    <row r="1770" spans="2:14" x14ac:dyDescent="0.35">
      <c r="B1770" s="5" t="str">
        <f>B1769</f>
        <v>SPS1</v>
      </c>
      <c r="C1770" s="5" t="str">
        <f>C1769</f>
        <v>CH</v>
      </c>
      <c r="D1770" t="s">
        <v>1800</v>
      </c>
      <c r="E1770" t="str">
        <f t="shared" si="1864"/>
        <v>GWe/yr.</v>
      </c>
      <c r="F1770" s="1">
        <f>SUM(F1771:F1785)</f>
        <v>0.2517400528118921</v>
      </c>
      <c r="G1770" s="1">
        <f t="shared" ref="G1770:K1770" si="1870">SUM(G1771:G1785)</f>
        <v>0.17248344984312175</v>
      </c>
      <c r="H1770" s="1">
        <f t="shared" si="1870"/>
        <v>0.13469206788877677</v>
      </c>
      <c r="I1770" s="1">
        <f t="shared" si="1870"/>
        <v>0.14328514749573346</v>
      </c>
      <c r="J1770" s="1">
        <f t="shared" si="1870"/>
        <v>0.54951944040819656</v>
      </c>
      <c r="K1770" s="1">
        <f t="shared" si="1870"/>
        <v>0.80947826275106682</v>
      </c>
      <c r="L1770" s="1">
        <f t="shared" ref="L1770" si="1871">SUM(L1771:L1785)</f>
        <v>1.4924813459747246</v>
      </c>
      <c r="N1770" s="1"/>
    </row>
    <row r="1771" spans="2:14" x14ac:dyDescent="0.35">
      <c r="B1771" s="5" t="str">
        <f t="shared" ref="B1771:C1784" si="1872">B1770</f>
        <v>SPS1</v>
      </c>
      <c r="C1771" s="5" t="str">
        <f t="shared" si="1872"/>
        <v>CH</v>
      </c>
      <c r="D1771" t="s">
        <v>1801</v>
      </c>
      <c r="E1771" t="str">
        <f t="shared" si="1864"/>
        <v>GWe/yr.</v>
      </c>
      <c r="F1771" s="1">
        <f>'[1]Electricity and CHPs_CAP'!B$21</f>
        <v>0</v>
      </c>
      <c r="G1771" s="1">
        <f>'[1]Electricity and CHPs_CAP'!C$21</f>
        <v>0</v>
      </c>
      <c r="H1771" s="1">
        <f>'[1]Electricity and CHPs_CAP'!D$21</f>
        <v>0</v>
      </c>
      <c r="I1771" s="1">
        <f>'[1]Electricity and CHPs_CAP'!E$21</f>
        <v>0</v>
      </c>
      <c r="J1771" s="1">
        <f>'[2]Electricity and CHPs_CAP'!F$21</f>
        <v>0</v>
      </c>
      <c r="K1771" s="1">
        <f>'[2]Electricity and CHPs_CAP'!G$21</f>
        <v>4.7337603242104502E-2</v>
      </c>
      <c r="L1771" s="1">
        <f>'[2]Electricity and CHPs_CAP'!H$21</f>
        <v>0.52689942237291032</v>
      </c>
      <c r="N1771" s="1"/>
    </row>
    <row r="1772" spans="2:14" x14ac:dyDescent="0.35">
      <c r="B1772" s="5" t="str">
        <f t="shared" si="1872"/>
        <v>SPS1</v>
      </c>
      <c r="C1772" s="5" t="str">
        <f t="shared" si="1872"/>
        <v>CH</v>
      </c>
      <c r="D1772" t="s">
        <v>1802</v>
      </c>
      <c r="E1772" t="str">
        <f t="shared" si="1864"/>
        <v>GWe/yr.</v>
      </c>
      <c r="F1772" s="1">
        <f>'[1]Electricity and CHPs_CAP'!B$22</f>
        <v>0</v>
      </c>
      <c r="G1772" s="1">
        <f>'[1]Electricity and CHPs_CAP'!C$22</f>
        <v>0</v>
      </c>
      <c r="H1772" s="1">
        <f>'[1]Electricity and CHPs_CAP'!D$22</f>
        <v>0</v>
      </c>
      <c r="I1772" s="1">
        <f>'[1]Electricity and CHPs_CAP'!E$22</f>
        <v>0</v>
      </c>
      <c r="J1772" s="1">
        <f>'[2]Electricity and CHPs_CAP'!F$22</f>
        <v>3.4358625282649103E-4</v>
      </c>
      <c r="K1772" s="1">
        <f>'[2]Electricity and CHPs_CAP'!G$22</f>
        <v>1.4255459870600022E-3</v>
      </c>
      <c r="L1772" s="1">
        <f>'[2]Electricity and CHPs_CAP'!H$22</f>
        <v>1.4137302004053843E-3</v>
      </c>
      <c r="N1772" s="1"/>
    </row>
    <row r="1773" spans="2:14" x14ac:dyDescent="0.35">
      <c r="B1773" s="5" t="str">
        <f t="shared" si="1872"/>
        <v>SPS1</v>
      </c>
      <c r="C1773" s="5" t="str">
        <f t="shared" si="1872"/>
        <v>CH</v>
      </c>
      <c r="D1773" t="s">
        <v>1803</v>
      </c>
      <c r="E1773" t="str">
        <f t="shared" si="1864"/>
        <v>GWe/yr.</v>
      </c>
      <c r="F1773" s="1">
        <f>'[1]Electricity and CHPs_CAP'!B$23</f>
        <v>0</v>
      </c>
      <c r="G1773" s="1">
        <f>'[1]Electricity and CHPs_CAP'!C$23</f>
        <v>0</v>
      </c>
      <c r="H1773" s="1">
        <f>'[1]Electricity and CHPs_CAP'!D$23</f>
        <v>0</v>
      </c>
      <c r="I1773" s="1">
        <f>'[1]Electricity and CHPs_CAP'!E$23</f>
        <v>0</v>
      </c>
      <c r="J1773" s="1">
        <f>'[2]Electricity and CHPs_CAP'!F$23</f>
        <v>0</v>
      </c>
      <c r="K1773" s="1">
        <f>'[2]Electricity and CHPs_CAP'!G$23</f>
        <v>0</v>
      </c>
      <c r="L1773" s="1">
        <f>'[2]Electricity and CHPs_CAP'!H$23</f>
        <v>0</v>
      </c>
      <c r="N1773" s="1"/>
    </row>
    <row r="1774" spans="2:14" x14ac:dyDescent="0.35">
      <c r="B1774" s="5" t="str">
        <f t="shared" si="1872"/>
        <v>SPS1</v>
      </c>
      <c r="C1774" s="5" t="str">
        <f t="shared" si="1872"/>
        <v>CH</v>
      </c>
      <c r="D1774" t="s">
        <v>1804</v>
      </c>
      <c r="E1774" t="str">
        <f t="shared" si="1864"/>
        <v>GWe/yr.</v>
      </c>
      <c r="F1774" s="1">
        <f>IF('[1]Electricity and CHPs_CAP'!B$24&lt;0,0,'[1]Electricity and CHPs_CAP'!B$24)</f>
        <v>4.7423957056209498E-2</v>
      </c>
      <c r="G1774" s="1">
        <f>IF('[1]Electricity and CHPs_CAP'!C$24&lt;0,0,'[1]Electricity and CHPs_CAP'!C$24)</f>
        <v>5.8279444817566084E-5</v>
      </c>
      <c r="H1774" s="1">
        <f>IF('[1]Electricity and CHPs_CAP'!D$24&lt;0,0,'[1]Electricity and CHPs_CAP'!D$24)</f>
        <v>2.7698857114982767E-3</v>
      </c>
      <c r="I1774" s="1">
        <f>IF('[1]Electricity and CHPs_CAP'!E$24&lt;0,0,'[1]Electricity and CHPs_CAP'!E$24)</f>
        <v>2.7155260560995029E-3</v>
      </c>
      <c r="J1774" s="1">
        <f>IF('[2]Electricity and CHPs_CAP'!F$24&lt;0,0,'[2]Electricity and CHPs_CAP'!F$24)</f>
        <v>1.4482964238544597E-3</v>
      </c>
      <c r="K1774" s="1">
        <f>IF('[2]Electricity and CHPs_CAP'!G$24&lt;0,0,'[2]Electricity and CHPs_CAP'!G$24)</f>
        <v>1.7752858751417876E-2</v>
      </c>
      <c r="L1774" s="1">
        <f>IF('[2]Electricity and CHPs_CAP'!H$24&lt;0,0,'[2]Electricity and CHPs_CAP'!H$24)</f>
        <v>2.1578862542017383E-2</v>
      </c>
      <c r="N1774" s="1"/>
    </row>
    <row r="1775" spans="2:14" x14ac:dyDescent="0.35">
      <c r="B1775" s="5" t="str">
        <f t="shared" si="1872"/>
        <v>SPS1</v>
      </c>
      <c r="C1775" s="5" t="str">
        <f t="shared" si="1872"/>
        <v>CH</v>
      </c>
      <c r="D1775" t="s">
        <v>1805</v>
      </c>
      <c r="E1775" t="str">
        <f t="shared" si="1864"/>
        <v>GWe/yr.</v>
      </c>
      <c r="F1775" s="1">
        <f>'[1]Electricity and CHPs_CAP'!B$29</f>
        <v>0</v>
      </c>
      <c r="G1775" s="1">
        <f>'[1]Electricity and CHPs_CAP'!C$29</f>
        <v>0</v>
      </c>
      <c r="H1775" s="1">
        <f>'[1]Electricity and CHPs_CAP'!D$29</f>
        <v>0</v>
      </c>
      <c r="I1775" s="1">
        <f>'[1]Electricity and CHPs_CAP'!E$29</f>
        <v>0</v>
      </c>
      <c r="J1775" s="1">
        <f>'[2]Electricity and CHPs_CAP'!F$29</f>
        <v>0</v>
      </c>
      <c r="K1775" s="1">
        <f>'[2]Electricity and CHPs_CAP'!G$29</f>
        <v>1.2248656702802001E-2</v>
      </c>
      <c r="L1775" s="1">
        <f>'[2]Electricity and CHPs_CAP'!H$29</f>
        <v>6.5335573860376667E-2</v>
      </c>
      <c r="N1775" s="1"/>
    </row>
    <row r="1776" spans="2:14" x14ac:dyDescent="0.35">
      <c r="B1776" s="5" t="str">
        <f t="shared" si="1872"/>
        <v>SPS1</v>
      </c>
      <c r="C1776" s="5" t="str">
        <f t="shared" si="1872"/>
        <v>CH</v>
      </c>
      <c r="D1776" t="s">
        <v>1806</v>
      </c>
      <c r="E1776" t="str">
        <f t="shared" si="1864"/>
        <v>GWe/yr.</v>
      </c>
      <c r="F1776" s="1">
        <f>'[1]Electricity and CHPs_CAP'!B$39</f>
        <v>5.3315818187333205E-2</v>
      </c>
      <c r="G1776" s="1">
        <f>'[1]Electricity and CHPs_CAP'!C$39</f>
        <v>3.9432518674767505E-2</v>
      </c>
      <c r="H1776" s="1">
        <f>'[1]Electricity and CHPs_CAP'!D$39</f>
        <v>4.5908271928096739E-2</v>
      </c>
      <c r="I1776" s="1">
        <f>'[1]Electricity and CHPs_CAP'!E$39</f>
        <v>5.5468315607730634E-2</v>
      </c>
      <c r="J1776" s="1">
        <f>'[2]Electricity and CHPs_CAP'!F$39</f>
        <v>4.7712380538085679E-2</v>
      </c>
      <c r="K1776" s="1">
        <f>'[2]Electricity and CHPs_CAP'!G$39</f>
        <v>4.7712248471541145E-2</v>
      </c>
      <c r="L1776" s="1">
        <f>'[2]Electricity and CHPs_CAP'!H$39</f>
        <v>1.0594231435445561E-2</v>
      </c>
      <c r="N1776" s="1"/>
    </row>
    <row r="1777" spans="2:14" x14ac:dyDescent="0.35">
      <c r="B1777" s="5" t="str">
        <f t="shared" si="1872"/>
        <v>SPS1</v>
      </c>
      <c r="C1777" s="5" t="str">
        <f t="shared" si="1872"/>
        <v>CH</v>
      </c>
      <c r="D1777" t="s">
        <v>1807</v>
      </c>
      <c r="E1777" t="str">
        <f t="shared" si="1864"/>
        <v>GWe/yr.</v>
      </c>
      <c r="F1777" s="1">
        <f>'[1]Electricity and CHPs_CAP'!B$40</f>
        <v>0</v>
      </c>
      <c r="G1777" s="1">
        <f>'[1]Electricity and CHPs_CAP'!C$40</f>
        <v>0</v>
      </c>
      <c r="H1777" s="1">
        <f>'[1]Electricity and CHPs_CAP'!D$40</f>
        <v>0</v>
      </c>
      <c r="I1777" s="1">
        <f>'[1]Electricity and CHPs_CAP'!E$40</f>
        <v>0</v>
      </c>
      <c r="J1777" s="1">
        <f>'[2]Electricity and CHPs_CAP'!F$40</f>
        <v>0</v>
      </c>
      <c r="K1777" s="1">
        <f>'[2]Electricity and CHPs_CAP'!G$40</f>
        <v>0</v>
      </c>
      <c r="L1777" s="1">
        <f>'[2]Electricity and CHPs_CAP'!H$40</f>
        <v>0</v>
      </c>
      <c r="N1777" s="1"/>
    </row>
    <row r="1778" spans="2:14" x14ac:dyDescent="0.35">
      <c r="B1778" s="5" t="str">
        <f t="shared" si="1872"/>
        <v>SPS1</v>
      </c>
      <c r="C1778" s="5" t="str">
        <f t="shared" si="1872"/>
        <v>CH</v>
      </c>
      <c r="D1778" t="s">
        <v>1808</v>
      </c>
      <c r="E1778" t="str">
        <f t="shared" si="1864"/>
        <v>GWe/yr.</v>
      </c>
      <c r="F1778" s="1">
        <f>'[1]Electricity and CHPs_CAP'!B$47</f>
        <v>0</v>
      </c>
      <c r="G1778" s="1">
        <f>'[1]Electricity and CHPs_CAP'!C$47</f>
        <v>0</v>
      </c>
      <c r="H1778" s="1">
        <f>'[1]Electricity and CHPs_CAP'!D$47</f>
        <v>0</v>
      </c>
      <c r="I1778" s="1">
        <f>'[1]Electricity and CHPs_CAP'!E$47</f>
        <v>3.1801650507618999E-5</v>
      </c>
      <c r="J1778" s="1">
        <f>'[2]Electricity and CHPs_CAP'!F$47</f>
        <v>1.5623446145970315E-4</v>
      </c>
      <c r="K1778" s="1">
        <f>'[2]Electricity and CHPs_CAP'!G$47</f>
        <v>1.7666689283445193E-4</v>
      </c>
      <c r="L1778" s="1">
        <f>'[2]Electricity and CHPs_CAP'!H$47</f>
        <v>1.1022964512417284E-4</v>
      </c>
      <c r="N1778" s="1"/>
    </row>
    <row r="1779" spans="2:14" x14ac:dyDescent="0.35">
      <c r="B1779" s="5" t="str">
        <f t="shared" si="1872"/>
        <v>SPS1</v>
      </c>
      <c r="C1779" s="5" t="str">
        <f t="shared" si="1872"/>
        <v>CH</v>
      </c>
      <c r="D1779" t="s">
        <v>1809</v>
      </c>
      <c r="E1779" t="str">
        <f t="shared" si="1864"/>
        <v>GWe/yr.</v>
      </c>
      <c r="F1779" s="1">
        <f>'[1]Electricity and CHPs_CAP'!B$48</f>
        <v>3.9198137348719379E-3</v>
      </c>
      <c r="G1779" s="1">
        <f>'[1]Electricity and CHPs_CAP'!C$48</f>
        <v>1.7907270346318179E-4</v>
      </c>
      <c r="H1779" s="1">
        <f>'[1]Electricity and CHPs_CAP'!D$48</f>
        <v>1.7767906011318155E-4</v>
      </c>
      <c r="I1779" s="1">
        <f>'[1]Electricity and CHPs_CAP'!E$48</f>
        <v>1.6935473814964916E-4</v>
      </c>
      <c r="J1779" s="1">
        <f>'[2]Electricity and CHPs_CAP'!F$48</f>
        <v>5.9820324903204656E-4</v>
      </c>
      <c r="K1779" s="1">
        <f>'[2]Electricity and CHPs_CAP'!G$48</f>
        <v>3.3698315736862227E-4</v>
      </c>
      <c r="L1779" s="1">
        <f>'[2]Electricity and CHPs_CAP'!H$48</f>
        <v>1.7544256135917902E-4</v>
      </c>
      <c r="N1779" s="1"/>
    </row>
    <row r="1780" spans="2:14" x14ac:dyDescent="0.35">
      <c r="B1780" s="5" t="str">
        <f t="shared" si="1872"/>
        <v>SPS1</v>
      </c>
      <c r="C1780" s="5" t="str">
        <f t="shared" si="1872"/>
        <v>CH</v>
      </c>
      <c r="D1780" t="s">
        <v>1810</v>
      </c>
      <c r="E1780" t="str">
        <f t="shared" si="1864"/>
        <v>GWe/yr.</v>
      </c>
      <c r="F1780" s="1">
        <f>'[1]Electricity and CHPs_CAP'!B$49</f>
        <v>0</v>
      </c>
      <c r="G1780" s="1">
        <f>'[1]Electricity and CHPs_CAP'!C$49</f>
        <v>0</v>
      </c>
      <c r="H1780" s="1">
        <f>'[1]Electricity and CHPs_CAP'!D$49</f>
        <v>0</v>
      </c>
      <c r="I1780" s="1">
        <f>'[1]Electricity and CHPs_CAP'!E$49</f>
        <v>7.701321675011561E-7</v>
      </c>
      <c r="J1780" s="1">
        <f>'[2]Electricity and CHPs_CAP'!F$49</f>
        <v>5.8913450399071802E-5</v>
      </c>
      <c r="K1780" s="1">
        <f>'[2]Electricity and CHPs_CAP'!G$49</f>
        <v>5.9417220561755265E-5</v>
      </c>
      <c r="L1780" s="1">
        <f>'[2]Electricity and CHPs_CAP'!H$49</f>
        <v>5.713458188425138E-5</v>
      </c>
      <c r="N1780" s="1"/>
    </row>
    <row r="1781" spans="2:14" x14ac:dyDescent="0.35">
      <c r="B1781" s="5" t="str">
        <f t="shared" si="1872"/>
        <v>SPS1</v>
      </c>
      <c r="C1781" s="5" t="str">
        <f t="shared" si="1872"/>
        <v>CH</v>
      </c>
      <c r="D1781" t="s">
        <v>1811</v>
      </c>
      <c r="E1781" t="str">
        <f t="shared" si="1864"/>
        <v>GWe/yr.</v>
      </c>
      <c r="F1781" s="1">
        <f>'[1]Electricity and CHPs_CAP'!B$51</f>
        <v>8.3678803772576013E-3</v>
      </c>
      <c r="G1781" s="1">
        <f>'[1]Electricity and CHPs_CAP'!C$51</f>
        <v>1.9211841693825372E-4</v>
      </c>
      <c r="H1781" s="1">
        <f>'[1]Electricity and CHPs_CAP'!D$51</f>
        <v>1.9256313759058105E-4</v>
      </c>
      <c r="I1781" s="1">
        <f>'[1]Electricity and CHPs_CAP'!E$51</f>
        <v>7.5641256551824343E-5</v>
      </c>
      <c r="J1781" s="1">
        <f>'[2]Electricity and CHPs_CAP'!F$51</f>
        <v>8.8572479007782007E-2</v>
      </c>
      <c r="K1781" s="1">
        <f>'[2]Electricity and CHPs_CAP'!G$51</f>
        <v>0.28649556554199435</v>
      </c>
      <c r="L1781" s="1">
        <f>'[2]Electricity and CHPs_CAP'!H$51</f>
        <v>0.22747449610219594</v>
      </c>
      <c r="N1781" s="1"/>
    </row>
    <row r="1782" spans="2:14" x14ac:dyDescent="0.35">
      <c r="B1782" s="5" t="str">
        <f t="shared" si="1872"/>
        <v>SPS1</v>
      </c>
      <c r="C1782" s="5" t="str">
        <f t="shared" si="1872"/>
        <v>CH</v>
      </c>
      <c r="D1782" t="s">
        <v>1812</v>
      </c>
      <c r="E1782" t="str">
        <f t="shared" si="1864"/>
        <v>GWe/yr.</v>
      </c>
      <c r="F1782" s="1">
        <f>'[1]Electricity and CHPs_CAP'!B$52</f>
        <v>0</v>
      </c>
      <c r="G1782" s="1">
        <f>'[1]Electricity and CHPs_CAP'!C$52</f>
        <v>0</v>
      </c>
      <c r="H1782" s="1">
        <f>'[1]Electricity and CHPs_CAP'!D$52</f>
        <v>0</v>
      </c>
      <c r="I1782" s="1">
        <f>'[1]Electricity and CHPs_CAP'!E$52</f>
        <v>2.7153873415405197E-6</v>
      </c>
      <c r="J1782" s="1">
        <f>'[2]Electricity and CHPs_CAP'!F$52</f>
        <v>3.5155817353566416E-4</v>
      </c>
      <c r="K1782" s="1">
        <f>'[2]Electricity and CHPs_CAP'!G$52</f>
        <v>4.9684758090064152E-4</v>
      </c>
      <c r="L1782" s="1">
        <f>'[2]Electricity and CHPs_CAP'!H$52</f>
        <v>0.11748601335056783</v>
      </c>
      <c r="N1782" s="1"/>
    </row>
    <row r="1783" spans="2:14" x14ac:dyDescent="0.35">
      <c r="B1783" s="5" t="str">
        <f t="shared" si="1872"/>
        <v>SPS1</v>
      </c>
      <c r="C1783" s="5" t="str">
        <f t="shared" si="1872"/>
        <v>CH</v>
      </c>
      <c r="D1783" t="s">
        <v>1813</v>
      </c>
      <c r="E1783" t="str">
        <f t="shared" si="1864"/>
        <v>GWe/yr.</v>
      </c>
      <c r="F1783" s="1">
        <f>'[1]Electricity and CHPs_CAP'!B$54</f>
        <v>7.35127E-2</v>
      </c>
      <c r="G1783" s="1">
        <f>'[1]Electricity and CHPs_CAP'!C$54</f>
        <v>8.4744615041142016E-2</v>
      </c>
      <c r="H1783" s="1">
        <f>'[1]Electricity and CHPs_CAP'!D$54</f>
        <v>8.4744519225760401E-2</v>
      </c>
      <c r="I1783" s="1">
        <f>'[1]Electricity and CHPs_CAP'!E$54</f>
        <v>8.4744682181003228E-2</v>
      </c>
      <c r="J1783" s="1">
        <f>'[2]Electricity and CHPs_CAP'!F$54</f>
        <v>8.4746291398379858E-2</v>
      </c>
      <c r="K1783" s="1">
        <f>'[2]Electricity and CHPs_CAP'!G$54</f>
        <v>8.4746064472087532E-2</v>
      </c>
      <c r="L1783" s="1">
        <f>'[2]Electricity and CHPs_CAP'!H$54</f>
        <v>8.4745959715165534E-2</v>
      </c>
      <c r="N1783" s="1"/>
    </row>
    <row r="1784" spans="2:14" x14ac:dyDescent="0.35">
      <c r="B1784" s="5" t="str">
        <f t="shared" si="1872"/>
        <v>SPS1</v>
      </c>
      <c r="C1784" s="5" t="str">
        <f t="shared" si="1872"/>
        <v>CH</v>
      </c>
      <c r="D1784" t="s">
        <v>1814</v>
      </c>
      <c r="E1784" t="str">
        <f t="shared" si="1864"/>
        <v>GWe/yr.</v>
      </c>
      <c r="F1784" s="1">
        <f>'[1]Electricity and CHPs_CAP'!B$55</f>
        <v>6.5199883456219868E-2</v>
      </c>
      <c r="G1784" s="1">
        <f>'[1]Electricity and CHPs_CAP'!C$55</f>
        <v>4.7876845561993231E-2</v>
      </c>
      <c r="H1784" s="1">
        <f>'[1]Electricity and CHPs_CAP'!D$55</f>
        <v>8.9914882571760085E-4</v>
      </c>
      <c r="I1784" s="1">
        <f>'[1]Electricity and CHPs_CAP'!E$55</f>
        <v>7.4967982266395394E-5</v>
      </c>
      <c r="J1784" s="1">
        <f>'[2]Electricity and CHPs_CAP'!F$55</f>
        <v>0.3254268906686355</v>
      </c>
      <c r="K1784" s="1">
        <f>'[2]Electricity and CHPs_CAP'!G$55</f>
        <v>0.31029770144538527</v>
      </c>
      <c r="L1784" s="1">
        <f>'[2]Electricity and CHPs_CAP'!H$55</f>
        <v>9.5249076128983701E-5</v>
      </c>
      <c r="N1784" s="1"/>
    </row>
    <row r="1785" spans="2:14" x14ac:dyDescent="0.35">
      <c r="B1785" s="5" t="str">
        <f t="shared" ref="B1785:C1785" si="1873">B1784</f>
        <v>SPS1</v>
      </c>
      <c r="C1785" s="5" t="str">
        <f t="shared" si="1873"/>
        <v>CH</v>
      </c>
      <c r="D1785" t="s">
        <v>1815</v>
      </c>
      <c r="E1785" t="str">
        <f t="shared" si="1864"/>
        <v>GWe/yr.</v>
      </c>
      <c r="F1785" s="1">
        <f>'[1]Electricity and CHPs_CAP'!B$58</f>
        <v>0</v>
      </c>
      <c r="G1785" s="1">
        <f>'[1]Electricity and CHPs_CAP'!C$58</f>
        <v>0</v>
      </c>
      <c r="H1785" s="1">
        <f>'[1]Electricity and CHPs_CAP'!D$58</f>
        <v>0</v>
      </c>
      <c r="I1785" s="1">
        <f>'[1]Electricity and CHPs_CAP'!E$58</f>
        <v>1.37250391558667E-6</v>
      </c>
      <c r="J1785" s="1">
        <f>'[2]Electricity and CHPs_CAP'!F$58</f>
        <v>1.0460678420613749E-4</v>
      </c>
      <c r="K1785" s="1">
        <f>'[2]Electricity and CHPs_CAP'!G$58</f>
        <v>3.921032850086916E-4</v>
      </c>
      <c r="L1785" s="1">
        <f>'[2]Electricity and CHPs_CAP'!H$58</f>
        <v>0.43651500053114323</v>
      </c>
      <c r="N1785" s="1"/>
    </row>
    <row r="1786" spans="2:14" x14ac:dyDescent="0.35">
      <c r="B1786" s="5" t="str">
        <f>B1785</f>
        <v>SPS1</v>
      </c>
      <c r="C1786" s="5" t="str">
        <f>C1785</f>
        <v>CH</v>
      </c>
      <c r="D1786" t="s">
        <v>1816</v>
      </c>
      <c r="E1786" t="str">
        <f t="shared" si="1864"/>
        <v>GWe/yr.</v>
      </c>
      <c r="F1786" s="1">
        <f>SUM(F1787:F1792)</f>
        <v>0.42309326688362342</v>
      </c>
      <c r="G1786" s="1">
        <f t="shared" ref="G1786:K1786" si="1874">SUM(G1787:G1792)</f>
        <v>0.38622746025743976</v>
      </c>
      <c r="H1786" s="1">
        <f t="shared" si="1874"/>
        <v>0.37643143841805016</v>
      </c>
      <c r="I1786" s="1">
        <f t="shared" si="1874"/>
        <v>0.34655992305931066</v>
      </c>
      <c r="J1786" s="1">
        <f t="shared" si="1874"/>
        <v>0.34962139441614204</v>
      </c>
      <c r="K1786" s="1">
        <f t="shared" si="1874"/>
        <v>0.3714825521617211</v>
      </c>
      <c r="L1786" s="1">
        <f t="shared" ref="L1786" si="1875">SUM(L1787:L1792)</f>
        <v>0.3877677138891229</v>
      </c>
      <c r="N1786" s="1"/>
    </row>
    <row r="1787" spans="2:14" x14ac:dyDescent="0.35">
      <c r="B1787" s="5" t="str">
        <f t="shared" ref="B1787:C1792" si="1876">B1786</f>
        <v>SPS1</v>
      </c>
      <c r="C1787" s="5" t="str">
        <f t="shared" si="1876"/>
        <v>CH</v>
      </c>
      <c r="D1787" t="s">
        <v>1817</v>
      </c>
      <c r="E1787" t="str">
        <f t="shared" si="1864"/>
        <v>GWe/yr.</v>
      </c>
      <c r="F1787" s="1">
        <f>'[1]Electricity and CHPs_CAP'!B$19</f>
        <v>0.30586268122458643</v>
      </c>
      <c r="G1787" s="1">
        <f>'[1]Electricity and CHPs_CAP'!C$19</f>
        <v>0.30586220918301166</v>
      </c>
      <c r="H1787" s="1">
        <f>'[1]Electricity and CHPs_CAP'!D$19</f>
        <v>0.30586216537556749</v>
      </c>
      <c r="I1787" s="1">
        <f>'[1]Electricity and CHPs_CAP'!E$19</f>
        <v>0.2759923019498291</v>
      </c>
      <c r="J1787" s="1">
        <f>'[2]Electricity and CHPs_CAP'!F$19</f>
        <v>0.27948889792910581</v>
      </c>
      <c r="K1787" s="1">
        <f>'[2]Electricity and CHPs_CAP'!G$19</f>
        <v>0.30119714764510269</v>
      </c>
      <c r="L1787" s="1">
        <f>'[2]Electricity and CHPs_CAP'!H$19</f>
        <v>0.31738080012497877</v>
      </c>
      <c r="N1787" s="1"/>
    </row>
    <row r="1788" spans="2:14" x14ac:dyDescent="0.35">
      <c r="B1788" s="5" t="str">
        <f t="shared" si="1876"/>
        <v>SPS1</v>
      </c>
      <c r="C1788" s="5" t="str">
        <f t="shared" si="1876"/>
        <v>CH</v>
      </c>
      <c r="D1788" t="s">
        <v>1818</v>
      </c>
      <c r="E1788" t="str">
        <f t="shared" si="1864"/>
        <v>GWe/yr.</v>
      </c>
      <c r="F1788" s="1">
        <f>'[1]Electricity and CHPs_CAP'!B$20</f>
        <v>0</v>
      </c>
      <c r="G1788" s="1">
        <f>'[1]Electricity and CHPs_CAP'!C$20</f>
        <v>0</v>
      </c>
      <c r="H1788" s="1">
        <f>'[1]Electricity and CHPs_CAP'!D$20</f>
        <v>0</v>
      </c>
      <c r="I1788" s="1">
        <f>'[1]Electricity and CHPs_CAP'!E$20</f>
        <v>0</v>
      </c>
      <c r="J1788" s="1">
        <f>'[2]Electricity and CHPs_CAP'!F$20</f>
        <v>0</v>
      </c>
      <c r="K1788" s="1">
        <f>'[2]Electricity and CHPs_CAP'!G$20</f>
        <v>0</v>
      </c>
      <c r="L1788" s="1">
        <f>'[2]Electricity and CHPs_CAP'!H$20</f>
        <v>0</v>
      </c>
      <c r="N1788" s="1"/>
    </row>
    <row r="1789" spans="2:14" x14ac:dyDescent="0.35">
      <c r="B1789" s="5" t="str">
        <f t="shared" si="1876"/>
        <v>SPS1</v>
      </c>
      <c r="C1789" s="5" t="str">
        <f t="shared" si="1876"/>
        <v>CH</v>
      </c>
      <c r="D1789" t="s">
        <v>1819</v>
      </c>
      <c r="E1789" t="str">
        <f t="shared" si="1864"/>
        <v>GWe/yr.</v>
      </c>
      <c r="F1789" s="1">
        <f>'[1]Electricity and CHPs_CAP'!B$26</f>
        <v>7.8399999999999997E-2</v>
      </c>
      <c r="G1789" s="1">
        <f>'[1]Electricity and CHPs_CAP'!C$26</f>
        <v>7.1001051873236229E-2</v>
      </c>
      <c r="H1789" s="1">
        <f>'[1]Electricity and CHPs_CAP'!D$26</f>
        <v>7.0489792349326133E-2</v>
      </c>
      <c r="I1789" s="1">
        <f>'[1]Electricity and CHPs_CAP'!E$26</f>
        <v>7.0489665526808631E-2</v>
      </c>
      <c r="J1789" s="1">
        <f>'[2]Electricity and CHPs_CAP'!F$26</f>
        <v>6.9925920550502813E-2</v>
      </c>
      <c r="K1789" s="1">
        <f>'[2]Electricity and CHPs_CAP'!G$26</f>
        <v>7.007912151012681E-2</v>
      </c>
      <c r="L1789" s="1">
        <f>'[2]Electricity and CHPs_CAP'!H$26</f>
        <v>7.0293040596515366E-2</v>
      </c>
      <c r="N1789" s="1"/>
    </row>
    <row r="1790" spans="2:14" x14ac:dyDescent="0.35">
      <c r="B1790" s="5" t="str">
        <f t="shared" si="1876"/>
        <v>SPS1</v>
      </c>
      <c r="C1790" s="5" t="str">
        <f t="shared" si="1876"/>
        <v>CH</v>
      </c>
      <c r="D1790" t="s">
        <v>1820</v>
      </c>
      <c r="E1790" t="str">
        <f t="shared" si="1864"/>
        <v>GWe/yr.</v>
      </c>
      <c r="F1790" s="1">
        <f>'[1]Electricity and CHPs_CAP'!B$27</f>
        <v>0</v>
      </c>
      <c r="G1790" s="1">
        <f>'[1]Electricity and CHPs_CAP'!C$27</f>
        <v>0</v>
      </c>
      <c r="H1790" s="1">
        <f>'[1]Electricity and CHPs_CAP'!D$27</f>
        <v>0</v>
      </c>
      <c r="I1790" s="1">
        <f>'[1]Electricity and CHPs_CAP'!E$27</f>
        <v>0</v>
      </c>
      <c r="J1790" s="1">
        <f>'[2]Electricity and CHPs_CAP'!F$27</f>
        <v>0</v>
      </c>
      <c r="K1790" s="1">
        <f>'[2]Electricity and CHPs_CAP'!G$27</f>
        <v>0</v>
      </c>
      <c r="L1790" s="1">
        <f>'[2]Electricity and CHPs_CAP'!H$27</f>
        <v>0</v>
      </c>
      <c r="N1790" s="1"/>
    </row>
    <row r="1791" spans="2:14" x14ac:dyDescent="0.35">
      <c r="B1791" s="5" t="str">
        <f t="shared" si="1876"/>
        <v>SPS1</v>
      </c>
      <c r="C1791" s="5" t="str">
        <f t="shared" si="1876"/>
        <v>CH</v>
      </c>
      <c r="D1791" t="s">
        <v>1821</v>
      </c>
      <c r="E1791" t="str">
        <f t="shared" si="1864"/>
        <v>GWe/yr.</v>
      </c>
      <c r="F1791" s="1">
        <f>'[1]Electricity and CHPs_CAP'!B$44</f>
        <v>3.8830585659036999E-2</v>
      </c>
      <c r="G1791" s="1">
        <f>'[1]Electricity and CHPs_CAP'!C$44</f>
        <v>9.3641992011918584E-3</v>
      </c>
      <c r="H1791" s="1">
        <f>'[1]Electricity and CHPs_CAP'!D$44</f>
        <v>7.9480693156566695E-5</v>
      </c>
      <c r="I1791" s="1">
        <f>'[1]Electricity and CHPs_CAP'!E$44</f>
        <v>7.7955582672952634E-5</v>
      </c>
      <c r="J1791" s="1">
        <f>'[2]Electricity and CHPs_CAP'!F$44</f>
        <v>2.0657593653340776E-4</v>
      </c>
      <c r="K1791" s="1">
        <f>'[2]Electricity and CHPs_CAP'!G$44</f>
        <v>2.0628300649160047E-4</v>
      </c>
      <c r="L1791" s="1">
        <f>'[2]Electricity and CHPs_CAP'!H$44</f>
        <v>9.3873167628767164E-5</v>
      </c>
      <c r="N1791" s="1"/>
    </row>
    <row r="1792" spans="2:14" x14ac:dyDescent="0.35">
      <c r="B1792" s="5" t="str">
        <f t="shared" si="1876"/>
        <v>SPS1</v>
      </c>
      <c r="C1792" s="5" t="str">
        <f t="shared" si="1876"/>
        <v>CH</v>
      </c>
      <c r="D1792" t="s">
        <v>1822</v>
      </c>
      <c r="E1792" t="str">
        <f t="shared" si="1864"/>
        <v>GWe/yr.</v>
      </c>
      <c r="F1792" s="1">
        <f>'[1]Electricity and CHPs_CAP'!B$45</f>
        <v>0</v>
      </c>
      <c r="G1792" s="1">
        <f>'[1]Electricity and CHPs_CAP'!C$45</f>
        <v>0</v>
      </c>
      <c r="H1792" s="1">
        <f>'[1]Electricity and CHPs_CAP'!D$45</f>
        <v>0</v>
      </c>
      <c r="I1792" s="1">
        <f>'[1]Electricity and CHPs_CAP'!E$45</f>
        <v>0</v>
      </c>
      <c r="J1792" s="1">
        <f>'[2]Electricity and CHPs_CAP'!F$45</f>
        <v>0</v>
      </c>
      <c r="K1792" s="1">
        <f>'[2]Electricity and CHPs_CAP'!G$45</f>
        <v>0</v>
      </c>
      <c r="L1792" s="1">
        <f>'[2]Electricity and CHPs_CAP'!H$45</f>
        <v>0</v>
      </c>
      <c r="N1792" s="1"/>
    </row>
    <row r="1793" spans="2:14" x14ac:dyDescent="0.35">
      <c r="B1793" s="5" t="str">
        <f>B1792</f>
        <v>SPS1</v>
      </c>
      <c r="C1793" s="5" t="str">
        <f>C1792</f>
        <v>CH</v>
      </c>
      <c r="D1793" t="s">
        <v>1823</v>
      </c>
      <c r="E1793" t="str">
        <f t="shared" si="1864"/>
        <v>GWe/yr.</v>
      </c>
      <c r="F1793" s="1">
        <f>SUM(F1794:F1800)</f>
        <v>1.9752903996247281E-2</v>
      </c>
      <c r="G1793" s="1">
        <f t="shared" ref="G1793:K1793" si="1877">SUM(G1794:G1800)</f>
        <v>1.9702296059638889E-2</v>
      </c>
      <c r="H1793" s="1">
        <f t="shared" si="1877"/>
        <v>4.9188827640545628E-2</v>
      </c>
      <c r="I1793" s="1">
        <f t="shared" si="1877"/>
        <v>9.9131281184817122E-2</v>
      </c>
      <c r="J1793" s="1">
        <f t="shared" si="1877"/>
        <v>0.12376652396843867</v>
      </c>
      <c r="K1793" s="1">
        <f t="shared" si="1877"/>
        <v>0.17482414778411709</v>
      </c>
      <c r="L1793" s="1">
        <f t="shared" ref="L1793" si="1878">SUM(L1794:L1800)</f>
        <v>0.2261100095077577</v>
      </c>
      <c r="N1793" s="1"/>
    </row>
    <row r="1794" spans="2:14" x14ac:dyDescent="0.35">
      <c r="B1794" s="5" t="str">
        <f t="shared" ref="B1794:C1804" si="1879">B1793</f>
        <v>SPS1</v>
      </c>
      <c r="C1794" s="5" t="str">
        <f t="shared" si="1879"/>
        <v>CH</v>
      </c>
      <c r="D1794" t="s">
        <v>1824</v>
      </c>
      <c r="E1794" t="str">
        <f t="shared" si="1864"/>
        <v>GWe/yr.</v>
      </c>
      <c r="F1794" s="1">
        <f>'[1]Electricity and CHPs_CAP'!B$25</f>
        <v>1.3313684453287199E-2</v>
      </c>
      <c r="G1794" s="1">
        <f>'[1]Electricity and CHPs_CAP'!C$25</f>
        <v>2.7511037404386804E-3</v>
      </c>
      <c r="H1794" s="1">
        <f>'[1]Electricity and CHPs_CAP'!D$25</f>
        <v>2.7438266746095188E-3</v>
      </c>
      <c r="I1794" s="1">
        <f>'[1]Electricity and CHPs_CAP'!E$25</f>
        <v>3.9814622617166791E-2</v>
      </c>
      <c r="J1794" s="1">
        <f>'[2]Electricity and CHPs_CAP'!F$25</f>
        <v>4.0507044733139541E-2</v>
      </c>
      <c r="K1794" s="1">
        <f>'[2]Electricity and CHPs_CAP'!G$25</f>
        <v>3.9396837443818708E-2</v>
      </c>
      <c r="L1794" s="1">
        <f>'[2]Electricity and CHPs_CAP'!H$25</f>
        <v>8.1001039762578372E-2</v>
      </c>
      <c r="N1794" s="1"/>
    </row>
    <row r="1795" spans="2:14" x14ac:dyDescent="0.35">
      <c r="B1795" s="5" t="str">
        <f t="shared" si="1879"/>
        <v>SPS1</v>
      </c>
      <c r="C1795" s="5" t="str">
        <f t="shared" si="1879"/>
        <v>CH</v>
      </c>
      <c r="D1795" t="s">
        <v>1825</v>
      </c>
      <c r="E1795" t="str">
        <f t="shared" si="1864"/>
        <v>GWe/yr.</v>
      </c>
      <c r="F1795" s="1">
        <f>'[1]Electricity and CHPs_CAP'!B$31</f>
        <v>0</v>
      </c>
      <c r="G1795" s="1">
        <f>'[1]Electricity and CHPs_CAP'!C$31</f>
        <v>0</v>
      </c>
      <c r="H1795" s="1">
        <f>'[1]Electricity and CHPs_CAP'!D$31</f>
        <v>0</v>
      </c>
      <c r="I1795" s="1">
        <f>'[1]Electricity and CHPs_CAP'!E$31</f>
        <v>0</v>
      </c>
      <c r="J1795" s="1">
        <f>'[2]Electricity and CHPs_CAP'!F$31</f>
        <v>0</v>
      </c>
      <c r="K1795" s="1">
        <f>'[2]Electricity and CHPs_CAP'!G$31</f>
        <v>0</v>
      </c>
      <c r="L1795" s="1">
        <f>'[2]Electricity and CHPs_CAP'!H$31</f>
        <v>0</v>
      </c>
      <c r="N1795" s="1"/>
    </row>
    <row r="1796" spans="2:14" x14ac:dyDescent="0.35">
      <c r="B1796" s="5" t="str">
        <f t="shared" si="1879"/>
        <v>SPS1</v>
      </c>
      <c r="C1796" s="5" t="str">
        <f t="shared" si="1879"/>
        <v>CH</v>
      </c>
      <c r="D1796" t="s">
        <v>1826</v>
      </c>
      <c r="E1796" t="str">
        <f t="shared" si="1864"/>
        <v>GWe/yr.</v>
      </c>
      <c r="F1796" s="1">
        <f>'[1]Electricity and CHPs_CAP'!B$42</f>
        <v>6.4392195429600809E-3</v>
      </c>
      <c r="G1796" s="1">
        <f>'[1]Electricity and CHPs_CAP'!C$42</f>
        <v>1.6951192319200208E-2</v>
      </c>
      <c r="H1796" s="1">
        <f>'[1]Electricity and CHPs_CAP'!D$42</f>
        <v>4.6445000965936109E-2</v>
      </c>
      <c r="I1796" s="1">
        <f>'[1]Electricity and CHPs_CAP'!E$42</f>
        <v>5.9308203443770142E-2</v>
      </c>
      <c r="J1796" s="1">
        <f>'[2]Electricity and CHPs_CAP'!F$42</f>
        <v>8.2861366875301587E-2</v>
      </c>
      <c r="K1796" s="1">
        <f>'[2]Electricity and CHPs_CAP'!G$42</f>
        <v>0.13511213938548572</v>
      </c>
      <c r="L1796" s="1">
        <f>'[2]Electricity and CHPs_CAP'!H$42</f>
        <v>0.14493656293848714</v>
      </c>
      <c r="N1796" s="1"/>
    </row>
    <row r="1797" spans="2:14" x14ac:dyDescent="0.35">
      <c r="B1797" s="5" t="str">
        <f t="shared" si="1879"/>
        <v>SPS1</v>
      </c>
      <c r="C1797" s="5" t="str">
        <f t="shared" si="1879"/>
        <v>CH</v>
      </c>
      <c r="D1797" t="s">
        <v>1827</v>
      </c>
      <c r="E1797" t="str">
        <f t="shared" si="1864"/>
        <v>GWe/yr.</v>
      </c>
      <c r="F1797" s="1">
        <f>'[1]Electricity and CHPs_CAP'!B$43</f>
        <v>0</v>
      </c>
      <c r="G1797" s="1">
        <f>'[1]Electricity and CHPs_CAP'!C$43</f>
        <v>0</v>
      </c>
      <c r="H1797" s="1">
        <f>'[1]Electricity and CHPs_CAP'!D$43</f>
        <v>0</v>
      </c>
      <c r="I1797" s="1">
        <f>'[1]Electricity and CHPs_CAP'!E$43</f>
        <v>0</v>
      </c>
      <c r="J1797" s="1">
        <f>'[2]Electricity and CHPs_CAP'!F$43</f>
        <v>0</v>
      </c>
      <c r="K1797" s="1">
        <f>'[2]Electricity and CHPs_CAP'!G$43</f>
        <v>0</v>
      </c>
      <c r="L1797" s="1">
        <f>'[2]Electricity and CHPs_CAP'!H$43</f>
        <v>0</v>
      </c>
      <c r="N1797" s="1"/>
    </row>
    <row r="1798" spans="2:14" x14ac:dyDescent="0.35">
      <c r="B1798" s="5" t="str">
        <f t="shared" si="1879"/>
        <v>SPS1</v>
      </c>
      <c r="C1798" s="5" t="str">
        <f t="shared" si="1879"/>
        <v>CH</v>
      </c>
      <c r="D1798" t="s">
        <v>1828</v>
      </c>
      <c r="E1798" t="str">
        <f t="shared" si="1864"/>
        <v>GWe/yr.</v>
      </c>
      <c r="F1798" s="1">
        <f>'[1]Electricity and CHPs_CAP'!B$50</f>
        <v>0</v>
      </c>
      <c r="G1798" s="1">
        <f>'[1]Electricity and CHPs_CAP'!C$50</f>
        <v>0</v>
      </c>
      <c r="H1798" s="1">
        <f>'[1]Electricity and CHPs_CAP'!D$50</f>
        <v>0</v>
      </c>
      <c r="I1798" s="1">
        <f>'[1]Electricity and CHPs_CAP'!E$50</f>
        <v>1.796585766999992E-6</v>
      </c>
      <c r="J1798" s="1">
        <f>'[2]Electricity and CHPs_CAP'!F$50</f>
        <v>1.0657844492822912E-4</v>
      </c>
      <c r="K1798" s="1">
        <f>'[2]Electricity and CHPs_CAP'!G$50</f>
        <v>8.5115325199472508E-5</v>
      </c>
      <c r="L1798" s="1">
        <f>'[2]Electricity and CHPs_CAP'!H$50</f>
        <v>5.141010754941219E-5</v>
      </c>
      <c r="N1798" s="1"/>
    </row>
    <row r="1799" spans="2:14" x14ac:dyDescent="0.35">
      <c r="B1799" s="5" t="str">
        <f t="shared" si="1879"/>
        <v>SPS1</v>
      </c>
      <c r="C1799" s="5" t="str">
        <f t="shared" si="1879"/>
        <v>CH</v>
      </c>
      <c r="D1799" t="s">
        <v>1829</v>
      </c>
      <c r="E1799" t="str">
        <f t="shared" si="1864"/>
        <v>GWe/yr.</v>
      </c>
      <c r="F1799" s="1">
        <f>'[1]Electricity and CHPs_CAP'!B$53</f>
        <v>0</v>
      </c>
      <c r="G1799" s="1">
        <f>'[1]Electricity and CHPs_CAP'!C$53</f>
        <v>0</v>
      </c>
      <c r="H1799" s="1">
        <f>'[1]Electricity and CHPs_CAP'!D$53</f>
        <v>0</v>
      </c>
      <c r="I1799" s="1">
        <f>'[1]Electricity and CHPs_CAP'!E$53</f>
        <v>3.22523526235424E-6</v>
      </c>
      <c r="J1799" s="1">
        <f>'[2]Electricity and CHPs_CAP'!F$53</f>
        <v>1.7343993298680555E-4</v>
      </c>
      <c r="K1799" s="1">
        <f>'[2]Electricity and CHPs_CAP'!G$53</f>
        <v>1.3649224846564605E-4</v>
      </c>
      <c r="L1799" s="1">
        <f>'[2]Electricity and CHPs_CAP'!H$53</f>
        <v>8.0037153587140028E-5</v>
      </c>
      <c r="N1799" s="1"/>
    </row>
    <row r="1800" spans="2:14" x14ac:dyDescent="0.35">
      <c r="B1800" s="5" t="str">
        <f t="shared" si="1879"/>
        <v>SPS1</v>
      </c>
      <c r="C1800" s="5" t="str">
        <f t="shared" si="1879"/>
        <v>CH</v>
      </c>
      <c r="D1800" t="s">
        <v>1830</v>
      </c>
      <c r="E1800" t="str">
        <f t="shared" si="1864"/>
        <v>GWe/yr.</v>
      </c>
      <c r="F1800" s="1">
        <f>'[1]Electricity and CHPs_CAP'!B$56</f>
        <v>0</v>
      </c>
      <c r="G1800" s="1">
        <f>'[1]Electricity and CHPs_CAP'!C$56</f>
        <v>0</v>
      </c>
      <c r="H1800" s="1">
        <f>'[1]Electricity and CHPs_CAP'!D$56</f>
        <v>0</v>
      </c>
      <c r="I1800" s="1">
        <f>'[1]Electricity and CHPs_CAP'!E$56</f>
        <v>3.4333028508195999E-6</v>
      </c>
      <c r="J1800" s="1">
        <f>'[2]Electricity and CHPs_CAP'!F$56</f>
        <v>1.1809398208249277E-4</v>
      </c>
      <c r="K1800" s="1">
        <f>'[2]Electricity and CHPs_CAP'!G$56</f>
        <v>9.3563381147523752E-5</v>
      </c>
      <c r="L1800" s="1">
        <f>'[2]Electricity and CHPs_CAP'!H$56</f>
        <v>4.0959545555640179E-5</v>
      </c>
      <c r="N1800" s="1"/>
    </row>
    <row r="1801" spans="2:14" x14ac:dyDescent="0.35">
      <c r="B1801" s="5" t="str">
        <f t="shared" si="1879"/>
        <v>SPS1</v>
      </c>
      <c r="C1801" s="5" t="str">
        <f t="shared" si="1879"/>
        <v>CH</v>
      </c>
      <c r="D1801" t="s">
        <v>1831</v>
      </c>
      <c r="E1801" t="str">
        <f t="shared" si="1864"/>
        <v>GWe/yr.</v>
      </c>
      <c r="F1801" s="1">
        <f>F1802</f>
        <v>8.7120000000000003E-2</v>
      </c>
      <c r="G1801" s="1">
        <f t="shared" ref="G1801:L1801" si="1880">G1802</f>
        <v>9.0660015290532983E-2</v>
      </c>
      <c r="H1801" s="1">
        <f t="shared" si="1880"/>
        <v>8.3655932784461984E-2</v>
      </c>
      <c r="I1801" s="1">
        <f t="shared" si="1880"/>
        <v>0.34087568043792532</v>
      </c>
      <c r="J1801" s="1">
        <f t="shared" si="1880"/>
        <v>0.1559857808552238</v>
      </c>
      <c r="K1801" s="1">
        <f t="shared" si="1880"/>
        <v>0.15598888324575169</v>
      </c>
      <c r="L1801" s="1">
        <f t="shared" si="1880"/>
        <v>0.15605128494753101</v>
      </c>
      <c r="N1801" s="1"/>
    </row>
    <row r="1802" spans="2:14" x14ac:dyDescent="0.35">
      <c r="B1802" s="5" t="str">
        <f t="shared" si="1879"/>
        <v>SPS1</v>
      </c>
      <c r="C1802" s="5" t="str">
        <f t="shared" si="1879"/>
        <v>CH</v>
      </c>
      <c r="D1802" t="s">
        <v>1832</v>
      </c>
      <c r="E1802" t="str">
        <f t="shared" si="1864"/>
        <v>GWe/yr.</v>
      </c>
      <c r="F1802" s="1">
        <f>'[1]Electricity and CHPs_CAP'!B$33</f>
        <v>8.7120000000000003E-2</v>
      </c>
      <c r="G1802" s="1">
        <f>'[1]Electricity and CHPs_CAP'!C$33</f>
        <v>9.0660015290532983E-2</v>
      </c>
      <c r="H1802" s="1">
        <f>'[1]Electricity and CHPs_CAP'!D$33</f>
        <v>8.3655932784461984E-2</v>
      </c>
      <c r="I1802" s="1">
        <f>'[1]Electricity and CHPs_CAP'!E$33</f>
        <v>0.34087568043792532</v>
      </c>
      <c r="J1802" s="1">
        <f>'[2]Electricity and CHPs_CAP'!F$33</f>
        <v>0.1559857808552238</v>
      </c>
      <c r="K1802" s="1">
        <f>'[2]Electricity and CHPs_CAP'!G$33</f>
        <v>0.15598888324575169</v>
      </c>
      <c r="L1802" s="1">
        <f>'[2]Electricity and CHPs_CAP'!H$33</f>
        <v>0.15605128494753101</v>
      </c>
      <c r="N1802" s="1"/>
    </row>
    <row r="1803" spans="2:14" x14ac:dyDescent="0.35">
      <c r="B1803" s="5" t="str">
        <f t="shared" si="1879"/>
        <v>SPS1</v>
      </c>
      <c r="C1803" s="5" t="str">
        <f t="shared" si="1879"/>
        <v>CH</v>
      </c>
      <c r="D1803" t="s">
        <v>1833</v>
      </c>
      <c r="E1803" t="str">
        <f t="shared" si="1864"/>
        <v>GWe/yr.</v>
      </c>
      <c r="F1803" s="1">
        <f>SUM(F1804:F1808)</f>
        <v>2.9746549999999998</v>
      </c>
      <c r="G1803" s="1">
        <f t="shared" ref="G1803:K1803" si="1881">SUM(G1804:G1808)</f>
        <v>4.370882180780697</v>
      </c>
      <c r="H1803" s="1">
        <f t="shared" si="1881"/>
        <v>9.1889298911532347</v>
      </c>
      <c r="I1803" s="1">
        <f t="shared" si="1881"/>
        <v>11.185700602676127</v>
      </c>
      <c r="J1803" s="1">
        <f t="shared" si="1881"/>
        <v>11.67863557848553</v>
      </c>
      <c r="K1803" s="1">
        <f t="shared" si="1881"/>
        <v>14.425382826482505</v>
      </c>
      <c r="L1803" s="1">
        <f t="shared" ref="L1803" si="1882">SUM(L1804:L1808)</f>
        <v>18.041492741010181</v>
      </c>
      <c r="N1803" s="1"/>
    </row>
    <row r="1804" spans="2:14" x14ac:dyDescent="0.35">
      <c r="B1804" s="5" t="str">
        <f t="shared" si="1879"/>
        <v>SPS1</v>
      </c>
      <c r="C1804" s="5" t="str">
        <f t="shared" si="1879"/>
        <v>CH</v>
      </c>
      <c r="D1804" t="s">
        <v>1834</v>
      </c>
      <c r="E1804" t="str">
        <f t="shared" si="1864"/>
        <v>GWe/yr.</v>
      </c>
      <c r="F1804" s="1">
        <f>'[1]Electricity and CHPs_CAP'!B$34</f>
        <v>0</v>
      </c>
      <c r="G1804" s="1">
        <f>'[1]Electricity and CHPs_CAP'!C$34</f>
        <v>0</v>
      </c>
      <c r="H1804" s="1">
        <f>'[1]Electricity and CHPs_CAP'!D$34</f>
        <v>4.49256426329794E-2</v>
      </c>
      <c r="I1804" s="1">
        <f>'[1]Electricity and CHPs_CAP'!E$34</f>
        <v>0.12137559051701421</v>
      </c>
      <c r="J1804" s="1">
        <f>'[2]Electricity and CHPs_CAP'!F$34</f>
        <v>0.14891866861151656</v>
      </c>
      <c r="K1804" s="1">
        <f>'[2]Electricity and CHPs_CAP'!G$34</f>
        <v>0.48575231061135499</v>
      </c>
      <c r="L1804" s="1">
        <f>'[2]Electricity and CHPs_CAP'!H$34</f>
        <v>2.6123298727202813</v>
      </c>
      <c r="N1804" s="1"/>
    </row>
    <row r="1805" spans="2:14" x14ac:dyDescent="0.35">
      <c r="B1805" s="5" t="str">
        <f t="shared" ref="B1805:C1820" si="1883">B1804</f>
        <v>SPS1</v>
      </c>
      <c r="C1805" s="5" t="str">
        <f t="shared" si="1883"/>
        <v>CH</v>
      </c>
      <c r="D1805" t="s">
        <v>1835</v>
      </c>
      <c r="E1805" t="str">
        <f t="shared" si="1864"/>
        <v>GWe/yr.</v>
      </c>
      <c r="F1805" s="1">
        <f>'[1]Electricity and CHPs_CAP'!B$35</f>
        <v>1.1186210000000001</v>
      </c>
      <c r="G1805" s="1">
        <f>'[1]Electricity and CHPs_CAP'!C$35</f>
        <v>1.6529270324457845</v>
      </c>
      <c r="H1805" s="1">
        <f>'[1]Electricity and CHPs_CAP'!D$35</f>
        <v>3.5611858876934601</v>
      </c>
      <c r="I1805" s="1">
        <f>'[1]Electricity and CHPs_CAP'!E$35</f>
        <v>5.6146830368830303</v>
      </c>
      <c r="J1805" s="1">
        <f>'[2]Electricity and CHPs_CAP'!F$35</f>
        <v>5.78899934767459</v>
      </c>
      <c r="K1805" s="1">
        <f>'[2]Electricity and CHPs_CAP'!G$35</f>
        <v>7.8921889700274868</v>
      </c>
      <c r="L1805" s="1">
        <f>'[2]Electricity and CHPs_CAP'!H$35</f>
        <v>8.7178870981897294</v>
      </c>
      <c r="N1805" s="1"/>
    </row>
    <row r="1806" spans="2:14" x14ac:dyDescent="0.35">
      <c r="B1806" s="5" t="str">
        <f t="shared" si="1883"/>
        <v>SPS1</v>
      </c>
      <c r="C1806" s="5" t="str">
        <f t="shared" si="1883"/>
        <v>CH</v>
      </c>
      <c r="D1806" t="s">
        <v>1836</v>
      </c>
      <c r="E1806" t="str">
        <f t="shared" si="1864"/>
        <v>GWe/yr.</v>
      </c>
      <c r="F1806" s="1">
        <f>'[1]Electricity and CHPs_CAP'!B$36</f>
        <v>0.67885700000000004</v>
      </c>
      <c r="G1806" s="1">
        <f>'[1]Electricity and CHPs_CAP'!C$36</f>
        <v>1.1559039665013733</v>
      </c>
      <c r="H1806" s="1">
        <f>'[1]Electricity and CHPs_CAP'!D$36</f>
        <v>1.2893124122744692</v>
      </c>
      <c r="I1806" s="1">
        <f>'[1]Electricity and CHPs_CAP'!E$36</f>
        <v>1.2524298029135548</v>
      </c>
      <c r="J1806" s="1">
        <f>'[2]Electricity and CHPs_CAP'!F$36</f>
        <v>1.3296508134623037</v>
      </c>
      <c r="K1806" s="1">
        <f>'[2]Electricity and CHPs_CAP'!G$36</f>
        <v>1.4113640264807608</v>
      </c>
      <c r="L1806" s="1">
        <f>'[2]Electricity and CHPs_CAP'!H$36</f>
        <v>1.5901627369442564</v>
      </c>
      <c r="N1806" s="1"/>
    </row>
    <row r="1807" spans="2:14" x14ac:dyDescent="0.35">
      <c r="B1807" s="5" t="str">
        <f t="shared" si="1883"/>
        <v>SPS1</v>
      </c>
      <c r="C1807" s="5" t="str">
        <f t="shared" si="1883"/>
        <v>CH</v>
      </c>
      <c r="D1807" t="s">
        <v>1837</v>
      </c>
      <c r="E1807" t="str">
        <f t="shared" si="1864"/>
        <v>GWe/yr.</v>
      </c>
      <c r="F1807" s="1">
        <f>'[1]Electricity and CHPs_CAP'!B$37</f>
        <v>0.27424799999999999</v>
      </c>
      <c r="G1807" s="1">
        <f>'[1]Electricity and CHPs_CAP'!C$37</f>
        <v>0.43894990355640812</v>
      </c>
      <c r="H1807" s="1">
        <f>'[1]Electricity and CHPs_CAP'!D$37</f>
        <v>1.1135606130346667</v>
      </c>
      <c r="I1807" s="1">
        <f>'[1]Electricity and CHPs_CAP'!E$37</f>
        <v>1.1018360969315868</v>
      </c>
      <c r="J1807" s="1">
        <f>'[2]Electricity and CHPs_CAP'!F$37</f>
        <v>1.1577947929010191</v>
      </c>
      <c r="K1807" s="1">
        <f>'[2]Electricity and CHPs_CAP'!G$37</f>
        <v>1.2168548639843331</v>
      </c>
      <c r="L1807" s="1">
        <f>'[2]Electricity and CHPs_CAP'!H$37</f>
        <v>1.344163977260864</v>
      </c>
      <c r="N1807" s="1"/>
    </row>
    <row r="1808" spans="2:14" x14ac:dyDescent="0.35">
      <c r="B1808" s="5" t="str">
        <f t="shared" si="1883"/>
        <v>SPS1</v>
      </c>
      <c r="C1808" s="5" t="str">
        <f t="shared" si="1883"/>
        <v>CH</v>
      </c>
      <c r="D1808" t="s">
        <v>1838</v>
      </c>
      <c r="E1808" t="str">
        <f t="shared" si="1864"/>
        <v>GWe/yr.</v>
      </c>
      <c r="F1808" s="1">
        <f>'[1]Electricity and CHPs_CAP'!B$38</f>
        <v>0.90292899999999998</v>
      </c>
      <c r="G1808" s="1">
        <f>'[1]Electricity and CHPs_CAP'!C$38</f>
        <v>1.1231012782771315</v>
      </c>
      <c r="H1808" s="1">
        <f>'[1]Electricity and CHPs_CAP'!D$38</f>
        <v>3.1799453355176599</v>
      </c>
      <c r="I1808" s="1">
        <f>'[1]Electricity and CHPs_CAP'!E$38</f>
        <v>3.0953760754309401</v>
      </c>
      <c r="J1808" s="1">
        <f>'[2]Electricity and CHPs_CAP'!F$38</f>
        <v>3.253271955836099</v>
      </c>
      <c r="K1808" s="1">
        <f>'[2]Electricity and CHPs_CAP'!G$38</f>
        <v>3.4192226553785692</v>
      </c>
      <c r="L1808" s="1">
        <f>'[2]Electricity and CHPs_CAP'!H$38</f>
        <v>3.77694905589505</v>
      </c>
      <c r="N1808" s="1"/>
    </row>
    <row r="1809" spans="2:14" x14ac:dyDescent="0.35">
      <c r="B1809" s="5" t="str">
        <f>B1812</f>
        <v>SPS1</v>
      </c>
      <c r="C1809" s="5" t="str">
        <f>C1812</f>
        <v>CH</v>
      </c>
      <c r="D1809" t="s">
        <v>1839</v>
      </c>
      <c r="E1809" t="str">
        <f t="shared" si="1864"/>
        <v>GWe/yr.</v>
      </c>
      <c r="F1809" s="1">
        <f>'[1]Electricity and CHPs_CAP'!B$32</f>
        <v>0</v>
      </c>
      <c r="G1809" s="1">
        <f>'[1]Electricity and CHPs_CAP'!C$32</f>
        <v>0</v>
      </c>
      <c r="H1809" s="1">
        <f>'[1]Electricity and CHPs_CAP'!D$32</f>
        <v>0</v>
      </c>
      <c r="I1809" s="1">
        <f>'[1]Electricity and CHPs_CAP'!E$32</f>
        <v>0</v>
      </c>
      <c r="J1809" s="1">
        <f>'[2]Electricity and CHPs_CAP'!F$32</f>
        <v>0</v>
      </c>
      <c r="K1809" s="1">
        <f>'[2]Electricity and CHPs_CAP'!G$32</f>
        <v>9.9211656645204204E-5</v>
      </c>
      <c r="L1809" s="1">
        <f>'[2]Electricity and CHPs_CAP'!H$32</f>
        <v>6.3390888749163192E-4</v>
      </c>
      <c r="N1809" s="1"/>
    </row>
    <row r="1810" spans="2:14" x14ac:dyDescent="0.35">
      <c r="B1810" s="5" t="str">
        <f t="shared" ref="B1810:C1810" si="1884">B1809</f>
        <v>SPS1</v>
      </c>
      <c r="C1810" s="5" t="str">
        <f t="shared" si="1884"/>
        <v>CH</v>
      </c>
      <c r="D1810" t="s">
        <v>1840</v>
      </c>
      <c r="E1810" t="str">
        <f t="shared" si="1864"/>
        <v>GWe/yr.</v>
      </c>
      <c r="F1810" s="1">
        <f>F1809</f>
        <v>0</v>
      </c>
      <c r="G1810" s="1">
        <f t="shared" ref="G1810:K1810" si="1885">G1809</f>
        <v>0</v>
      </c>
      <c r="H1810" s="1">
        <f t="shared" si="1885"/>
        <v>0</v>
      </c>
      <c r="I1810" s="1">
        <f t="shared" si="1885"/>
        <v>0</v>
      </c>
      <c r="J1810" s="1">
        <f t="shared" si="1885"/>
        <v>0</v>
      </c>
      <c r="K1810" s="1">
        <f t="shared" si="1885"/>
        <v>9.9211656645204204E-5</v>
      </c>
      <c r="L1810" s="1">
        <f t="shared" ref="L1810" si="1886">L1809</f>
        <v>6.3390888749163192E-4</v>
      </c>
      <c r="N1810" s="1"/>
    </row>
    <row r="1811" spans="2:14" x14ac:dyDescent="0.35">
      <c r="B1811" s="5" t="str">
        <f>B1808</f>
        <v>SPS1</v>
      </c>
      <c r="C1811" s="5" t="str">
        <f>C1808</f>
        <v>CH</v>
      </c>
      <c r="D1811" t="s">
        <v>1841</v>
      </c>
      <c r="E1811" t="str">
        <f t="shared" si="1864"/>
        <v>GWe/yr.</v>
      </c>
      <c r="F1811" s="1">
        <f t="shared" ref="F1811:K1811" si="1887">SUM(F1812:F1814)</f>
        <v>0</v>
      </c>
      <c r="G1811" s="1">
        <f t="shared" si="1887"/>
        <v>0</v>
      </c>
      <c r="H1811" s="1">
        <f t="shared" si="1887"/>
        <v>0</v>
      </c>
      <c r="I1811" s="1">
        <f t="shared" si="1887"/>
        <v>0</v>
      </c>
      <c r="J1811" s="1">
        <f t="shared" si="1887"/>
        <v>0</v>
      </c>
      <c r="K1811" s="1">
        <f t="shared" si="1887"/>
        <v>0</v>
      </c>
      <c r="L1811" s="1">
        <f t="shared" ref="L1811" si="1888">SUM(L1812:L1814)</f>
        <v>0</v>
      </c>
      <c r="N1811" s="1"/>
    </row>
    <row r="1812" spans="2:14" x14ac:dyDescent="0.35">
      <c r="B1812" s="5" t="str">
        <f t="shared" si="1883"/>
        <v>SPS1</v>
      </c>
      <c r="C1812" s="5" t="str">
        <f t="shared" si="1883"/>
        <v>CH</v>
      </c>
      <c r="D1812" t="s">
        <v>1842</v>
      </c>
      <c r="E1812" t="str">
        <f t="shared" si="1864"/>
        <v>GWe/yr.</v>
      </c>
      <c r="F1812" s="1">
        <f>'[1]Electricity and CHPs_CAP'!B$30</f>
        <v>0</v>
      </c>
      <c r="G1812" s="1">
        <f>'[1]Electricity and CHPs_CAP'!C$30</f>
        <v>0</v>
      </c>
      <c r="H1812" s="1">
        <f>'[1]Electricity and CHPs_CAP'!D$30</f>
        <v>0</v>
      </c>
      <c r="I1812" s="1">
        <f>'[1]Electricity and CHPs_CAP'!E$30</f>
        <v>0</v>
      </c>
      <c r="J1812" s="1">
        <f>'[2]Electricity and CHPs_CAP'!F$30</f>
        <v>0</v>
      </c>
      <c r="K1812" s="1">
        <f>'[2]Electricity and CHPs_CAP'!G$30</f>
        <v>0</v>
      </c>
      <c r="L1812" s="1">
        <f>'[2]Electricity and CHPs_CAP'!H$30</f>
        <v>0</v>
      </c>
      <c r="N1812" s="1"/>
    </row>
    <row r="1813" spans="2:14" x14ac:dyDescent="0.35">
      <c r="B1813" s="5" t="str">
        <f>B1809</f>
        <v>SPS1</v>
      </c>
      <c r="C1813" s="5" t="str">
        <f>C1809</f>
        <v>CH</v>
      </c>
      <c r="D1813" t="s">
        <v>1843</v>
      </c>
      <c r="E1813" t="str">
        <f t="shared" si="1864"/>
        <v>GWe/yr.</v>
      </c>
      <c r="F1813" s="1">
        <f>'[1]Electricity and CHPs_CAP'!B$46</f>
        <v>0</v>
      </c>
      <c r="G1813" s="1">
        <f>'[1]Electricity and CHPs_CAP'!C$46</f>
        <v>0</v>
      </c>
      <c r="H1813" s="1">
        <f>'[1]Electricity and CHPs_CAP'!D$46</f>
        <v>0</v>
      </c>
      <c r="I1813" s="1">
        <f>'[1]Electricity and CHPs_CAP'!E$46</f>
        <v>0</v>
      </c>
      <c r="J1813" s="1">
        <f>'[2]Electricity and CHPs_CAP'!F$46</f>
        <v>0</v>
      </c>
      <c r="K1813" s="1">
        <f>'[2]Electricity and CHPs_CAP'!G$46</f>
        <v>0</v>
      </c>
      <c r="L1813" s="1">
        <f>'[2]Electricity and CHPs_CAP'!H$46</f>
        <v>0</v>
      </c>
      <c r="N1813" s="1"/>
    </row>
    <row r="1814" spans="2:14" x14ac:dyDescent="0.35">
      <c r="B1814" s="5" t="str">
        <f t="shared" si="1883"/>
        <v>SPS1</v>
      </c>
      <c r="C1814" s="5" t="str">
        <f t="shared" si="1883"/>
        <v>CH</v>
      </c>
      <c r="D1814" t="s">
        <v>1844</v>
      </c>
      <c r="E1814" t="str">
        <f t="shared" si="1864"/>
        <v>GWe/yr.</v>
      </c>
      <c r="F1814" s="1">
        <f>'[1]Electricity and CHPs_CAP'!B$57</f>
        <v>0</v>
      </c>
      <c r="G1814" s="1">
        <f>'[1]Electricity and CHPs_CAP'!C$57</f>
        <v>0</v>
      </c>
      <c r="H1814" s="1">
        <f>'[1]Electricity and CHPs_CAP'!D$57</f>
        <v>0</v>
      </c>
      <c r="I1814" s="1">
        <f>'[1]Electricity and CHPs_CAP'!E$57</f>
        <v>0</v>
      </c>
      <c r="J1814" s="1">
        <f>'[2]Electricity and CHPs_CAP'!F$57</f>
        <v>0</v>
      </c>
      <c r="K1814" s="1">
        <f>'[2]Electricity and CHPs_CAP'!G$57</f>
        <v>0</v>
      </c>
      <c r="L1814" s="1">
        <f>'[2]Electricity and CHPs_CAP'!H$57</f>
        <v>0</v>
      </c>
      <c r="N1814" s="1"/>
    </row>
    <row r="1815" spans="2:14" x14ac:dyDescent="0.35">
      <c r="B1815" s="5" t="str">
        <f t="shared" si="1883"/>
        <v>SPS1</v>
      </c>
      <c r="C1815" s="5" t="str">
        <f t="shared" si="1883"/>
        <v>CH</v>
      </c>
      <c r="D1815" t="s">
        <v>1845</v>
      </c>
      <c r="E1815" t="str">
        <f t="shared" si="1864"/>
        <v>GWe/yr.</v>
      </c>
      <c r="F1815" s="1">
        <f>SUM(F1816:F1822)</f>
        <v>0.10134948288831554</v>
      </c>
      <c r="G1815" s="1">
        <f t="shared" ref="G1815:K1815" si="1889">SUM(G1816:G1822)</f>
        <v>0.10134795706783765</v>
      </c>
      <c r="H1815" s="1">
        <f t="shared" si="1889"/>
        <v>0.47008350968280477</v>
      </c>
      <c r="I1815" s="1">
        <f t="shared" si="1889"/>
        <v>0.58704947612697267</v>
      </c>
      <c r="J1815" s="1">
        <f t="shared" si="1889"/>
        <v>0.60234474347576006</v>
      </c>
      <c r="K1815" s="1">
        <f t="shared" si="1889"/>
        <v>0.73259412510366428</v>
      </c>
      <c r="L1815" s="1">
        <f t="shared" ref="L1815" si="1890">SUM(L1816:L1822)</f>
        <v>1.0054300133519483</v>
      </c>
      <c r="N1815" s="1"/>
    </row>
    <row r="1816" spans="2:14" x14ac:dyDescent="0.35">
      <c r="B1816" s="5" t="str">
        <f t="shared" si="1883"/>
        <v>SPS1</v>
      </c>
      <c r="C1816" s="5" t="str">
        <f t="shared" si="1883"/>
        <v>CH</v>
      </c>
      <c r="D1816" t="s">
        <v>1846</v>
      </c>
      <c r="E1816" t="str">
        <f t="shared" si="1864"/>
        <v>GWe/yr.</v>
      </c>
      <c r="F1816" s="1">
        <f>'[1]Electricity and CHPs_CAP'!B$63</f>
        <v>0.1</v>
      </c>
      <c r="G1816" s="1">
        <f>'[1]Electricity and CHPs_CAP'!C$63</f>
        <v>9.9997017632778851E-2</v>
      </c>
      <c r="H1816" s="1">
        <f>'[1]Electricity and CHPs_CAP'!D$63</f>
        <v>9.9996845895696837E-2</v>
      </c>
      <c r="I1816" s="1">
        <f>'[1]Electricity and CHPs_CAP'!E$63</f>
        <v>9.9996756667802403E-2</v>
      </c>
      <c r="J1816" s="1">
        <f>'[2]Electricity and CHPs_CAP'!F$63</f>
        <v>9.99936551134223E-2</v>
      </c>
      <c r="K1816" s="1">
        <f>'[2]Electricity and CHPs_CAP'!G$63</f>
        <v>9.999373214795787E-2</v>
      </c>
      <c r="L1816" s="1">
        <f>'[2]Electricity and CHPs_CAP'!H$63</f>
        <v>9.9994168171060924E-2</v>
      </c>
      <c r="N1816" s="1"/>
    </row>
    <row r="1817" spans="2:14" x14ac:dyDescent="0.35">
      <c r="B1817" s="5" t="str">
        <f t="shared" si="1883"/>
        <v>SPS1</v>
      </c>
      <c r="C1817" s="5" t="str">
        <f t="shared" si="1883"/>
        <v>CH</v>
      </c>
      <c r="D1817" t="s">
        <v>1847</v>
      </c>
      <c r="E1817" t="str">
        <f t="shared" si="1864"/>
        <v>GWe/yr.</v>
      </c>
      <c r="F1817" s="1">
        <f>'[1]Electricity and CHPs_CAP'!B$64</f>
        <v>2.27130938849804E-4</v>
      </c>
      <c r="G1817" s="1">
        <f>'[1]Electricity and CHPs_CAP'!C$64</f>
        <v>2.2730491745640331E-4</v>
      </c>
      <c r="H1817" s="1">
        <f>'[1]Electricity and CHPs_CAP'!D$64</f>
        <v>6.3016306518305443E-3</v>
      </c>
      <c r="I1817" s="1">
        <f>'[1]Electricity and CHPs_CAP'!E$64</f>
        <v>2.649775207111453E-2</v>
      </c>
      <c r="J1817" s="1">
        <f>'[2]Electricity and CHPs_CAP'!F$64</f>
        <v>1.255028324712721E-2</v>
      </c>
      <c r="K1817" s="1">
        <f>'[2]Electricity and CHPs_CAP'!G$64</f>
        <v>1.2941784366937365E-2</v>
      </c>
      <c r="L1817" s="1">
        <f>'[2]Electricity and CHPs_CAP'!H$64</f>
        <v>7.5968731601896447E-2</v>
      </c>
      <c r="N1817" s="1"/>
    </row>
    <row r="1818" spans="2:14" x14ac:dyDescent="0.35">
      <c r="B1818" s="5" t="str">
        <f t="shared" si="1883"/>
        <v>SPS1</v>
      </c>
      <c r="C1818" s="5" t="str">
        <f t="shared" si="1883"/>
        <v>CH</v>
      </c>
      <c r="D1818" t="s">
        <v>1848</v>
      </c>
      <c r="E1818" t="str">
        <f t="shared" si="1864"/>
        <v>GWe/yr.</v>
      </c>
      <c r="F1818" s="1">
        <f>'[1]Electricity and CHPs_CAP'!B$65</f>
        <v>1.6545657109003699E-4</v>
      </c>
      <c r="G1818" s="1">
        <f>'[1]Electricity and CHPs_CAP'!C$65</f>
        <v>1.6558970330380008E-4</v>
      </c>
      <c r="H1818" s="1">
        <f>'[1]Electricity and CHPs_CAP'!D$65</f>
        <v>3.8837261403423477E-3</v>
      </c>
      <c r="I1818" s="1">
        <f>'[1]Electricity and CHPs_CAP'!E$65</f>
        <v>1.4393967474372917E-2</v>
      </c>
      <c r="J1818" s="1">
        <f>'[2]Electricity and CHPs_CAP'!F$65</f>
        <v>9.8590022106829229E-3</v>
      </c>
      <c r="K1818" s="1">
        <f>'[2]Electricity and CHPs_CAP'!G$65</f>
        <v>2.1281458099267334E-2</v>
      </c>
      <c r="L1818" s="1">
        <f>'[2]Electricity and CHPs_CAP'!H$65</f>
        <v>0.10092339683630155</v>
      </c>
      <c r="N1818" s="1"/>
    </row>
    <row r="1819" spans="2:14" x14ac:dyDescent="0.35">
      <c r="B1819" s="5" t="str">
        <f t="shared" si="1883"/>
        <v>SPS1</v>
      </c>
      <c r="C1819" s="5" t="str">
        <f t="shared" si="1883"/>
        <v>CH</v>
      </c>
      <c r="D1819" t="s">
        <v>1849</v>
      </c>
      <c r="E1819" t="str">
        <f t="shared" si="1864"/>
        <v>GWe/yr.</v>
      </c>
      <c r="F1819" s="1">
        <f>'[1]Electricity and CHPs_CAP'!B$66</f>
        <v>1.6085671997848882E-4</v>
      </c>
      <c r="G1819" s="1">
        <f>'[1]Electricity and CHPs_CAP'!C$66</f>
        <v>1.6105266035990667E-4</v>
      </c>
      <c r="H1819" s="1">
        <f>'[1]Electricity and CHPs_CAP'!D$66</f>
        <v>6.9483698079187403E-2</v>
      </c>
      <c r="I1819" s="1">
        <f>'[1]Electricity and CHPs_CAP'!E$66</f>
        <v>0.15319936296179992</v>
      </c>
      <c r="J1819" s="1">
        <f>'[2]Electricity and CHPs_CAP'!F$66</f>
        <v>0.13914371468186723</v>
      </c>
      <c r="K1819" s="1">
        <f>'[2]Electricity and CHPs_CAP'!G$66</f>
        <v>0.2460580311690013</v>
      </c>
      <c r="L1819" s="1">
        <f>'[2]Electricity and CHPs_CAP'!H$66</f>
        <v>0.2993480954463944</v>
      </c>
      <c r="N1819" s="1"/>
    </row>
    <row r="1820" spans="2:14" x14ac:dyDescent="0.35">
      <c r="B1820" s="5" t="str">
        <f t="shared" si="1883"/>
        <v>SPS1</v>
      </c>
      <c r="C1820" s="5" t="str">
        <f t="shared" si="1883"/>
        <v>CH</v>
      </c>
      <c r="D1820" t="s">
        <v>1855</v>
      </c>
      <c r="E1820" t="str">
        <f t="shared" si="1864"/>
        <v>GWe/yr.</v>
      </c>
      <c r="F1820" s="1">
        <f>'[1]Electricity and CHPs_CAP'!B$67</f>
        <v>3.20276464083962E-4</v>
      </c>
      <c r="G1820" s="1">
        <f>'[1]Electricity and CHPs_CAP'!C$67</f>
        <v>3.2065829125296145E-4</v>
      </c>
      <c r="H1820" s="1">
        <f>'[1]Electricity and CHPs_CAP'!D$67</f>
        <v>0.12808601663663455</v>
      </c>
      <c r="I1820" s="1">
        <f>'[1]Electricity and CHPs_CAP'!E$67</f>
        <v>0.12869411358905883</v>
      </c>
      <c r="J1820" s="1">
        <f>'[2]Electricity and CHPs_CAP'!F$67</f>
        <v>0.15065132683670118</v>
      </c>
      <c r="K1820" s="1">
        <f>'[2]Electricity and CHPs_CAP'!G$67</f>
        <v>0.1545157163167204</v>
      </c>
      <c r="L1820" s="1">
        <f>'[2]Electricity and CHPs_CAP'!H$67</f>
        <v>0.19119895449267196</v>
      </c>
      <c r="N1820" s="1"/>
    </row>
    <row r="1821" spans="2:14" x14ac:dyDescent="0.35">
      <c r="B1821" s="5" t="str">
        <f t="shared" ref="B1821:C1822" si="1891">B1820</f>
        <v>SPS1</v>
      </c>
      <c r="C1821" s="5" t="str">
        <f t="shared" si="1891"/>
        <v>CH</v>
      </c>
      <c r="D1821" t="s">
        <v>1850</v>
      </c>
      <c r="E1821" t="str">
        <f t="shared" si="1864"/>
        <v>GWe/yr.</v>
      </c>
      <c r="F1821" s="1">
        <f>'[1]Electricity and CHPs_CAP'!B$68</f>
        <v>3.1412669526998185E-4</v>
      </c>
      <c r="G1821" s="1">
        <f>'[1]Electricity and CHPs_CAP'!C$68</f>
        <v>3.145023461360484E-4</v>
      </c>
      <c r="H1821" s="1">
        <f>'[1]Electricity and CHPs_CAP'!D$68</f>
        <v>3.8241603831495677E-2</v>
      </c>
      <c r="I1821" s="1">
        <f>'[1]Electricity and CHPs_CAP'!E$68</f>
        <v>3.9359354055821812E-2</v>
      </c>
      <c r="J1821" s="1">
        <f>'[2]Electricity and CHPs_CAP'!F$68</f>
        <v>4.971759961331855E-2</v>
      </c>
      <c r="K1821" s="1">
        <f>'[2]Electricity and CHPs_CAP'!G$68</f>
        <v>5.0911036786948874E-2</v>
      </c>
      <c r="L1821" s="1">
        <f>'[2]Electricity and CHPs_CAP'!H$68</f>
        <v>5.9605902619416631E-2</v>
      </c>
      <c r="N1821" s="1"/>
    </row>
    <row r="1822" spans="2:14" x14ac:dyDescent="0.35">
      <c r="B1822" s="5" t="str">
        <f t="shared" si="1891"/>
        <v>SPS1</v>
      </c>
      <c r="C1822" s="5" t="str">
        <f t="shared" si="1891"/>
        <v>CH</v>
      </c>
      <c r="D1822" t="s">
        <v>1851</v>
      </c>
      <c r="E1822" t="str">
        <f t="shared" si="1864"/>
        <v>GWe/yr.</v>
      </c>
      <c r="F1822" s="1">
        <f>'[1]Electricity and CHPs_CAP'!B$69</f>
        <v>1.6163549904325657E-4</v>
      </c>
      <c r="G1822" s="1">
        <f>'[1]Electricity and CHPs_CAP'!C$69</f>
        <v>1.6183151654969709E-4</v>
      </c>
      <c r="H1822" s="1">
        <f>'[1]Electricity and CHPs_CAP'!D$69</f>
        <v>0.12408998844761741</v>
      </c>
      <c r="I1822" s="1">
        <f>'[1]Electricity and CHPs_CAP'!E$69</f>
        <v>0.12490816930700231</v>
      </c>
      <c r="J1822" s="1">
        <f>'[2]Electricity and CHPs_CAP'!F$69</f>
        <v>0.14042916177264064</v>
      </c>
      <c r="K1822" s="1">
        <f>'[2]Electricity and CHPs_CAP'!G$69</f>
        <v>0.14689236621683124</v>
      </c>
      <c r="L1822" s="1">
        <f>'[2]Electricity and CHPs_CAP'!H$69</f>
        <v>0.17839076418420624</v>
      </c>
      <c r="N1822" s="1"/>
    </row>
    <row r="1823" spans="2:14" x14ac:dyDescent="0.35">
      <c r="B1823" s="5" t="str">
        <f t="shared" ref="B1823:C1823" si="1892">B1822</f>
        <v>SPS1</v>
      </c>
      <c r="C1823" s="5" t="str">
        <f t="shared" si="1892"/>
        <v>CH</v>
      </c>
      <c r="D1823" s="2" t="s">
        <v>1860</v>
      </c>
      <c r="E1823" s="2" t="s">
        <v>1858</v>
      </c>
      <c r="F1823" s="3">
        <f>SUM(F1824,F1843)</f>
        <v>11.163742716543332</v>
      </c>
      <c r="G1823" s="3">
        <f t="shared" ref="G1823:K1823" si="1893">SUM(G1824,G1843)</f>
        <v>11.852754511669877</v>
      </c>
      <c r="H1823" s="3">
        <f t="shared" si="1893"/>
        <v>12.59371690690241</v>
      </c>
      <c r="I1823" s="3">
        <f t="shared" si="1893"/>
        <v>13.538261459340474</v>
      </c>
      <c r="J1823" s="3">
        <f t="shared" si="1893"/>
        <v>9.9373938889575264</v>
      </c>
      <c r="K1823" s="3">
        <f t="shared" si="1893"/>
        <v>9.6073444872563982</v>
      </c>
      <c r="L1823" s="3">
        <f t="shared" ref="L1823" si="1894">SUM(L1824,L1843)</f>
        <v>9.4592145659243432</v>
      </c>
      <c r="N1823" s="1"/>
    </row>
    <row r="1824" spans="2:14" x14ac:dyDescent="0.35">
      <c r="B1824" s="5" t="str">
        <f>B1822</f>
        <v>SPS1</v>
      </c>
      <c r="C1824" s="5" t="str">
        <f>C1822</f>
        <v>CH</v>
      </c>
      <c r="D1824" t="s">
        <v>1898</v>
      </c>
      <c r="E1824" t="str">
        <f>E1823</f>
        <v>GWth/yr.</v>
      </c>
      <c r="F1824" s="1">
        <f>SUM(F1825,F1828,F1830,F1833,F1835,F1837,F1839,F1841)</f>
        <v>9.3027599861687147</v>
      </c>
      <c r="G1824" s="1">
        <f t="shared" ref="G1824:K1824" si="1895">SUM(G1825,G1828,G1830,G1833,G1835,G1837,G1839,G1841)</f>
        <v>9.8556840464946589</v>
      </c>
      <c r="H1824" s="1">
        <f t="shared" si="1895"/>
        <v>10.571649660800645</v>
      </c>
      <c r="I1824" s="1">
        <f t="shared" si="1895"/>
        <v>11.348565303420006</v>
      </c>
      <c r="J1824" s="1">
        <f t="shared" si="1895"/>
        <v>8.2179288353564051</v>
      </c>
      <c r="K1824" s="1">
        <f t="shared" si="1895"/>
        <v>7.7649413614601981</v>
      </c>
      <c r="L1824" s="1">
        <f t="shared" ref="L1824" si="1896">SUM(L1825,L1828,L1830,L1833,L1835,L1837,L1839,L1841)</f>
        <v>7.3530089980300497</v>
      </c>
      <c r="N1824" s="1"/>
    </row>
    <row r="1825" spans="2:14" x14ac:dyDescent="0.35">
      <c r="B1825" s="5" t="str">
        <f>B1823</f>
        <v>SPS1</v>
      </c>
      <c r="C1825" s="5" t="str">
        <f>C1823</f>
        <v>CH</v>
      </c>
      <c r="D1825" t="s">
        <v>1861</v>
      </c>
      <c r="E1825" t="str">
        <f>E1823</f>
        <v>GWth/yr.</v>
      </c>
      <c r="F1825" s="1">
        <f>SUM(F1826:F1827)</f>
        <v>2.1116608570127378</v>
      </c>
      <c r="G1825" s="1">
        <f t="shared" ref="G1825:K1825" si="1897">SUM(G1826:G1827)</f>
        <v>2.3818912637552612</v>
      </c>
      <c r="H1825" s="1">
        <f t="shared" si="1897"/>
        <v>2.6888142934031367</v>
      </c>
      <c r="I1825" s="1">
        <f t="shared" si="1897"/>
        <v>3.0927743188753642</v>
      </c>
      <c r="J1825" s="1">
        <f t="shared" si="1897"/>
        <v>3.3991090158227864</v>
      </c>
      <c r="K1825" s="1">
        <f t="shared" si="1897"/>
        <v>3.6434554531257564</v>
      </c>
      <c r="L1825" s="1">
        <f t="shared" ref="L1825" si="1898">SUM(L1826:L1827)</f>
        <v>4.1501954085515118</v>
      </c>
      <c r="N1825" s="1"/>
    </row>
    <row r="1826" spans="2:14" x14ac:dyDescent="0.35">
      <c r="B1826" s="5" t="str">
        <f t="shared" ref="B1826:C1826" si="1899">B1825</f>
        <v>SPS1</v>
      </c>
      <c r="C1826" s="5" t="str">
        <f t="shared" si="1899"/>
        <v>CH</v>
      </c>
      <c r="D1826" t="s">
        <v>1862</v>
      </c>
      <c r="E1826" t="str">
        <f t="shared" ref="E1826:E1889" si="1900">E1825</f>
        <v>GWth/yr.</v>
      </c>
      <c r="F1826" s="1" cm="1">
        <f t="array" ref="F1826">SUMPRODUCT(([1]OUT_FinalEnergyCons!$B$4:$B$10000="var_cap")*1,(ISNUMBER(SEARCH("RH*-SHELCBR",[1]OUT_FinalEnergyCons!$A$4:$A$10000)))*1,[1]OUT_FinalEnergyCons!D$4:D$10000)</f>
        <v>0.67257066421212164</v>
      </c>
      <c r="G1826" s="1" cm="1">
        <f t="array" ref="G1826">SUMPRODUCT(([1]OUT_FinalEnergyCons!$B$4:$B$10000="var_cap")*1,(ISNUMBER(SEARCH("RH*-SHELCBR",[1]OUT_FinalEnergyCons!$A$4:$A$10000)))*1,[1]OUT_FinalEnergyCons!E$4:E$10000)</f>
        <v>0.71852583861072816</v>
      </c>
      <c r="H1826" s="1" cm="1">
        <f t="array" ref="H1826">SUMPRODUCT(([1]OUT_FinalEnergyCons!$B$4:$B$10000="var_cap")*1,(ISNUMBER(SEARCH("RH*-SHELCBR",[1]OUT_FinalEnergyCons!$A$4:$A$10000)))*1,[1]OUT_FinalEnergyCons!F$4:F$10000)</f>
        <v>0.13496503141723187</v>
      </c>
      <c r="I1826" s="1" cm="1">
        <f t="array" ref="I1826">SUMPRODUCT(([1]OUT_FinalEnergyCons!$B$4:$B$10000="var_cap")*1,(ISNUMBER(SEARCH("RH*-SHELCBR",[1]OUT_FinalEnergyCons!$A$4:$A$10000)))*1,[1]OUT_FinalEnergyCons!G$4:G$10000)</f>
        <v>4.2858218300503903E-2</v>
      </c>
      <c r="J1826" s="1" cm="1">
        <f t="array" ref="J1826">SUMPRODUCT(([2]OUT_FinalEnergyCons!$B$4:$B$10000="var_cap")*1,(ISNUMBER(SEARCH("RH*-SHELCBR",[2]OUT_FinalEnergyCons!$A$4:$A$10000)))*1,[2]OUT_FinalEnergyCons!H$4:H$10000)</f>
        <v>2.4153283346347532E-2</v>
      </c>
      <c r="K1826" s="1" cm="1">
        <f t="array" ref="K1826">SUMPRODUCT(([2]OUT_FinalEnergyCons!$B$4:$B$10000="var_cap")*1,(ISNUMBER(SEARCH("RH*-SHELCBR",[2]OUT_FinalEnergyCons!$A$4:$A$10000)))*1,[2]OUT_FinalEnergyCons!I$4:I$10000)</f>
        <v>9.7181669934616501E-3</v>
      </c>
      <c r="L1826" s="1" cm="1">
        <f t="array" ref="L1826">SUMPRODUCT(([2]OUT_FinalEnergyCons!$B$4:$B$10000="var_cap")*1,(ISNUMBER(SEARCH("RH*-SHELCBR",[2]OUT_FinalEnergyCons!$A$4:$A$10000)))*1,[2]OUT_FinalEnergyCons!J$4:J$10000)</f>
        <v>4.2148480784624971E-3</v>
      </c>
      <c r="N1826" s="1"/>
    </row>
    <row r="1827" spans="2:14" x14ac:dyDescent="0.35">
      <c r="B1827" s="5" t="str">
        <f t="shared" ref="B1827:C1827" si="1901">B1826</f>
        <v>SPS1</v>
      </c>
      <c r="C1827" s="5" t="str">
        <f t="shared" si="1901"/>
        <v>CH</v>
      </c>
      <c r="D1827" t="s">
        <v>1863</v>
      </c>
      <c r="E1827" t="str">
        <f t="shared" si="1900"/>
        <v>GWth/yr.</v>
      </c>
      <c r="F1827" s="1" cm="1">
        <f t="array" ref="F1827">SUMPRODUCT(([1]OUT_FinalEnergyCons!$B$4:$B$10000="var_cap")*1,ISNUMBER(SEARCH("RH*-SHELCHP",[1]OUT_FinalEnergyCons!$A$4:$A$10000))*1,[1]OUT_FinalEnergyCons!D$4:D$10000)</f>
        <v>1.4390901928006161</v>
      </c>
      <c r="G1827" s="1" cm="1">
        <f t="array" ref="G1827">SUMPRODUCT(([1]OUT_FinalEnergyCons!$B$4:$B$10000="var_cap")*1,ISNUMBER(SEARCH("RH*-SHELCHP",[1]OUT_FinalEnergyCons!$A$4:$A$10000))*1,[1]OUT_FinalEnergyCons!E$4:E$10000)</f>
        <v>1.6633654251445331</v>
      </c>
      <c r="H1827" s="1" cm="1">
        <f t="array" ref="H1827">SUMPRODUCT(([1]OUT_FinalEnergyCons!$B$4:$B$10000="var_cap")*1,ISNUMBER(SEARCH("RH*-SHELCHP",[1]OUT_FinalEnergyCons!$A$4:$A$10000))*1,[1]OUT_FinalEnergyCons!F$4:F$10000)</f>
        <v>2.553849261985905</v>
      </c>
      <c r="I1827" s="1" cm="1">
        <f t="array" ref="I1827">SUMPRODUCT(([1]OUT_FinalEnergyCons!$B$4:$B$10000="var_cap")*1,ISNUMBER(SEARCH("RH*-SHELCHP",[1]OUT_FinalEnergyCons!$A$4:$A$10000))*1,[1]OUT_FinalEnergyCons!G$4:G$10000)</f>
        <v>3.0499161005748605</v>
      </c>
      <c r="J1827" s="1" cm="1">
        <f t="array" ref="J1827">SUMPRODUCT(([2]OUT_FinalEnergyCons!$B$4:$B$10000="var_cap")*1,ISNUMBER(SEARCH("RH*-SHELCHP",[2]OUT_FinalEnergyCons!$A$4:$A$10000))*1,[2]OUT_FinalEnergyCons!H$4:H$10000)</f>
        <v>3.374955732476439</v>
      </c>
      <c r="K1827" s="1" cm="1">
        <f t="array" ref="K1827">SUMPRODUCT(([2]OUT_FinalEnergyCons!$B$4:$B$10000="var_cap")*1,ISNUMBER(SEARCH("RH*-SHELCHP",[2]OUT_FinalEnergyCons!$A$4:$A$10000))*1,[2]OUT_FinalEnergyCons!I$4:I$10000)</f>
        <v>3.6337372861322947</v>
      </c>
      <c r="L1827" s="1" cm="1">
        <f t="array" ref="L1827">SUMPRODUCT(([2]OUT_FinalEnergyCons!$B$4:$B$10000="var_cap")*1,ISNUMBER(SEARCH("RH*-SHELCHP",[2]OUT_FinalEnergyCons!$A$4:$A$10000))*1,[2]OUT_FinalEnergyCons!J$4:J$10000)</f>
        <v>4.1459805604730491</v>
      </c>
      <c r="N1827" s="1"/>
    </row>
    <row r="1828" spans="2:14" x14ac:dyDescent="0.35">
      <c r="B1828" s="5" t="str">
        <f t="shared" ref="B1828:C1828" si="1902">B1827</f>
        <v>SPS1</v>
      </c>
      <c r="C1828" s="5" t="str">
        <f t="shared" si="1902"/>
        <v>CH</v>
      </c>
      <c r="D1828" t="s">
        <v>1864</v>
      </c>
      <c r="E1828" t="str">
        <f t="shared" si="1900"/>
        <v>GWth/yr.</v>
      </c>
      <c r="F1828" s="1">
        <f>F1829</f>
        <v>3.4074053831106799</v>
      </c>
      <c r="G1828" s="1">
        <f t="shared" ref="G1828:L1828" si="1903">G1829</f>
        <v>3.4073984311506105</v>
      </c>
      <c r="H1828" s="1">
        <f t="shared" si="1903"/>
        <v>3.4715395096142858</v>
      </c>
      <c r="I1828" s="1">
        <f t="shared" si="1903"/>
        <v>3.4715266205049433</v>
      </c>
      <c r="J1828" s="1">
        <f t="shared" si="1903"/>
        <v>1.4061725966622398</v>
      </c>
      <c r="K1828" s="1">
        <f t="shared" si="1903"/>
        <v>0.99561579279704415</v>
      </c>
      <c r="L1828" s="1">
        <f t="shared" si="1903"/>
        <v>0.48806011949613343</v>
      </c>
      <c r="N1828" s="1"/>
    </row>
    <row r="1829" spans="2:14" x14ac:dyDescent="0.35">
      <c r="B1829" s="5" t="str">
        <f t="shared" ref="B1829:C1829" si="1904">B1828</f>
        <v>SPS1</v>
      </c>
      <c r="C1829" s="5" t="str">
        <f t="shared" si="1904"/>
        <v>CH</v>
      </c>
      <c r="D1829" t="s">
        <v>1865</v>
      </c>
      <c r="E1829" t="str">
        <f t="shared" si="1900"/>
        <v>GWth/yr.</v>
      </c>
      <c r="F1829" s="1" cm="1">
        <f t="array" ref="F1829">SUMPRODUCT(([1]OUT_FinalEnergyCons!$B$4:$B$10000="var_cap")*1, (ISNUMBER(SEARCH("RH*-SHLFOBR",[1]OUT_FinalEnergyCons!$A$4:$A$10000)))*1,[1]OUT_FinalEnergyCons!D$4:D$10000)</f>
        <v>3.4074053831106799</v>
      </c>
      <c r="G1829" s="1" cm="1">
        <f t="array" ref="G1829">SUMPRODUCT(([1]OUT_FinalEnergyCons!$B$4:$B$10000="var_cap")*1, (ISNUMBER(SEARCH("RH*-SHLFOBR",[1]OUT_FinalEnergyCons!$A$4:$A$10000)))*1,[1]OUT_FinalEnergyCons!E$4:E$10000)</f>
        <v>3.4073984311506105</v>
      </c>
      <c r="H1829" s="1" cm="1">
        <f t="array" ref="H1829">SUMPRODUCT(([1]OUT_FinalEnergyCons!$B$4:$B$10000="var_cap")*1, (ISNUMBER(SEARCH("RH*-SHLFOBR",[1]OUT_FinalEnergyCons!$A$4:$A$10000)))*1,[1]OUT_FinalEnergyCons!F$4:F$10000)</f>
        <v>3.4715395096142858</v>
      </c>
      <c r="I1829" s="1" cm="1">
        <f t="array" ref="I1829">SUMPRODUCT(([1]OUT_FinalEnergyCons!$B$4:$B$10000="var_cap")*1, (ISNUMBER(SEARCH("RH*-SHLFOBR",[1]OUT_FinalEnergyCons!$A$4:$A$10000)))*1,[1]OUT_FinalEnergyCons!G$4:G$10000)</f>
        <v>3.4715266205049433</v>
      </c>
      <c r="J1829" s="1" cm="1">
        <f t="array" ref="J1829">SUMPRODUCT(([2]OUT_FinalEnergyCons!$B$4:$B$10000="var_cap")*1, (ISNUMBER(SEARCH("RH*-SHLFOBR",[2]OUT_FinalEnergyCons!$A$4:$A$10000)))*1,[2]OUT_FinalEnergyCons!H$4:H$10000)</f>
        <v>1.4061725966622398</v>
      </c>
      <c r="K1829" s="1" cm="1">
        <f t="array" ref="K1829">SUMPRODUCT(([2]OUT_FinalEnergyCons!$B$4:$B$10000="var_cap")*1, (ISNUMBER(SEARCH("RH*-SHLFOBR",[2]OUT_FinalEnergyCons!$A$4:$A$10000)))*1,[2]OUT_FinalEnergyCons!I$4:I$10000)</f>
        <v>0.99561579279704415</v>
      </c>
      <c r="L1829" s="1" cm="1">
        <f t="array" ref="L1829">SUMPRODUCT(([2]OUT_FinalEnergyCons!$B$4:$B$10000="var_cap")*1, (ISNUMBER(SEARCH("RH*-SHLFOBR",[2]OUT_FinalEnergyCons!$A$4:$A$10000)))*1,[2]OUT_FinalEnergyCons!J$4:J$10000)</f>
        <v>0.48806011949613343</v>
      </c>
      <c r="N1829" s="1"/>
    </row>
    <row r="1830" spans="2:14" x14ac:dyDescent="0.35">
      <c r="B1830" s="5" t="str">
        <f t="shared" ref="B1830:C1830" si="1905">B1829</f>
        <v>SPS1</v>
      </c>
      <c r="C1830" s="5" t="str">
        <f t="shared" si="1905"/>
        <v>CH</v>
      </c>
      <c r="D1830" t="s">
        <v>1866</v>
      </c>
      <c r="E1830" t="str">
        <f t="shared" si="1900"/>
        <v>GWth/yr.</v>
      </c>
      <c r="F1830" s="1">
        <f>SUM(F1831:F1832)</f>
        <v>2.7687540771591692</v>
      </c>
      <c r="G1830" s="1">
        <f t="shared" ref="G1830:K1830" si="1906">SUM(G1831:G1832)</f>
        <v>2.9327253512875311</v>
      </c>
      <c r="H1830" s="1">
        <f t="shared" si="1906"/>
        <v>3.4564017361232309</v>
      </c>
      <c r="I1830" s="1">
        <f t="shared" si="1906"/>
        <v>3.8306504560553765</v>
      </c>
      <c r="J1830" s="1">
        <f t="shared" si="1906"/>
        <v>2.5853948035196126</v>
      </c>
      <c r="K1830" s="1">
        <f t="shared" si="1906"/>
        <v>2.3989115238123735</v>
      </c>
      <c r="L1830" s="1">
        <f t="shared" ref="L1830" si="1907">SUM(L1831:L1832)</f>
        <v>2.1664600881181086</v>
      </c>
      <c r="N1830" s="1"/>
    </row>
    <row r="1831" spans="2:14" x14ac:dyDescent="0.35">
      <c r="B1831" s="5" t="str">
        <f t="shared" ref="B1831:C1831" si="1908">B1830</f>
        <v>SPS1</v>
      </c>
      <c r="C1831" s="5" t="str">
        <f t="shared" si="1908"/>
        <v>CH</v>
      </c>
      <c r="D1831" t="s">
        <v>1867</v>
      </c>
      <c r="E1831" t="str">
        <f t="shared" si="1900"/>
        <v>GWth/yr.</v>
      </c>
      <c r="F1831" s="1" cm="1">
        <f t="array" ref="F1831">SUMPRODUCT(([1]OUT_FinalEnergyCons!$B$4:$B$10000="var_cap")*1, (ISNUMBER(SEARCH("RH*-SHNGABR",[1]OUT_FinalEnergyCons!$A$4:$A$10000)))*1,[1]OUT_FinalEnergyCons!D$4:D$10000)</f>
        <v>2.7687540512383499</v>
      </c>
      <c r="G1831" s="1" cm="1">
        <f t="array" ref="G1831">SUMPRODUCT(([1]OUT_FinalEnergyCons!$B$4:$B$10000="var_cap")*1, (ISNUMBER(SEARCH("RH*-SHNGABR",[1]OUT_FinalEnergyCons!$A$4:$A$10000)))*1,[1]OUT_FinalEnergyCons!E$4:E$10000)</f>
        <v>2.932725117945127</v>
      </c>
      <c r="H1831" s="1" cm="1">
        <f t="array" ref="H1831">SUMPRODUCT(([1]OUT_FinalEnergyCons!$B$4:$B$10000="var_cap")*1, (ISNUMBER(SEARCH("RH*-SHNGABR",[1]OUT_FinalEnergyCons!$A$4:$A$10000)))*1,[1]OUT_FinalEnergyCons!F$4:F$10000)</f>
        <v>3.1231814063270789</v>
      </c>
      <c r="I1831" s="1" cm="1">
        <f t="array" ref="I1831">SUMPRODUCT(([1]OUT_FinalEnergyCons!$B$4:$B$10000="var_cap")*1, (ISNUMBER(SEARCH("RH*-SHNGABR",[1]OUT_FinalEnergyCons!$A$4:$A$10000)))*1,[1]OUT_FinalEnergyCons!G$4:G$10000)</f>
        <v>3.1239291620232175</v>
      </c>
      <c r="J1831" s="1" cm="1">
        <f t="array" ref="J1831">SUMPRODUCT(([2]OUT_FinalEnergyCons!$B$4:$B$10000="var_cap")*1, (ISNUMBER(SEARCH("RH*-SHNGABR",[2]OUT_FinalEnergyCons!$A$4:$A$10000)))*1,[2]OUT_FinalEnergyCons!H$4:H$10000)</f>
        <v>1.6860404429251086</v>
      </c>
      <c r="K1831" s="1" cm="1">
        <f t="array" ref="K1831">SUMPRODUCT(([2]OUT_FinalEnergyCons!$B$4:$B$10000="var_cap")*1, (ISNUMBER(SEARCH("RH*-SHNGABR",[2]OUT_FinalEnergyCons!$A$4:$A$10000)))*1,[2]OUT_FinalEnergyCons!I$4:I$10000)</f>
        <v>1.3192638335691116</v>
      </c>
      <c r="L1831" s="1" cm="1">
        <f t="array" ref="L1831">SUMPRODUCT(([2]OUT_FinalEnergyCons!$B$4:$B$10000="var_cap")*1, (ISNUMBER(SEARCH("RH*-SHNGABR",[2]OUT_FinalEnergyCons!$A$4:$A$10000)))*1,[2]OUT_FinalEnergyCons!J$4:J$10000)</f>
        <v>0.73562934748019926</v>
      </c>
      <c r="N1831" s="1"/>
    </row>
    <row r="1832" spans="2:14" x14ac:dyDescent="0.35">
      <c r="B1832" s="5" t="str">
        <f t="shared" ref="B1832:C1832" si="1909">B1831</f>
        <v>SPS1</v>
      </c>
      <c r="C1832" s="5" t="str">
        <f t="shared" si="1909"/>
        <v>CH</v>
      </c>
      <c r="D1832" t="s">
        <v>1868</v>
      </c>
      <c r="E1832" t="str">
        <f t="shared" si="1900"/>
        <v>GWth/yr.</v>
      </c>
      <c r="F1832" s="1" cm="1">
        <f t="array" ref="F1832">SUMPRODUCT(([1]OUT_FinalEnergyCons!$B$4:$B$10000="var_cap")*1,ISNUMBER(SEARCH("RH*-SHngahp",[1]OUT_FinalEnergyCons!$A$4:$A$10000))*1,[1]OUT_FinalEnergyCons!D$4:D$10000)</f>
        <v>2.59208192242828E-8</v>
      </c>
      <c r="G1832" s="1" cm="1">
        <f t="array" ref="G1832">SUMPRODUCT(([1]OUT_FinalEnergyCons!$B$4:$B$10000="var_cap")*1,ISNUMBER(SEARCH("RH*-SHngahp",[1]OUT_FinalEnergyCons!$A$4:$A$10000))*1,[1]OUT_FinalEnergyCons!E$4:E$10000)</f>
        <v>2.3334240411024508E-7</v>
      </c>
      <c r="H1832" s="1" cm="1">
        <f t="array" ref="H1832">SUMPRODUCT(([1]OUT_FinalEnergyCons!$B$4:$B$10000="var_cap")*1,ISNUMBER(SEARCH("RH*-SHngahp",[1]OUT_FinalEnergyCons!$A$4:$A$10000))*1,[1]OUT_FinalEnergyCons!F$4:F$10000)</f>
        <v>0.33322032979615213</v>
      </c>
      <c r="I1832" s="1" cm="1">
        <f t="array" ref="I1832">SUMPRODUCT(([1]OUT_FinalEnergyCons!$B$4:$B$10000="var_cap")*1,ISNUMBER(SEARCH("RH*-SHngahp",[1]OUT_FinalEnergyCons!$A$4:$A$10000))*1,[1]OUT_FinalEnergyCons!G$4:G$10000)</f>
        <v>0.70672129403215889</v>
      </c>
      <c r="J1832" s="1" cm="1">
        <f t="array" ref="J1832">SUMPRODUCT(([2]OUT_FinalEnergyCons!$B$4:$B$10000="var_cap")*1,ISNUMBER(SEARCH("RH*-SHngahp",[2]OUT_FinalEnergyCons!$A$4:$A$10000))*1,[2]OUT_FinalEnergyCons!H$4:H$10000)</f>
        <v>0.89935436059450424</v>
      </c>
      <c r="K1832" s="1" cm="1">
        <f t="array" ref="K1832">SUMPRODUCT(([2]OUT_FinalEnergyCons!$B$4:$B$10000="var_cap")*1,ISNUMBER(SEARCH("RH*-SHngahp",[2]OUT_FinalEnergyCons!$A$4:$A$10000))*1,[2]OUT_FinalEnergyCons!I$4:I$10000)</f>
        <v>1.0796476902432619</v>
      </c>
      <c r="L1832" s="1" cm="1">
        <f t="array" ref="L1832">SUMPRODUCT(([2]OUT_FinalEnergyCons!$B$4:$B$10000="var_cap")*1,ISNUMBER(SEARCH("RH*-SHngahp",[2]OUT_FinalEnergyCons!$A$4:$A$10000))*1,[2]OUT_FinalEnergyCons!J$4:J$10000)</f>
        <v>1.4308307406379093</v>
      </c>
      <c r="N1832" s="1"/>
    </row>
    <row r="1833" spans="2:14" x14ac:dyDescent="0.35">
      <c r="B1833" s="5" t="str">
        <f t="shared" ref="B1833:C1833" si="1910">B1832</f>
        <v>SPS1</v>
      </c>
      <c r="C1833" s="5" t="str">
        <f t="shared" si="1910"/>
        <v>CH</v>
      </c>
      <c r="D1833" t="s">
        <v>1869</v>
      </c>
      <c r="E1833" t="str">
        <f t="shared" si="1900"/>
        <v>GWth/yr.</v>
      </c>
      <c r="F1833" s="1">
        <f>F1834</f>
        <v>7.0000000000000001E-3</v>
      </c>
      <c r="G1833" s="1">
        <f t="shared" ref="G1833:L1833" si="1911">G1834</f>
        <v>6.3207583524111438E-3</v>
      </c>
      <c r="H1833" s="1">
        <f t="shared" si="1911"/>
        <v>2.0116795184501202E-3</v>
      </c>
      <c r="I1833" s="1">
        <f t="shared" si="1911"/>
        <v>5.2598815053771057E-4</v>
      </c>
      <c r="J1833" s="1">
        <f t="shared" si="1911"/>
        <v>1.4537968701158993E-4</v>
      </c>
      <c r="K1833" s="1">
        <f t="shared" si="1911"/>
        <v>0</v>
      </c>
      <c r="L1833" s="1">
        <f t="shared" si="1911"/>
        <v>0</v>
      </c>
      <c r="N1833" s="1"/>
    </row>
    <row r="1834" spans="2:14" x14ac:dyDescent="0.35">
      <c r="B1834" s="5" t="str">
        <f t="shared" ref="B1834:C1834" si="1912">B1833</f>
        <v>SPS1</v>
      </c>
      <c r="C1834" s="5" t="str">
        <f t="shared" si="1912"/>
        <v>CH</v>
      </c>
      <c r="D1834" t="s">
        <v>1870</v>
      </c>
      <c r="E1834" t="str">
        <f t="shared" si="1900"/>
        <v>GWth/yr.</v>
      </c>
      <c r="F1834" s="1" cm="1">
        <f t="array" ref="F1834">IF(SUMPRODUCT(([1]OUT_FinalEnergyCons!$B$4:$B$10000="var_cap")*1, (ISNUMBER(SEARCH("RH*-SHCOABR",[1]OUT_FinalEnergyCons!$A$4:$A$10000)))*1,[1]OUT_FinalEnergyCons!D$4:D$10000)&lt;0,0,SUMPRODUCT(([1]OUT_FinalEnergyCons!$B$4:$B$10000="var_cap")*1, (ISNUMBER(SEARCH("RH*-SHCOABR",[1]OUT_FinalEnergyCons!$A$4:$A$10000)))*1,[1]OUT_FinalEnergyCons!D$4:D$10000))</f>
        <v>7.0000000000000001E-3</v>
      </c>
      <c r="G1834" s="1" cm="1">
        <f t="array" ref="G1834">IF(SUMPRODUCT(([1]OUT_FinalEnergyCons!$B$4:$B$10000="var_cap")*1, (ISNUMBER(SEARCH("RH*-SHCOABR",[1]OUT_FinalEnergyCons!$A$4:$A$10000)))*1,[1]OUT_FinalEnergyCons!E$4:E$10000)&lt;0,0,SUMPRODUCT(([1]OUT_FinalEnergyCons!$B$4:$B$10000="var_cap")*1, (ISNUMBER(SEARCH("RH*-SHCOABR",[1]OUT_FinalEnergyCons!$A$4:$A$10000)))*1,[1]OUT_FinalEnergyCons!E$4:E$10000))</f>
        <v>6.3207583524111438E-3</v>
      </c>
      <c r="H1834" s="1" cm="1">
        <f t="array" ref="H1834">IF(SUMPRODUCT(([1]OUT_FinalEnergyCons!$B$4:$B$10000="var_cap")*1, (ISNUMBER(SEARCH("RH*-SHCOABR",[1]OUT_FinalEnergyCons!$A$4:$A$10000)))*1,[1]OUT_FinalEnergyCons!F$4:F$10000)&lt;0,0,SUMPRODUCT(([1]OUT_FinalEnergyCons!$B$4:$B$10000="var_cap")*1, (ISNUMBER(SEARCH("RH*-SHCOABR",[1]OUT_FinalEnergyCons!$A$4:$A$10000)))*1,[1]OUT_FinalEnergyCons!F$4:F$10000))</f>
        <v>2.0116795184501202E-3</v>
      </c>
      <c r="I1834" s="1" cm="1">
        <f t="array" ref="I1834">IF(SUMPRODUCT(([1]OUT_FinalEnergyCons!$B$4:$B$10000="var_cap")*1, (ISNUMBER(SEARCH("RH*-SHCOABR",[1]OUT_FinalEnergyCons!$A$4:$A$10000)))*1,[1]OUT_FinalEnergyCons!G$4:G$10000)&lt;0,0,SUMPRODUCT(([1]OUT_FinalEnergyCons!$B$4:$B$10000="var_cap")*1, (ISNUMBER(SEARCH("RH*-SHCOABR",[1]OUT_FinalEnergyCons!$A$4:$A$10000)))*1,[1]OUT_FinalEnergyCons!G$4:G$10000))</f>
        <v>5.2598815053771057E-4</v>
      </c>
      <c r="J1834" s="1" cm="1">
        <f t="array" ref="J1834">IF(SUMPRODUCT(([2]OUT_FinalEnergyCons!$B$4:$B$10000="var_cap")*1, (ISNUMBER(SEARCH("RH*-SHCOABR",[2]OUT_FinalEnergyCons!$A$4:$A$10000)))*1,[2]OUT_FinalEnergyCons!H$4:H$10000)&lt;0,0,SUMPRODUCT(([2]OUT_FinalEnergyCons!$B$4:$B$10000="var_cap")*1, (ISNUMBER(SEARCH("RH*-SHCOABR",[2]OUT_FinalEnergyCons!$A$4:$A$10000)))*1,[2]OUT_FinalEnergyCons!H$4:H$10000))</f>
        <v>1.4537968701158993E-4</v>
      </c>
      <c r="K1834" s="1" cm="1">
        <f t="array" ref="K1834">IF(SUMPRODUCT(([2]OUT_FinalEnergyCons!$B$4:$B$10000="var_cap")*1, (ISNUMBER(SEARCH("RH*-SHCOABR",[2]OUT_FinalEnergyCons!$A$4:$A$10000)))*1,[2]OUT_FinalEnergyCons!I$4:I$10000)&lt;0,0,SUMPRODUCT(([2]OUT_FinalEnergyCons!$B$4:$B$10000="var_cap")*1, (ISNUMBER(SEARCH("RH*-SHCOABR",[2]OUT_FinalEnergyCons!$A$4:$A$10000)))*1,[2]OUT_FinalEnergyCons!I$4:I$10000))</f>
        <v>0</v>
      </c>
      <c r="L1834" s="1" cm="1">
        <f t="array" ref="L1834">IF(SUMPRODUCT(([2]OUT_FinalEnergyCons!$B$4:$B$10000="var_cap")*1, (ISNUMBER(SEARCH("RH*-SHCOABR",[2]OUT_FinalEnergyCons!$A$4:$A$10000)))*1,[2]OUT_FinalEnergyCons!J$4:J$10000)&lt;0,0,SUMPRODUCT(([2]OUT_FinalEnergyCons!$B$4:$B$10000="var_cap")*1, (ISNUMBER(SEARCH("RH*-SHCOABR",[2]OUT_FinalEnergyCons!$A$4:$A$10000)))*1,[2]OUT_FinalEnergyCons!J$4:J$10000))</f>
        <v>0</v>
      </c>
      <c r="N1834" s="1"/>
    </row>
    <row r="1835" spans="2:14" x14ac:dyDescent="0.35">
      <c r="B1835" s="5" t="str">
        <f>B1834</f>
        <v>SPS1</v>
      </c>
      <c r="C1835" s="5" t="str">
        <f>C1834</f>
        <v>CH</v>
      </c>
      <c r="D1835" t="s">
        <v>1871</v>
      </c>
      <c r="E1835" t="str">
        <f>E1834</f>
        <v>GWth/yr.</v>
      </c>
      <c r="F1835" s="1">
        <f>F1836</f>
        <v>0.68949993842780688</v>
      </c>
      <c r="G1835" s="1">
        <f t="shared" ref="G1835:L1835" si="1913">G1836</f>
        <v>0.75004371913441503</v>
      </c>
      <c r="H1835" s="1">
        <f t="shared" si="1913"/>
        <v>0.76421163252466762</v>
      </c>
      <c r="I1835" s="1">
        <f t="shared" si="1913"/>
        <v>0.76421070131223645</v>
      </c>
      <c r="J1835" s="1">
        <f t="shared" si="1913"/>
        <v>0.73806438025319587</v>
      </c>
      <c r="K1835" s="1">
        <f t="shared" si="1913"/>
        <v>0.66383986103135628</v>
      </c>
      <c r="L1835" s="1">
        <f t="shared" si="1913"/>
        <v>0.47340137095131829</v>
      </c>
      <c r="N1835" s="1"/>
    </row>
    <row r="1836" spans="2:14" x14ac:dyDescent="0.35">
      <c r="B1836" s="5" t="str">
        <f t="shared" ref="B1836:C1836" si="1914">B1835</f>
        <v>SPS1</v>
      </c>
      <c r="C1836" s="5" t="str">
        <f t="shared" si="1914"/>
        <v>CH</v>
      </c>
      <c r="D1836" t="s">
        <v>1872</v>
      </c>
      <c r="E1836" t="str">
        <f t="shared" si="1900"/>
        <v>GWth/yr.</v>
      </c>
      <c r="F1836" s="1" cm="1">
        <f t="array" ref="F1836">SUMPRODUCT(([1]OUT_FinalEnergyCons!$B$4:$B$10000="var_cap")*1, (ISNUMBER(SEARCH("RH*-SHWODBR",[1]OUT_FinalEnergyCons!$A$4:$A$10000)))*1,[1]OUT_FinalEnergyCons!D$4:D$10000)</f>
        <v>0.68949993842780688</v>
      </c>
      <c r="G1836" s="1" cm="1">
        <f t="array" ref="G1836">SUMPRODUCT(([1]OUT_FinalEnergyCons!$B$4:$B$10000="var_cap")*1, (ISNUMBER(SEARCH("RH*-SHWODBR",[1]OUT_FinalEnergyCons!$A$4:$A$10000)))*1,[1]OUT_FinalEnergyCons!E$4:E$10000)</f>
        <v>0.75004371913441503</v>
      </c>
      <c r="H1836" s="1" cm="1">
        <f t="array" ref="H1836">SUMPRODUCT(([1]OUT_FinalEnergyCons!$B$4:$B$10000="var_cap")*1, (ISNUMBER(SEARCH("RH*-SHWODBR",[1]OUT_FinalEnergyCons!$A$4:$A$10000)))*1,[1]OUT_FinalEnergyCons!F$4:F$10000)</f>
        <v>0.76421163252466762</v>
      </c>
      <c r="I1836" s="1" cm="1">
        <f t="array" ref="I1836">SUMPRODUCT(([1]OUT_FinalEnergyCons!$B$4:$B$10000="var_cap")*1, (ISNUMBER(SEARCH("RH*-SHWODBR",[1]OUT_FinalEnergyCons!$A$4:$A$10000)))*1,[1]OUT_FinalEnergyCons!G$4:G$10000)</f>
        <v>0.76421070131223645</v>
      </c>
      <c r="J1836" s="1" cm="1">
        <f t="array" ref="J1836">SUMPRODUCT(([2]OUT_FinalEnergyCons!$B$4:$B$10000="var_cap")*1, (ISNUMBER(SEARCH("RH*-SHWODBR",[2]OUT_FinalEnergyCons!$A$4:$A$10000)))*1,[2]OUT_FinalEnergyCons!H$4:H$10000)</f>
        <v>0.73806438025319587</v>
      </c>
      <c r="K1836" s="1" cm="1">
        <f t="array" ref="K1836">SUMPRODUCT(([2]OUT_FinalEnergyCons!$B$4:$B$10000="var_cap")*1, (ISNUMBER(SEARCH("RH*-SHWODBR",[2]OUT_FinalEnergyCons!$A$4:$A$10000)))*1,[2]OUT_FinalEnergyCons!I$4:I$10000)</f>
        <v>0.66383986103135628</v>
      </c>
      <c r="L1836" s="1" cm="1">
        <f t="array" ref="L1836">SUMPRODUCT(([2]OUT_FinalEnergyCons!$B$4:$B$10000="var_cap")*1, (ISNUMBER(SEARCH("RH*-SHWODBR",[2]OUT_FinalEnergyCons!$A$4:$A$10000)))*1,[2]OUT_FinalEnergyCons!J$4:J$10000)</f>
        <v>0.47340137095131829</v>
      </c>
      <c r="N1836" s="1"/>
    </row>
    <row r="1837" spans="2:14" x14ac:dyDescent="0.35">
      <c r="B1837" s="5" t="str">
        <f t="shared" ref="B1837:C1837" si="1915">B1836</f>
        <v>SPS1</v>
      </c>
      <c r="C1837" s="5" t="str">
        <f t="shared" si="1915"/>
        <v>CH</v>
      </c>
      <c r="D1837" t="s">
        <v>1873</v>
      </c>
      <c r="E1837" t="str">
        <f t="shared" si="1900"/>
        <v>GWth/yr.</v>
      </c>
      <c r="F1837" s="1">
        <f>F1838</f>
        <v>0.20438056749486153</v>
      </c>
      <c r="G1837" s="1">
        <f t="shared" ref="G1837:L1837" si="1916">G1838</f>
        <v>0.24028465670443669</v>
      </c>
      <c r="H1837" s="1">
        <f t="shared" si="1916"/>
        <v>5.6325898777037718E-2</v>
      </c>
      <c r="I1837" s="1">
        <f t="shared" si="1916"/>
        <v>5.6603058596245544E-2</v>
      </c>
      <c r="J1837" s="1">
        <f t="shared" si="1916"/>
        <v>4.999836888140638E-2</v>
      </c>
      <c r="K1837" s="1">
        <f t="shared" si="1916"/>
        <v>5.715527619558218E-2</v>
      </c>
      <c r="L1837" s="1">
        <f t="shared" si="1916"/>
        <v>6.8783625594628556E-2</v>
      </c>
      <c r="N1837" s="1"/>
    </row>
    <row r="1838" spans="2:14" x14ac:dyDescent="0.35">
      <c r="B1838" s="5" t="str">
        <f t="shared" ref="B1838:C1838" si="1917">B1837</f>
        <v>SPS1</v>
      </c>
      <c r="C1838" s="5" t="str">
        <f t="shared" si="1917"/>
        <v>CH</v>
      </c>
      <c r="D1838" t="s">
        <v>1874</v>
      </c>
      <c r="E1838" t="str">
        <f t="shared" si="1900"/>
        <v>GWth/yr.</v>
      </c>
      <c r="F1838" s="1" cm="1">
        <f t="array" ref="F1838">SUMPRODUCT(([1]OUT_FinalEnergyCons!$B$4:$B$10000="var_cap")*1, (ISNUMBER(SEARCH("RH*-SHPLTBR",[1]OUT_FinalEnergyCons!$A$4:$A$10000)))*1,[1]OUT_FinalEnergyCons!D$4:D$10000)</f>
        <v>0.20438056749486153</v>
      </c>
      <c r="G1838" s="1" cm="1">
        <f t="array" ref="G1838">SUMPRODUCT(([1]OUT_FinalEnergyCons!$B$4:$B$10000="var_cap")*1, (ISNUMBER(SEARCH("RH*-SHPLTBR",[1]OUT_FinalEnergyCons!$A$4:$A$10000)))*1,[1]OUT_FinalEnergyCons!E$4:E$10000)</f>
        <v>0.24028465670443669</v>
      </c>
      <c r="H1838" s="1" cm="1">
        <f t="array" ref="H1838">SUMPRODUCT(([1]OUT_FinalEnergyCons!$B$4:$B$10000="var_cap")*1, (ISNUMBER(SEARCH("RH*-SHPLTBR",[1]OUT_FinalEnergyCons!$A$4:$A$10000)))*1,[1]OUT_FinalEnergyCons!F$4:F$10000)</f>
        <v>5.6325898777037718E-2</v>
      </c>
      <c r="I1838" s="1" cm="1">
        <f t="array" ref="I1838">SUMPRODUCT(([1]OUT_FinalEnergyCons!$B$4:$B$10000="var_cap")*1, (ISNUMBER(SEARCH("RH*-SHPLTBR",[1]OUT_FinalEnergyCons!$A$4:$A$10000)))*1,[1]OUT_FinalEnergyCons!G$4:G$10000)</f>
        <v>5.6603058596245544E-2</v>
      </c>
      <c r="J1838" s="1" cm="1">
        <f t="array" ref="J1838">SUMPRODUCT(([2]OUT_FinalEnergyCons!$B$4:$B$10000="var_cap")*1, (ISNUMBER(SEARCH("RH*-SHPLTBR",[2]OUT_FinalEnergyCons!$A$4:$A$10000)))*1,[2]OUT_FinalEnergyCons!H$4:H$10000)</f>
        <v>4.999836888140638E-2</v>
      </c>
      <c r="K1838" s="1" cm="1">
        <f t="array" ref="K1838">SUMPRODUCT(([2]OUT_FinalEnergyCons!$B$4:$B$10000="var_cap")*1, (ISNUMBER(SEARCH("RH*-SHPLTBR",[2]OUT_FinalEnergyCons!$A$4:$A$10000)))*1,[2]OUT_FinalEnergyCons!I$4:I$10000)</f>
        <v>5.715527619558218E-2</v>
      </c>
      <c r="L1838" s="1" cm="1">
        <f t="array" ref="L1838">SUMPRODUCT(([2]OUT_FinalEnergyCons!$B$4:$B$10000="var_cap")*1, (ISNUMBER(SEARCH("RH*-SHPLTBR",[2]OUT_FinalEnergyCons!$A$4:$A$10000)))*1,[2]OUT_FinalEnergyCons!J$4:J$10000)</f>
        <v>6.8783625594628556E-2</v>
      </c>
      <c r="N1838" s="1"/>
    </row>
    <row r="1839" spans="2:14" x14ac:dyDescent="0.35">
      <c r="B1839" s="5" t="str">
        <f t="shared" ref="B1839:C1839" si="1918">B1838</f>
        <v>SPS1</v>
      </c>
      <c r="C1839" s="5" t="str">
        <f t="shared" si="1918"/>
        <v>CH</v>
      </c>
      <c r="D1839" t="s">
        <v>1875</v>
      </c>
      <c r="E1839" t="str">
        <f t="shared" si="1900"/>
        <v>GWth/yr.</v>
      </c>
      <c r="F1839" s="1">
        <f>F1840</f>
        <v>0.11405916296345922</v>
      </c>
      <c r="G1839" s="1">
        <f t="shared" ref="G1839:L1839" si="1919">G1840</f>
        <v>0.13701986610999223</v>
      </c>
      <c r="H1839" s="1">
        <f t="shared" si="1919"/>
        <v>0.13234491083983785</v>
      </c>
      <c r="I1839" s="1">
        <f t="shared" si="1919"/>
        <v>0.13227415992530192</v>
      </c>
      <c r="J1839" s="1">
        <f t="shared" si="1919"/>
        <v>3.904429053015273E-2</v>
      </c>
      <c r="K1839" s="1">
        <f t="shared" si="1919"/>
        <v>5.9634544980856005E-3</v>
      </c>
      <c r="L1839" s="1">
        <f t="shared" si="1919"/>
        <v>6.1083853183479826E-3</v>
      </c>
      <c r="N1839" s="1"/>
    </row>
    <row r="1840" spans="2:14" x14ac:dyDescent="0.35">
      <c r="B1840" s="5" t="str">
        <f t="shared" ref="B1840:C1840" si="1920">B1839</f>
        <v>SPS1</v>
      </c>
      <c r="C1840" s="5" t="str">
        <f t="shared" si="1920"/>
        <v>CH</v>
      </c>
      <c r="D1840" t="s">
        <v>1876</v>
      </c>
      <c r="E1840" t="str">
        <f t="shared" si="1900"/>
        <v>GWth/yr.</v>
      </c>
      <c r="F1840" s="1" cm="1">
        <f t="array" ref="F1840">SUMPRODUCT(([1]OUT_FinalEnergyCons!$B$4:$B$10000="var_cap")*1, (ISNUMBER(SEARCH("RH*-SHSOLBR",[1]OUT_FinalEnergyCons!$A$4:$A$10000)))*1,[1]OUT_FinalEnergyCons!D$4:D$10000)</f>
        <v>0.11405916296345922</v>
      </c>
      <c r="G1840" s="1" cm="1">
        <f t="array" ref="G1840">SUMPRODUCT(([1]OUT_FinalEnergyCons!$B$4:$B$10000="var_cap")*1, (ISNUMBER(SEARCH("RH*-SHSOLBR",[1]OUT_FinalEnergyCons!$A$4:$A$10000)))*1,[1]OUT_FinalEnergyCons!E$4:E$10000)</f>
        <v>0.13701986610999223</v>
      </c>
      <c r="H1840" s="1" cm="1">
        <f t="array" ref="H1840">SUMPRODUCT(([1]OUT_FinalEnergyCons!$B$4:$B$10000="var_cap")*1, (ISNUMBER(SEARCH("RH*-SHSOLBR",[1]OUT_FinalEnergyCons!$A$4:$A$10000)))*1,[1]OUT_FinalEnergyCons!F$4:F$10000)</f>
        <v>0.13234491083983785</v>
      </c>
      <c r="I1840" s="1" cm="1">
        <f t="array" ref="I1840">SUMPRODUCT(([1]OUT_FinalEnergyCons!$B$4:$B$10000="var_cap")*1, (ISNUMBER(SEARCH("RH*-SHSOLBR",[1]OUT_FinalEnergyCons!$A$4:$A$10000)))*1,[1]OUT_FinalEnergyCons!G$4:G$10000)</f>
        <v>0.13227415992530192</v>
      </c>
      <c r="J1840" s="1" cm="1">
        <f t="array" ref="J1840">SUMPRODUCT(([2]OUT_FinalEnergyCons!$B$4:$B$10000="var_cap")*1, (ISNUMBER(SEARCH("RH*-SHSOLBR",[2]OUT_FinalEnergyCons!$A$4:$A$10000)))*1,[2]OUT_FinalEnergyCons!H$4:H$10000)</f>
        <v>3.904429053015273E-2</v>
      </c>
      <c r="K1840" s="1" cm="1">
        <f t="array" ref="K1840">SUMPRODUCT(([2]OUT_FinalEnergyCons!$B$4:$B$10000="var_cap")*1, (ISNUMBER(SEARCH("RH*-SHSOLBR",[2]OUT_FinalEnergyCons!$A$4:$A$10000)))*1,[2]OUT_FinalEnergyCons!I$4:I$10000)</f>
        <v>5.9634544980856005E-3</v>
      </c>
      <c r="L1840" s="1" cm="1">
        <f t="array" ref="L1840">SUMPRODUCT(([2]OUT_FinalEnergyCons!$B$4:$B$10000="var_cap")*1, (ISNUMBER(SEARCH("RH*-SHSOLBR",[2]OUT_FinalEnergyCons!$A$4:$A$10000)))*1,[2]OUT_FinalEnergyCons!J$4:J$10000)</f>
        <v>6.1083853183479826E-3</v>
      </c>
      <c r="N1840" s="1"/>
    </row>
    <row r="1841" spans="2:14" x14ac:dyDescent="0.35">
      <c r="B1841" s="5" t="str">
        <f t="shared" ref="B1841:C1841" si="1921">B1840</f>
        <v>SPS1</v>
      </c>
      <c r="C1841" s="5" t="str">
        <f t="shared" si="1921"/>
        <v>CH</v>
      </c>
      <c r="D1841" t="s">
        <v>1877</v>
      </c>
      <c r="E1841" t="str">
        <f t="shared" si="1900"/>
        <v>GWth/yr.</v>
      </c>
      <c r="F1841" s="1">
        <f>F1842</f>
        <v>0</v>
      </c>
      <c r="G1841" s="1">
        <f t="shared" ref="G1841:L1841" si="1922">G1842</f>
        <v>0</v>
      </c>
      <c r="H1841" s="1">
        <f t="shared" si="1922"/>
        <v>0</v>
      </c>
      <c r="I1841" s="1">
        <f t="shared" si="1922"/>
        <v>0</v>
      </c>
      <c r="J1841" s="1">
        <f t="shared" si="1922"/>
        <v>0</v>
      </c>
      <c r="K1841" s="1">
        <f t="shared" si="1922"/>
        <v>0</v>
      </c>
      <c r="L1841" s="1">
        <f t="shared" si="1922"/>
        <v>0</v>
      </c>
      <c r="N1841" s="1"/>
    </row>
    <row r="1842" spans="2:14" x14ac:dyDescent="0.35">
      <c r="B1842" s="5" t="str">
        <f t="shared" ref="B1842:C1842" si="1923">B1841</f>
        <v>SPS1</v>
      </c>
      <c r="C1842" s="5" t="str">
        <f t="shared" si="1923"/>
        <v>CH</v>
      </c>
      <c r="D1842" t="s">
        <v>1878</v>
      </c>
      <c r="E1842" t="str">
        <f t="shared" si="1900"/>
        <v>GWth/yr.</v>
      </c>
      <c r="F1842" s="1" cm="1">
        <f t="array" ref="F1842">SUMPRODUCT(([1]OUT_FinalEnergyCons!$B$4:$B$10000="var_cap")*1, (ISNUMBER(SEARCH("RH*-SHH2BR",[1]OUT_FinalEnergyCons!$A$4:$A$10000)))*1,[1]OUT_FinalEnergyCons!D$4:D$10000)</f>
        <v>0</v>
      </c>
      <c r="G1842" s="1" cm="1">
        <f t="array" ref="G1842">SUMPRODUCT(([1]OUT_FinalEnergyCons!$B$4:$B$10000="var_cap")*1, (ISNUMBER(SEARCH("RH*-SHH2BR",[1]OUT_FinalEnergyCons!$A$4:$A$10000)))*1,[1]OUT_FinalEnergyCons!E$4:E$10000)</f>
        <v>0</v>
      </c>
      <c r="H1842" s="1" cm="1">
        <f t="array" ref="H1842">SUMPRODUCT(([1]OUT_FinalEnergyCons!$B$4:$B$10000="var_cap")*1, (ISNUMBER(SEARCH("RH*-SHH2BR",[1]OUT_FinalEnergyCons!$A$4:$A$10000)))*1,[1]OUT_FinalEnergyCons!F$4:F$10000)</f>
        <v>0</v>
      </c>
      <c r="I1842" s="1" cm="1">
        <f t="array" ref="I1842">SUMPRODUCT(([1]OUT_FinalEnergyCons!$B$4:$B$10000="var_cap")*1, (ISNUMBER(SEARCH("RH*-SHH2BR",[1]OUT_FinalEnergyCons!$A$4:$A$10000)))*1,[1]OUT_FinalEnergyCons!G$4:G$10000)</f>
        <v>0</v>
      </c>
      <c r="J1842" s="1" cm="1">
        <f t="array" ref="J1842">SUMPRODUCT(([2]OUT_FinalEnergyCons!$B$4:$B$10000="var_cap")*1, (ISNUMBER(SEARCH("RH*-SHH2BR",[2]OUT_FinalEnergyCons!$A$4:$A$10000)))*1,[2]OUT_FinalEnergyCons!H$4:H$10000)</f>
        <v>0</v>
      </c>
      <c r="K1842" s="1" cm="1">
        <f t="array" ref="K1842">SUMPRODUCT(([2]OUT_FinalEnergyCons!$B$4:$B$10000="var_cap")*1, (ISNUMBER(SEARCH("RH*-SHH2BR",[2]OUT_FinalEnergyCons!$A$4:$A$10000)))*1,[2]OUT_FinalEnergyCons!I$4:I$10000)</f>
        <v>0</v>
      </c>
      <c r="L1842" s="1" cm="1">
        <f t="array" ref="L1842">SUMPRODUCT(([2]OUT_FinalEnergyCons!$B$4:$B$10000="var_cap")*1, (ISNUMBER(SEARCH("RH*-SHH2BR",[2]OUT_FinalEnergyCons!$A$4:$A$10000)))*1,[2]OUT_FinalEnergyCons!J$4:J$10000)</f>
        <v>0</v>
      </c>
      <c r="N1842" s="1"/>
    </row>
    <row r="1843" spans="2:14" x14ac:dyDescent="0.35">
      <c r="B1843" s="5" t="str">
        <f t="shared" ref="B1843:C1843" si="1924">B1842</f>
        <v>SPS1</v>
      </c>
      <c r="C1843" s="5" t="str">
        <f t="shared" si="1924"/>
        <v>CH</v>
      </c>
      <c r="D1843" t="s">
        <v>1879</v>
      </c>
      <c r="E1843" t="str">
        <f t="shared" si="1900"/>
        <v>GWth/yr.</v>
      </c>
      <c r="F1843" s="1">
        <f>SUM(F1844,F1847,F1849,F1852,F1854,F1856,F1858,F1860)</f>
        <v>1.8609827303746183</v>
      </c>
      <c r="G1843" s="1">
        <f t="shared" ref="G1843" si="1925">SUM(G1844,G1847,G1849,G1852,G1854,G1856,G1858,G1860)</f>
        <v>1.9970704651752189</v>
      </c>
      <c r="H1843" s="1">
        <f t="shared" ref="H1843" si="1926">SUM(H1844,H1847,H1849,H1852,H1854,H1856,H1858,H1860)</f>
        <v>2.0220672461017641</v>
      </c>
      <c r="I1843" s="1">
        <f t="shared" ref="I1843" si="1927">SUM(I1844,I1847,I1849,I1852,I1854,I1856,I1858,I1860)</f>
        <v>2.1896961559204677</v>
      </c>
      <c r="J1843" s="1">
        <f t="shared" ref="J1843" si="1928">SUM(J1844,J1847,J1849,J1852,J1854,J1856,J1858,J1860)</f>
        <v>1.7194650536011211</v>
      </c>
      <c r="K1843" s="1">
        <f t="shared" ref="K1843:L1843" si="1929">SUM(K1844,K1847,K1849,K1852,K1854,K1856,K1858,K1860)</f>
        <v>1.8424031257961999</v>
      </c>
      <c r="L1843" s="1">
        <f t="shared" si="1929"/>
        <v>2.106205567894293</v>
      </c>
      <c r="N1843" s="1"/>
    </row>
    <row r="1844" spans="2:14" x14ac:dyDescent="0.35">
      <c r="B1844" s="5" t="str">
        <f t="shared" ref="B1844:C1844" si="1930">B1843</f>
        <v>SPS1</v>
      </c>
      <c r="C1844" s="5" t="str">
        <f t="shared" si="1930"/>
        <v>CH</v>
      </c>
      <c r="D1844" t="s">
        <v>1880</v>
      </c>
      <c r="E1844" t="str">
        <f t="shared" si="1900"/>
        <v>GWth/yr.</v>
      </c>
      <c r="F1844" s="1">
        <f>SUM(F1845:F1846)</f>
        <v>0.65092462185247379</v>
      </c>
      <c r="G1844" s="1">
        <f t="shared" ref="G1844" si="1931">SUM(G1845:G1846)</f>
        <v>0.71790873118811749</v>
      </c>
      <c r="H1844" s="1">
        <f t="shared" ref="H1844" si="1932">SUM(H1845:H1846)</f>
        <v>0.66598211832035736</v>
      </c>
      <c r="I1844" s="1">
        <f t="shared" ref="I1844" si="1933">SUM(I1845:I1846)</f>
        <v>0.74008813187277966</v>
      </c>
      <c r="J1844" s="1">
        <f t="shared" ref="J1844" si="1934">SUM(J1845:J1846)</f>
        <v>0.7294302606894334</v>
      </c>
      <c r="K1844" s="1">
        <f t="shared" ref="K1844:L1844" si="1935">SUM(K1845:K1846)</f>
        <v>0.83358360302972445</v>
      </c>
      <c r="L1844" s="1">
        <f t="shared" si="1935"/>
        <v>1.0412003728871377</v>
      </c>
      <c r="N1844" s="1"/>
    </row>
    <row r="1845" spans="2:14" x14ac:dyDescent="0.35">
      <c r="B1845" s="5" t="str">
        <f t="shared" ref="B1845:C1845" si="1936">B1844</f>
        <v>SPS1</v>
      </c>
      <c r="C1845" s="5" t="str">
        <f t="shared" si="1936"/>
        <v>CH</v>
      </c>
      <c r="D1845" t="s">
        <v>1881</v>
      </c>
      <c r="E1845" t="str">
        <f t="shared" si="1900"/>
        <v>GWth/yr.</v>
      </c>
      <c r="F1845" s="1" cm="1">
        <f t="array" ref="F1845">SUMPRODUCT(([1]OUT_FinalEnergyCons!$B$4:$B$10000="var_cap")*1,(ISNUMBER(SEARCH("RH*-WHELCBR",[1]OUT_FinalEnergyCons!$A$4:$A$10000)))*1,[1]OUT_FinalEnergyCons!D$4:D$10000)</f>
        <v>0.43757025245884718</v>
      </c>
      <c r="G1845" s="1" cm="1">
        <f t="array" ref="G1845">SUMPRODUCT(([1]OUT_FinalEnergyCons!$B$4:$B$10000="var_cap")*1,(ISNUMBER(SEARCH("RH*-WHELCBR",[1]OUT_FinalEnergyCons!$A$4:$A$10000)))*1,[1]OUT_FinalEnergyCons!E$4:E$10000)</f>
        <v>0.47178582009144521</v>
      </c>
      <c r="H1845" s="1" cm="1">
        <f t="array" ref="H1845">SUMPRODUCT(([1]OUT_FinalEnergyCons!$B$4:$B$10000="var_cap")*1,(ISNUMBER(SEARCH("RH*-WHELCBR",[1]OUT_FinalEnergyCons!$A$4:$A$10000)))*1,[1]OUT_FinalEnergyCons!F$4:F$10000)</f>
        <v>0.3522046534319126</v>
      </c>
      <c r="I1845" s="1" cm="1">
        <f t="array" ref="I1845">SUMPRODUCT(([1]OUT_FinalEnergyCons!$B$4:$B$10000="var_cap")*1,(ISNUMBER(SEARCH("RH*-WHELCBR",[1]OUT_FinalEnergyCons!$A$4:$A$10000)))*1,[1]OUT_FinalEnergyCons!G$4:G$10000)</f>
        <v>0.27520437112140278</v>
      </c>
      <c r="J1845" s="1" cm="1">
        <f t="array" ref="J1845">SUMPRODUCT(([2]OUT_FinalEnergyCons!$B$4:$B$10000="var_cap")*1,(ISNUMBER(SEARCH("RH*-WHELCBR",[2]OUT_FinalEnergyCons!$A$4:$A$10000)))*1,[2]OUT_FinalEnergyCons!H$4:H$10000)</f>
        <v>0.1429995655531596</v>
      </c>
      <c r="K1845" s="1" cm="1">
        <f t="array" ref="K1845">SUMPRODUCT(([2]OUT_FinalEnergyCons!$B$4:$B$10000="var_cap")*1,(ISNUMBER(SEARCH("RH*-WHELCBR",[2]OUT_FinalEnergyCons!$A$4:$A$10000)))*1,[2]OUT_FinalEnergyCons!I$4:I$10000)</f>
        <v>0.14254356039328028</v>
      </c>
      <c r="L1845" s="1" cm="1">
        <f t="array" ref="L1845">SUMPRODUCT(([2]OUT_FinalEnergyCons!$B$4:$B$10000="var_cap")*1,(ISNUMBER(SEARCH("RH*-WHELCBR",[2]OUT_FinalEnergyCons!$A$4:$A$10000)))*1,[2]OUT_FinalEnergyCons!J$4:J$10000)</f>
        <v>0.12414566428165061</v>
      </c>
      <c r="N1845" s="1"/>
    </row>
    <row r="1846" spans="2:14" x14ac:dyDescent="0.35">
      <c r="B1846" s="5" t="str">
        <f t="shared" ref="B1846:C1846" si="1937">B1845</f>
        <v>SPS1</v>
      </c>
      <c r="C1846" s="5" t="str">
        <f t="shared" si="1937"/>
        <v>CH</v>
      </c>
      <c r="D1846" t="s">
        <v>1882</v>
      </c>
      <c r="E1846" t="str">
        <f t="shared" si="1900"/>
        <v>GWth/yr.</v>
      </c>
      <c r="F1846" s="1" cm="1">
        <f t="array" ref="F1846">SUMPRODUCT(([1]OUT_FinalEnergyCons!$B$4:$B$10000="var_cap")*1,ISNUMBER(SEARCH("RH*-WHELCHP",[1]OUT_FinalEnergyCons!$A$4:$A$10000))*1,[1]OUT_FinalEnergyCons!D$4:D$10000)</f>
        <v>0.21335436939362662</v>
      </c>
      <c r="G1846" s="1" cm="1">
        <f t="array" ref="G1846">SUMPRODUCT(([1]OUT_FinalEnergyCons!$B$4:$B$10000="var_cap")*1,ISNUMBER(SEARCH("RH*-WHELCHP",[1]OUT_FinalEnergyCons!$A$4:$A$10000))*1,[1]OUT_FinalEnergyCons!E$4:E$10000)</f>
        <v>0.24612291109667225</v>
      </c>
      <c r="H1846" s="1" cm="1">
        <f t="array" ref="H1846">SUMPRODUCT(([1]OUT_FinalEnergyCons!$B$4:$B$10000="var_cap")*1,ISNUMBER(SEARCH("RH*-WHELCHP",[1]OUT_FinalEnergyCons!$A$4:$A$10000))*1,[1]OUT_FinalEnergyCons!F$4:F$10000)</f>
        <v>0.31377746488844471</v>
      </c>
      <c r="I1846" s="1" cm="1">
        <f t="array" ref="I1846">SUMPRODUCT(([1]OUT_FinalEnergyCons!$B$4:$B$10000="var_cap")*1,ISNUMBER(SEARCH("RH*-WHELCHP",[1]OUT_FinalEnergyCons!$A$4:$A$10000))*1,[1]OUT_FinalEnergyCons!G$4:G$10000)</f>
        <v>0.46488376075137688</v>
      </c>
      <c r="J1846" s="1" cm="1">
        <f t="array" ref="J1846">SUMPRODUCT(([2]OUT_FinalEnergyCons!$B$4:$B$10000="var_cap")*1,ISNUMBER(SEARCH("RH*-WHELCHP",[2]OUT_FinalEnergyCons!$A$4:$A$10000))*1,[2]OUT_FinalEnergyCons!H$4:H$10000)</f>
        <v>0.58643069513627377</v>
      </c>
      <c r="K1846" s="1" cm="1">
        <f t="array" ref="K1846">SUMPRODUCT(([2]OUT_FinalEnergyCons!$B$4:$B$10000="var_cap")*1,ISNUMBER(SEARCH("RH*-WHELCHP",[2]OUT_FinalEnergyCons!$A$4:$A$10000))*1,[2]OUT_FinalEnergyCons!I$4:I$10000)</f>
        <v>0.69104004263644414</v>
      </c>
      <c r="L1846" s="1" cm="1">
        <f t="array" ref="L1846">SUMPRODUCT(([2]OUT_FinalEnergyCons!$B$4:$B$10000="var_cap")*1,ISNUMBER(SEARCH("RH*-WHELCHP",[2]OUT_FinalEnergyCons!$A$4:$A$10000))*1,[2]OUT_FinalEnergyCons!J$4:J$10000)</f>
        <v>0.9170547086054871</v>
      </c>
      <c r="N1846" s="1"/>
    </row>
    <row r="1847" spans="2:14" x14ac:dyDescent="0.35">
      <c r="B1847" s="5" t="str">
        <f t="shared" ref="B1847:C1847" si="1938">B1846</f>
        <v>SPS1</v>
      </c>
      <c r="C1847" s="5" t="str">
        <f t="shared" si="1938"/>
        <v>CH</v>
      </c>
      <c r="D1847" t="s">
        <v>1883</v>
      </c>
      <c r="E1847" t="str">
        <f t="shared" si="1900"/>
        <v>GWth/yr.</v>
      </c>
      <c r="F1847" s="1">
        <f>F1848</f>
        <v>0.47738433216181703</v>
      </c>
      <c r="G1847" s="1">
        <f t="shared" ref="G1847" si="1939">G1848</f>
        <v>0.45689174870563454</v>
      </c>
      <c r="H1847" s="1">
        <f t="shared" ref="H1847" si="1940">H1848</f>
        <v>0.43902724164701568</v>
      </c>
      <c r="I1847" s="1">
        <f t="shared" ref="I1847" si="1941">I1848</f>
        <v>0.4390011972085186</v>
      </c>
      <c r="J1847" s="1">
        <f t="shared" ref="J1847" si="1942">J1848</f>
        <v>0.1586498335625767</v>
      </c>
      <c r="K1847" s="1">
        <f t="shared" ref="K1847:L1847" si="1943">K1848</f>
        <v>0.12424502250605537</v>
      </c>
      <c r="L1847" s="1">
        <f t="shared" si="1943"/>
        <v>7.7542211704372047E-2</v>
      </c>
      <c r="N1847" s="1"/>
    </row>
    <row r="1848" spans="2:14" x14ac:dyDescent="0.35">
      <c r="B1848" s="5" t="str">
        <f t="shared" ref="B1848:C1848" si="1944">B1847</f>
        <v>SPS1</v>
      </c>
      <c r="C1848" s="5" t="str">
        <f t="shared" si="1944"/>
        <v>CH</v>
      </c>
      <c r="D1848" t="s">
        <v>1884</v>
      </c>
      <c r="E1848" t="str">
        <f t="shared" si="1900"/>
        <v>GWth/yr.</v>
      </c>
      <c r="F1848" s="1" cm="1">
        <f t="array" ref="F1848">SUMPRODUCT(([1]OUT_FinalEnergyCons!$B$4:$B$10000="var_cap")*1, (ISNUMBER(SEARCH("RH*-WHLFOBR",[1]OUT_FinalEnergyCons!$A$4:$A$10000)))*1,[1]OUT_FinalEnergyCons!D$4:D$10000)</f>
        <v>0.47738433216181703</v>
      </c>
      <c r="G1848" s="1" cm="1">
        <f t="array" ref="G1848">SUMPRODUCT(([1]OUT_FinalEnergyCons!$B$4:$B$10000="var_cap")*1, (ISNUMBER(SEARCH("RH*-WHLFOBR",[1]OUT_FinalEnergyCons!$A$4:$A$10000)))*1,[1]OUT_FinalEnergyCons!E$4:E$10000)</f>
        <v>0.45689174870563454</v>
      </c>
      <c r="H1848" s="1" cm="1">
        <f t="array" ref="H1848">SUMPRODUCT(([1]OUT_FinalEnergyCons!$B$4:$B$10000="var_cap")*1, (ISNUMBER(SEARCH("RH*-WHLFOBR",[1]OUT_FinalEnergyCons!$A$4:$A$10000)))*1,[1]OUT_FinalEnergyCons!F$4:F$10000)</f>
        <v>0.43902724164701568</v>
      </c>
      <c r="I1848" s="1" cm="1">
        <f t="array" ref="I1848">SUMPRODUCT(([1]OUT_FinalEnergyCons!$B$4:$B$10000="var_cap")*1, (ISNUMBER(SEARCH("RH*-WHLFOBR",[1]OUT_FinalEnergyCons!$A$4:$A$10000)))*1,[1]OUT_FinalEnergyCons!G$4:G$10000)</f>
        <v>0.4390011972085186</v>
      </c>
      <c r="J1848" s="1" cm="1">
        <f t="array" ref="J1848">SUMPRODUCT(([2]OUT_FinalEnergyCons!$B$4:$B$10000="var_cap")*1, (ISNUMBER(SEARCH("RH*-WHLFOBR",[2]OUT_FinalEnergyCons!$A$4:$A$10000)))*1,[2]OUT_FinalEnergyCons!H$4:H$10000)</f>
        <v>0.1586498335625767</v>
      </c>
      <c r="K1848" s="1" cm="1">
        <f t="array" ref="K1848">SUMPRODUCT(([2]OUT_FinalEnergyCons!$B$4:$B$10000="var_cap")*1, (ISNUMBER(SEARCH("RH*-WHLFOBR",[2]OUT_FinalEnergyCons!$A$4:$A$10000)))*1,[2]OUT_FinalEnergyCons!I$4:I$10000)</f>
        <v>0.12424502250605537</v>
      </c>
      <c r="L1848" s="1" cm="1">
        <f t="array" ref="L1848">SUMPRODUCT(([2]OUT_FinalEnergyCons!$B$4:$B$10000="var_cap")*1, (ISNUMBER(SEARCH("RH*-WHLFOBR",[2]OUT_FinalEnergyCons!$A$4:$A$10000)))*1,[2]OUT_FinalEnergyCons!J$4:J$10000)</f>
        <v>7.7542211704372047E-2</v>
      </c>
      <c r="N1848" s="1"/>
    </row>
    <row r="1849" spans="2:14" x14ac:dyDescent="0.35">
      <c r="B1849" s="5" t="str">
        <f t="shared" ref="B1849:C1849" si="1945">B1848</f>
        <v>SPS1</v>
      </c>
      <c r="C1849" s="5" t="str">
        <f t="shared" si="1945"/>
        <v>CH</v>
      </c>
      <c r="D1849" t="s">
        <v>1885</v>
      </c>
      <c r="E1849" t="str">
        <f t="shared" si="1900"/>
        <v>GWth/yr.</v>
      </c>
      <c r="F1849" s="1">
        <f>SUM(F1850:F1851)</f>
        <v>0.43610075806793741</v>
      </c>
      <c r="G1849" s="1">
        <f t="shared" ref="G1849" si="1946">SUM(G1850:G1851)</f>
        <v>0.43609915298076712</v>
      </c>
      <c r="H1849" s="1">
        <f t="shared" ref="H1849" si="1947">SUM(H1850:H1851)</f>
        <v>0.49555683495669267</v>
      </c>
      <c r="I1849" s="1">
        <f t="shared" ref="I1849" si="1948">SUM(I1850:I1851)</f>
        <v>0.58120332014650855</v>
      </c>
      <c r="J1849" s="1">
        <f t="shared" ref="J1849" si="1949">SUM(J1850:J1851)</f>
        <v>0.4659346870988943</v>
      </c>
      <c r="K1849" s="1">
        <f t="shared" ref="K1849:L1849" si="1950">SUM(K1850:K1851)</f>
        <v>0.48882855648509732</v>
      </c>
      <c r="L1849" s="1">
        <f t="shared" si="1950"/>
        <v>0.54342987744141524</v>
      </c>
      <c r="N1849" s="1"/>
    </row>
    <row r="1850" spans="2:14" x14ac:dyDescent="0.35">
      <c r="B1850" s="5" t="str">
        <f t="shared" ref="B1850:C1850" si="1951">B1849</f>
        <v>SPS1</v>
      </c>
      <c r="C1850" s="5" t="str">
        <f t="shared" si="1951"/>
        <v>CH</v>
      </c>
      <c r="D1850" t="s">
        <v>1886</v>
      </c>
      <c r="E1850" t="str">
        <f t="shared" si="1900"/>
        <v>GWth/yr.</v>
      </c>
      <c r="F1850" s="1" cm="1">
        <f t="array" ref="F1850">SUMPRODUCT(([1]OUT_FinalEnergyCons!$B$4:$B$10000="var_cap")*1, (ISNUMBER(SEARCH("RH*-WHNGABR",[1]OUT_FinalEnergyCons!$A$4:$A$10000)))*1,[1]OUT_FinalEnergyCons!D$4:D$10000)</f>
        <v>0.43610075802020798</v>
      </c>
      <c r="G1850" s="1" cm="1">
        <f t="array" ref="G1850">SUMPRODUCT(([1]OUT_FinalEnergyCons!$B$4:$B$10000="var_cap")*1, (ISNUMBER(SEARCH("RH*-WHNGABR",[1]OUT_FinalEnergyCons!$A$4:$A$10000)))*1,[1]OUT_FinalEnergyCons!E$4:E$10000)</f>
        <v>0.43609917735318754</v>
      </c>
      <c r="H1850" s="1" cm="1">
        <f t="array" ref="H1850">SUMPRODUCT(([1]OUT_FinalEnergyCons!$B$4:$B$10000="var_cap")*1, (ISNUMBER(SEARCH("RH*-WHNGABR",[1]OUT_FinalEnergyCons!$A$4:$A$10000)))*1,[1]OUT_FinalEnergyCons!F$4:F$10000)</f>
        <v>0.43609735997989491</v>
      </c>
      <c r="I1850" s="1" cm="1">
        <f t="array" ref="I1850">SUMPRODUCT(([1]OUT_FinalEnergyCons!$B$4:$B$10000="var_cap")*1, (ISNUMBER(SEARCH("RH*-WHNGABR",[1]OUT_FinalEnergyCons!$A$4:$A$10000)))*1,[1]OUT_FinalEnergyCons!G$4:G$10000)</f>
        <v>0.43609639975367326</v>
      </c>
      <c r="J1850" s="1" cm="1">
        <f t="array" ref="J1850">SUMPRODUCT(([2]OUT_FinalEnergyCons!$B$4:$B$10000="var_cap")*1, (ISNUMBER(SEARCH("RH*-WHNGABR",[2]OUT_FinalEnergyCons!$A$4:$A$10000)))*1,[2]OUT_FinalEnergyCons!H$4:H$10000)</f>
        <v>0.25356154115323504</v>
      </c>
      <c r="K1850" s="1" cm="1">
        <f t="array" ref="K1850">SUMPRODUCT(([2]OUT_FinalEnergyCons!$B$4:$B$10000="var_cap")*1, (ISNUMBER(SEARCH("RH*-WHNGABR",[2]OUT_FinalEnergyCons!$A$4:$A$10000)))*1,[2]OUT_FinalEnergyCons!I$4:I$10000)</f>
        <v>0.21567625520883077</v>
      </c>
      <c r="L1850" s="1" cm="1">
        <f t="array" ref="L1850">SUMPRODUCT(([2]OUT_FinalEnergyCons!$B$4:$B$10000="var_cap")*1, (ISNUMBER(SEARCH("RH*-WHNGABR",[2]OUT_FinalEnergyCons!$A$4:$A$10000)))*1,[2]OUT_FinalEnergyCons!J$4:J$10000)</f>
        <v>0.14221833646437279</v>
      </c>
      <c r="N1850" s="1"/>
    </row>
    <row r="1851" spans="2:14" x14ac:dyDescent="0.35">
      <c r="B1851" s="5" t="str">
        <f t="shared" ref="B1851:C1851" si="1952">B1850</f>
        <v>SPS1</v>
      </c>
      <c r="C1851" s="5" t="str">
        <f t="shared" si="1952"/>
        <v>CH</v>
      </c>
      <c r="D1851" t="s">
        <v>1887</v>
      </c>
      <c r="E1851" t="str">
        <f t="shared" si="1900"/>
        <v>GWth/yr.</v>
      </c>
      <c r="F1851" s="1" cm="1">
        <f t="array" ref="F1851">SUMPRODUCT(([1]OUT_FinalEnergyCons!$B$4:$B$10000="var_cap")*1,ISNUMBER(SEARCH("RH*-WHngahp",[1]OUT_FinalEnergyCons!$A$4:$A$10000))*1,[1]OUT_FinalEnergyCons!D$4:D$10000)</f>
        <v>4.7729432218241499E-11</v>
      </c>
      <c r="G1851" s="1" cm="1">
        <f t="array" ref="G1851">SUMPRODUCT(([1]OUT_FinalEnergyCons!$B$4:$B$10000="var_cap")*1,ISNUMBER(SEARCH("RH*-WHngahp",[1]OUT_FinalEnergyCons!$A$4:$A$10000))*1,[1]OUT_FinalEnergyCons!E$4:E$10000)</f>
        <v>-2.437242041447935E-8</v>
      </c>
      <c r="H1851" s="1" cm="1">
        <f t="array" ref="H1851">SUMPRODUCT(([1]OUT_FinalEnergyCons!$B$4:$B$10000="var_cap")*1,ISNUMBER(SEARCH("RH*-WHngahp",[1]OUT_FinalEnergyCons!$A$4:$A$10000))*1,[1]OUT_FinalEnergyCons!F$4:F$10000)</f>
        <v>5.945947497679778E-2</v>
      </c>
      <c r="I1851" s="1" cm="1">
        <f t="array" ref="I1851">SUMPRODUCT(([1]OUT_FinalEnergyCons!$B$4:$B$10000="var_cap")*1,ISNUMBER(SEARCH("RH*-WHngahp",[1]OUT_FinalEnergyCons!$A$4:$A$10000))*1,[1]OUT_FinalEnergyCons!G$4:G$10000)</f>
        <v>0.14510692039283529</v>
      </c>
      <c r="J1851" s="1" cm="1">
        <f t="array" ref="J1851">SUMPRODUCT(([2]OUT_FinalEnergyCons!$B$4:$B$10000="var_cap")*1,ISNUMBER(SEARCH("RH*-WHngahp",[2]OUT_FinalEnergyCons!$A$4:$A$10000))*1,[2]OUT_FinalEnergyCons!H$4:H$10000)</f>
        <v>0.21237314594565926</v>
      </c>
      <c r="K1851" s="1" cm="1">
        <f t="array" ref="K1851">SUMPRODUCT(([2]OUT_FinalEnergyCons!$B$4:$B$10000="var_cap")*1,ISNUMBER(SEARCH("RH*-WHngahp",[2]OUT_FinalEnergyCons!$A$4:$A$10000))*1,[2]OUT_FinalEnergyCons!I$4:I$10000)</f>
        <v>0.27315230127626655</v>
      </c>
      <c r="L1851" s="1" cm="1">
        <f t="array" ref="L1851">SUMPRODUCT(([2]OUT_FinalEnergyCons!$B$4:$B$10000="var_cap")*1,ISNUMBER(SEARCH("RH*-WHngahp",[2]OUT_FinalEnergyCons!$A$4:$A$10000))*1,[2]OUT_FinalEnergyCons!J$4:J$10000)</f>
        <v>0.40121154097704242</v>
      </c>
      <c r="N1851" s="1"/>
    </row>
    <row r="1852" spans="2:14" x14ac:dyDescent="0.35">
      <c r="B1852" s="5" t="str">
        <f t="shared" ref="B1852:C1852" si="1953">B1851</f>
        <v>SPS1</v>
      </c>
      <c r="C1852" s="5" t="str">
        <f t="shared" si="1953"/>
        <v>CH</v>
      </c>
      <c r="D1852" t="s">
        <v>1888</v>
      </c>
      <c r="E1852" t="str">
        <f t="shared" si="1900"/>
        <v>GWth/yr.</v>
      </c>
      <c r="F1852" s="1">
        <f>F1853</f>
        <v>0</v>
      </c>
      <c r="G1852" s="1">
        <f t="shared" ref="G1852" si="1954">G1853</f>
        <v>0</v>
      </c>
      <c r="H1852" s="1">
        <f t="shared" ref="H1852" si="1955">H1853</f>
        <v>0</v>
      </c>
      <c r="I1852" s="1">
        <f t="shared" ref="I1852" si="1956">I1853</f>
        <v>0</v>
      </c>
      <c r="J1852" s="1">
        <f t="shared" ref="J1852" si="1957">J1853</f>
        <v>0</v>
      </c>
      <c r="K1852" s="1">
        <f t="shared" ref="K1852:L1852" si="1958">K1853</f>
        <v>0</v>
      </c>
      <c r="L1852" s="1">
        <f t="shared" si="1958"/>
        <v>0</v>
      </c>
      <c r="N1852" s="1"/>
    </row>
    <row r="1853" spans="2:14" x14ac:dyDescent="0.35">
      <c r="B1853" s="5" t="str">
        <f t="shared" ref="B1853:C1853" si="1959">B1852</f>
        <v>SPS1</v>
      </c>
      <c r="C1853" s="5" t="str">
        <f t="shared" si="1959"/>
        <v>CH</v>
      </c>
      <c r="D1853" t="s">
        <v>1889</v>
      </c>
      <c r="E1853" t="str">
        <f t="shared" si="1900"/>
        <v>GWth/yr.</v>
      </c>
      <c r="F1853" s="1" cm="1">
        <f t="array" ref="F1853">SUMPRODUCT(([1]OUT_FinalEnergyCons!$B$4:$B$10000="var_cap")*1, (ISNUMBER(SEARCH("RH*-WHCOABR",[1]OUT_FinalEnergyCons!$A$4:$A$10000)))*1,[1]OUT_FinalEnergyCons!D$4:D$10000)</f>
        <v>0</v>
      </c>
      <c r="G1853" s="1" cm="1">
        <f t="array" ref="G1853">SUMPRODUCT(([1]OUT_FinalEnergyCons!$B$4:$B$10000="var_cap")*1, (ISNUMBER(SEARCH("RH*-WHCOABR",[1]OUT_FinalEnergyCons!$A$4:$A$10000)))*1,[1]OUT_FinalEnergyCons!E$4:E$10000)</f>
        <v>0</v>
      </c>
      <c r="H1853" s="1" cm="1">
        <f t="array" ref="H1853">SUMPRODUCT(([1]OUT_FinalEnergyCons!$B$4:$B$10000="var_cap")*1, (ISNUMBER(SEARCH("RH*-WHCOABR",[1]OUT_FinalEnergyCons!$A$4:$A$10000)))*1,[1]OUT_FinalEnergyCons!F$4:F$10000)</f>
        <v>0</v>
      </c>
      <c r="I1853" s="1" cm="1">
        <f t="array" ref="I1853">SUMPRODUCT(([1]OUT_FinalEnergyCons!$B$4:$B$10000="var_cap")*1, (ISNUMBER(SEARCH("RH*-WHCOABR",[1]OUT_FinalEnergyCons!$A$4:$A$10000)))*1,[1]OUT_FinalEnergyCons!G$4:G$10000)</f>
        <v>0</v>
      </c>
      <c r="J1853" s="1" cm="1">
        <f t="array" ref="J1853">SUMPRODUCT(([2]OUT_FinalEnergyCons!$B$4:$B$10000="var_cap")*1, (ISNUMBER(SEARCH("RH*-WHCOABR",[2]OUT_FinalEnergyCons!$A$4:$A$10000)))*1,[2]OUT_FinalEnergyCons!H$4:H$10000)</f>
        <v>0</v>
      </c>
      <c r="K1853" s="1" cm="1">
        <f t="array" ref="K1853">SUMPRODUCT(([2]OUT_FinalEnergyCons!$B$4:$B$10000="var_cap")*1, (ISNUMBER(SEARCH("RH*-WHCOABR",[2]OUT_FinalEnergyCons!$A$4:$A$10000)))*1,[2]OUT_FinalEnergyCons!I$4:I$10000)</f>
        <v>0</v>
      </c>
      <c r="L1853" s="1" cm="1">
        <f t="array" ref="L1853">SUMPRODUCT(([2]OUT_FinalEnergyCons!$B$4:$B$10000="var_cap")*1, (ISNUMBER(SEARCH("RH*-WHCOABR",[2]OUT_FinalEnergyCons!$A$4:$A$10000)))*1,[2]OUT_FinalEnergyCons!J$4:J$10000)</f>
        <v>0</v>
      </c>
      <c r="N1853" s="1"/>
    </row>
    <row r="1854" spans="2:14" x14ac:dyDescent="0.35">
      <c r="B1854" s="5" t="str">
        <f t="shared" ref="B1854:C1854" si="1960">B1853</f>
        <v>SPS1</v>
      </c>
      <c r="C1854" s="5" t="str">
        <f t="shared" si="1960"/>
        <v>CH</v>
      </c>
      <c r="D1854" t="s">
        <v>1890</v>
      </c>
      <c r="E1854" t="str">
        <f t="shared" si="1900"/>
        <v>GWth/yr.</v>
      </c>
      <c r="F1854" s="1">
        <f>F1855</f>
        <v>3.5322010722483803E-2</v>
      </c>
      <c r="G1854" s="1">
        <f t="shared" ref="G1854" si="1961">G1855</f>
        <v>4.0436141262843277E-2</v>
      </c>
      <c r="H1854" s="1">
        <f t="shared" ref="H1854" si="1962">H1855</f>
        <v>7.6684795814723108E-2</v>
      </c>
      <c r="I1854" s="1">
        <f t="shared" ref="I1854" si="1963">I1855</f>
        <v>8.458689794639683E-2</v>
      </c>
      <c r="J1854" s="1">
        <f t="shared" ref="J1854" si="1964">J1855</f>
        <v>9.350082483680322E-2</v>
      </c>
      <c r="K1854" s="1">
        <f t="shared" ref="K1854:L1854" si="1965">K1855</f>
        <v>9.4381876209819984E-2</v>
      </c>
      <c r="L1854" s="1">
        <f t="shared" si="1965"/>
        <v>9.3389047314585277E-2</v>
      </c>
      <c r="N1854" s="1"/>
    </row>
    <row r="1855" spans="2:14" x14ac:dyDescent="0.35">
      <c r="B1855" s="5" t="str">
        <f t="shared" ref="B1855:C1855" si="1966">B1854</f>
        <v>SPS1</v>
      </c>
      <c r="C1855" s="5" t="str">
        <f t="shared" si="1966"/>
        <v>CH</v>
      </c>
      <c r="D1855" t="s">
        <v>1891</v>
      </c>
      <c r="E1855" t="str">
        <f t="shared" si="1900"/>
        <v>GWth/yr.</v>
      </c>
      <c r="F1855" s="1" cm="1">
        <f t="array" ref="F1855">SUMPRODUCT(([1]OUT_FinalEnergyCons!$B$4:$B$10000="var_cap")*1, (ISNUMBER(SEARCH("RH*-WHWODBR",[1]OUT_FinalEnergyCons!$A$4:$A$10000)))*1,[1]OUT_FinalEnergyCons!D$4:D$10000)</f>
        <v>3.5322010722483803E-2</v>
      </c>
      <c r="G1855" s="1" cm="1">
        <f t="array" ref="G1855">SUMPRODUCT(([1]OUT_FinalEnergyCons!$B$4:$B$10000="var_cap")*1, (ISNUMBER(SEARCH("RH*-WHWODBR",[1]OUT_FinalEnergyCons!$A$4:$A$10000)))*1,[1]OUT_FinalEnergyCons!E$4:E$10000)</f>
        <v>4.0436141262843277E-2</v>
      </c>
      <c r="H1855" s="1" cm="1">
        <f t="array" ref="H1855">SUMPRODUCT(([1]OUT_FinalEnergyCons!$B$4:$B$10000="var_cap")*1, (ISNUMBER(SEARCH("RH*-WHWODBR",[1]OUT_FinalEnergyCons!$A$4:$A$10000)))*1,[1]OUT_FinalEnergyCons!F$4:F$10000)</f>
        <v>7.6684795814723108E-2</v>
      </c>
      <c r="I1855" s="1" cm="1">
        <f t="array" ref="I1855">SUMPRODUCT(([1]OUT_FinalEnergyCons!$B$4:$B$10000="var_cap")*1, (ISNUMBER(SEARCH("RH*-WHWODBR",[1]OUT_FinalEnergyCons!$A$4:$A$10000)))*1,[1]OUT_FinalEnergyCons!G$4:G$10000)</f>
        <v>8.458689794639683E-2</v>
      </c>
      <c r="J1855" s="1" cm="1">
        <f t="array" ref="J1855">SUMPRODUCT(([2]OUT_FinalEnergyCons!$B$4:$B$10000="var_cap")*1, (ISNUMBER(SEARCH("RH*-WHWODBR",[2]OUT_FinalEnergyCons!$A$4:$A$10000)))*1,[2]OUT_FinalEnergyCons!H$4:H$10000)</f>
        <v>9.350082483680322E-2</v>
      </c>
      <c r="K1855" s="1" cm="1">
        <f t="array" ref="K1855">SUMPRODUCT(([2]OUT_FinalEnergyCons!$B$4:$B$10000="var_cap")*1, (ISNUMBER(SEARCH("RH*-WHWODBR",[2]OUT_FinalEnergyCons!$A$4:$A$10000)))*1,[2]OUT_FinalEnergyCons!I$4:I$10000)</f>
        <v>9.4381876209819984E-2</v>
      </c>
      <c r="L1855" s="1" cm="1">
        <f t="array" ref="L1855">SUMPRODUCT(([2]OUT_FinalEnergyCons!$B$4:$B$10000="var_cap")*1, (ISNUMBER(SEARCH("RH*-WHWODBR",[2]OUT_FinalEnergyCons!$A$4:$A$10000)))*1,[2]OUT_FinalEnergyCons!J$4:J$10000)</f>
        <v>9.3389047314585277E-2</v>
      </c>
      <c r="N1855" s="1"/>
    </row>
    <row r="1856" spans="2:14" x14ac:dyDescent="0.35">
      <c r="B1856" s="5" t="str">
        <f t="shared" ref="B1856:C1856" si="1967">B1855</f>
        <v>SPS1</v>
      </c>
      <c r="C1856" s="5" t="str">
        <f t="shared" si="1967"/>
        <v>CH</v>
      </c>
      <c r="D1856" t="s">
        <v>1892</v>
      </c>
      <c r="E1856" t="str">
        <f t="shared" si="1900"/>
        <v>GWth/yr.</v>
      </c>
      <c r="F1856" s="1">
        <f>F1857</f>
        <v>1.12410901121583E-2</v>
      </c>
      <c r="G1856" s="1">
        <f t="shared" ref="G1856" si="1968">G1857</f>
        <v>1.3191297702973838E-2</v>
      </c>
      <c r="H1856" s="1">
        <f t="shared" ref="H1856" si="1969">H1857</f>
        <v>1.2273591885311245E-2</v>
      </c>
      <c r="I1856" s="1">
        <f t="shared" ref="I1856" si="1970">I1857</f>
        <v>1.2273627151775995E-2</v>
      </c>
      <c r="J1856" s="1">
        <f t="shared" ref="J1856" si="1971">J1857</f>
        <v>1.3466176908508376E-2</v>
      </c>
      <c r="K1856" s="1">
        <f t="shared" ref="K1856:L1856" si="1972">K1857</f>
        <v>1.633147039343804E-2</v>
      </c>
      <c r="L1856" s="1">
        <f t="shared" si="1972"/>
        <v>2.2141585728371896E-2</v>
      </c>
      <c r="N1856" s="1"/>
    </row>
    <row r="1857" spans="2:14" x14ac:dyDescent="0.35">
      <c r="B1857" s="5" t="str">
        <f t="shared" ref="B1857:C1857" si="1973">B1856</f>
        <v>SPS1</v>
      </c>
      <c r="C1857" s="5" t="str">
        <f t="shared" si="1973"/>
        <v>CH</v>
      </c>
      <c r="D1857" t="s">
        <v>1893</v>
      </c>
      <c r="E1857" t="str">
        <f t="shared" si="1900"/>
        <v>GWth/yr.</v>
      </c>
      <c r="F1857" s="1" cm="1">
        <f t="array" ref="F1857">SUMPRODUCT(([1]OUT_FinalEnergyCons!$B$4:$B$10000="var_cap")*1, (ISNUMBER(SEARCH("RH*-WHPLTBR",[1]OUT_FinalEnergyCons!$A$4:$A$10000)))*1,[1]OUT_FinalEnergyCons!D$4:D$10000)</f>
        <v>1.12410901121583E-2</v>
      </c>
      <c r="G1857" s="1" cm="1">
        <f t="array" ref="G1857">SUMPRODUCT(([1]OUT_FinalEnergyCons!$B$4:$B$10000="var_cap")*1, (ISNUMBER(SEARCH("RH*-WHPLTBR",[1]OUT_FinalEnergyCons!$A$4:$A$10000)))*1,[1]OUT_FinalEnergyCons!E$4:E$10000)</f>
        <v>1.3191297702973838E-2</v>
      </c>
      <c r="H1857" s="1" cm="1">
        <f t="array" ref="H1857">SUMPRODUCT(([1]OUT_FinalEnergyCons!$B$4:$B$10000="var_cap")*1, (ISNUMBER(SEARCH("RH*-WHPLTBR",[1]OUT_FinalEnergyCons!$A$4:$A$10000)))*1,[1]OUT_FinalEnergyCons!F$4:F$10000)</f>
        <v>1.2273591885311245E-2</v>
      </c>
      <c r="I1857" s="1" cm="1">
        <f t="array" ref="I1857">SUMPRODUCT(([1]OUT_FinalEnergyCons!$B$4:$B$10000="var_cap")*1, (ISNUMBER(SEARCH("RH*-WHPLTBR",[1]OUT_FinalEnergyCons!$A$4:$A$10000)))*1,[1]OUT_FinalEnergyCons!G$4:G$10000)</f>
        <v>1.2273627151775995E-2</v>
      </c>
      <c r="J1857" s="1" cm="1">
        <f t="array" ref="J1857">SUMPRODUCT(([2]OUT_FinalEnergyCons!$B$4:$B$10000="var_cap")*1, (ISNUMBER(SEARCH("RH*-WHPLTBR",[2]OUT_FinalEnergyCons!$A$4:$A$10000)))*1,[2]OUT_FinalEnergyCons!H$4:H$10000)</f>
        <v>1.3466176908508376E-2</v>
      </c>
      <c r="K1857" s="1" cm="1">
        <f t="array" ref="K1857">SUMPRODUCT(([2]OUT_FinalEnergyCons!$B$4:$B$10000="var_cap")*1, (ISNUMBER(SEARCH("RH*-WHPLTBR",[2]OUT_FinalEnergyCons!$A$4:$A$10000)))*1,[2]OUT_FinalEnergyCons!I$4:I$10000)</f>
        <v>1.633147039343804E-2</v>
      </c>
      <c r="L1857" s="1" cm="1">
        <f t="array" ref="L1857">SUMPRODUCT(([2]OUT_FinalEnergyCons!$B$4:$B$10000="var_cap")*1, (ISNUMBER(SEARCH("RH*-WHPLTBR",[2]OUT_FinalEnergyCons!$A$4:$A$10000)))*1,[2]OUT_FinalEnergyCons!J$4:J$10000)</f>
        <v>2.2141585728371896E-2</v>
      </c>
      <c r="N1857" s="1"/>
    </row>
    <row r="1858" spans="2:14" x14ac:dyDescent="0.35">
      <c r="B1858" s="5" t="str">
        <f t="shared" ref="B1858:C1858" si="1974">B1857</f>
        <v>SPS1</v>
      </c>
      <c r="C1858" s="5" t="str">
        <f t="shared" si="1974"/>
        <v>CH</v>
      </c>
      <c r="D1858" t="s">
        <v>1894</v>
      </c>
      <c r="E1858" t="str">
        <f t="shared" si="1900"/>
        <v>GWth/yr.</v>
      </c>
      <c r="F1858" s="1">
        <f>F1859</f>
        <v>0.25000991745774798</v>
      </c>
      <c r="G1858" s="1">
        <f t="shared" ref="G1858" si="1975">G1859</f>
        <v>0.33254339333488253</v>
      </c>
      <c r="H1858" s="1">
        <f t="shared" ref="H1858" si="1976">H1859</f>
        <v>0.33254266347766398</v>
      </c>
      <c r="I1858" s="1">
        <f t="shared" ref="I1858" si="1977">I1859</f>
        <v>0.33254298159448803</v>
      </c>
      <c r="J1858" s="1">
        <f t="shared" ref="J1858" si="1978">J1859</f>
        <v>0.25848327050490533</v>
      </c>
      <c r="K1858" s="1">
        <f t="shared" ref="K1858:L1858" si="1979">K1859</f>
        <v>0.28503259717206469</v>
      </c>
      <c r="L1858" s="1">
        <f t="shared" si="1979"/>
        <v>0.32850247281841072</v>
      </c>
      <c r="N1858" s="1"/>
    </row>
    <row r="1859" spans="2:14" x14ac:dyDescent="0.35">
      <c r="B1859" s="5" t="str">
        <f t="shared" ref="B1859:C1859" si="1980">B1858</f>
        <v>SPS1</v>
      </c>
      <c r="C1859" s="5" t="str">
        <f t="shared" si="1980"/>
        <v>CH</v>
      </c>
      <c r="D1859" t="s">
        <v>1895</v>
      </c>
      <c r="E1859" t="str">
        <f t="shared" si="1900"/>
        <v>GWth/yr.</v>
      </c>
      <c r="F1859" s="1" cm="1">
        <f t="array" ref="F1859">SUMPRODUCT(([1]OUT_FinalEnergyCons!$B$4:$B$10000="var_cap")*1, (ISNUMBER(SEARCH("RH*-WHSOLBR",[1]OUT_FinalEnergyCons!$A$4:$A$10000)))*1,[1]OUT_FinalEnergyCons!D$4:D$10000)</f>
        <v>0.25000991745774798</v>
      </c>
      <c r="G1859" s="1" cm="1">
        <f t="array" ref="G1859">SUMPRODUCT(([1]OUT_FinalEnergyCons!$B$4:$B$10000="var_cap")*1, (ISNUMBER(SEARCH("RH*-WHSOLBR",[1]OUT_FinalEnergyCons!$A$4:$A$10000)))*1,[1]OUT_FinalEnergyCons!E$4:E$10000)</f>
        <v>0.33254339333488253</v>
      </c>
      <c r="H1859" s="1" cm="1">
        <f t="array" ref="H1859">SUMPRODUCT(([1]OUT_FinalEnergyCons!$B$4:$B$10000="var_cap")*1, (ISNUMBER(SEARCH("RH*-WHSOLBR",[1]OUT_FinalEnergyCons!$A$4:$A$10000)))*1,[1]OUT_FinalEnergyCons!F$4:F$10000)</f>
        <v>0.33254266347766398</v>
      </c>
      <c r="I1859" s="1" cm="1">
        <f t="array" ref="I1859">SUMPRODUCT(([1]OUT_FinalEnergyCons!$B$4:$B$10000="var_cap")*1, (ISNUMBER(SEARCH("RH*-WHSOLBR",[1]OUT_FinalEnergyCons!$A$4:$A$10000)))*1,[1]OUT_FinalEnergyCons!G$4:G$10000)</f>
        <v>0.33254298159448803</v>
      </c>
      <c r="J1859" s="1" cm="1">
        <f t="array" ref="J1859">SUMPRODUCT(([2]OUT_FinalEnergyCons!$B$4:$B$10000="var_cap")*1, (ISNUMBER(SEARCH("RH*-WHSOLBR",[2]OUT_FinalEnergyCons!$A$4:$A$10000)))*1,[2]OUT_FinalEnergyCons!H$4:H$10000)</f>
        <v>0.25848327050490533</v>
      </c>
      <c r="K1859" s="1" cm="1">
        <f t="array" ref="K1859">SUMPRODUCT(([2]OUT_FinalEnergyCons!$B$4:$B$10000="var_cap")*1, (ISNUMBER(SEARCH("RH*-WHSOLBR",[2]OUT_FinalEnergyCons!$A$4:$A$10000)))*1,[2]OUT_FinalEnergyCons!I$4:I$10000)</f>
        <v>0.28503259717206469</v>
      </c>
      <c r="L1859" s="1" cm="1">
        <f t="array" ref="L1859">SUMPRODUCT(([2]OUT_FinalEnergyCons!$B$4:$B$10000="var_cap")*1, (ISNUMBER(SEARCH("RH*-WHSOLBR",[2]OUT_FinalEnergyCons!$A$4:$A$10000)))*1,[2]OUT_FinalEnergyCons!J$4:J$10000)</f>
        <v>0.32850247281841072</v>
      </c>
      <c r="N1859" s="1"/>
    </row>
    <row r="1860" spans="2:14" x14ac:dyDescent="0.35">
      <c r="B1860" s="5" t="str">
        <f t="shared" ref="B1860:C1860" si="1981">B1859</f>
        <v>SPS1</v>
      </c>
      <c r="C1860" s="5" t="str">
        <f t="shared" si="1981"/>
        <v>CH</v>
      </c>
      <c r="D1860" t="s">
        <v>1896</v>
      </c>
      <c r="E1860" t="str">
        <f t="shared" si="1900"/>
        <v>GWth/yr.</v>
      </c>
      <c r="F1860" s="1">
        <f>F1861</f>
        <v>0</v>
      </c>
      <c r="G1860" s="1">
        <f t="shared" ref="G1860" si="1982">G1861</f>
        <v>0</v>
      </c>
      <c r="H1860" s="1">
        <f t="shared" ref="H1860" si="1983">H1861</f>
        <v>0</v>
      </c>
      <c r="I1860" s="1">
        <f t="shared" ref="I1860" si="1984">I1861</f>
        <v>0</v>
      </c>
      <c r="J1860" s="1">
        <f t="shared" ref="J1860" si="1985">J1861</f>
        <v>0</v>
      </c>
      <c r="K1860" s="1">
        <f t="shared" ref="K1860:L1860" si="1986">K1861</f>
        <v>0</v>
      </c>
      <c r="L1860" s="1">
        <f t="shared" si="1986"/>
        <v>0</v>
      </c>
      <c r="N1860" s="1"/>
    </row>
    <row r="1861" spans="2:14" x14ac:dyDescent="0.35">
      <c r="B1861" s="5" t="str">
        <f t="shared" ref="B1861:C1865" si="1987">B1860</f>
        <v>SPS1</v>
      </c>
      <c r="C1861" s="5" t="str">
        <f t="shared" si="1987"/>
        <v>CH</v>
      </c>
      <c r="D1861" t="s">
        <v>1897</v>
      </c>
      <c r="E1861" t="str">
        <f t="shared" si="1900"/>
        <v>GWth/yr.</v>
      </c>
      <c r="F1861" s="1" cm="1">
        <f t="array" ref="F1861">SUMPRODUCT(([1]OUT_FinalEnergyCons!$B$4:$B$10000="var_cap")*1, (ISNUMBER(SEARCH("RH*-WHH2BR",[1]OUT_FinalEnergyCons!$A$4:$A$10000)))*1,[1]OUT_FinalEnergyCons!D$4:D$10000)</f>
        <v>0</v>
      </c>
      <c r="G1861" s="1" cm="1">
        <f t="array" ref="G1861">SUMPRODUCT(([1]OUT_FinalEnergyCons!$B$4:$B$10000="var_cap")*1, (ISNUMBER(SEARCH("RH*-WHH2BR",[1]OUT_FinalEnergyCons!$A$4:$A$10000)))*1,[1]OUT_FinalEnergyCons!E$4:E$10000)</f>
        <v>0</v>
      </c>
      <c r="H1861" s="1" cm="1">
        <f t="array" ref="H1861">SUMPRODUCT(([1]OUT_FinalEnergyCons!$B$4:$B$10000="var_cap")*1, (ISNUMBER(SEARCH("RH*-WHH2BR",[1]OUT_FinalEnergyCons!$A$4:$A$10000)))*1,[1]OUT_FinalEnergyCons!F$4:F$10000)</f>
        <v>0</v>
      </c>
      <c r="I1861" s="1" cm="1">
        <f t="array" ref="I1861">SUMPRODUCT(([1]OUT_FinalEnergyCons!$B$4:$B$10000="var_cap")*1, (ISNUMBER(SEARCH("RH*-WHH2BR",[1]OUT_FinalEnergyCons!$A$4:$A$10000)))*1,[1]OUT_FinalEnergyCons!G$4:G$10000)</f>
        <v>0</v>
      </c>
      <c r="J1861" s="1" cm="1">
        <f t="array" ref="J1861">SUMPRODUCT(([2]OUT_FinalEnergyCons!$B$4:$B$10000="var_cap")*1, (ISNUMBER(SEARCH("RH*-WHH2BR",[2]OUT_FinalEnergyCons!$A$4:$A$10000)))*1,[2]OUT_FinalEnergyCons!H$4:H$10000)</f>
        <v>0</v>
      </c>
      <c r="K1861" s="1" cm="1">
        <f t="array" ref="K1861">SUMPRODUCT(([2]OUT_FinalEnergyCons!$B$4:$B$10000="var_cap")*1, (ISNUMBER(SEARCH("RH*-WHH2BR",[2]OUT_FinalEnergyCons!$A$4:$A$10000)))*1,[2]OUT_FinalEnergyCons!I$4:I$10000)</f>
        <v>0</v>
      </c>
      <c r="L1861" s="1" cm="1">
        <f t="array" ref="L1861">SUMPRODUCT(([2]OUT_FinalEnergyCons!$B$4:$B$10000="var_cap")*1, (ISNUMBER(SEARCH("RH*-WHH2BR",[2]OUT_FinalEnergyCons!$A$4:$A$10000)))*1,[2]OUT_FinalEnergyCons!J$4:J$10000)</f>
        <v>0</v>
      </c>
      <c r="N1861" s="1"/>
    </row>
    <row r="1862" spans="2:14" x14ac:dyDescent="0.35">
      <c r="B1862" s="9" t="str">
        <f t="shared" si="1987"/>
        <v>SPS1</v>
      </c>
      <c r="C1862" s="9" t="str">
        <f t="shared" si="1987"/>
        <v>CH</v>
      </c>
      <c r="D1862" s="2" t="s">
        <v>1899</v>
      </c>
      <c r="E1862" s="9" t="str">
        <f t="shared" si="1900"/>
        <v>GWth/yr.</v>
      </c>
      <c r="F1862" s="17">
        <f>SUM(F1863,F1866,F1869,F1873,F1875,F1877,F1879,F1881,F1883)</f>
        <v>3.6004276378893376</v>
      </c>
      <c r="G1862" s="17">
        <f t="shared" ref="G1862:K1862" si="1988">SUM(G1863,G1866,G1869,G1873,G1875,G1877,G1879,G1881,G1883)</f>
        <v>3.8312145711530818</v>
      </c>
      <c r="H1862" s="17">
        <f t="shared" si="1988"/>
        <v>3.7612820134501201</v>
      </c>
      <c r="I1862" s="17">
        <f t="shared" si="1988"/>
        <v>3.7647598594960785</v>
      </c>
      <c r="J1862" s="17">
        <f t="shared" si="1988"/>
        <v>3.5171521247711772</v>
      </c>
      <c r="K1862" s="17">
        <f t="shared" si="1988"/>
        <v>3.4488210386914888</v>
      </c>
      <c r="L1862" s="17">
        <f t="shared" ref="L1862" si="1989">SUM(L1863,L1866,L1869,L1873,L1875,L1877,L1879,L1881,L1883)</f>
        <v>3.1842171400543657</v>
      </c>
      <c r="N1862" s="1"/>
    </row>
    <row r="1863" spans="2:14" x14ac:dyDescent="0.35">
      <c r="B1863" s="5" t="str">
        <f>B1862</f>
        <v>SPS1</v>
      </c>
      <c r="C1863" s="5" t="str">
        <f t="shared" si="1987"/>
        <v>CH</v>
      </c>
      <c r="D1863" t="s">
        <v>2093</v>
      </c>
      <c r="E1863" t="str">
        <f t="shared" si="1900"/>
        <v>GWth/yr.</v>
      </c>
      <c r="F1863" s="18">
        <f>SUM(F1864:F1865)</f>
        <v>0.61671309762324311</v>
      </c>
      <c r="G1863" s="18">
        <f t="shared" ref="G1863:K1863" si="1990">SUM(G1864:G1865)</f>
        <v>0.83541612344427818</v>
      </c>
      <c r="H1863" s="18">
        <f t="shared" si="1990"/>
        <v>0.86650650193540435</v>
      </c>
      <c r="I1863" s="18">
        <f t="shared" si="1990"/>
        <v>1.0794233678247269</v>
      </c>
      <c r="J1863" s="18">
        <f t="shared" si="1990"/>
        <v>1.1798966367935728</v>
      </c>
      <c r="K1863" s="18">
        <f t="shared" si="1990"/>
        <v>1.1897093346255676</v>
      </c>
      <c r="L1863" s="18">
        <f t="shared" ref="L1863" si="1991">SUM(L1864:L1865)</f>
        <v>1.5864817391313295</v>
      </c>
      <c r="N1863" s="1"/>
    </row>
    <row r="1864" spans="2:14" x14ac:dyDescent="0.35">
      <c r="B1864" s="5" t="str">
        <f t="shared" ref="B1864:B1865" si="1992">B1863</f>
        <v>SPS1</v>
      </c>
      <c r="C1864" s="5" t="str">
        <f t="shared" si="1987"/>
        <v>CH</v>
      </c>
      <c r="D1864" t="s">
        <v>2094</v>
      </c>
      <c r="E1864" t="str">
        <f t="shared" si="1900"/>
        <v>GWth/yr.</v>
      </c>
      <c r="F1864" s="1" cm="1">
        <f t="array" ref="F1864">SUMPRODUCT(([1]OUT_FinalEnergyCons!$B$4:$B$10000="Var_cap")*1,  (ISNUMBER(SEARCH("ITOT-SWHELCBR",[1]OUT_FinalEnergyCons!$A$4:$A$10000)))*1,[1]OUT_FinalEnergyCons!D$4:D$10000)</f>
        <v>0.55644997413134401</v>
      </c>
      <c r="G1864" s="1" cm="1">
        <f t="array" ref="G1864">SUMPRODUCT(([1]OUT_FinalEnergyCons!$B$4:$B$10000="Var_cap")*1,  (ISNUMBER(SEARCH("ITOT-SWHELCBR",[1]OUT_FinalEnergyCons!$A$4:$A$10000)))*1,[1]OUT_FinalEnergyCons!E$4:E$10000)</f>
        <v>0.75919905571104529</v>
      </c>
      <c r="H1864" s="1" cm="1">
        <f t="array" ref="H1864">SUMPRODUCT(([1]OUT_FinalEnergyCons!$B$4:$B$10000="Var_cap")*1,  (ISNUMBER(SEARCH("ITOT-SWHELCBR",[1]OUT_FinalEnergyCons!$A$4:$A$10000)))*1,[1]OUT_FinalEnergyCons!F$4:F$10000)</f>
        <v>0.7902778294682764</v>
      </c>
      <c r="I1864" s="1" cm="1">
        <f t="array" ref="I1864">SUMPRODUCT(([1]OUT_FinalEnergyCons!$B$4:$B$10000="Var_cap")*1,  (ISNUMBER(SEARCH("ITOT-SWHELCBR",[1]OUT_FinalEnergyCons!$A$4:$A$10000)))*1,[1]OUT_FinalEnergyCons!G$4:G$10000)</f>
        <v>0.86267652377694004</v>
      </c>
      <c r="J1864" s="1" cm="1">
        <f t="array" ref="J1864">SUMPRODUCT(([2]OUT_FinalEnergyCons!$B$4:$B$10000="Var_cap")*1,  (ISNUMBER(SEARCH("ITOT-SWHELCBR",[2]OUT_FinalEnergyCons!$A$4:$A$10000)))*1,[2]OUT_FinalEnergyCons!H$4:H$10000)</f>
        <v>0.83970577572719096</v>
      </c>
      <c r="K1864" s="1" cm="1">
        <f t="array" ref="K1864">SUMPRODUCT(([2]OUT_FinalEnergyCons!$B$4:$B$10000="Var_cap")*1,  (ISNUMBER(SEARCH("ITOT-SWHELCBR",[2]OUT_FinalEnergyCons!$A$4:$A$10000)))*1,[2]OUT_FinalEnergyCons!I$4:I$10000)</f>
        <v>0.84703428720298934</v>
      </c>
      <c r="L1864" s="1" cm="1">
        <f t="array" ref="L1864">SUMPRODUCT(([2]OUT_FinalEnergyCons!$B$4:$B$10000="Var_cap")*1,  (ISNUMBER(SEARCH("ITOT-SWHELCBR",[2]OUT_FinalEnergyCons!$A$4:$A$10000)))*1,[2]OUT_FinalEnergyCons!J$4:J$10000)</f>
        <v>0.85883280533582806</v>
      </c>
      <c r="N1864" s="1"/>
    </row>
    <row r="1865" spans="2:14" x14ac:dyDescent="0.35">
      <c r="B1865" s="5" t="str">
        <f t="shared" si="1992"/>
        <v>SPS1</v>
      </c>
      <c r="C1865" s="5" t="str">
        <f t="shared" si="1987"/>
        <v>CH</v>
      </c>
      <c r="D1865" t="s">
        <v>2095</v>
      </c>
      <c r="E1865" t="str">
        <f t="shared" si="1900"/>
        <v>GWth/yr.</v>
      </c>
      <c r="F1865" s="1" cm="1">
        <f t="array" ref="F1865">SUMPRODUCT(([1]OUT_FinalEnergyCons!$B$4:$B$10000="Var_cap")*1,  (ISNUMBER(SEARCH("ITOT-SWHELCHP",[1]OUT_FinalEnergyCons!$A$4:$A$10000)))*1,[1]OUT_FinalEnergyCons!D$4:D$10000)</f>
        <v>6.02631234918991E-2</v>
      </c>
      <c r="G1865" s="1" cm="1">
        <f t="array" ref="G1865">SUMPRODUCT(([1]OUT_FinalEnergyCons!$B$4:$B$10000="Var_cap")*1,  (ISNUMBER(SEARCH("ITOT-SWHELCHP",[1]OUT_FinalEnergyCons!$A$4:$A$10000)))*1,[1]OUT_FinalEnergyCons!E$4:E$10000)</f>
        <v>7.6217067733232891E-2</v>
      </c>
      <c r="H1865" s="1" cm="1">
        <f t="array" ref="H1865">SUMPRODUCT(([1]OUT_FinalEnergyCons!$B$4:$B$10000="Var_cap")*1,  (ISNUMBER(SEARCH("ITOT-SWHELCHP",[1]OUT_FinalEnergyCons!$A$4:$A$10000)))*1,[1]OUT_FinalEnergyCons!F$4:F$10000)</f>
        <v>7.6228672467127959E-2</v>
      </c>
      <c r="I1865" s="1" cm="1">
        <f t="array" ref="I1865">SUMPRODUCT(([1]OUT_FinalEnergyCons!$B$4:$B$10000="Var_cap")*1,  (ISNUMBER(SEARCH("ITOT-SWHELCHP",[1]OUT_FinalEnergyCons!$A$4:$A$10000)))*1,[1]OUT_FinalEnergyCons!G$4:G$10000)</f>
        <v>0.2167468440477868</v>
      </c>
      <c r="J1865" s="1" cm="1">
        <f t="array" ref="J1865">SUMPRODUCT(([2]OUT_FinalEnergyCons!$B$4:$B$10000="Var_cap")*1,  (ISNUMBER(SEARCH("ITOT-SWHELCHP",[2]OUT_FinalEnergyCons!$A$4:$A$10000)))*1,[2]OUT_FinalEnergyCons!H$4:H$10000)</f>
        <v>0.34019086106638174</v>
      </c>
      <c r="K1865" s="1" cm="1">
        <f t="array" ref="K1865">SUMPRODUCT(([2]OUT_FinalEnergyCons!$B$4:$B$10000="Var_cap")*1,  (ISNUMBER(SEARCH("ITOT-SWHELCHP",[2]OUT_FinalEnergyCons!$A$4:$A$10000)))*1,[2]OUT_FinalEnergyCons!I$4:I$10000)</f>
        <v>0.34267504742257826</v>
      </c>
      <c r="L1865" s="1" cm="1">
        <f t="array" ref="L1865">SUMPRODUCT(([2]OUT_FinalEnergyCons!$B$4:$B$10000="Var_cap")*1,  (ISNUMBER(SEARCH("ITOT-SWHELCHP",[2]OUT_FinalEnergyCons!$A$4:$A$10000)))*1,[2]OUT_FinalEnergyCons!J$4:J$10000)</f>
        <v>0.72764893379550155</v>
      </c>
      <c r="N1865" s="1"/>
    </row>
    <row r="1866" spans="2:14" x14ac:dyDescent="0.35">
      <c r="B1866" s="5" t="str">
        <f>B1865</f>
        <v>SPS1</v>
      </c>
      <c r="C1866" s="5" t="str">
        <f>C1865</f>
        <v>CH</v>
      </c>
      <c r="D1866" t="s">
        <v>2096</v>
      </c>
      <c r="E1866" t="str">
        <f t="shared" si="1900"/>
        <v>GWth/yr.</v>
      </c>
      <c r="F1866" s="18">
        <f>SUM(F1867:F1868)</f>
        <v>0.47734833193996801</v>
      </c>
      <c r="G1866" s="18">
        <f t="shared" ref="G1866:K1866" si="1993">SUM(G1867:G1868)</f>
        <v>0.47741424151182821</v>
      </c>
      <c r="H1866" s="18">
        <f t="shared" si="1993"/>
        <v>0.3764690061591866</v>
      </c>
      <c r="I1866" s="18">
        <f t="shared" si="1993"/>
        <v>0.37640424204516376</v>
      </c>
      <c r="J1866" s="18">
        <f t="shared" si="1993"/>
        <v>0.27743035849581255</v>
      </c>
      <c r="K1866" s="18">
        <f t="shared" si="1993"/>
        <v>0.17979639697848906</v>
      </c>
      <c r="L1866" s="18">
        <f t="shared" ref="L1866" si="1994">SUM(L1867:L1868)</f>
        <v>5.58417382077952E-2</v>
      </c>
      <c r="N1866" s="1"/>
    </row>
    <row r="1867" spans="2:14" x14ac:dyDescent="0.35">
      <c r="B1867" s="5" t="str">
        <f t="shared" ref="B1867:B1884" si="1995">B1866</f>
        <v>SPS1</v>
      </c>
      <c r="C1867" s="5" t="str">
        <f t="shared" ref="C1867:C1884" si="1996">C1866</f>
        <v>CH</v>
      </c>
      <c r="D1867" t="s">
        <v>2097</v>
      </c>
      <c r="E1867" t="str">
        <f t="shared" si="1900"/>
        <v>GWth/yr.</v>
      </c>
      <c r="F1867" s="1" cm="1">
        <f t="array" ref="F1867">SUMPRODUCT(([1]OUT_FinalEnergyCons!$B$4:$B$10000="Var_cap")*1,  (ISNUMBER(SEARCH("ITOT-SWHLFOBR",[1]OUT_FinalEnergyCons!$A$4:$A$10000)))*1,[1]OUT_FinalEnergyCons!D$4:D$10000)</f>
        <v>0.37633543963083199</v>
      </c>
      <c r="G1867" s="1" cm="1">
        <f t="array" ref="G1867">SUMPRODUCT(([1]OUT_FinalEnergyCons!$B$4:$B$10000="Var_cap")*1,  (ISNUMBER(SEARCH("ITOT-SWHLFOBR",[1]OUT_FinalEnergyCons!$A$4:$A$10000)))*1,[1]OUT_FinalEnergyCons!E$4:E$10000)</f>
        <v>0.37639449521587892</v>
      </c>
      <c r="H1867" s="1" cm="1">
        <f t="array" ref="H1867">SUMPRODUCT(([1]OUT_FinalEnergyCons!$B$4:$B$10000="Var_cap")*1,  (ISNUMBER(SEARCH("ITOT-SWHLFOBR",[1]OUT_FinalEnergyCons!$A$4:$A$10000)))*1,[1]OUT_FinalEnergyCons!F$4:F$10000)</f>
        <v>0.37639311158111793</v>
      </c>
      <c r="I1867" s="1" cm="1">
        <f t="array" ref="I1867">SUMPRODUCT(([1]OUT_FinalEnergyCons!$B$4:$B$10000="Var_cap")*1,  (ISNUMBER(SEARCH("ITOT-SWHLFOBR",[1]OUT_FinalEnergyCons!$A$4:$A$10000)))*1,[1]OUT_FinalEnergyCons!G$4:G$10000)</f>
        <v>0.37639012471599614</v>
      </c>
      <c r="J1867" s="1" cm="1">
        <f t="array" ref="J1867">SUMPRODUCT(([2]OUT_FinalEnergyCons!$B$4:$B$10000="Var_cap")*1,  (ISNUMBER(SEARCH("ITOT-SWHLFOBR",[2]OUT_FinalEnergyCons!$A$4:$A$10000)))*1,[2]OUT_FinalEnergyCons!H$4:H$10000)</f>
        <v>0.27736029056883954</v>
      </c>
      <c r="K1867" s="1" cm="1">
        <f t="array" ref="K1867">SUMPRODUCT(([2]OUT_FinalEnergyCons!$B$4:$B$10000="Var_cap")*1,  (ISNUMBER(SEARCH("ITOT-SWHLFOBR",[2]OUT_FinalEnergyCons!$A$4:$A$10000)))*1,[2]OUT_FinalEnergyCons!I$4:I$10000)</f>
        <v>0.17974671976018194</v>
      </c>
      <c r="L1867" s="1" cm="1">
        <f t="array" ref="L1867">SUMPRODUCT(([2]OUT_FinalEnergyCons!$B$4:$B$10000="Var_cap")*1,  (ISNUMBER(SEARCH("ITOT-SWHLFOBR",[2]OUT_FinalEnergyCons!$A$4:$A$10000)))*1,[2]OUT_FinalEnergyCons!J$4:J$10000)</f>
        <v>5.58417382077952E-2</v>
      </c>
      <c r="N1867" s="1"/>
    </row>
    <row r="1868" spans="2:14" x14ac:dyDescent="0.35">
      <c r="B1868" s="5" t="str">
        <f t="shared" si="1995"/>
        <v>SPS1</v>
      </c>
      <c r="C1868" s="5" t="str">
        <f t="shared" si="1996"/>
        <v>CH</v>
      </c>
      <c r="D1868" t="s">
        <v>2098</v>
      </c>
      <c r="E1868" t="str">
        <f t="shared" si="1900"/>
        <v>GWth/yr.</v>
      </c>
      <c r="F1868" s="1" cm="1">
        <f t="array" ref="F1868">IF(SUMPRODUCT(([1]OUT_FinalEnergyCons!$B$4:$B$10000="Var_cap")*1,  (ISNUMBER(SEARCH("ITOT-SWHHFOBR",[1]OUT_FinalEnergyCons!$A$4:$A$10000)))*1,[1]OUT_FinalEnergyCons!D$4:D$10000)&lt;0,0,SUMPRODUCT(([1]OUT_FinalEnergyCons!$B$4:$B$10000="Var_cap")*1,  (ISNUMBER(SEARCH("ITOT-SWHHFOBR",[1]OUT_FinalEnergyCons!$A$4:$A$10000)))*1,[1]OUT_FinalEnergyCons!D$4:D$10000))</f>
        <v>0.10101289230913602</v>
      </c>
      <c r="G1868" s="1" cm="1">
        <f t="array" ref="G1868">IF(SUMPRODUCT(([1]OUT_FinalEnergyCons!$B$4:$B$10000="Var_cap")*1,  (ISNUMBER(SEARCH("ITOT-SWHHFOBR",[1]OUT_FinalEnergyCons!$A$4:$A$10000)))*1,[1]OUT_FinalEnergyCons!E$4:E$10000)&lt;0,0,SUMPRODUCT(([1]OUT_FinalEnergyCons!$B$4:$B$10000="Var_cap")*1,  (ISNUMBER(SEARCH("ITOT-SWHHFOBR",[1]OUT_FinalEnergyCons!$A$4:$A$10000)))*1,[1]OUT_FinalEnergyCons!E$4:E$10000))</f>
        <v>0.10101974629594926</v>
      </c>
      <c r="H1868" s="1" cm="1">
        <f t="array" ref="H1868">IF(SUMPRODUCT(([1]OUT_FinalEnergyCons!$B$4:$B$10000="Var_cap")*1,  (ISNUMBER(SEARCH("ITOT-SWHHFOBR",[1]OUT_FinalEnergyCons!$A$4:$A$10000)))*1,[1]OUT_FinalEnergyCons!F$4:F$10000)&lt;0,0,SUMPRODUCT(([1]OUT_FinalEnergyCons!$B$4:$B$10000="Var_cap")*1,  (ISNUMBER(SEARCH("ITOT-SWHHFOBR",[1]OUT_FinalEnergyCons!$A$4:$A$10000)))*1,[1]OUT_FinalEnergyCons!F$4:F$10000))</f>
        <v>7.5894578068669283E-5</v>
      </c>
      <c r="I1868" s="1" cm="1">
        <f t="array" ref="I1868">IF(SUMPRODUCT(([1]OUT_FinalEnergyCons!$B$4:$B$10000="Var_cap")*1,  (ISNUMBER(SEARCH("ITOT-SWHHFOBR",[1]OUT_FinalEnergyCons!$A$4:$A$10000)))*1,[1]OUT_FinalEnergyCons!G$4:G$10000)&lt;0,0,SUMPRODUCT(([1]OUT_FinalEnergyCons!$B$4:$B$10000="Var_cap")*1,  (ISNUMBER(SEARCH("ITOT-SWHHFOBR",[1]OUT_FinalEnergyCons!$A$4:$A$10000)))*1,[1]OUT_FinalEnergyCons!G$4:G$10000))</f>
        <v>1.4117329167617765E-5</v>
      </c>
      <c r="J1868" s="1" cm="1">
        <f t="array" ref="J1868">IF(SUMPRODUCT(([2]OUT_FinalEnergyCons!$B$4:$B$10000="Var_cap")*1,  (ISNUMBER(SEARCH("ITOT-SWHHFOBR",[2]OUT_FinalEnergyCons!$A$4:$A$10000)))*1,[2]OUT_FinalEnergyCons!H$4:H$10000)&lt;0,0,SUMPRODUCT(([2]OUT_FinalEnergyCons!$B$4:$B$10000="Var_cap")*1,  (ISNUMBER(SEARCH("ITOT-SWHHFOBR",[2]OUT_FinalEnergyCons!$A$4:$A$10000)))*1,[2]OUT_FinalEnergyCons!H$4:H$10000))</f>
        <v>7.0067926973008815E-5</v>
      </c>
      <c r="K1868" s="1" cm="1">
        <f t="array" ref="K1868">IF(SUMPRODUCT(([2]OUT_FinalEnergyCons!$B$4:$B$10000="Var_cap")*1,  (ISNUMBER(SEARCH("ITOT-SWHHFOBR",[2]OUT_FinalEnergyCons!$A$4:$A$10000)))*1,[2]OUT_FinalEnergyCons!I$4:I$10000)&lt;0,0,SUMPRODUCT(([2]OUT_FinalEnergyCons!$B$4:$B$10000="Var_cap")*1,  (ISNUMBER(SEARCH("ITOT-SWHHFOBR",[2]OUT_FinalEnergyCons!$A$4:$A$10000)))*1,[2]OUT_FinalEnergyCons!I$4:I$10000))</f>
        <v>4.96772183071229E-5</v>
      </c>
      <c r="L1868" s="1" cm="1">
        <f t="array" ref="L1868">IF(SUMPRODUCT(([2]OUT_FinalEnergyCons!$B$4:$B$10000="Var_cap")*1,  (ISNUMBER(SEARCH("ITOT-SWHHFOBR",[2]OUT_FinalEnergyCons!$A$4:$A$10000)))*1,[2]OUT_FinalEnergyCons!J$4:J$10000)&lt;0,0,SUMPRODUCT(([2]OUT_FinalEnergyCons!$B$4:$B$10000="Var_cap")*1,  (ISNUMBER(SEARCH("ITOT-SWHHFOBR",[2]OUT_FinalEnergyCons!$A$4:$A$10000)))*1,[2]OUT_FinalEnergyCons!J$4:J$10000))</f>
        <v>0</v>
      </c>
      <c r="N1868" s="1"/>
    </row>
    <row r="1869" spans="2:14" x14ac:dyDescent="0.35">
      <c r="B1869" s="5" t="str">
        <f t="shared" si="1995"/>
        <v>SPS1</v>
      </c>
      <c r="C1869" s="5" t="str">
        <f t="shared" si="1996"/>
        <v>CH</v>
      </c>
      <c r="D1869" t="s">
        <v>2099</v>
      </c>
      <c r="E1869" t="str">
        <f t="shared" si="1900"/>
        <v>GWth/yr.</v>
      </c>
      <c r="F1869" s="18">
        <f>SUM(F1870:F1871)</f>
        <v>1.556581895256</v>
      </c>
      <c r="G1869" s="18">
        <f t="shared" ref="G1869:K1869" si="1997">SUM(G1870:G1871)</f>
        <v>1.5580707700267578</v>
      </c>
      <c r="H1869" s="18">
        <f t="shared" si="1997"/>
        <v>1.5580869055470659</v>
      </c>
      <c r="I1869" s="18">
        <f t="shared" si="1997"/>
        <v>1.5580753413635751</v>
      </c>
      <c r="J1869" s="18">
        <f t="shared" si="1997"/>
        <v>1.3524168486166417</v>
      </c>
      <c r="K1869" s="18">
        <f t="shared" si="1997"/>
        <v>1.3781432046634812</v>
      </c>
      <c r="L1869" s="18">
        <f t="shared" ref="L1869" si="1998">SUM(L1870:L1871)</f>
        <v>0.79040541343129256</v>
      </c>
      <c r="N1869" s="1"/>
    </row>
    <row r="1870" spans="2:14" x14ac:dyDescent="0.35">
      <c r="B1870" s="5" t="str">
        <f t="shared" si="1995"/>
        <v>SPS1</v>
      </c>
      <c r="C1870" s="5" t="str">
        <f t="shared" si="1996"/>
        <v>CH</v>
      </c>
      <c r="D1870" t="s">
        <v>2100</v>
      </c>
      <c r="E1870" t="str">
        <f t="shared" si="1900"/>
        <v>GWth/yr.</v>
      </c>
      <c r="F1870" s="1" cm="1">
        <f t="array" ref="F1870">SUMPRODUCT(([1]OUT_FinalEnergyCons!$B$4:$B$10000="Var_cap")*1,  (ISNUMBER(SEARCH("ITOT-SWHNGA*BR",[1]OUT_FinalEnergyCons!$A$4:$A$10000)))*1,[1]OUT_FinalEnergyCons!D$4:D$10000)</f>
        <v>1.556581895256</v>
      </c>
      <c r="G1870" s="1" cm="1">
        <f t="array" ref="G1870">SUMPRODUCT(([1]OUT_FinalEnergyCons!$B$4:$B$10000="Var_cap")*1,  (ISNUMBER(SEARCH("ITOT-SWHNGA*BR",[1]OUT_FinalEnergyCons!$A$4:$A$10000)))*1,[1]OUT_FinalEnergyCons!E$4:E$10000)</f>
        <v>1.5565834352700809</v>
      </c>
      <c r="H1870" s="1" cm="1">
        <f t="array" ref="H1870">SUMPRODUCT(([1]OUT_FinalEnergyCons!$B$4:$B$10000="Var_cap")*1,  (ISNUMBER(SEARCH("ITOT-SWHNGA*BR",[1]OUT_FinalEnergyCons!$A$4:$A$10000)))*1,[1]OUT_FinalEnergyCons!F$4:F$10000)</f>
        <v>1.5565800858625014</v>
      </c>
      <c r="I1870" s="1" cm="1">
        <f t="array" ref="I1870">SUMPRODUCT(([1]OUT_FinalEnergyCons!$B$4:$B$10000="Var_cap")*1,  (ISNUMBER(SEARCH("ITOT-SWHNGA*BR",[1]OUT_FinalEnergyCons!$A$4:$A$10000)))*1,[1]OUT_FinalEnergyCons!G$4:G$10000)</f>
        <v>1.5565644600770945</v>
      </c>
      <c r="J1870" s="1" cm="1">
        <f t="array" ref="J1870">SUMPRODUCT(([2]OUT_FinalEnergyCons!$B$4:$B$10000="Var_cap")*1,  (ISNUMBER(SEARCH("ITOT-SWHNGA*BR",[2]OUT_FinalEnergyCons!$A$4:$A$10000)))*1,[2]OUT_FinalEnergyCons!H$4:H$10000)</f>
        <v>1.3506427780750614</v>
      </c>
      <c r="K1870" s="1" cm="1">
        <f t="array" ref="K1870">SUMPRODUCT(([2]OUT_FinalEnergyCons!$B$4:$B$10000="Var_cap")*1,  (ISNUMBER(SEARCH("ITOT-SWHNGA*BR",[2]OUT_FinalEnergyCons!$A$4:$A$10000)))*1,[2]OUT_FinalEnergyCons!I$4:I$10000)</f>
        <v>1.3663476952776379</v>
      </c>
      <c r="L1870" s="1" cm="1">
        <f t="array" ref="L1870">SUMPRODUCT(([2]OUT_FinalEnergyCons!$B$4:$B$10000="Var_cap")*1,  (ISNUMBER(SEARCH("ITOT-SWHNGA*BR",[2]OUT_FinalEnergyCons!$A$4:$A$10000)))*1,[2]OUT_FinalEnergyCons!J$4:J$10000)</f>
        <v>0.7801138909776153</v>
      </c>
      <c r="N1870" s="1"/>
    </row>
    <row r="1871" spans="2:14" x14ac:dyDescent="0.35">
      <c r="B1871" s="5" t="str">
        <f t="shared" si="1995"/>
        <v>SPS1</v>
      </c>
      <c r="C1871" s="5" t="str">
        <f t="shared" si="1996"/>
        <v>CH</v>
      </c>
      <c r="D1871" t="s">
        <v>2101</v>
      </c>
      <c r="E1871" t="str">
        <f t="shared" si="1900"/>
        <v>GWth/yr.</v>
      </c>
      <c r="F1871" s="1" cm="1">
        <f t="array" ref="F1871">SUMPRODUCT(([1]OUT_FinalEnergyCons!$B$4:$B$10000="Var_cap")*1,  (ISNUMBER(SEARCH("ITOT-SWHNGAHP",[1]OUT_FinalEnergyCons!$A$4:$A$10000)))*1,[1]OUT_FinalEnergyCons!D$4:D$10000)</f>
        <v>0</v>
      </c>
      <c r="G1871" s="1" cm="1">
        <f t="array" ref="G1871">SUMPRODUCT(([1]OUT_FinalEnergyCons!$B$4:$B$10000="Var_cap")*1,  (ISNUMBER(SEARCH("ITOT-SWHNGAHP",[1]OUT_FinalEnergyCons!$A$4:$A$10000)))*1,[1]OUT_FinalEnergyCons!E$4:E$10000)</f>
        <v>1.48733475667684E-3</v>
      </c>
      <c r="H1871" s="1" cm="1">
        <f t="array" ref="H1871">SUMPRODUCT(([1]OUT_FinalEnergyCons!$B$4:$B$10000="Var_cap")*1,  (ISNUMBER(SEARCH("ITOT-SWHNGAHP",[1]OUT_FinalEnergyCons!$A$4:$A$10000)))*1,[1]OUT_FinalEnergyCons!F$4:F$10000)</f>
        <v>1.5068196845644504E-3</v>
      </c>
      <c r="I1871" s="1" cm="1">
        <f t="array" ref="I1871">SUMPRODUCT(([1]OUT_FinalEnergyCons!$B$4:$B$10000="Var_cap")*1,  (ISNUMBER(SEARCH("ITOT-SWHNGAHP",[1]OUT_FinalEnergyCons!$A$4:$A$10000)))*1,[1]OUT_FinalEnergyCons!G$4:G$10000)</f>
        <v>1.5108812864804953E-3</v>
      </c>
      <c r="J1871" s="1" cm="1">
        <f t="array" ref="J1871">SUMPRODUCT(([2]OUT_FinalEnergyCons!$B$4:$B$10000="Var_cap")*1,  (ISNUMBER(SEARCH("ITOT-SWHNGAHP",[2]OUT_FinalEnergyCons!$A$4:$A$10000)))*1,[2]OUT_FinalEnergyCons!H$4:H$10000)</f>
        <v>1.7740705415802242E-3</v>
      </c>
      <c r="K1871" s="1" cm="1">
        <f t="array" ref="K1871">SUMPRODUCT(([2]OUT_FinalEnergyCons!$B$4:$B$10000="Var_cap")*1,  (ISNUMBER(SEARCH("ITOT-SWHNGAHP",[2]OUT_FinalEnergyCons!$A$4:$A$10000)))*1,[2]OUT_FinalEnergyCons!I$4:I$10000)</f>
        <v>1.1795509385843348E-2</v>
      </c>
      <c r="L1871" s="1" cm="1">
        <f t="array" ref="L1871">SUMPRODUCT(([2]OUT_FinalEnergyCons!$B$4:$B$10000="Var_cap")*1,  (ISNUMBER(SEARCH("ITOT-SWHNGAHP",[2]OUT_FinalEnergyCons!$A$4:$A$10000)))*1,[2]OUT_FinalEnergyCons!J$4:J$10000)</f>
        <v>1.0291522453677275E-2</v>
      </c>
      <c r="N1871" s="1"/>
    </row>
    <row r="1872" spans="2:14" x14ac:dyDescent="0.35">
      <c r="B1872" s="5" t="str">
        <f t="shared" si="1995"/>
        <v>SPS1</v>
      </c>
      <c r="C1872" s="5" t="str">
        <f t="shared" si="1996"/>
        <v>CH</v>
      </c>
      <c r="D1872" t="s">
        <v>2102</v>
      </c>
      <c r="E1872" t="str">
        <f t="shared" si="1900"/>
        <v>GWth/yr.</v>
      </c>
      <c r="F1872" s="1" cm="1">
        <f t="array" ref="F1872">SUMPRODUCT(([1]OUT_FinalEnergyCons!$B$4:$B$10000="Var_cap")*1,  (("ITOT-SWHBIOBR"=[1]OUT_FinalEnergyCons!$A$4:$A$10000)*1+("ITOT-SWHBNGABR"=[1]OUT_FinalEnergyCons!$A$4:$A$10000))*1,[1]OUT_FinalEnergyCons!D$4:D$10000)</f>
        <v>1.7013611085743299E-2</v>
      </c>
      <c r="G1872" s="1" cm="1">
        <f t="array" ref="G1872">SUMPRODUCT(([1]OUT_FinalEnergyCons!$B$4:$B$10000="Var_cap")*1,  (("ITOT-SWHBIOBR"=[1]OUT_FinalEnergyCons!$A$4:$A$10000)*1+("ITOT-SWHBNGABR"=[1]OUT_FinalEnergyCons!$A$4:$A$10000))*1,[1]OUT_FinalEnergyCons!E$4:E$10000)</f>
        <v>3.3907692496632343E-2</v>
      </c>
      <c r="H1872" s="1" cm="1">
        <f t="array" ref="H1872">SUMPRODUCT(([1]OUT_FinalEnergyCons!$B$4:$B$10000="Var_cap")*1,  (("ITOT-SWHBIOBR"=[1]OUT_FinalEnergyCons!$A$4:$A$10000)*1+("ITOT-SWHBNGABR"=[1]OUT_FinalEnergyCons!$A$4:$A$10000))*1,[1]OUT_FinalEnergyCons!F$4:F$10000)</f>
        <v>7.2826284531967017E-2</v>
      </c>
      <c r="I1872" s="1" cm="1">
        <f t="array" ref="I1872">SUMPRODUCT(([1]OUT_FinalEnergyCons!$B$4:$B$10000="Var_cap")*1,  (("ITOT-SWHBIOBR"=[1]OUT_FinalEnergyCons!$A$4:$A$10000)*1+("ITOT-SWHBNGABR"=[1]OUT_FinalEnergyCons!$A$4:$A$10000))*1,[1]OUT_FinalEnergyCons!G$4:G$10000)</f>
        <v>0.17965215013179478</v>
      </c>
      <c r="J1872" s="1" cm="1">
        <f t="array" ref="J1872">SUMPRODUCT(([2]OUT_FinalEnergyCons!$B$4:$B$10000="Var_cap")*1,  (("ITOT-SWHBIOBR"=[2]OUT_FinalEnergyCons!$A$4:$A$10000)*1+("ITOT-SWHBNGABR"=[2]OUT_FinalEnergyCons!$A$4:$A$10000))*1,[2]OUT_FinalEnergyCons!H$4:H$10000)</f>
        <v>0.33841974994584967</v>
      </c>
      <c r="K1872" s="1" cm="1">
        <f t="array" ref="K1872">SUMPRODUCT(([2]OUT_FinalEnergyCons!$B$4:$B$10000="Var_cap")*1,  (("ITOT-SWHBIOBR"=[2]OUT_FinalEnergyCons!$A$4:$A$10000)*1+("ITOT-SWHBNGABR"=[2]OUT_FinalEnergyCons!$A$4:$A$10000))*1,[2]OUT_FinalEnergyCons!I$4:I$10000)</f>
        <v>0.31139101480882048</v>
      </c>
      <c r="L1872" s="1" cm="1">
        <f t="array" ref="L1872">SUMPRODUCT(([2]OUT_FinalEnergyCons!$B$4:$B$10000="Var_cap")*1,  (("ITOT-SWHBIOBR"=[2]OUT_FinalEnergyCons!$A$4:$A$10000)*1+("ITOT-SWHBNGABR"=[2]OUT_FinalEnergyCons!$A$4:$A$10000))*1,[2]OUT_FinalEnergyCons!J$4:J$10000)</f>
        <v>0.39039400126781049</v>
      </c>
      <c r="N1872" s="1"/>
    </row>
    <row r="1873" spans="2:14" x14ac:dyDescent="0.35">
      <c r="B1873" s="5" t="str">
        <f t="shared" si="1995"/>
        <v>SPS1</v>
      </c>
      <c r="C1873" s="5" t="str">
        <f t="shared" si="1996"/>
        <v>CH</v>
      </c>
      <c r="D1873" t="s">
        <v>2103</v>
      </c>
      <c r="E1873" t="str">
        <f t="shared" si="1900"/>
        <v>GWth/yr.</v>
      </c>
      <c r="F1873" s="1">
        <f>F1874</f>
        <v>0.26172155007150499</v>
      </c>
      <c r="G1873" s="1">
        <f t="shared" ref="G1873:L1873" si="1999">G1874</f>
        <v>0.20944603034844286</v>
      </c>
      <c r="H1873" s="1">
        <f t="shared" si="1999"/>
        <v>0.2093658534928686</v>
      </c>
      <c r="I1873" s="1">
        <f t="shared" si="1999"/>
        <v>1.5132060937783631E-5</v>
      </c>
      <c r="J1873" s="1">
        <f t="shared" si="1999"/>
        <v>6.6010085440326716E-5</v>
      </c>
      <c r="K1873" s="1">
        <f t="shared" si="1999"/>
        <v>4.4708801614630001E-5</v>
      </c>
      <c r="L1873" s="1">
        <f t="shared" si="1999"/>
        <v>2.386263653559408E-5</v>
      </c>
      <c r="N1873" s="1"/>
    </row>
    <row r="1874" spans="2:14" x14ac:dyDescent="0.35">
      <c r="B1874" s="5" t="str">
        <f t="shared" si="1995"/>
        <v>SPS1</v>
      </c>
      <c r="C1874" s="5" t="str">
        <f t="shared" si="1996"/>
        <v>CH</v>
      </c>
      <c r="D1874" t="s">
        <v>2104</v>
      </c>
      <c r="E1874" t="str">
        <f t="shared" si="1900"/>
        <v>GWth/yr.</v>
      </c>
      <c r="F1874" s="1" cm="1">
        <f t="array" ref="F1874">SUMPRODUCT(([1]OUT_FinalEnergyCons!$B$4:$B$10000="Var_cap")*1,  (ISNUMBER(SEARCH("ITOT-SWHCOA*BR",[1]OUT_FinalEnergyCons!$A$4:$A$10000)))*1,[1]OUT_FinalEnergyCons!D$4:D$10000)</f>
        <v>0.26172155007150499</v>
      </c>
      <c r="G1874" s="1" cm="1">
        <f t="array" ref="G1874">SUMPRODUCT(([1]OUT_FinalEnergyCons!$B$4:$B$10000="Var_cap")*1,  (ISNUMBER(SEARCH("ITOT-SWHCOA*BR",[1]OUT_FinalEnergyCons!$A$4:$A$10000)))*1,[1]OUT_FinalEnergyCons!E$4:E$10000)</f>
        <v>0.20944603034844286</v>
      </c>
      <c r="H1874" s="1" cm="1">
        <f t="array" ref="H1874">SUMPRODUCT(([1]OUT_FinalEnergyCons!$B$4:$B$10000="Var_cap")*1,  (ISNUMBER(SEARCH("ITOT-SWHCOA*BR",[1]OUT_FinalEnergyCons!$A$4:$A$10000)))*1,[1]OUT_FinalEnergyCons!F$4:F$10000)</f>
        <v>0.2093658534928686</v>
      </c>
      <c r="I1874" s="1" cm="1">
        <f t="array" ref="I1874">SUMPRODUCT(([1]OUT_FinalEnergyCons!$B$4:$B$10000="Var_cap")*1,  (ISNUMBER(SEARCH("ITOT-SWHCOA*BR",[1]OUT_FinalEnergyCons!$A$4:$A$10000)))*1,[1]OUT_FinalEnergyCons!G$4:G$10000)</f>
        <v>1.5132060937783631E-5</v>
      </c>
      <c r="J1874" s="1" cm="1">
        <f t="array" ref="J1874">SUMPRODUCT(([2]OUT_FinalEnergyCons!$B$4:$B$10000="Var_cap")*1,  (ISNUMBER(SEARCH("ITOT-SWHCOA*BR",[2]OUT_FinalEnergyCons!$A$4:$A$10000)))*1,[2]OUT_FinalEnergyCons!H$4:H$10000)</f>
        <v>6.6010085440326716E-5</v>
      </c>
      <c r="K1874" s="1" cm="1">
        <f t="array" ref="K1874">SUMPRODUCT(([2]OUT_FinalEnergyCons!$B$4:$B$10000="Var_cap")*1,  (ISNUMBER(SEARCH("ITOT-SWHCOA*BR",[2]OUT_FinalEnergyCons!$A$4:$A$10000)))*1,[2]OUT_FinalEnergyCons!I$4:I$10000)</f>
        <v>4.4708801614630001E-5</v>
      </c>
      <c r="L1874" s="1" cm="1">
        <f t="array" ref="L1874">SUMPRODUCT(([2]OUT_FinalEnergyCons!$B$4:$B$10000="Var_cap")*1,  (ISNUMBER(SEARCH("ITOT-SWHCOA*BR",[2]OUT_FinalEnergyCons!$A$4:$A$10000)))*1,[2]OUT_FinalEnergyCons!J$4:J$10000)</f>
        <v>2.386263653559408E-5</v>
      </c>
      <c r="N1874" s="1"/>
    </row>
    <row r="1875" spans="2:14" x14ac:dyDescent="0.35">
      <c r="B1875" s="5" t="str">
        <f t="shared" si="1995"/>
        <v>SPS1</v>
      </c>
      <c r="C1875" s="5" t="str">
        <f t="shared" si="1996"/>
        <v>CH</v>
      </c>
      <c r="D1875" t="s">
        <v>2105</v>
      </c>
      <c r="E1875" t="str">
        <f t="shared" si="1900"/>
        <v>GWth/yr.</v>
      </c>
      <c r="F1875" s="1">
        <f>F1876</f>
        <v>0.28883369534761499</v>
      </c>
      <c r="G1875" s="1">
        <f t="shared" ref="G1875:L1875" si="2000">G1876</f>
        <v>0.34092610984297234</v>
      </c>
      <c r="H1875" s="1">
        <f t="shared" si="2000"/>
        <v>0.34091870631716675</v>
      </c>
      <c r="I1875" s="1">
        <f t="shared" si="2000"/>
        <v>0.34091596818875736</v>
      </c>
      <c r="J1875" s="1">
        <f t="shared" si="2000"/>
        <v>0.33754659834869188</v>
      </c>
      <c r="K1875" s="1">
        <f t="shared" si="2000"/>
        <v>0.33198886879902356</v>
      </c>
      <c r="L1875" s="1">
        <f t="shared" si="2000"/>
        <v>0.32955333414797183</v>
      </c>
      <c r="N1875" s="1"/>
    </row>
    <row r="1876" spans="2:14" x14ac:dyDescent="0.35">
      <c r="B1876" s="5" t="str">
        <f t="shared" si="1995"/>
        <v>SPS1</v>
      </c>
      <c r="C1876" s="5" t="str">
        <f t="shared" si="1996"/>
        <v>CH</v>
      </c>
      <c r="D1876" t="s">
        <v>2106</v>
      </c>
      <c r="E1876" t="str">
        <f t="shared" si="1900"/>
        <v>GWth/yr.</v>
      </c>
      <c r="F1876" s="1" cm="1">
        <f t="array" ref="F1876">SUMPRODUCT(([1]OUT_FinalEnergyCons!$B$4:$B$10000="Var_cap")*1,  (ISNUMBER(SEARCH("ITOT-SWHWOD*BR",[1]OUT_FinalEnergyCons!$A$4:$A$10000)))*1,[1]OUT_FinalEnergyCons!D$4:D$10000)</f>
        <v>0.28883369534761499</v>
      </c>
      <c r="G1876" s="1" cm="1">
        <f t="array" ref="G1876">SUMPRODUCT(([1]OUT_FinalEnergyCons!$B$4:$B$10000="Var_cap")*1,  (ISNUMBER(SEARCH("ITOT-SWHWOD*BR",[1]OUT_FinalEnergyCons!$A$4:$A$10000)))*1,[1]OUT_FinalEnergyCons!E$4:E$10000)</f>
        <v>0.34092610984297234</v>
      </c>
      <c r="H1876" s="1" cm="1">
        <f t="array" ref="H1876">SUMPRODUCT(([1]OUT_FinalEnergyCons!$B$4:$B$10000="Var_cap")*1,  (ISNUMBER(SEARCH("ITOT-SWHWOD*BR",[1]OUT_FinalEnergyCons!$A$4:$A$10000)))*1,[1]OUT_FinalEnergyCons!F$4:F$10000)</f>
        <v>0.34091870631716675</v>
      </c>
      <c r="I1876" s="1" cm="1">
        <f t="array" ref="I1876">SUMPRODUCT(([1]OUT_FinalEnergyCons!$B$4:$B$10000="Var_cap")*1,  (ISNUMBER(SEARCH("ITOT-SWHWOD*BR",[1]OUT_FinalEnergyCons!$A$4:$A$10000)))*1,[1]OUT_FinalEnergyCons!G$4:G$10000)</f>
        <v>0.34091596818875736</v>
      </c>
      <c r="J1876" s="1" cm="1">
        <f t="array" ref="J1876">SUMPRODUCT(([2]OUT_FinalEnergyCons!$B$4:$B$10000="Var_cap")*1,  (ISNUMBER(SEARCH("ITOT-SWHWOD*BR",[2]OUT_FinalEnergyCons!$A$4:$A$10000)))*1,[2]OUT_FinalEnergyCons!H$4:H$10000)</f>
        <v>0.33754659834869188</v>
      </c>
      <c r="K1876" s="1" cm="1">
        <f t="array" ref="K1876">SUMPRODUCT(([2]OUT_FinalEnergyCons!$B$4:$B$10000="Var_cap")*1,  (ISNUMBER(SEARCH("ITOT-SWHWOD*BR",[2]OUT_FinalEnergyCons!$A$4:$A$10000)))*1,[2]OUT_FinalEnergyCons!I$4:I$10000)</f>
        <v>0.33198886879902356</v>
      </c>
      <c r="L1876" s="1" cm="1">
        <f t="array" ref="L1876">SUMPRODUCT(([2]OUT_FinalEnergyCons!$B$4:$B$10000="Var_cap")*1,  (ISNUMBER(SEARCH("ITOT-SWHWOD*BR",[2]OUT_FinalEnergyCons!$A$4:$A$10000)))*1,[2]OUT_FinalEnergyCons!J$4:J$10000)</f>
        <v>0.32955333414797183</v>
      </c>
      <c r="N1876" s="1"/>
    </row>
    <row r="1877" spans="2:14" x14ac:dyDescent="0.35">
      <c r="B1877" s="5" t="str">
        <f t="shared" si="1995"/>
        <v>SPS1</v>
      </c>
      <c r="C1877" s="5" t="str">
        <f t="shared" si="1996"/>
        <v>CH</v>
      </c>
      <c r="D1877" t="s">
        <v>2107</v>
      </c>
      <c r="E1877" t="str">
        <f t="shared" si="1900"/>
        <v>GWth/yr.</v>
      </c>
      <c r="F1877" s="1">
        <f>F1878</f>
        <v>2.9860759506449799E-2</v>
      </c>
      <c r="G1877" s="1">
        <f t="shared" ref="G1877:L1877" si="2001">G1878</f>
        <v>3.7977316746688361E-2</v>
      </c>
      <c r="H1877" s="1">
        <f t="shared" si="2001"/>
        <v>3.7975553659435418E-2</v>
      </c>
      <c r="I1877" s="1">
        <f t="shared" si="2001"/>
        <v>3.7971415541529441E-2</v>
      </c>
      <c r="J1877" s="1">
        <f t="shared" si="2001"/>
        <v>4.0329160966535695E-2</v>
      </c>
      <c r="K1877" s="1">
        <f t="shared" si="2001"/>
        <v>4.0940660337259197E-2</v>
      </c>
      <c r="L1877" s="1">
        <f t="shared" si="2001"/>
        <v>4.050196733886504E-2</v>
      </c>
      <c r="N1877" s="1"/>
    </row>
    <row r="1878" spans="2:14" x14ac:dyDescent="0.35">
      <c r="B1878" s="5" t="str">
        <f t="shared" si="1995"/>
        <v>SPS1</v>
      </c>
      <c r="C1878" s="5" t="str">
        <f t="shared" si="1996"/>
        <v>CH</v>
      </c>
      <c r="D1878" t="s">
        <v>2108</v>
      </c>
      <c r="E1878" t="str">
        <f t="shared" si="1900"/>
        <v>GWth/yr.</v>
      </c>
      <c r="F1878" s="1" cm="1">
        <f t="array" ref="F1878">SUMPRODUCT(([1]OUT_FinalEnergyCons!$B$4:$B$10000="Var_cap")*1,  (ISNUMBER(SEARCH("ITOT-SWHPLT*BR",[1]OUT_FinalEnergyCons!$A$4:$A$10000)))*1,[1]OUT_FinalEnergyCons!D$4:D$10000)</f>
        <v>2.9860759506449799E-2</v>
      </c>
      <c r="G1878" s="1" cm="1">
        <f t="array" ref="G1878">SUMPRODUCT(([1]OUT_FinalEnergyCons!$B$4:$B$10000="Var_cap")*1,  (ISNUMBER(SEARCH("ITOT-SWHPLT*BR",[1]OUT_FinalEnergyCons!$A$4:$A$10000)))*1,[1]OUT_FinalEnergyCons!E$4:E$10000)</f>
        <v>3.7977316746688361E-2</v>
      </c>
      <c r="H1878" s="1" cm="1">
        <f t="array" ref="H1878">SUMPRODUCT(([1]OUT_FinalEnergyCons!$B$4:$B$10000="Var_cap")*1,  (ISNUMBER(SEARCH("ITOT-SWHPLT*BR",[1]OUT_FinalEnergyCons!$A$4:$A$10000)))*1,[1]OUT_FinalEnergyCons!F$4:F$10000)</f>
        <v>3.7975553659435418E-2</v>
      </c>
      <c r="I1878" s="1" cm="1">
        <f t="array" ref="I1878">SUMPRODUCT(([1]OUT_FinalEnergyCons!$B$4:$B$10000="Var_cap")*1,  (ISNUMBER(SEARCH("ITOT-SWHPLT*BR",[1]OUT_FinalEnergyCons!$A$4:$A$10000)))*1,[1]OUT_FinalEnergyCons!G$4:G$10000)</f>
        <v>3.7971415541529441E-2</v>
      </c>
      <c r="J1878" s="1" cm="1">
        <f t="array" ref="J1878">SUMPRODUCT(([2]OUT_FinalEnergyCons!$B$4:$B$10000="Var_cap")*1,  (ISNUMBER(SEARCH("ITOT-SWHPLT*BR",[2]OUT_FinalEnergyCons!$A$4:$A$10000)))*1,[2]OUT_FinalEnergyCons!H$4:H$10000)</f>
        <v>4.0329160966535695E-2</v>
      </c>
      <c r="K1878" s="1" cm="1">
        <f t="array" ref="K1878">SUMPRODUCT(([2]OUT_FinalEnergyCons!$B$4:$B$10000="Var_cap")*1,  (ISNUMBER(SEARCH("ITOT-SWHPLT*BR",[2]OUT_FinalEnergyCons!$A$4:$A$10000)))*1,[2]OUT_FinalEnergyCons!I$4:I$10000)</f>
        <v>4.0940660337259197E-2</v>
      </c>
      <c r="L1878" s="1" cm="1">
        <f t="array" ref="L1878">SUMPRODUCT(([2]OUT_FinalEnergyCons!$B$4:$B$10000="Var_cap")*1,  (ISNUMBER(SEARCH("ITOT-SWHPLT*BR",[2]OUT_FinalEnergyCons!$A$4:$A$10000)))*1,[2]OUT_FinalEnergyCons!J$4:J$10000)</f>
        <v>4.050196733886504E-2</v>
      </c>
      <c r="N1878" s="1"/>
    </row>
    <row r="1879" spans="2:14" x14ac:dyDescent="0.35">
      <c r="B1879" s="5" t="str">
        <f t="shared" si="1995"/>
        <v>SPS1</v>
      </c>
      <c r="C1879" s="5" t="str">
        <f t="shared" si="1996"/>
        <v>CH</v>
      </c>
      <c r="D1879" t="s">
        <v>2109</v>
      </c>
      <c r="E1879" t="str">
        <f t="shared" si="1900"/>
        <v>GWth/yr.</v>
      </c>
      <c r="F1879" s="1">
        <f>F1880</f>
        <v>0.35954682816669398</v>
      </c>
      <c r="G1879" s="1">
        <f t="shared" ref="G1879:L1879" si="2002">G1880</f>
        <v>0.35954187196553883</v>
      </c>
      <c r="H1879" s="1">
        <f t="shared" si="2002"/>
        <v>0.35953735699452749</v>
      </c>
      <c r="I1879" s="1">
        <f t="shared" si="2002"/>
        <v>0.35953224111943305</v>
      </c>
      <c r="J1879" s="1">
        <f t="shared" si="2002"/>
        <v>0.31597111584520049</v>
      </c>
      <c r="K1879" s="1">
        <f t="shared" si="2002"/>
        <v>0.31463910934501665</v>
      </c>
      <c r="L1879" s="1">
        <f t="shared" si="2002"/>
        <v>0.36201696481926832</v>
      </c>
      <c r="N1879" s="1"/>
    </row>
    <row r="1880" spans="2:14" x14ac:dyDescent="0.35">
      <c r="B1880" s="5" t="str">
        <f t="shared" si="1995"/>
        <v>SPS1</v>
      </c>
      <c r="C1880" s="5" t="str">
        <f t="shared" si="1996"/>
        <v>CH</v>
      </c>
      <c r="D1880" t="s">
        <v>2110</v>
      </c>
      <c r="E1880" t="str">
        <f t="shared" si="1900"/>
        <v>GWth/yr.</v>
      </c>
      <c r="F1880" s="1" cm="1">
        <f t="array" ref="F1880">SUMPRODUCT(([1]OUT_FinalEnergyCons!$B$4:$B$10000="Var_cap")*1,  (ISNUMBER(SEARCH("ITOT-SWHWST*BR",[1]OUT_FinalEnergyCons!$A$4:$A$10000)))*1,[1]OUT_FinalEnergyCons!D$4:D$10000)</f>
        <v>0.35954682816669398</v>
      </c>
      <c r="G1880" s="1" cm="1">
        <f t="array" ref="G1880">SUMPRODUCT(([1]OUT_FinalEnergyCons!$B$4:$B$10000="Var_cap")*1,  (ISNUMBER(SEARCH("ITOT-SWHWST*BR",[1]OUT_FinalEnergyCons!$A$4:$A$10000)))*1,[1]OUT_FinalEnergyCons!E$4:E$10000)</f>
        <v>0.35954187196553883</v>
      </c>
      <c r="H1880" s="1" cm="1">
        <f t="array" ref="H1880">SUMPRODUCT(([1]OUT_FinalEnergyCons!$B$4:$B$10000="Var_cap")*1,  (ISNUMBER(SEARCH("ITOT-SWHWST*BR",[1]OUT_FinalEnergyCons!$A$4:$A$10000)))*1,[1]OUT_FinalEnergyCons!F$4:F$10000)</f>
        <v>0.35953735699452749</v>
      </c>
      <c r="I1880" s="1" cm="1">
        <f t="array" ref="I1880">SUMPRODUCT(([1]OUT_FinalEnergyCons!$B$4:$B$10000="Var_cap")*1,  (ISNUMBER(SEARCH("ITOT-SWHWST*BR",[1]OUT_FinalEnergyCons!$A$4:$A$10000)))*1,[1]OUT_FinalEnergyCons!G$4:G$10000)</f>
        <v>0.35953224111943305</v>
      </c>
      <c r="J1880" s="1" cm="1">
        <f t="array" ref="J1880">SUMPRODUCT(([2]OUT_FinalEnergyCons!$B$4:$B$10000="Var_cap")*1,  (ISNUMBER(SEARCH("ITOT-SWHWST*BR",[2]OUT_FinalEnergyCons!$A$4:$A$10000)))*1,[2]OUT_FinalEnergyCons!H$4:H$10000)</f>
        <v>0.31597111584520049</v>
      </c>
      <c r="K1880" s="1" cm="1">
        <f t="array" ref="K1880">SUMPRODUCT(([2]OUT_FinalEnergyCons!$B$4:$B$10000="Var_cap")*1,  (ISNUMBER(SEARCH("ITOT-SWHWST*BR",[2]OUT_FinalEnergyCons!$A$4:$A$10000)))*1,[2]OUT_FinalEnergyCons!I$4:I$10000)</f>
        <v>0.31463910934501665</v>
      </c>
      <c r="L1880" s="1" cm="1">
        <f t="array" ref="L1880">SUMPRODUCT(([2]OUT_FinalEnergyCons!$B$4:$B$10000="Var_cap")*1,  (ISNUMBER(SEARCH("ITOT-SWHWST*BR",[2]OUT_FinalEnergyCons!$A$4:$A$10000)))*1,[2]OUT_FinalEnergyCons!J$4:J$10000)</f>
        <v>0.36201696481926832</v>
      </c>
      <c r="N1880" s="1"/>
    </row>
    <row r="1881" spans="2:14" x14ac:dyDescent="0.35">
      <c r="B1881" s="5" t="str">
        <f t="shared" si="1995"/>
        <v>SPS1</v>
      </c>
      <c r="C1881" s="5" t="str">
        <f t="shared" si="1996"/>
        <v>CH</v>
      </c>
      <c r="D1881" t="s">
        <v>2111</v>
      </c>
      <c r="E1881" t="str">
        <f t="shared" si="1900"/>
        <v>GWth/yr.</v>
      </c>
      <c r="F1881" s="1">
        <f>F1882</f>
        <v>9.8214799778629808E-3</v>
      </c>
      <c r="G1881" s="1">
        <f t="shared" ref="G1881:L1881" si="2003">G1882</f>
        <v>1.2422107266575371E-2</v>
      </c>
      <c r="H1881" s="1">
        <f t="shared" si="2003"/>
        <v>1.242212934446517E-2</v>
      </c>
      <c r="I1881" s="1">
        <f t="shared" si="2003"/>
        <v>1.2422151351954881E-2</v>
      </c>
      <c r="J1881" s="1">
        <f t="shared" si="2003"/>
        <v>1.2675037681094681E-2</v>
      </c>
      <c r="K1881" s="1">
        <f t="shared" si="2003"/>
        <v>1.26743024745341E-2</v>
      </c>
      <c r="L1881" s="1">
        <f t="shared" si="2003"/>
        <v>1.26736910361743E-2</v>
      </c>
      <c r="N1881" s="1"/>
    </row>
    <row r="1882" spans="2:14" x14ac:dyDescent="0.35">
      <c r="B1882" s="5" t="str">
        <f t="shared" si="1995"/>
        <v>SPS1</v>
      </c>
      <c r="C1882" s="5" t="str">
        <f t="shared" si="1996"/>
        <v>CH</v>
      </c>
      <c r="D1882" t="s">
        <v>2112</v>
      </c>
      <c r="E1882" t="str">
        <f t="shared" si="1900"/>
        <v>GWth/yr.</v>
      </c>
      <c r="F1882" s="1" cm="1">
        <f t="array" ref="F1882">SUMPRODUCT(([1]OUT_FinalEnergyCons!$B$4:$B$10000="Var_cap")*1, (ISNUMBER(SEARCH("ITOT-SWHSOLBR",[1]OUT_FinalEnergyCons!$A$4:$A$10000)))*1,[1]OUT_FinalEnergyCons!D$4:D$10000)</f>
        <v>9.8214799778629808E-3</v>
      </c>
      <c r="G1882" s="1" cm="1">
        <f t="array" ref="G1882">SUMPRODUCT(([1]OUT_FinalEnergyCons!$B$4:$B$10000="Var_cap")*1, (ISNUMBER(SEARCH("ITOT-SWHSOLBR",[1]OUT_FinalEnergyCons!$A$4:$A$10000)))*1,[1]OUT_FinalEnergyCons!E$4:E$10000)</f>
        <v>1.2422107266575371E-2</v>
      </c>
      <c r="H1882" s="1" cm="1">
        <f t="array" ref="H1882">SUMPRODUCT(([1]OUT_FinalEnergyCons!$B$4:$B$10000="Var_cap")*1, (ISNUMBER(SEARCH("ITOT-SWHSOLBR",[1]OUT_FinalEnergyCons!$A$4:$A$10000)))*1,[1]OUT_FinalEnergyCons!F$4:F$10000)</f>
        <v>1.242212934446517E-2</v>
      </c>
      <c r="I1882" s="1" cm="1">
        <f t="array" ref="I1882">SUMPRODUCT(([1]OUT_FinalEnergyCons!$B$4:$B$10000="Var_cap")*1, (ISNUMBER(SEARCH("ITOT-SWHSOLBR",[1]OUT_FinalEnergyCons!$A$4:$A$10000)))*1,[1]OUT_FinalEnergyCons!G$4:G$10000)</f>
        <v>1.2422151351954881E-2</v>
      </c>
      <c r="J1882" s="1" cm="1">
        <f t="array" ref="J1882">SUMPRODUCT(([2]OUT_FinalEnergyCons!$B$4:$B$10000="Var_cap")*1, (ISNUMBER(SEARCH("ITOT-SWHSOLBR",[2]OUT_FinalEnergyCons!$A$4:$A$10000)))*1,[2]OUT_FinalEnergyCons!H$4:H$10000)</f>
        <v>1.2675037681094681E-2</v>
      </c>
      <c r="K1882" s="1" cm="1">
        <f t="array" ref="K1882">SUMPRODUCT(([2]OUT_FinalEnergyCons!$B$4:$B$10000="Var_cap")*1, (ISNUMBER(SEARCH("ITOT-SWHSOLBR",[2]OUT_FinalEnergyCons!$A$4:$A$10000)))*1,[2]OUT_FinalEnergyCons!I$4:I$10000)</f>
        <v>1.26743024745341E-2</v>
      </c>
      <c r="L1882" s="1" cm="1">
        <f t="array" ref="L1882">SUMPRODUCT(([2]OUT_FinalEnergyCons!$B$4:$B$10000="Var_cap")*1, (ISNUMBER(SEARCH("ITOT-SWHSOLBR",[2]OUT_FinalEnergyCons!$A$4:$A$10000)))*1,[2]OUT_FinalEnergyCons!J$4:J$10000)</f>
        <v>1.26736910361743E-2</v>
      </c>
      <c r="N1882" s="1"/>
    </row>
    <row r="1883" spans="2:14" x14ac:dyDescent="0.35">
      <c r="B1883" s="5" t="str">
        <f t="shared" si="1995"/>
        <v>SPS1</v>
      </c>
      <c r="C1883" s="5" t="str">
        <f t="shared" si="1996"/>
        <v>CH</v>
      </c>
      <c r="D1883" t="s">
        <v>2113</v>
      </c>
      <c r="E1883" t="str">
        <f t="shared" si="1900"/>
        <v>GWth/yr.</v>
      </c>
      <c r="F1883" s="1">
        <f>F1884</f>
        <v>0</v>
      </c>
      <c r="G1883" s="1">
        <f t="shared" ref="G1883:L1883" si="2004">G1884</f>
        <v>0</v>
      </c>
      <c r="H1883" s="1">
        <f t="shared" si="2004"/>
        <v>0</v>
      </c>
      <c r="I1883" s="1">
        <f t="shared" si="2004"/>
        <v>0</v>
      </c>
      <c r="J1883" s="1">
        <f t="shared" si="2004"/>
        <v>8.2035793818722568E-4</v>
      </c>
      <c r="K1883" s="1">
        <f t="shared" si="2004"/>
        <v>8.8445266650247537E-4</v>
      </c>
      <c r="L1883" s="1">
        <f t="shared" si="2004"/>
        <v>6.7184293051332847E-3</v>
      </c>
      <c r="N1883" s="1"/>
    </row>
    <row r="1884" spans="2:14" x14ac:dyDescent="0.35">
      <c r="B1884" s="5" t="str">
        <f t="shared" si="1995"/>
        <v>SPS1</v>
      </c>
      <c r="C1884" s="5" t="str">
        <f t="shared" si="1996"/>
        <v>CH</v>
      </c>
      <c r="D1884" t="s">
        <v>2114</v>
      </c>
      <c r="E1884" t="str">
        <f t="shared" si="1900"/>
        <v>GWth/yr.</v>
      </c>
      <c r="F1884" s="1" cm="1">
        <f t="array" ref="F1884">SUMPRODUCT(([1]OUT_FinalEnergyCons!$B$4:$B$10000="Var_cap")*1, (ISNUMBER(SEARCH("ITOT-SWHH2BR",[1]OUT_FinalEnergyCons!$A$4:$A$10000)))*1,[1]OUT_FinalEnergyCons!D$4:D$10000)</f>
        <v>0</v>
      </c>
      <c r="G1884" s="1" cm="1">
        <f t="array" ref="G1884">SUMPRODUCT(([1]OUT_FinalEnergyCons!$B$4:$B$10000="Var_cap")*1, (ISNUMBER(SEARCH("ITOT-SWHH2BR",[1]OUT_FinalEnergyCons!$A$4:$A$10000)))*1,[1]OUT_FinalEnergyCons!E$4:E$10000)</f>
        <v>0</v>
      </c>
      <c r="H1884" s="1" cm="1">
        <f t="array" ref="H1884">SUMPRODUCT(([1]OUT_FinalEnergyCons!$B$4:$B$10000="Var_cap")*1, (ISNUMBER(SEARCH("ITOT-SWHH2BR",[1]OUT_FinalEnergyCons!$A$4:$A$10000)))*1,[1]OUT_FinalEnergyCons!F$4:F$10000)</f>
        <v>0</v>
      </c>
      <c r="I1884" s="1" cm="1">
        <f t="array" ref="I1884">SUMPRODUCT(([1]OUT_FinalEnergyCons!$B$4:$B$10000="Var_cap")*1, (ISNUMBER(SEARCH("ITOT-SWHH2BR",[1]OUT_FinalEnergyCons!$A$4:$A$10000)))*1,[1]OUT_FinalEnergyCons!G$4:G$10000)</f>
        <v>0</v>
      </c>
      <c r="J1884" s="1" cm="1">
        <f t="array" ref="J1884">SUMPRODUCT(([2]OUT_FinalEnergyCons!$B$4:$B$10000="Var_cap")*1, (ISNUMBER(SEARCH("ITOT-SWHH2BR",[2]OUT_FinalEnergyCons!$A$4:$A$10000)))*1,[2]OUT_FinalEnergyCons!H$4:H$10000)</f>
        <v>8.2035793818722568E-4</v>
      </c>
      <c r="K1884" s="1" cm="1">
        <f t="array" ref="K1884">SUMPRODUCT(([2]OUT_FinalEnergyCons!$B$4:$B$10000="Var_cap")*1, (ISNUMBER(SEARCH("ITOT-SWHH2BR",[2]OUT_FinalEnergyCons!$A$4:$A$10000)))*1,[2]OUT_FinalEnergyCons!I$4:I$10000)</f>
        <v>8.8445266650247537E-4</v>
      </c>
      <c r="L1884" s="1" cm="1">
        <f t="array" ref="L1884">SUMPRODUCT(([2]OUT_FinalEnergyCons!$B$4:$B$10000="Var_cap")*1, (ISNUMBER(SEARCH("ITOT-SWHH2BR",[2]OUT_FinalEnergyCons!$A$4:$A$10000)))*1,[2]OUT_FinalEnergyCons!J$4:J$10000)</f>
        <v>6.7184293051332847E-3</v>
      </c>
      <c r="N1884" s="1"/>
    </row>
    <row r="1885" spans="2:14" x14ac:dyDescent="0.35">
      <c r="B1885" s="9" t="str">
        <f>B1813</f>
        <v>SPS1</v>
      </c>
      <c r="C1885" s="9" t="str">
        <f>C1813</f>
        <v>CH</v>
      </c>
      <c r="D1885" s="2" t="s">
        <v>1900</v>
      </c>
      <c r="E1885" s="9" t="str">
        <f t="shared" si="1900"/>
        <v>GWth/yr.</v>
      </c>
      <c r="F1885" s="17">
        <f>SUM(F1886,F1889,F1891,F1895,F1897,F1899,F1901)</f>
        <v>6.1442000469184386</v>
      </c>
      <c r="G1885" s="17">
        <f t="shared" ref="G1885:K1885" si="2005">SUM(G1886,G1889,G1891,G1895,G1897,G1899,G1901)</f>
        <v>6.0519360010656582</v>
      </c>
      <c r="H1885" s="17">
        <f t="shared" si="2005"/>
        <v>6.0785339391885795</v>
      </c>
      <c r="I1885" s="17">
        <f t="shared" si="2005"/>
        <v>6.3343280740719443</v>
      </c>
      <c r="J1885" s="17">
        <f t="shared" si="2005"/>
        <v>4.5041973153753538</v>
      </c>
      <c r="K1885" s="17">
        <f t="shared" si="2005"/>
        <v>4.4778326760388136</v>
      </c>
      <c r="L1885" s="17">
        <f t="shared" ref="L1885" si="2006">SUM(L1886,L1889,L1891,L1895,L1897,L1899,L1901)</f>
        <v>4.4874824587179827</v>
      </c>
      <c r="N1885" s="1"/>
    </row>
    <row r="1886" spans="2:14" x14ac:dyDescent="0.35">
      <c r="B1886" s="5" t="str">
        <f>B1885</f>
        <v>SPS1</v>
      </c>
      <c r="C1886" s="5" t="str">
        <f>C1885</f>
        <v>CH</v>
      </c>
      <c r="D1886" t="s">
        <v>1901</v>
      </c>
      <c r="E1886" t="str">
        <f t="shared" si="1900"/>
        <v>GWth/yr.</v>
      </c>
      <c r="F1886" s="1">
        <f>SUM(F1887:F1888)</f>
        <v>0.61560571432644751</v>
      </c>
      <c r="G1886" s="1">
        <f t="shared" ref="G1886:K1886" si="2007">SUM(G1887:G1888)</f>
        <v>0.50786212746464654</v>
      </c>
      <c r="H1886" s="1">
        <f t="shared" si="2007"/>
        <v>0.50413497087816062</v>
      </c>
      <c r="I1886" s="1">
        <f t="shared" si="2007"/>
        <v>0.6260651041127131</v>
      </c>
      <c r="J1886" s="1">
        <f t="shared" si="2007"/>
        <v>0.74405651034420683</v>
      </c>
      <c r="K1886" s="1">
        <f t="shared" si="2007"/>
        <v>0.87957890357974178</v>
      </c>
      <c r="L1886" s="1">
        <f t="shared" ref="L1886" si="2008">SUM(L1887:L1888)</f>
        <v>1.1802035036321521</v>
      </c>
      <c r="N1886" s="1"/>
    </row>
    <row r="1887" spans="2:14" x14ac:dyDescent="0.35">
      <c r="B1887" s="5" t="str">
        <f>B1886</f>
        <v>SPS1</v>
      </c>
      <c r="C1887" s="5" t="str">
        <f>C1886</f>
        <v>CH</v>
      </c>
      <c r="D1887" t="s">
        <v>1902</v>
      </c>
      <c r="E1887" t="str">
        <f t="shared" si="1900"/>
        <v>GWth/yr.</v>
      </c>
      <c r="F1887" s="1" cm="1">
        <f t="array" ref="F1887">SUMPRODUCT(([1]OUT_FinalEnergyCons!$B$4:$B$10000="Var_cap")*1, (ISNUMBER(SEARCH("SCOM-SHELCBR",[1]OUT_FinalEnergyCons!$A$4:$A$10000)))*1,[1]OUT_FinalEnergyCons!D$4:D$10000)</f>
        <v>0.18498837532796614</v>
      </c>
      <c r="G1887" s="1" cm="1">
        <f t="array" ref="G1887">SUMPRODUCT(([1]OUT_FinalEnergyCons!$B$4:$B$10000="Var_cap")*1, (ISNUMBER(SEARCH("SCOM-SHELCBR",[1]OUT_FinalEnergyCons!$A$4:$A$10000)))*1,[1]OUT_FinalEnergyCons!E$4:E$10000)</f>
        <v>7.7245436761137196E-2</v>
      </c>
      <c r="H1887" s="1" cm="1">
        <f t="array" ref="H1887">SUMPRODUCT(([1]OUT_FinalEnergyCons!$B$4:$B$10000="Var_cap")*1, (ISNUMBER(SEARCH("SCOM-SHELCBR",[1]OUT_FinalEnergyCons!$A$4:$A$10000)))*1,[1]OUT_FinalEnergyCons!F$4:F$10000)</f>
        <v>7.3518152965600755E-2</v>
      </c>
      <c r="I1887" s="1" cm="1">
        <f t="array" ref="I1887">SUMPRODUCT(([1]OUT_FinalEnergyCons!$B$4:$B$10000="Var_cap")*1, (ISNUMBER(SEARCH("SCOM-SHELCBR",[1]OUT_FinalEnergyCons!$A$4:$A$10000)))*1,[1]OUT_FinalEnergyCons!G$4:G$10000)</f>
        <v>4.5402731544790992E-2</v>
      </c>
      <c r="J1887" s="1" cm="1">
        <f t="array" ref="J1887">SUMPRODUCT(([2]OUT_FinalEnergyCons!$B$4:$B$10000="Var_cap")*1, (ISNUMBER(SEARCH("SCOM-SHELCBR",[2]OUT_FinalEnergyCons!$A$4:$A$10000)))*1,[2]OUT_FinalEnergyCons!H$4:H$10000)</f>
        <v>2.8053026630886699E-2</v>
      </c>
      <c r="K1887" s="1" cm="1">
        <f t="array" ref="K1887">SUMPRODUCT(([2]OUT_FinalEnergyCons!$B$4:$B$10000="Var_cap")*1, (ISNUMBER(SEARCH("SCOM-SHELCBR",[2]OUT_FinalEnergyCons!$A$4:$A$10000)))*1,[2]OUT_FinalEnergyCons!I$4:I$10000)</f>
        <v>2.7359811004787796E-2</v>
      </c>
      <c r="L1887" s="1" cm="1">
        <f t="array" ref="L1887">SUMPRODUCT(([2]OUT_FinalEnergyCons!$B$4:$B$10000="Var_cap")*1, (ISNUMBER(SEARCH("SCOM-SHELCBR",[2]OUT_FinalEnergyCons!$A$4:$A$10000)))*1,[2]OUT_FinalEnergyCons!J$4:J$10000)</f>
        <v>2.1417138356916367E-2</v>
      </c>
      <c r="N1887" s="1"/>
    </row>
    <row r="1888" spans="2:14" x14ac:dyDescent="0.35">
      <c r="B1888" s="5" t="str">
        <f t="shared" ref="B1888:C1888" si="2009">B1887</f>
        <v>SPS1</v>
      </c>
      <c r="C1888" s="5" t="str">
        <f t="shared" si="2009"/>
        <v>CH</v>
      </c>
      <c r="D1888" t="s">
        <v>1903</v>
      </c>
      <c r="E1888" t="str">
        <f t="shared" si="1900"/>
        <v>GWth/yr.</v>
      </c>
      <c r="F1888" s="1" cm="1">
        <f t="array" ref="F1888">SUMPRODUCT(([1]OUT_FinalEnergyCons!$B$4:$B$10000="Var_cap")*1, (ISNUMBER(SEARCH("SCOM-SHELCHP",[1]OUT_FinalEnergyCons!$A$4:$A$10000)))*1,[1]OUT_FinalEnergyCons!D$4:D$10000)</f>
        <v>0.43061733899848142</v>
      </c>
      <c r="G1888" s="1" cm="1">
        <f t="array" ref="G1888">SUMPRODUCT(([1]OUT_FinalEnergyCons!$B$4:$B$10000="Var_cap")*1, (ISNUMBER(SEARCH("SCOM-SHELCHP",[1]OUT_FinalEnergyCons!$A$4:$A$10000)))*1,[1]OUT_FinalEnergyCons!E$4:E$10000)</f>
        <v>0.43061669070350939</v>
      </c>
      <c r="H1888" s="1" cm="1">
        <f t="array" ref="H1888">SUMPRODUCT(([1]OUT_FinalEnergyCons!$B$4:$B$10000="Var_cap")*1, (ISNUMBER(SEARCH("SCOM-SHELCHP",[1]OUT_FinalEnergyCons!$A$4:$A$10000)))*1,[1]OUT_FinalEnergyCons!F$4:F$10000)</f>
        <v>0.43061681791255985</v>
      </c>
      <c r="I1888" s="1" cm="1">
        <f t="array" ref="I1888">SUMPRODUCT(([1]OUT_FinalEnergyCons!$B$4:$B$10000="Var_cap")*1, (ISNUMBER(SEARCH("SCOM-SHELCHP",[1]OUT_FinalEnergyCons!$A$4:$A$10000)))*1,[1]OUT_FinalEnergyCons!G$4:G$10000)</f>
        <v>0.58066237256792208</v>
      </c>
      <c r="J1888" s="1" cm="1">
        <f t="array" ref="J1888">SUMPRODUCT(([2]OUT_FinalEnergyCons!$B$4:$B$10000="Var_cap")*1, (ISNUMBER(SEARCH("SCOM-SHELCHP",[2]OUT_FinalEnergyCons!$A$4:$A$10000)))*1,[2]OUT_FinalEnergyCons!H$4:H$10000)</f>
        <v>0.71600348371332012</v>
      </c>
      <c r="K1888" s="1" cm="1">
        <f t="array" ref="K1888">SUMPRODUCT(([2]OUT_FinalEnergyCons!$B$4:$B$10000="Var_cap")*1, (ISNUMBER(SEARCH("SCOM-SHELCHP",[2]OUT_FinalEnergyCons!$A$4:$A$10000)))*1,[2]OUT_FinalEnergyCons!I$4:I$10000)</f>
        <v>0.85221909257495398</v>
      </c>
      <c r="L1888" s="1" cm="1">
        <f t="array" ref="L1888">SUMPRODUCT(([2]OUT_FinalEnergyCons!$B$4:$B$10000="Var_cap")*1, (ISNUMBER(SEARCH("SCOM-SHELCHP",[2]OUT_FinalEnergyCons!$A$4:$A$10000)))*1,[2]OUT_FinalEnergyCons!J$4:J$10000)</f>
        <v>1.1587863652752357</v>
      </c>
      <c r="N1888" s="1"/>
    </row>
    <row r="1889" spans="2:14" x14ac:dyDescent="0.35">
      <c r="B1889" s="5" t="str">
        <f t="shared" ref="B1889:C1889" si="2010">B1888</f>
        <v>SPS1</v>
      </c>
      <c r="C1889" s="5" t="str">
        <f t="shared" si="2010"/>
        <v>CH</v>
      </c>
      <c r="D1889" t="s">
        <v>1904</v>
      </c>
      <c r="E1889" t="str">
        <f t="shared" si="1900"/>
        <v>GWth/yr.</v>
      </c>
      <c r="F1889" s="1">
        <f>F1890</f>
        <v>1.9285738602854512</v>
      </c>
      <c r="G1889" s="1">
        <f t="shared" ref="G1889:L1889" si="2011">G1890</f>
        <v>1.8575079408170125</v>
      </c>
      <c r="H1889" s="1">
        <f t="shared" si="2011"/>
        <v>1.8575017232625175</v>
      </c>
      <c r="I1889" s="1">
        <f t="shared" si="2011"/>
        <v>1.8574993702730802</v>
      </c>
      <c r="J1889" s="1">
        <f t="shared" si="2011"/>
        <v>0.954070515729179</v>
      </c>
      <c r="K1889" s="1">
        <f t="shared" si="2011"/>
        <v>0.77030597258427069</v>
      </c>
      <c r="L1889" s="1">
        <f t="shared" si="2011"/>
        <v>0.41786516593903972</v>
      </c>
      <c r="N1889" s="1"/>
    </row>
    <row r="1890" spans="2:14" x14ac:dyDescent="0.35">
      <c r="B1890" s="5" t="str">
        <f t="shared" ref="B1890:C1890" si="2012">B1889</f>
        <v>SPS1</v>
      </c>
      <c r="C1890" s="5" t="str">
        <f t="shared" si="2012"/>
        <v>CH</v>
      </c>
      <c r="D1890" t="s">
        <v>1905</v>
      </c>
      <c r="E1890" t="str">
        <f t="shared" ref="E1890:E1902" si="2013">E1889</f>
        <v>GWth/yr.</v>
      </c>
      <c r="F1890" s="1" cm="1">
        <f t="array" ref="F1890">SUMPRODUCT(([1]OUT_FinalEnergyCons!$B$4:$B$10000="Var_cap")*1,(ISNUMBER(SEARCH("SCOM-SHLFOBR",[1]OUT_FinalEnergyCons!$A$4:$A$10000)))*1,[1]OUT_FinalEnergyCons!D$4:D$10000)</f>
        <v>1.9285738602854512</v>
      </c>
      <c r="G1890" s="1" cm="1">
        <f t="array" ref="G1890">SUMPRODUCT(([1]OUT_FinalEnergyCons!$B$4:$B$10000="Var_cap")*1,(ISNUMBER(SEARCH("SCOM-SHLFOBR",[1]OUT_FinalEnergyCons!$A$4:$A$10000)))*1,[1]OUT_FinalEnergyCons!E$4:E$10000)</f>
        <v>1.8575079408170125</v>
      </c>
      <c r="H1890" s="1" cm="1">
        <f t="array" ref="H1890">SUMPRODUCT(([1]OUT_FinalEnergyCons!$B$4:$B$10000="Var_cap")*1,(ISNUMBER(SEARCH("SCOM-SHLFOBR",[1]OUT_FinalEnergyCons!$A$4:$A$10000)))*1,[1]OUT_FinalEnergyCons!F$4:F$10000)</f>
        <v>1.8575017232625175</v>
      </c>
      <c r="I1890" s="1" cm="1">
        <f t="array" ref="I1890">SUMPRODUCT(([1]OUT_FinalEnergyCons!$B$4:$B$10000="Var_cap")*1,(ISNUMBER(SEARCH("SCOM-SHLFOBR",[1]OUT_FinalEnergyCons!$A$4:$A$10000)))*1,[1]OUT_FinalEnergyCons!G$4:G$10000)</f>
        <v>1.8574993702730802</v>
      </c>
      <c r="J1890" s="1" cm="1">
        <f t="array" ref="J1890">SUMPRODUCT(([2]OUT_FinalEnergyCons!$B$4:$B$10000="Var_cap")*1,(ISNUMBER(SEARCH("SCOM-SHLFOBR",[2]OUT_FinalEnergyCons!$A$4:$A$10000)))*1,[2]OUT_FinalEnergyCons!H$4:H$10000)</f>
        <v>0.954070515729179</v>
      </c>
      <c r="K1890" s="1" cm="1">
        <f t="array" ref="K1890">SUMPRODUCT(([2]OUT_FinalEnergyCons!$B$4:$B$10000="Var_cap")*1,(ISNUMBER(SEARCH("SCOM-SHLFOBR",[2]OUT_FinalEnergyCons!$A$4:$A$10000)))*1,[2]OUT_FinalEnergyCons!I$4:I$10000)</f>
        <v>0.77030597258427069</v>
      </c>
      <c r="L1890" s="1" cm="1">
        <f t="array" ref="L1890">SUMPRODUCT(([2]OUT_FinalEnergyCons!$B$4:$B$10000="Var_cap")*1,(ISNUMBER(SEARCH("SCOM-SHLFOBR",[2]OUT_FinalEnergyCons!$A$4:$A$10000)))*1,[2]OUT_FinalEnergyCons!J$4:J$10000)</f>
        <v>0.41786516593903972</v>
      </c>
      <c r="N1890" s="1"/>
    </row>
    <row r="1891" spans="2:14" x14ac:dyDescent="0.35">
      <c r="B1891" s="5" t="str">
        <f t="shared" ref="B1891:C1891" si="2014">B1890</f>
        <v>SPS1</v>
      </c>
      <c r="C1891" s="5" t="str">
        <f t="shared" si="2014"/>
        <v>CH</v>
      </c>
      <c r="D1891" t="s">
        <v>1906</v>
      </c>
      <c r="E1891" t="str">
        <f t="shared" si="2013"/>
        <v>GWth/yr.</v>
      </c>
      <c r="F1891" s="1">
        <f>SUM(F1892:F1894)</f>
        <v>2.8800227612166243</v>
      </c>
      <c r="G1891" s="1">
        <f t="shared" ref="G1891:K1891" si="2015">SUM(G1892:G1894)</f>
        <v>2.8800184823045063</v>
      </c>
      <c r="H1891" s="1">
        <f t="shared" si="2015"/>
        <v>3.0130816502619511</v>
      </c>
      <c r="I1891" s="1">
        <f t="shared" si="2015"/>
        <v>3.1469504803970603</v>
      </c>
      <c r="J1891" s="1">
        <f t="shared" si="2015"/>
        <v>1.6052822508858584</v>
      </c>
      <c r="K1891" s="1">
        <f t="shared" si="2015"/>
        <v>1.5850877726200616</v>
      </c>
      <c r="L1891" s="1">
        <f t="shared" ref="L1891" si="2016">SUM(L1892:L1894)</f>
        <v>1.3951724963152692</v>
      </c>
      <c r="N1891" s="1"/>
    </row>
    <row r="1892" spans="2:14" x14ac:dyDescent="0.35">
      <c r="B1892" s="5" t="str">
        <f t="shared" ref="B1892:C1892" si="2017">B1891</f>
        <v>SPS1</v>
      </c>
      <c r="C1892" s="5" t="str">
        <f t="shared" si="2017"/>
        <v>CH</v>
      </c>
      <c r="D1892" t="s">
        <v>1907</v>
      </c>
      <c r="E1892" t="str">
        <f t="shared" si="2013"/>
        <v>GWth/yr.</v>
      </c>
      <c r="F1892" s="1" cm="1">
        <f t="array" ref="F1892">SUMPRODUCT(([1]OUT_FinalEnergyCons!$B$4:$B$10000="Var_cap")*1, (ISNUMBER(SEARCH("SCOM-SHNGABR",[1]OUT_FinalEnergyCons!$A$4:$A$10000)))*1,[1]OUT_FinalEnergyCons!D$4:D$10000)</f>
        <v>2.7746815535641391</v>
      </c>
      <c r="G1892" s="1" cm="1">
        <f t="array" ref="G1892">SUMPRODUCT(([1]OUT_FinalEnergyCons!$B$4:$B$10000="Var_cap")*1, (ISNUMBER(SEARCH("SCOM-SHNGABR",[1]OUT_FinalEnergyCons!$A$4:$A$10000)))*1,[1]OUT_FinalEnergyCons!E$4:E$10000)</f>
        <v>2.7746679456434129</v>
      </c>
      <c r="H1892" s="1" cm="1">
        <f t="array" ref="H1892">SUMPRODUCT(([1]OUT_FinalEnergyCons!$B$4:$B$10000="Var_cap")*1, (ISNUMBER(SEARCH("SCOM-SHNGABR",[1]OUT_FinalEnergyCons!$A$4:$A$10000)))*1,[1]OUT_FinalEnergyCons!F$4:F$10000)</f>
        <v>2.7746565663103984</v>
      </c>
      <c r="I1892" s="1" cm="1">
        <f t="array" ref="I1892">SUMPRODUCT(([1]OUT_FinalEnergyCons!$B$4:$B$10000="Var_cap")*1, (ISNUMBER(SEARCH("SCOM-SHNGABR",[1]OUT_FinalEnergyCons!$A$4:$A$10000)))*1,[1]OUT_FinalEnergyCons!G$4:G$10000)</f>
        <v>2.7746532885591715</v>
      </c>
      <c r="J1892" s="1" cm="1">
        <f t="array" ref="J1892">SUMPRODUCT(([2]OUT_FinalEnergyCons!$B$4:$B$10000="Var_cap")*1, (ISNUMBER(SEARCH("SCOM-SHNGABR",[2]OUT_FinalEnergyCons!$A$4:$A$10000)))*1,[2]OUT_FinalEnergyCons!H$4:H$10000)</f>
        <v>1.220884087229148</v>
      </c>
      <c r="K1892" s="1" cm="1">
        <f t="array" ref="K1892">SUMPRODUCT(([2]OUT_FinalEnergyCons!$B$4:$B$10000="Var_cap")*1, (ISNUMBER(SEARCH("SCOM-SHNGABR",[2]OUT_FinalEnergyCons!$A$4:$A$10000)))*1,[2]OUT_FinalEnergyCons!I$4:I$10000)</f>
        <v>1.1427343677585073</v>
      </c>
      <c r="L1892" s="1" cm="1">
        <f t="array" ref="L1892">SUMPRODUCT(([2]OUT_FinalEnergyCons!$B$4:$B$10000="Var_cap")*1, (ISNUMBER(SEARCH("SCOM-SHNGABR",[2]OUT_FinalEnergyCons!$A$4:$A$10000)))*1,[2]OUT_FinalEnergyCons!J$4:J$10000)</f>
        <v>0.75529168492161225</v>
      </c>
      <c r="N1892" s="1"/>
    </row>
    <row r="1893" spans="2:14" x14ac:dyDescent="0.35">
      <c r="B1893" s="5" t="str">
        <f t="shared" ref="B1893:C1893" si="2018">B1892</f>
        <v>SPS1</v>
      </c>
      <c r="C1893" s="5" t="str">
        <f t="shared" si="2018"/>
        <v>CH</v>
      </c>
      <c r="D1893" t="s">
        <v>1908</v>
      </c>
      <c r="E1893" t="str">
        <f t="shared" si="2013"/>
        <v>GWth/yr.</v>
      </c>
      <c r="F1893" s="1" cm="1">
        <f t="array" ref="F1893">SUMPRODUCT(([1]OUT_FinalEnergyCons!$B$4:$B$10000="Var_cap")*1, (ISNUMBER(SEARCH("SCOM-SHngahp",[1]OUT_FinalEnergyCons!$A$4:$A$10000)))*1,[1]OUT_FinalEnergyCons!D$4:D$10000)</f>
        <v>1.35884408911909E-7</v>
      </c>
      <c r="G1893" s="1" cm="1">
        <f t="array" ref="G1893">SUMPRODUCT(([1]OUT_FinalEnergyCons!$B$4:$B$10000="Var_cap")*1, (ISNUMBER(SEARCH("SCOM-SHngahp",[1]OUT_FinalEnergyCons!$A$4:$A$10000)))*1,[1]OUT_FinalEnergyCons!E$4:E$10000)</f>
        <v>9.9855702295046725E-6</v>
      </c>
      <c r="H1893" s="1" cm="1">
        <f t="array" ref="H1893">SUMPRODUCT(([1]OUT_FinalEnergyCons!$B$4:$B$10000="Var_cap")*1, (ISNUMBER(SEARCH("SCOM-SHngahp",[1]OUT_FinalEnergyCons!$A$4:$A$10000)))*1,[1]OUT_FinalEnergyCons!F$4:F$10000)</f>
        <v>0.13309671992942065</v>
      </c>
      <c r="I1893" s="1" cm="1">
        <f t="array" ref="I1893">SUMPRODUCT(([1]OUT_FinalEnergyCons!$B$4:$B$10000="Var_cap")*1, (ISNUMBER(SEARCH("SCOM-SHngahp",[1]OUT_FinalEnergyCons!$A$4:$A$10000)))*1,[1]OUT_FinalEnergyCons!G$4:G$10000)</f>
        <v>0.2669705620280049</v>
      </c>
      <c r="J1893" s="1" cm="1">
        <f t="array" ref="J1893">SUMPRODUCT(([2]OUT_FinalEnergyCons!$B$4:$B$10000="Var_cap")*1, (ISNUMBER(SEARCH("SCOM-SHngahp",[2]OUT_FinalEnergyCons!$A$4:$A$10000)))*1,[2]OUT_FinalEnergyCons!H$4:H$10000)</f>
        <v>0.3570645747388404</v>
      </c>
      <c r="K1893" s="1" cm="1">
        <f t="array" ref="K1893">SUMPRODUCT(([2]OUT_FinalEnergyCons!$B$4:$B$10000="Var_cap")*1, (ISNUMBER(SEARCH("SCOM-SHngahp",[2]OUT_FinalEnergyCons!$A$4:$A$10000)))*1,[2]OUT_FinalEnergyCons!I$4:I$10000)</f>
        <v>0.4422966037691165</v>
      </c>
      <c r="L1893" s="1" cm="1">
        <f t="array" ref="L1893">SUMPRODUCT(([2]OUT_FinalEnergyCons!$B$4:$B$10000="Var_cap")*1, (ISNUMBER(SEARCH("SCOM-SHngahp",[2]OUT_FinalEnergyCons!$A$4:$A$10000)))*1,[2]OUT_FinalEnergyCons!J$4:J$10000)</f>
        <v>0.63983110790120756</v>
      </c>
      <c r="N1893" s="1"/>
    </row>
    <row r="1894" spans="2:14" x14ac:dyDescent="0.35">
      <c r="B1894" s="5" t="str">
        <f t="shared" ref="B1894:C1894" si="2019">B1893</f>
        <v>SPS1</v>
      </c>
      <c r="C1894" s="5" t="str">
        <f t="shared" si="2019"/>
        <v>CH</v>
      </c>
      <c r="D1894" t="s">
        <v>1909</v>
      </c>
      <c r="E1894" t="str">
        <f t="shared" si="2013"/>
        <v>GWth/yr.</v>
      </c>
      <c r="F1894" s="1" cm="1">
        <f t="array" ref="F1894">SUMPRODUCT(([1]OUT_FinalEnergyCons!$B$4:$B$10000="Var_cap")*1, (("SCOM-SHBIOBR"=[1]OUT_FinalEnergyCons!$A$4:$A$10000)*1+("SCOM-SHBNGABR"=[1]OUT_FinalEnergyCons!$A$4:$A$10000)*1),[1]OUT_FinalEnergyCons!D$4:D$10000)</f>
        <v>0.10534107176807619</v>
      </c>
      <c r="G1894" s="1" cm="1">
        <f t="array" ref="G1894">SUMPRODUCT(([1]OUT_FinalEnergyCons!$B$4:$B$10000="Var_cap")*1, (("SCOM-SHBIOBR"=[1]OUT_FinalEnergyCons!$A$4:$A$10000)*1+("SCOM-SHBNGABR"=[1]OUT_FinalEnergyCons!$A$4:$A$10000)*1),[1]OUT_FinalEnergyCons!E$4:E$10000)</f>
        <v>0.10534055109086389</v>
      </c>
      <c r="H1894" s="1" cm="1">
        <f t="array" ref="H1894">SUMPRODUCT(([1]OUT_FinalEnergyCons!$B$4:$B$10000="Var_cap")*1, (("SCOM-SHBIOBR"=[1]OUT_FinalEnergyCons!$A$4:$A$10000)*1+("SCOM-SHBNGABR"=[1]OUT_FinalEnergyCons!$A$4:$A$10000)*1),[1]OUT_FinalEnergyCons!F$4:F$10000)</f>
        <v>0.10532836402213222</v>
      </c>
      <c r="I1894" s="1" cm="1">
        <f t="array" ref="I1894">SUMPRODUCT(([1]OUT_FinalEnergyCons!$B$4:$B$10000="Var_cap")*1, (("SCOM-SHBIOBR"=[1]OUT_FinalEnergyCons!$A$4:$A$10000)*1+("SCOM-SHBNGABR"=[1]OUT_FinalEnergyCons!$A$4:$A$10000)*1),[1]OUT_FinalEnergyCons!G$4:G$10000)</f>
        <v>0.10532662980988396</v>
      </c>
      <c r="J1894" s="1" cm="1">
        <f t="array" ref="J1894">SUMPRODUCT(([2]OUT_FinalEnergyCons!$B$4:$B$10000="Var_cap")*1, (("SCOM-SHBIOBR"=[2]OUT_FinalEnergyCons!$A$4:$A$10000)*1+("SCOM-SHBNGABR"=[2]OUT_FinalEnergyCons!$A$4:$A$10000)*1),[2]OUT_FinalEnergyCons!H$4:H$10000)</f>
        <v>2.7333588917870185E-2</v>
      </c>
      <c r="K1894" s="1" cm="1">
        <f t="array" ref="K1894">SUMPRODUCT(([2]OUT_FinalEnergyCons!$B$4:$B$10000="Var_cap")*1, (("SCOM-SHBIOBR"=[2]OUT_FinalEnergyCons!$A$4:$A$10000)*1+("SCOM-SHBNGABR"=[2]OUT_FinalEnergyCons!$A$4:$A$10000)*1),[2]OUT_FinalEnergyCons!I$4:I$10000)</f>
        <v>5.6801092437779958E-5</v>
      </c>
      <c r="L1894" s="1" cm="1">
        <f t="array" ref="L1894">SUMPRODUCT(([2]OUT_FinalEnergyCons!$B$4:$B$10000="Var_cap")*1, (("SCOM-SHBIOBR"=[2]OUT_FinalEnergyCons!$A$4:$A$10000)*1+("SCOM-SHBNGABR"=[2]OUT_FinalEnergyCons!$A$4:$A$10000)*1),[2]OUT_FinalEnergyCons!J$4:J$10000)</f>
        <v>4.970349244933868E-5</v>
      </c>
      <c r="N1894" s="1"/>
    </row>
    <row r="1895" spans="2:14" x14ac:dyDescent="0.35">
      <c r="B1895" s="5" t="str">
        <f t="shared" ref="B1895:C1895" si="2020">B1894</f>
        <v>SPS1</v>
      </c>
      <c r="C1895" s="5" t="str">
        <f t="shared" si="2020"/>
        <v>CH</v>
      </c>
      <c r="D1895" t="s">
        <v>1910</v>
      </c>
      <c r="E1895" t="str">
        <f t="shared" si="2013"/>
        <v>GWth/yr.</v>
      </c>
      <c r="F1895" s="1">
        <f>F1896</f>
        <v>0.4784225370902444</v>
      </c>
      <c r="G1895" s="1">
        <f t="shared" ref="G1895:L1895" si="2021">G1896</f>
        <v>0.53187668218903705</v>
      </c>
      <c r="H1895" s="1">
        <f t="shared" si="2021"/>
        <v>0.5318656365771931</v>
      </c>
      <c r="I1895" s="1">
        <f t="shared" si="2021"/>
        <v>0.53186371282515876</v>
      </c>
      <c r="J1895" s="1">
        <f t="shared" si="2021"/>
        <v>0.53780304873890639</v>
      </c>
      <c r="K1895" s="1">
        <f t="shared" si="2021"/>
        <v>0.49363151554958795</v>
      </c>
      <c r="L1895" s="1">
        <f t="shared" si="2021"/>
        <v>0.42217825330798298</v>
      </c>
      <c r="N1895" s="1"/>
    </row>
    <row r="1896" spans="2:14" x14ac:dyDescent="0.35">
      <c r="B1896" s="5" t="str">
        <f t="shared" ref="B1896:C1896" si="2022">B1895</f>
        <v>SPS1</v>
      </c>
      <c r="C1896" s="5" t="str">
        <f t="shared" si="2022"/>
        <v>CH</v>
      </c>
      <c r="D1896" t="s">
        <v>1911</v>
      </c>
      <c r="E1896" t="str">
        <f t="shared" si="2013"/>
        <v>GWth/yr.</v>
      </c>
      <c r="F1896" s="1" cm="1">
        <f t="array" ref="F1896">SUMPRODUCT(([1]OUT_FinalEnergyCons!$B$4:$B$10000="Var_cap")*1, (ISNUMBER(SEARCH("SCOM-SHWODBR",[1]OUT_FinalEnergyCons!$A$4:$A$10000)))*1,[1]OUT_FinalEnergyCons!D$4:D$10000)</f>
        <v>0.4784225370902444</v>
      </c>
      <c r="G1896" s="1" cm="1">
        <f t="array" ref="G1896">SUMPRODUCT(([1]OUT_FinalEnergyCons!$B$4:$B$10000="Var_cap")*1, (ISNUMBER(SEARCH("SCOM-SHWODBR",[1]OUT_FinalEnergyCons!$A$4:$A$10000)))*1,[1]OUT_FinalEnergyCons!E$4:E$10000)</f>
        <v>0.53187668218903705</v>
      </c>
      <c r="H1896" s="1" cm="1">
        <f t="array" ref="H1896">SUMPRODUCT(([1]OUT_FinalEnergyCons!$B$4:$B$10000="Var_cap")*1, (ISNUMBER(SEARCH("SCOM-SHWODBR",[1]OUT_FinalEnergyCons!$A$4:$A$10000)))*1,[1]OUT_FinalEnergyCons!F$4:F$10000)</f>
        <v>0.5318656365771931</v>
      </c>
      <c r="I1896" s="1" cm="1">
        <f t="array" ref="I1896">SUMPRODUCT(([1]OUT_FinalEnergyCons!$B$4:$B$10000="Var_cap")*1, (ISNUMBER(SEARCH("SCOM-SHWODBR",[1]OUT_FinalEnergyCons!$A$4:$A$10000)))*1,[1]OUT_FinalEnergyCons!G$4:G$10000)</f>
        <v>0.53186371282515876</v>
      </c>
      <c r="J1896" s="1" cm="1">
        <f t="array" ref="J1896">SUMPRODUCT(([2]OUT_FinalEnergyCons!$B$4:$B$10000="Var_cap")*1, (ISNUMBER(SEARCH("SCOM-SHWODBR",[2]OUT_FinalEnergyCons!$A$4:$A$10000)))*1,[2]OUT_FinalEnergyCons!H$4:H$10000)</f>
        <v>0.53780304873890639</v>
      </c>
      <c r="K1896" s="1" cm="1">
        <f t="array" ref="K1896">SUMPRODUCT(([2]OUT_FinalEnergyCons!$B$4:$B$10000="Var_cap")*1, (ISNUMBER(SEARCH("SCOM-SHWODBR",[2]OUT_FinalEnergyCons!$A$4:$A$10000)))*1,[2]OUT_FinalEnergyCons!I$4:I$10000)</f>
        <v>0.49363151554958795</v>
      </c>
      <c r="L1896" s="1" cm="1">
        <f t="array" ref="L1896">SUMPRODUCT(([2]OUT_FinalEnergyCons!$B$4:$B$10000="Var_cap")*1, (ISNUMBER(SEARCH("SCOM-SHWODBR",[2]OUT_FinalEnergyCons!$A$4:$A$10000)))*1,[2]OUT_FinalEnergyCons!J$4:J$10000)</f>
        <v>0.42217825330798298</v>
      </c>
      <c r="N1896" s="1"/>
    </row>
    <row r="1897" spans="2:14" x14ac:dyDescent="0.35">
      <c r="B1897" s="5" t="str">
        <f t="shared" ref="B1897:C1897" si="2023">B1896</f>
        <v>SPS1</v>
      </c>
      <c r="C1897" s="5" t="str">
        <f t="shared" si="2023"/>
        <v>CH</v>
      </c>
      <c r="D1897" t="s">
        <v>1912</v>
      </c>
      <c r="E1897" t="str">
        <f t="shared" si="2013"/>
        <v>GWth/yr.</v>
      </c>
      <c r="F1897" s="1">
        <f>F1898</f>
        <v>0.15051114837620441</v>
      </c>
      <c r="G1897" s="1">
        <f t="shared" ref="G1897:L1897" si="2024">G1898</f>
        <v>0.17484821030851186</v>
      </c>
      <c r="H1897" s="1">
        <f t="shared" si="2024"/>
        <v>7.2127868261988193E-2</v>
      </c>
      <c r="I1897" s="1">
        <f t="shared" si="2024"/>
        <v>7.2127131677862111E-2</v>
      </c>
      <c r="J1897" s="1">
        <f t="shared" si="2024"/>
        <v>7.9787176600415191E-2</v>
      </c>
      <c r="K1897" s="1">
        <f t="shared" si="2024"/>
        <v>9.0014649543711633E-2</v>
      </c>
      <c r="L1897" s="1">
        <f t="shared" si="2024"/>
        <v>0.11496256234122267</v>
      </c>
      <c r="N1897" s="1"/>
    </row>
    <row r="1898" spans="2:14" x14ac:dyDescent="0.35">
      <c r="B1898" s="5" t="str">
        <f t="shared" ref="B1898:C1898" si="2025">B1897</f>
        <v>SPS1</v>
      </c>
      <c r="C1898" s="5" t="str">
        <f t="shared" si="2025"/>
        <v>CH</v>
      </c>
      <c r="D1898" t="s">
        <v>1913</v>
      </c>
      <c r="E1898" t="str">
        <f t="shared" si="2013"/>
        <v>GWth/yr.</v>
      </c>
      <c r="F1898" s="1" cm="1">
        <f t="array" ref="F1898">SUMPRODUCT(([1]OUT_FinalEnergyCons!$B$4:$B$10000="Var_cap")*1,(ISNUMBER(SEARCH("SCOM-SHPLTBR",[1]OUT_FinalEnergyCons!$A$4:$A$10000)))*1,[1]OUT_FinalEnergyCons!D$4:D$10000)</f>
        <v>0.15051114837620441</v>
      </c>
      <c r="G1898" s="1" cm="1">
        <f t="array" ref="G1898">SUMPRODUCT(([1]OUT_FinalEnergyCons!$B$4:$B$10000="Var_cap")*1,(ISNUMBER(SEARCH("SCOM-SHPLTBR",[1]OUT_FinalEnergyCons!$A$4:$A$10000)))*1,[1]OUT_FinalEnergyCons!E$4:E$10000)</f>
        <v>0.17484821030851186</v>
      </c>
      <c r="H1898" s="1" cm="1">
        <f t="array" ref="H1898">SUMPRODUCT(([1]OUT_FinalEnergyCons!$B$4:$B$10000="Var_cap")*1,(ISNUMBER(SEARCH("SCOM-SHPLTBR",[1]OUT_FinalEnergyCons!$A$4:$A$10000)))*1,[1]OUT_FinalEnergyCons!F$4:F$10000)</f>
        <v>7.2127868261988193E-2</v>
      </c>
      <c r="I1898" s="1" cm="1">
        <f t="array" ref="I1898">SUMPRODUCT(([1]OUT_FinalEnergyCons!$B$4:$B$10000="Var_cap")*1,(ISNUMBER(SEARCH("SCOM-SHPLTBR",[1]OUT_FinalEnergyCons!$A$4:$A$10000)))*1,[1]OUT_FinalEnergyCons!G$4:G$10000)</f>
        <v>7.2127131677862111E-2</v>
      </c>
      <c r="J1898" s="1" cm="1">
        <f t="array" ref="J1898">SUMPRODUCT(([2]OUT_FinalEnergyCons!$B$4:$B$10000="Var_cap")*1,(ISNUMBER(SEARCH("SCOM-SHPLTBR",[2]OUT_FinalEnergyCons!$A$4:$A$10000)))*1,[2]OUT_FinalEnergyCons!H$4:H$10000)</f>
        <v>7.9787176600415191E-2</v>
      </c>
      <c r="K1898" s="1" cm="1">
        <f t="array" ref="K1898">SUMPRODUCT(([2]OUT_FinalEnergyCons!$B$4:$B$10000="Var_cap")*1,(ISNUMBER(SEARCH("SCOM-SHPLTBR",[2]OUT_FinalEnergyCons!$A$4:$A$10000)))*1,[2]OUT_FinalEnergyCons!I$4:I$10000)</f>
        <v>9.0014649543711633E-2</v>
      </c>
      <c r="L1898" s="1" cm="1">
        <f t="array" ref="L1898">SUMPRODUCT(([2]OUT_FinalEnergyCons!$B$4:$B$10000="Var_cap")*1,(ISNUMBER(SEARCH("SCOM-SHPLTBR",[2]OUT_FinalEnergyCons!$A$4:$A$10000)))*1,[2]OUT_FinalEnergyCons!J$4:J$10000)</f>
        <v>0.11496256234122267</v>
      </c>
      <c r="N1898" s="1"/>
    </row>
    <row r="1899" spans="2:14" x14ac:dyDescent="0.35">
      <c r="B1899" s="5" t="str">
        <f t="shared" ref="B1899:C1899" si="2026">B1898</f>
        <v>SPS1</v>
      </c>
      <c r="C1899" s="5" t="str">
        <f t="shared" si="2026"/>
        <v>CH</v>
      </c>
      <c r="D1899" t="s">
        <v>1914</v>
      </c>
      <c r="E1899" t="str">
        <f t="shared" si="2013"/>
        <v>GWth/yr.</v>
      </c>
      <c r="F1899" s="1">
        <f>F1900</f>
        <v>9.1064025623466105E-2</v>
      </c>
      <c r="G1899" s="1">
        <f t="shared" ref="G1899:L1899" si="2027">G1900</f>
        <v>9.9822557981943699E-2</v>
      </c>
      <c r="H1899" s="1">
        <f t="shared" si="2027"/>
        <v>9.9822089946768569E-2</v>
      </c>
      <c r="I1899" s="1">
        <f t="shared" si="2027"/>
        <v>9.9822097790525741E-2</v>
      </c>
      <c r="J1899" s="1">
        <f t="shared" si="2027"/>
        <v>9.8662465599354238E-2</v>
      </c>
      <c r="K1899" s="1">
        <f t="shared" si="2027"/>
        <v>0.10699847454803736</v>
      </c>
      <c r="L1899" s="1">
        <f t="shared" si="2027"/>
        <v>0.12508661236643856</v>
      </c>
      <c r="N1899" s="1"/>
    </row>
    <row r="1900" spans="2:14" x14ac:dyDescent="0.35">
      <c r="B1900" s="5" t="str">
        <f t="shared" ref="B1900:C1900" si="2028">B1899</f>
        <v>SPS1</v>
      </c>
      <c r="C1900" s="5" t="str">
        <f t="shared" si="2028"/>
        <v>CH</v>
      </c>
      <c r="D1900" t="s">
        <v>1915</v>
      </c>
      <c r="E1900" t="str">
        <f t="shared" si="2013"/>
        <v>GWth/yr.</v>
      </c>
      <c r="F1900" s="1" cm="1">
        <f t="array" ref="F1900">SUMPRODUCT(([1]OUT_FinalEnergyCons!$B$4:$B$10000="Var_cap")*1, (ISNUMBER(SEARCH("SCOM-SHSOLBR",[1]OUT_FinalEnergyCons!$A$4:$A$10000)))*1,[1]OUT_FinalEnergyCons!D$4:D$10000)</f>
        <v>9.1064025623466105E-2</v>
      </c>
      <c r="G1900" s="1" cm="1">
        <f t="array" ref="G1900">SUMPRODUCT(([1]OUT_FinalEnergyCons!$B$4:$B$10000="Var_cap")*1, (ISNUMBER(SEARCH("SCOM-SHSOLBR",[1]OUT_FinalEnergyCons!$A$4:$A$10000)))*1,[1]OUT_FinalEnergyCons!E$4:E$10000)</f>
        <v>9.9822557981943699E-2</v>
      </c>
      <c r="H1900" s="1" cm="1">
        <f t="array" ref="H1900">SUMPRODUCT(([1]OUT_FinalEnergyCons!$B$4:$B$10000="Var_cap")*1, (ISNUMBER(SEARCH("SCOM-SHSOLBR",[1]OUT_FinalEnergyCons!$A$4:$A$10000)))*1,[1]OUT_FinalEnergyCons!F$4:F$10000)</f>
        <v>9.9822089946768569E-2</v>
      </c>
      <c r="I1900" s="1" cm="1">
        <f t="array" ref="I1900">SUMPRODUCT(([1]OUT_FinalEnergyCons!$B$4:$B$10000="Var_cap")*1, (ISNUMBER(SEARCH("SCOM-SHSOLBR",[1]OUT_FinalEnergyCons!$A$4:$A$10000)))*1,[1]OUT_FinalEnergyCons!G$4:G$10000)</f>
        <v>9.9822097790525741E-2</v>
      </c>
      <c r="J1900" s="1" cm="1">
        <f t="array" ref="J1900">SUMPRODUCT(([2]OUT_FinalEnergyCons!$B$4:$B$10000="Var_cap")*1, (ISNUMBER(SEARCH("SCOM-SHSOLBR",[2]OUT_FinalEnergyCons!$A$4:$A$10000)))*1,[2]OUT_FinalEnergyCons!H$4:H$10000)</f>
        <v>9.8662465599354238E-2</v>
      </c>
      <c r="K1900" s="1" cm="1">
        <f t="array" ref="K1900">SUMPRODUCT(([2]OUT_FinalEnergyCons!$B$4:$B$10000="Var_cap")*1, (ISNUMBER(SEARCH("SCOM-SHSOLBR",[2]OUT_FinalEnergyCons!$A$4:$A$10000)))*1,[2]OUT_FinalEnergyCons!I$4:I$10000)</f>
        <v>0.10699847454803736</v>
      </c>
      <c r="L1900" s="1" cm="1">
        <f t="array" ref="L1900">SUMPRODUCT(([2]OUT_FinalEnergyCons!$B$4:$B$10000="Var_cap")*1, (ISNUMBER(SEARCH("SCOM-SHSOLBR",[2]OUT_FinalEnergyCons!$A$4:$A$10000)))*1,[2]OUT_FinalEnergyCons!J$4:J$10000)</f>
        <v>0.12508661236643856</v>
      </c>
      <c r="N1900" s="1"/>
    </row>
    <row r="1901" spans="2:14" x14ac:dyDescent="0.35">
      <c r="B1901" s="5" t="str">
        <f t="shared" ref="B1901:C1901" si="2029">B1900</f>
        <v>SPS1</v>
      </c>
      <c r="C1901" s="5" t="str">
        <f t="shared" si="2029"/>
        <v>CH</v>
      </c>
      <c r="D1901" t="s">
        <v>1916</v>
      </c>
      <c r="E1901" t="str">
        <f t="shared" si="2013"/>
        <v>GWth/yr.</v>
      </c>
      <c r="F1901" s="1">
        <f>F1902</f>
        <v>0</v>
      </c>
      <c r="G1901" s="1">
        <f t="shared" ref="G1901:L1901" si="2030">G1902</f>
        <v>0</v>
      </c>
      <c r="H1901" s="1">
        <f t="shared" si="2030"/>
        <v>0</v>
      </c>
      <c r="I1901" s="1">
        <f t="shared" si="2030"/>
        <v>1.7699554431450301E-7</v>
      </c>
      <c r="J1901" s="1">
        <f t="shared" si="2030"/>
        <v>0.48453534747743382</v>
      </c>
      <c r="K1901" s="1">
        <f t="shared" si="2030"/>
        <v>0.55221538761340261</v>
      </c>
      <c r="L1901" s="1">
        <f t="shared" si="2030"/>
        <v>0.83201386481587714</v>
      </c>
      <c r="N1901" s="1"/>
    </row>
    <row r="1902" spans="2:14" x14ac:dyDescent="0.35">
      <c r="B1902" s="5" t="str">
        <f t="shared" ref="B1902:C1902" si="2031">B1901</f>
        <v>SPS1</v>
      </c>
      <c r="C1902" s="5" t="str">
        <f t="shared" si="2031"/>
        <v>CH</v>
      </c>
      <c r="D1902" t="s">
        <v>1917</v>
      </c>
      <c r="E1902" t="str">
        <f t="shared" si="2013"/>
        <v>GWth/yr.</v>
      </c>
      <c r="F1902" s="1" cm="1">
        <f t="array" ref="F1902">SUMPRODUCT(([1]OUT_FinalEnergyCons!$B$4:$B$10000="Var_cap")*1, (ISNUMBER(SEARCH("SCOM-SHH2BR",[1]OUT_FinalEnergyCons!$A$4:$A$10000)))*1,[1]OUT_FinalEnergyCons!D$4:D$10000)</f>
        <v>0</v>
      </c>
      <c r="G1902" s="1" cm="1">
        <f t="array" ref="G1902">SUMPRODUCT(([1]OUT_FinalEnergyCons!$B$4:$B$10000="Var_cap")*1, (ISNUMBER(SEARCH("SCOM-SHH2BR",[1]OUT_FinalEnergyCons!$A$4:$A$10000)))*1,[1]OUT_FinalEnergyCons!E$4:E$10000)</f>
        <v>0</v>
      </c>
      <c r="H1902" s="1" cm="1">
        <f t="array" ref="H1902">SUMPRODUCT(([1]OUT_FinalEnergyCons!$B$4:$B$10000="Var_cap")*1, (ISNUMBER(SEARCH("SCOM-SHH2BR",[1]OUT_FinalEnergyCons!$A$4:$A$10000)))*1,[1]OUT_FinalEnergyCons!F$4:F$10000)</f>
        <v>0</v>
      </c>
      <c r="I1902" s="1" cm="1">
        <f t="array" ref="I1902">SUMPRODUCT(([1]OUT_FinalEnergyCons!$B$4:$B$10000="Var_cap")*1, (ISNUMBER(SEARCH("SCOM-SHH2BR",[1]OUT_FinalEnergyCons!$A$4:$A$10000)))*1,[1]OUT_FinalEnergyCons!G$4:G$10000)</f>
        <v>1.7699554431450301E-7</v>
      </c>
      <c r="J1902" s="1" cm="1">
        <f t="array" ref="J1902">SUMPRODUCT(([2]OUT_FinalEnergyCons!$B$4:$B$10000="Var_cap")*1, (ISNUMBER(SEARCH("SCOM-SHH2BR",[2]OUT_FinalEnergyCons!$A$4:$A$10000)))*1,[2]OUT_FinalEnergyCons!H$4:H$10000)</f>
        <v>0.48453534747743382</v>
      </c>
      <c r="K1902" s="1" cm="1">
        <f t="array" ref="K1902">SUMPRODUCT(([2]OUT_FinalEnergyCons!$B$4:$B$10000="Var_cap")*1, (ISNUMBER(SEARCH("SCOM-SHH2BR",[2]OUT_FinalEnergyCons!$A$4:$A$10000)))*1,[2]OUT_FinalEnergyCons!I$4:I$10000)</f>
        <v>0.55221538761340261</v>
      </c>
      <c r="L1902" s="1" cm="1">
        <f t="array" ref="L1902">SUMPRODUCT(([2]OUT_FinalEnergyCons!$B$4:$B$10000="Var_cap")*1, (ISNUMBER(SEARCH("SCOM-SHH2BR",[2]OUT_FinalEnergyCons!$A$4:$A$10000)))*1,[2]OUT_FinalEnergyCons!J$4:J$10000)</f>
        <v>0.83201386481587714</v>
      </c>
      <c r="N1902" s="1"/>
    </row>
    <row r="1903" spans="2:14" x14ac:dyDescent="0.35">
      <c r="B1903" s="5" t="str">
        <f>B1902</f>
        <v>SPS1</v>
      </c>
      <c r="C1903" s="5" t="str">
        <f>C1902</f>
        <v>CH</v>
      </c>
      <c r="D1903" s="2" t="s">
        <v>1920</v>
      </c>
      <c r="E1903" s="2" t="s">
        <v>1972</v>
      </c>
      <c r="F1903" s="3">
        <f>SUM(F1904:F1953)</f>
        <v>4.6764303822346776</v>
      </c>
      <c r="G1903" s="3">
        <f t="shared" ref="G1903:K1903" si="2032">SUM(G1904:G1953)</f>
        <v>4.8370475852570669</v>
      </c>
      <c r="H1903" s="3">
        <f t="shared" si="2032"/>
        <v>4.9052819730545716</v>
      </c>
      <c r="I1903" s="3">
        <f t="shared" si="2032"/>
        <v>5.2591577027034289</v>
      </c>
      <c r="J1903" s="3">
        <f t="shared" si="2032"/>
        <v>5.4389304576531137</v>
      </c>
      <c r="K1903" s="3">
        <f t="shared" si="2032"/>
        <v>5.6059620109609574</v>
      </c>
      <c r="L1903" s="3">
        <f t="shared" ref="L1903" si="2033">SUM(L1904:L1953)</f>
        <v>5.8150517149462821</v>
      </c>
      <c r="N1903" s="1"/>
    </row>
    <row r="1904" spans="2:14" x14ac:dyDescent="0.35">
      <c r="B1904" s="5" t="str">
        <f t="shared" ref="B1904:B1953" si="2034">B1903</f>
        <v>SPS1</v>
      </c>
      <c r="C1904" s="5" t="str">
        <f t="shared" ref="C1904:C1953" si="2035">C1903</f>
        <v>CH</v>
      </c>
      <c r="D1904" t="s">
        <v>1921</v>
      </c>
      <c r="E1904" t="str">
        <f>E1903</f>
        <v>Million</v>
      </c>
      <c r="F1904" s="1" cm="1">
        <f t="array" ref="F1904">SUMPRODUCT(("Var_Cap"=[1]OUT_TransportEnergyCons!$B$4:$B$10000)*1,("-"=[1]OUT_TransportEnergyCons!$C$4:$C$10000)*1,ISNUMBER(SEARCH("T_C*bat*ext",[1]OUT_TransportEnergyCons!$A$4:$A$10000))*1,[1]OUT_TransportEnergyCons!D$4:D$10000)</f>
        <v>4.2040000000000001E-2</v>
      </c>
      <c r="G1904" s="1" cm="1">
        <f t="array" ref="G1904">SUMPRODUCT(("Var_Cap"=[1]OUT_TransportEnergyCons!$B$4:$B$10000)*1,("-"=[1]OUT_TransportEnergyCons!$C$4:$C$10000)*1,ISNUMBER(SEARCH("T_C*bat*ext",[1]OUT_TransportEnergyCons!$A$4:$A$10000))*1,[1]OUT_TransportEnergyCons!E$4:E$10000)</f>
        <v>3.6434666666666699E-2</v>
      </c>
      <c r="H1904" s="1" cm="1">
        <f t="array" ref="H1904">SUMPRODUCT(("Var_Cap"=[1]OUT_TransportEnergyCons!$B$4:$B$10000)*1,("-"=[1]OUT_TransportEnergyCons!$C$4:$C$10000)*1,ISNUMBER(SEARCH("T_C*bat*ext",[1]OUT_TransportEnergyCons!$A$4:$A$10000))*1,[1]OUT_TransportEnergyCons!F$4:F$10000)</f>
        <v>2.80266666666667E-2</v>
      </c>
      <c r="I1904" s="1" cm="1">
        <f t="array" ref="I1904">SUMPRODUCT(("Var_Cap"=[1]OUT_TransportEnergyCons!$B$4:$B$10000)*1,("-"=[1]OUT_TransportEnergyCons!$C$4:$C$10000)*1,ISNUMBER(SEARCH("T_C*bat*ext",[1]OUT_TransportEnergyCons!$A$4:$A$10000))*1,[1]OUT_TransportEnergyCons!G$4:G$10000)</f>
        <v>1.40133333333333E-2</v>
      </c>
      <c r="J1904" s="1" cm="1">
        <f t="array" ref="J1904">SUMPRODUCT(("Var_Cap"=[2]OUT_TransportEnergyCons!$B$4:$B$10000)*1,("-"=[2]OUT_TransportEnergyCons!$C$4:$C$10000)*1,ISNUMBER(SEARCH("T_C*bat*ext",[2]OUT_TransportEnergyCons!$A$4:$A$10000))*1,[2]OUT_TransportEnergyCons!H$4:H$10000)</f>
        <v>0</v>
      </c>
      <c r="K1904" s="1" cm="1">
        <f t="array" ref="K1904">SUMPRODUCT(("Var_Cap"=[2]OUT_TransportEnergyCons!$B$4:$B$10000)*1,("-"=[2]OUT_TransportEnergyCons!$C$4:$C$10000)*1,ISNUMBER(SEARCH("T_C*bat*ext",[2]OUT_TransportEnergyCons!$A$4:$A$10000))*1,[2]OUT_TransportEnergyCons!I$4:I$10000)</f>
        <v>0</v>
      </c>
      <c r="L1904" s="1" cm="1">
        <f t="array" ref="L1904">SUMPRODUCT(("Var_Cap"=[2]OUT_TransportEnergyCons!$B$4:$B$10000)*1,("-"=[2]OUT_TransportEnergyCons!$C$4:$C$10000)*1,ISNUMBER(SEARCH("T_C*bat*ext",[2]OUT_TransportEnergyCons!$A$4:$A$10000))*1,[2]OUT_TransportEnergyCons!J$4:J$10000)</f>
        <v>0</v>
      </c>
      <c r="N1904" s="1"/>
    </row>
    <row r="1905" spans="2:14" x14ac:dyDescent="0.35">
      <c r="B1905" s="5" t="str">
        <f t="shared" si="2034"/>
        <v>SPS1</v>
      </c>
      <c r="C1905" s="5" t="str">
        <f t="shared" si="2035"/>
        <v>CH</v>
      </c>
      <c r="D1905" t="s">
        <v>1922</v>
      </c>
      <c r="E1905" t="str">
        <f t="shared" ref="E1905:E1953" si="2036">E1904</f>
        <v>Million</v>
      </c>
      <c r="F1905" s="1" cm="1">
        <f t="array" ref="F1905">SUMPRODUCT(("Var_Cap"=[1]OUT_TransportEnergyCons!$B$4:$B$10000)*1,("-"=[1]OUT_TransportEnergyCons!$C$4:$C$10000)*1,ISNUMBER(SEARCH("T_C*bat*s1",[1]OUT_TransportEnergyCons!$A$4:$A$10000))*1,[1]OUT_TransportEnergyCons!D$4:D$10000)</f>
        <v>1.5059561139957678E-3</v>
      </c>
      <c r="G1905" s="1" cm="1">
        <f t="array" ref="G1905">SUMPRODUCT(("Var_Cap"=[1]OUT_TransportEnergyCons!$B$4:$B$10000)*1,("-"=[1]OUT_TransportEnergyCons!$C$4:$C$10000)*1,ISNUMBER(SEARCH("T_C*bat*s1",[1]OUT_TransportEnergyCons!$A$4:$A$10000))*1,[1]OUT_TransportEnergyCons!E$4:E$10000)</f>
        <v>2.3871980263837351E-3</v>
      </c>
      <c r="H1905" s="1" cm="1">
        <f t="array" ref="H1905">SUMPRODUCT(("Var_Cap"=[1]OUT_TransportEnergyCons!$B$4:$B$10000)*1,("-"=[1]OUT_TransportEnergyCons!$C$4:$C$10000)*1,ISNUMBER(SEARCH("T_C*bat*s1",[1]OUT_TransportEnergyCons!$A$4:$A$10000))*1,[1]OUT_TransportEnergyCons!F$4:F$10000)</f>
        <v>2.4175265045414795E-3</v>
      </c>
      <c r="I1905" s="1" cm="1">
        <f t="array" ref="I1905">SUMPRODUCT(("Var_Cap"=[1]OUT_TransportEnergyCons!$B$4:$B$10000)*1,("-"=[1]OUT_TransportEnergyCons!$C$4:$C$10000)*1,ISNUMBER(SEARCH("T_C*bat*s1",[1]OUT_TransportEnergyCons!$A$4:$A$10000))*1,[1]OUT_TransportEnergyCons!G$4:G$10000)</f>
        <v>2.2214007114089098E-3</v>
      </c>
      <c r="J1905" s="1" cm="1">
        <f t="array" ref="J1905">SUMPRODUCT(("Var_Cap"=[2]OUT_TransportEnergyCons!$B$4:$B$10000)*1,("-"=[2]OUT_TransportEnergyCons!$C$4:$C$10000)*1,ISNUMBER(SEARCH("T_C*bat*s1",[2]OUT_TransportEnergyCons!$A$4:$A$10000))*1,[2]OUT_TransportEnergyCons!H$4:H$10000)</f>
        <v>1.2539407116116598E-3</v>
      </c>
      <c r="K1905" s="1" cm="1">
        <f t="array" ref="K1905">SUMPRODUCT(("Var_Cap"=[2]OUT_TransportEnergyCons!$B$4:$B$10000)*1,("-"=[2]OUT_TransportEnergyCons!$C$4:$C$10000)*1,ISNUMBER(SEARCH("T_C*bat*s1",[2]OUT_TransportEnergyCons!$A$4:$A$10000))*1,[2]OUT_TransportEnergyCons!I$4:I$10000)</f>
        <v>1.5442693265474846E-2</v>
      </c>
      <c r="L1905" s="1" cm="1">
        <f t="array" ref="L1905">SUMPRODUCT(("Var_Cap"=[2]OUT_TransportEnergyCons!$B$4:$B$10000)*1,("-"=[2]OUT_TransportEnergyCons!$C$4:$C$10000)*1,ISNUMBER(SEARCH("T_C*bat*s1",[2]OUT_TransportEnergyCons!$A$4:$A$10000))*1,[2]OUT_TransportEnergyCons!J$4:J$10000)</f>
        <v>0.26017617157276707</v>
      </c>
      <c r="N1905" s="1"/>
    </row>
    <row r="1906" spans="2:14" x14ac:dyDescent="0.35">
      <c r="B1906" s="5" t="str">
        <f t="shared" si="2034"/>
        <v>SPS1</v>
      </c>
      <c r="C1906" s="5" t="str">
        <f t="shared" si="2035"/>
        <v>CH</v>
      </c>
      <c r="D1906" t="s">
        <v>1923</v>
      </c>
      <c r="E1906" t="str">
        <f t="shared" si="2036"/>
        <v>Million</v>
      </c>
      <c r="F1906" s="1" cm="1">
        <f t="array" ref="F1906">SUMPRODUCT(("Var_Cap"=[1]OUT_TransportEnergyCons!$B$4:$B$10000)*1,("-"=[1]OUT_TransportEnergyCons!$C$4:$C$10000)*1,ISNUMBER(SEARCH("T_C*bat*s2",[1]OUT_TransportEnergyCons!$A$4:$A$10000))*1,[1]OUT_TransportEnergyCons!D$4:D$10000)</f>
        <v>7.3541441986071246E-3</v>
      </c>
      <c r="G1906" s="1" cm="1">
        <f t="array" ref="G1906">SUMPRODUCT(("Var_Cap"=[1]OUT_TransportEnergyCons!$B$4:$B$10000)*1,("-"=[1]OUT_TransportEnergyCons!$C$4:$C$10000)*1,ISNUMBER(SEARCH("T_C*bat*s2",[1]OUT_TransportEnergyCons!$A$4:$A$10000))*1,[1]OUT_TransportEnergyCons!E$4:E$10000)</f>
        <v>1.1377548160844169E-2</v>
      </c>
      <c r="H1906" s="1" cm="1">
        <f t="array" ref="H1906">SUMPRODUCT(("Var_Cap"=[1]OUT_TransportEnergyCons!$B$4:$B$10000)*1,("-"=[1]OUT_TransportEnergyCons!$C$4:$C$10000)*1,ISNUMBER(SEARCH("T_C*bat*s2",[1]OUT_TransportEnergyCons!$A$4:$A$10000))*1,[1]OUT_TransportEnergyCons!F$4:F$10000)</f>
        <v>1.4149086379460331E-2</v>
      </c>
      <c r="I1906" s="1" cm="1">
        <f t="array" ref="I1906">SUMPRODUCT(("Var_Cap"=[1]OUT_TransportEnergyCons!$B$4:$B$10000)*1,("-"=[1]OUT_TransportEnergyCons!$C$4:$C$10000)*1,ISNUMBER(SEARCH("T_C*bat*s2",[1]OUT_TransportEnergyCons!$A$4:$A$10000))*1,[1]OUT_TransportEnergyCons!G$4:G$10000)</f>
        <v>0.57872634942262946</v>
      </c>
      <c r="J1906" s="1" cm="1">
        <f t="array" ref="J1906">SUMPRODUCT(("Var_Cap"=[2]OUT_TransportEnergyCons!$B$4:$B$10000)*1,("-"=[2]OUT_TransportEnergyCons!$C$4:$C$10000)*1,ISNUMBER(SEARCH("T_C*bat*s2",[2]OUT_TransportEnergyCons!$A$4:$A$10000))*1,[2]OUT_TransportEnergyCons!H$4:H$10000)</f>
        <v>1.402365006924412</v>
      </c>
      <c r="K1906" s="1" cm="1">
        <f t="array" ref="K1906">SUMPRODUCT(("Var_Cap"=[2]OUT_TransportEnergyCons!$B$4:$B$10000)*1,("-"=[2]OUT_TransportEnergyCons!$C$4:$C$10000)*1,ISNUMBER(SEARCH("T_C*bat*s2",[2]OUT_TransportEnergyCons!$A$4:$A$10000))*1,[2]OUT_TransportEnergyCons!I$4:I$10000)</f>
        <v>1.7291830119657603</v>
      </c>
      <c r="L1906" s="1" cm="1">
        <f t="array" ref="L1906">SUMPRODUCT(("Var_Cap"=[2]OUT_TransportEnergyCons!$B$4:$B$10000)*1,("-"=[2]OUT_TransportEnergyCons!$C$4:$C$10000)*1,ISNUMBER(SEARCH("T_C*bat*s2",[2]OUT_TransportEnergyCons!$A$4:$A$10000))*1,[2]OUT_TransportEnergyCons!J$4:J$10000)</f>
        <v>1.5670660911742971</v>
      </c>
      <c r="N1906" s="1"/>
    </row>
    <row r="1907" spans="2:14" x14ac:dyDescent="0.35">
      <c r="B1907" s="5" t="str">
        <f t="shared" si="2034"/>
        <v>SPS1</v>
      </c>
      <c r="C1907" s="5" t="str">
        <f t="shared" si="2035"/>
        <v>CH</v>
      </c>
      <c r="D1907" t="s">
        <v>1924</v>
      </c>
      <c r="E1907" t="str">
        <f t="shared" si="2036"/>
        <v>Million</v>
      </c>
      <c r="F1907" s="1" cm="1">
        <f t="array" ref="F1907">SUMPRODUCT(("Var_Cap"=[1]OUT_TransportEnergyCons!$B$4:$B$10000)*1,("-"=[1]OUT_TransportEnergyCons!$C$4:$C$10000)*1,ISNUMBER(SEARCH("T_C*bat*s3",[1]OUT_TransportEnergyCons!$A$4:$A$10000))*1,[1]OUT_TransportEnergyCons!D$4:D$10000)</f>
        <v>4.2712573813513096E-3</v>
      </c>
      <c r="G1907" s="1" cm="1">
        <f t="array" ref="G1907">SUMPRODUCT(("Var_Cap"=[1]OUT_TransportEnergyCons!$B$4:$B$10000)*1,("-"=[1]OUT_TransportEnergyCons!$C$4:$C$10000)*1,ISNUMBER(SEARCH("T_C*bat*s3",[1]OUT_TransportEnergyCons!$A$4:$A$10000))*1,[1]OUT_TransportEnergyCons!E$4:E$10000)</f>
        <v>1.0782050150493279E-2</v>
      </c>
      <c r="H1907" s="1" cm="1">
        <f t="array" ref="H1907">SUMPRODUCT(("Var_Cap"=[1]OUT_TransportEnergyCons!$B$4:$B$10000)*1,("-"=[1]OUT_TransportEnergyCons!$C$4:$C$10000)*1,ISNUMBER(SEARCH("T_C*bat*s3",[1]OUT_TransportEnergyCons!$A$4:$A$10000))*1,[1]OUT_TransportEnergyCons!F$4:F$10000)</f>
        <v>1.1402791995902609E-2</v>
      </c>
      <c r="I1907" s="1" cm="1">
        <f t="array" ref="I1907">SUMPRODUCT(("Var_Cap"=[1]OUT_TransportEnergyCons!$B$4:$B$10000)*1,("-"=[1]OUT_TransportEnergyCons!$C$4:$C$10000)*1,ISNUMBER(SEARCH("T_C*bat*s3",[1]OUT_TransportEnergyCons!$A$4:$A$10000))*1,[1]OUT_TransportEnergyCons!G$4:G$10000)</f>
        <v>3.2181775899894009E-2</v>
      </c>
      <c r="J1907" s="1" cm="1">
        <f t="array" ref="J1907">SUMPRODUCT(("Var_Cap"=[2]OUT_TransportEnergyCons!$B$4:$B$10000)*1,("-"=[2]OUT_TransportEnergyCons!$C$4:$C$10000)*1,ISNUMBER(SEARCH("T_C*bat*s3",[2]OUT_TransportEnergyCons!$A$4:$A$10000))*1,[2]OUT_TransportEnergyCons!H$4:H$10000)</f>
        <v>0.29340558908373876</v>
      </c>
      <c r="K1907" s="1" cm="1">
        <f t="array" ref="K1907">SUMPRODUCT(("Var_Cap"=[2]OUT_TransportEnergyCons!$B$4:$B$10000)*1,("-"=[2]OUT_TransportEnergyCons!$C$4:$C$10000)*1,ISNUMBER(SEARCH("T_C*bat*s3",[2]OUT_TransportEnergyCons!$A$4:$A$10000))*1,[2]OUT_TransportEnergyCons!I$4:I$10000)</f>
        <v>0.33449306708236937</v>
      </c>
      <c r="L1907" s="1" cm="1">
        <f t="array" ref="L1907">SUMPRODUCT(("Var_Cap"=[2]OUT_TransportEnergyCons!$B$4:$B$10000)*1,("-"=[2]OUT_TransportEnergyCons!$C$4:$C$10000)*1,ISNUMBER(SEARCH("T_C*bat*s3",[2]OUT_TransportEnergyCons!$A$4:$A$10000))*1,[2]OUT_TransportEnergyCons!J$4:J$10000)</f>
        <v>0.32308230772186897</v>
      </c>
      <c r="N1907" s="1"/>
    </row>
    <row r="1908" spans="2:14" x14ac:dyDescent="0.35">
      <c r="B1908" s="5" t="str">
        <f t="shared" si="2034"/>
        <v>SPS1</v>
      </c>
      <c r="C1908" s="5" t="str">
        <f t="shared" si="2035"/>
        <v>CH</v>
      </c>
      <c r="D1908" t="s">
        <v>1925</v>
      </c>
      <c r="E1908" t="str">
        <f t="shared" si="2036"/>
        <v>Million</v>
      </c>
      <c r="F1908" s="1" cm="1">
        <f t="array" ref="F1908">SUMPRODUCT(("Var_Cap"=[1]OUT_TransportEnergyCons!$B$4:$B$10000)*1,("-"=[1]OUT_TransportEnergyCons!$C$4:$C$10000)*1,ISNUMBER(SEARCH("T_C*bat*s4",[1]OUT_TransportEnergyCons!$A$4:$A$10000))*1,[1]OUT_TransportEnergyCons!D$4:D$10000)</f>
        <v>1.5351731027099028E-2</v>
      </c>
      <c r="G1908" s="1" cm="1">
        <f t="array" ref="G1908">SUMPRODUCT(("Var_Cap"=[1]OUT_TransportEnergyCons!$B$4:$B$10000)*1,("-"=[1]OUT_TransportEnergyCons!$C$4:$C$10000)*1,ISNUMBER(SEARCH("T_C*bat*s4",[1]OUT_TransportEnergyCons!$A$4:$A$10000))*1,[1]OUT_TransportEnergyCons!E$4:E$10000)</f>
        <v>0.10912593110266927</v>
      </c>
      <c r="H1908" s="1" cm="1">
        <f t="array" ref="H1908">SUMPRODUCT(("Var_Cap"=[1]OUT_TransportEnergyCons!$B$4:$B$10000)*1,("-"=[1]OUT_TransportEnergyCons!$C$4:$C$10000)*1,ISNUMBER(SEARCH("T_C*bat*s4",[1]OUT_TransportEnergyCons!$A$4:$A$10000))*1,[1]OUT_TransportEnergyCons!F$4:F$10000)</f>
        <v>0.36515229318185394</v>
      </c>
      <c r="I1908" s="1" cm="1">
        <f t="array" ref="I1908">SUMPRODUCT(("Var_Cap"=[1]OUT_TransportEnergyCons!$B$4:$B$10000)*1,("-"=[1]OUT_TransportEnergyCons!$C$4:$C$10000)*1,ISNUMBER(SEARCH("T_C*bat*s4",[1]OUT_TransportEnergyCons!$A$4:$A$10000))*1,[1]OUT_TransportEnergyCons!G$4:G$10000)</f>
        <v>1.0818928757716175</v>
      </c>
      <c r="J1908" s="1" cm="1">
        <f t="array" ref="J1908">SUMPRODUCT(("Var_Cap"=[2]OUT_TransportEnergyCons!$B$4:$B$10000)*1,("-"=[2]OUT_TransportEnergyCons!$C$4:$C$10000)*1,ISNUMBER(SEARCH("T_C*bat*s4",[2]OUT_TransportEnergyCons!$A$4:$A$10000))*1,[2]OUT_TransportEnergyCons!H$4:H$10000)</f>
        <v>1.2621573833602535</v>
      </c>
      <c r="K1908" s="1" cm="1">
        <f t="array" ref="K1908">SUMPRODUCT(("Var_Cap"=[2]OUT_TransportEnergyCons!$B$4:$B$10000)*1,("-"=[2]OUT_TransportEnergyCons!$C$4:$C$10000)*1,ISNUMBER(SEARCH("T_C*bat*s4",[2]OUT_TransportEnergyCons!$A$4:$A$10000))*1,[2]OUT_TransportEnergyCons!I$4:I$10000)</f>
        <v>1.1102491182062755</v>
      </c>
      <c r="L1908" s="1" cm="1">
        <f t="array" ref="L1908">SUMPRODUCT(("Var_Cap"=[2]OUT_TransportEnergyCons!$B$4:$B$10000)*1,("-"=[2]OUT_TransportEnergyCons!$C$4:$C$10000)*1,ISNUMBER(SEARCH("T_C*bat*s4",[2]OUT_TransportEnergyCons!$A$4:$A$10000))*1,[2]OUT_TransportEnergyCons!J$4:J$10000)</f>
        <v>1.3572694781523151</v>
      </c>
      <c r="N1908" s="1"/>
    </row>
    <row r="1909" spans="2:14" x14ac:dyDescent="0.35">
      <c r="B1909" s="5" t="str">
        <f t="shared" si="2034"/>
        <v>SPS1</v>
      </c>
      <c r="C1909" s="5" t="str">
        <f t="shared" si="2035"/>
        <v>CH</v>
      </c>
      <c r="D1909" t="s">
        <v>1926</v>
      </c>
      <c r="E1909" t="str">
        <f t="shared" si="2036"/>
        <v>Million</v>
      </c>
      <c r="F1909" s="1" cm="1">
        <f t="array" ref="F1909">SUMPRODUCT(("Var_Cap"=[1]OUT_TransportEnergyCons!$B$4:$B$10000)*1,("-"=[1]OUT_TransportEnergyCons!$C$4:$C$10000)*1,ISNUMBER(SEARCH("T_C*pev*GSL*s1",[1]OUT_TransportEnergyCons!$A$4:$A$10000))*1,[1]OUT_TransportEnergyCons!D$4:D$10000)</f>
        <v>2.5986958870288964E-5</v>
      </c>
      <c r="G1909" s="1" cm="1">
        <f t="array" ref="G1909">SUMPRODUCT(("Var_Cap"=[1]OUT_TransportEnergyCons!$B$4:$B$10000)*1,("-"=[1]OUT_TransportEnergyCons!$C$4:$C$10000)*1,ISNUMBER(SEARCH("T_C*pev*GSL*s1",[1]OUT_TransportEnergyCons!$A$4:$A$10000))*1,[1]OUT_TransportEnergyCons!E$4:E$10000)</f>
        <v>5.2852226417770398E-5</v>
      </c>
      <c r="H1909" s="1" cm="1">
        <f t="array" ref="H1909">SUMPRODUCT(("Var_Cap"=[1]OUT_TransportEnergyCons!$B$4:$B$10000)*1,("-"=[1]OUT_TransportEnergyCons!$C$4:$C$10000)*1,ISNUMBER(SEARCH("T_C*pev*GSL*s1",[1]OUT_TransportEnergyCons!$A$4:$A$10000))*1,[1]OUT_TransportEnergyCons!F$4:F$10000)</f>
        <v>7.0612038435012206E-5</v>
      </c>
      <c r="I1909" s="1" cm="1">
        <f t="array" ref="I1909">SUMPRODUCT(("Var_Cap"=[1]OUT_TransportEnergyCons!$B$4:$B$10000)*1,("-"=[1]OUT_TransportEnergyCons!$C$4:$C$10000)*1,ISNUMBER(SEARCH("T_C*pev*GSL*s1",[1]OUT_TransportEnergyCons!$A$4:$A$10000))*1,[1]OUT_TransportEnergyCons!G$4:G$10000)</f>
        <v>7.5670158837537699E-5</v>
      </c>
      <c r="J1909" s="1" cm="1">
        <f t="array" ref="J1909">SUMPRODUCT(("Var_Cap"=[2]OUT_TransportEnergyCons!$B$4:$B$10000)*1,("-"=[2]OUT_TransportEnergyCons!$C$4:$C$10000)*1,ISNUMBER(SEARCH("T_C*pev*GSL*s1",[2]OUT_TransportEnergyCons!$A$4:$A$10000))*1,[2]OUT_TransportEnergyCons!H$4:H$10000)</f>
        <v>1.5062037029095097E-4</v>
      </c>
      <c r="K1909" s="1" cm="1">
        <f t="array" ref="K1909">SUMPRODUCT(("Var_Cap"=[2]OUT_TransportEnergyCons!$B$4:$B$10000)*1,("-"=[2]OUT_TransportEnergyCons!$C$4:$C$10000)*1,ISNUMBER(SEARCH("T_C*pev*GSL*s1",[2]OUT_TransportEnergyCons!$A$4:$A$10000))*1,[2]OUT_TransportEnergyCons!I$4:I$10000)</f>
        <v>1.3439693344436239E-4</v>
      </c>
      <c r="L1909" s="1" cm="1">
        <f t="array" ref="L1909">SUMPRODUCT(("Var_Cap"=[2]OUT_TransportEnergyCons!$B$4:$B$10000)*1,("-"=[2]OUT_TransportEnergyCons!$C$4:$C$10000)*1,ISNUMBER(SEARCH("T_C*pev*GSL*s1",[2]OUT_TransportEnergyCons!$A$4:$A$10000))*1,[2]OUT_TransportEnergyCons!J$4:J$10000)</f>
        <v>8.5777002581102028E-5</v>
      </c>
      <c r="N1909" s="1"/>
    </row>
    <row r="1910" spans="2:14" x14ac:dyDescent="0.35">
      <c r="B1910" s="5" t="str">
        <f t="shared" si="2034"/>
        <v>SPS1</v>
      </c>
      <c r="C1910" s="5" t="str">
        <f t="shared" si="2035"/>
        <v>CH</v>
      </c>
      <c r="D1910" t="s">
        <v>1927</v>
      </c>
      <c r="E1910" t="str">
        <f t="shared" si="2036"/>
        <v>Million</v>
      </c>
      <c r="F1910" s="1" cm="1">
        <f t="array" ref="F1910">SUMPRODUCT(("Var_Cap"=[1]OUT_TransportEnergyCons!$B$4:$B$10000)*1,("-"=[1]OUT_TransportEnergyCons!$C$4:$C$10000)*1,ISNUMBER(SEARCH("T_C*pev*GSL*s2",[1]OUT_TransportEnergyCons!$A$4:$A$10000))*1,[1]OUT_TransportEnergyCons!D$4:D$10000)</f>
        <v>4.8859162891070505E-3</v>
      </c>
      <c r="G1910" s="1" cm="1">
        <f t="array" ref="G1910">SUMPRODUCT(("Var_Cap"=[1]OUT_TransportEnergyCons!$B$4:$B$10000)*1,("-"=[1]OUT_TransportEnergyCons!$C$4:$C$10000)*1,ISNUMBER(SEARCH("T_C*pev*GSL*s2",[1]OUT_TransportEnergyCons!$A$4:$A$10000))*1,[1]OUT_TransportEnergyCons!E$4:E$10000)</f>
        <v>7.4792660172568071E-3</v>
      </c>
      <c r="H1910" s="1" cm="1">
        <f t="array" ref="H1910">SUMPRODUCT(("Var_Cap"=[1]OUT_TransportEnergyCons!$B$4:$B$10000)*1,("-"=[1]OUT_TransportEnergyCons!$C$4:$C$10000)*1,ISNUMBER(SEARCH("T_C*pev*GSL*s2",[1]OUT_TransportEnergyCons!$A$4:$A$10000))*1,[1]OUT_TransportEnergyCons!F$4:F$10000)</f>
        <v>7.2309321377656182E-3</v>
      </c>
      <c r="I1910" s="1" cm="1">
        <f t="array" ref="I1910">SUMPRODUCT(("Var_Cap"=[1]OUT_TransportEnergyCons!$B$4:$B$10000)*1,("-"=[1]OUT_TransportEnergyCons!$C$4:$C$10000)*1,ISNUMBER(SEARCH("T_C*pev*GSL*s2",[1]OUT_TransportEnergyCons!$A$4:$A$10000))*1,[1]OUT_TransportEnergyCons!G$4:G$10000)</f>
        <v>5.9067116107414551E-3</v>
      </c>
      <c r="J1910" s="1" cm="1">
        <f t="array" ref="J1910">SUMPRODUCT(("Var_Cap"=[2]OUT_TransportEnergyCons!$B$4:$B$10000)*1,("-"=[2]OUT_TransportEnergyCons!$C$4:$C$10000)*1,ISNUMBER(SEARCH("T_C*pev*GSL*s2",[2]OUT_TransportEnergyCons!$A$4:$A$10000))*1,[2]OUT_TransportEnergyCons!H$4:H$10000)</f>
        <v>1.2362576213062375E-3</v>
      </c>
      <c r="K1910" s="1" cm="1">
        <f t="array" ref="K1910">SUMPRODUCT(("Var_Cap"=[2]OUT_TransportEnergyCons!$B$4:$B$10000)*1,("-"=[2]OUT_TransportEnergyCons!$C$4:$C$10000)*1,ISNUMBER(SEARCH("T_C*pev*GSL*s2",[2]OUT_TransportEnergyCons!$A$4:$A$10000))*1,[2]OUT_TransportEnergyCons!I$4:I$10000)</f>
        <v>3.624110376481089E-4</v>
      </c>
      <c r="L1910" s="1" cm="1">
        <f t="array" ref="L1910">SUMPRODUCT(("Var_Cap"=[2]OUT_TransportEnergyCons!$B$4:$B$10000)*1,("-"=[2]OUT_TransportEnergyCons!$C$4:$C$10000)*1,ISNUMBER(SEARCH("T_C*pev*GSL*s2",[2]OUT_TransportEnergyCons!$A$4:$A$10000))*1,[2]OUT_TransportEnergyCons!J$4:J$10000)</f>
        <v>2.2742971016559576E-4</v>
      </c>
      <c r="N1910" s="1"/>
    </row>
    <row r="1911" spans="2:14" x14ac:dyDescent="0.35">
      <c r="B1911" s="5" t="str">
        <f t="shared" si="2034"/>
        <v>SPS1</v>
      </c>
      <c r="C1911" s="5" t="str">
        <f t="shared" si="2035"/>
        <v>CH</v>
      </c>
      <c r="D1911" t="s">
        <v>1928</v>
      </c>
      <c r="E1911" t="str">
        <f t="shared" si="2036"/>
        <v>Million</v>
      </c>
      <c r="F1911" s="1" cm="1">
        <f t="array" ref="F1911">SUMPRODUCT(("Var_Cap"=[1]OUT_TransportEnergyCons!$B$4:$B$10000)*1,("-"=[1]OUT_TransportEnergyCons!$C$4:$C$10000)*1,ISNUMBER(SEARCH("T_C*pev*GSL*s3",[1]OUT_TransportEnergyCons!$A$4:$A$10000))*1,[1]OUT_TransportEnergyCons!D$4:D$10000)</f>
        <v>4.0687086215013442E-3</v>
      </c>
      <c r="G1911" s="1" cm="1">
        <f t="array" ref="G1911">SUMPRODUCT(("Var_Cap"=[1]OUT_TransportEnergyCons!$B$4:$B$10000)*1,("-"=[1]OUT_TransportEnergyCons!$C$4:$C$10000)*1,ISNUMBER(SEARCH("T_C*pev*GSL*s3",[1]OUT_TransportEnergyCons!$A$4:$A$10000))*1,[1]OUT_TransportEnergyCons!E$4:E$10000)</f>
        <v>4.1887793320518001E-2</v>
      </c>
      <c r="H1911" s="1" cm="1">
        <f t="array" ref="H1911">SUMPRODUCT(("Var_Cap"=[1]OUT_TransportEnergyCons!$B$4:$B$10000)*1,("-"=[1]OUT_TransportEnergyCons!$C$4:$C$10000)*1,ISNUMBER(SEARCH("T_C*pev*GSL*s3",[1]OUT_TransportEnergyCons!$A$4:$A$10000))*1,[1]OUT_TransportEnergyCons!F$4:F$10000)</f>
        <v>8.2302744277871112E-2</v>
      </c>
      <c r="I1911" s="1" cm="1">
        <f t="array" ref="I1911">SUMPRODUCT(("Var_Cap"=[1]OUT_TransportEnergyCons!$B$4:$B$10000)*1,("-"=[1]OUT_TransportEnergyCons!$C$4:$C$10000)*1,ISNUMBER(SEARCH("T_C*pev*GSL*s3",[1]OUT_TransportEnergyCons!$A$4:$A$10000))*1,[1]OUT_TransportEnergyCons!G$4:G$10000)</f>
        <v>0.34404914975760853</v>
      </c>
      <c r="J1911" s="1" cm="1">
        <f t="array" ref="J1911">SUMPRODUCT(("Var_Cap"=[2]OUT_TransportEnergyCons!$B$4:$B$10000)*1,("-"=[2]OUT_TransportEnergyCons!$C$4:$C$10000)*1,ISNUMBER(SEARCH("T_C*pev*GSL*s3",[2]OUT_TransportEnergyCons!$A$4:$A$10000))*1,[2]OUT_TransportEnergyCons!H$4:H$10000)</f>
        <v>0.34937186176062274</v>
      </c>
      <c r="K1911" s="1" cm="1">
        <f t="array" ref="K1911">SUMPRODUCT(("Var_Cap"=[2]OUT_TransportEnergyCons!$B$4:$B$10000)*1,("-"=[2]OUT_TransportEnergyCons!$C$4:$C$10000)*1,ISNUMBER(SEARCH("T_C*pev*GSL*s3",[2]OUT_TransportEnergyCons!$A$4:$A$10000))*1,[2]OUT_TransportEnergyCons!I$4:I$10000)</f>
        <v>0.31081569612506627</v>
      </c>
      <c r="L1911" s="1" cm="1">
        <f t="array" ref="L1911">SUMPRODUCT(("Var_Cap"=[2]OUT_TransportEnergyCons!$B$4:$B$10000)*1,("-"=[2]OUT_TransportEnergyCons!$C$4:$C$10000)*1,ISNUMBER(SEARCH("T_C*pev*GSL*s3",[2]OUT_TransportEnergyCons!$A$4:$A$10000))*1,[2]OUT_TransportEnergyCons!J$4:J$10000)</f>
        <v>0.26361263165994936</v>
      </c>
      <c r="N1911" s="1"/>
    </row>
    <row r="1912" spans="2:14" x14ac:dyDescent="0.35">
      <c r="B1912" s="5" t="str">
        <f t="shared" si="2034"/>
        <v>SPS1</v>
      </c>
      <c r="C1912" s="5" t="str">
        <f t="shared" si="2035"/>
        <v>CH</v>
      </c>
      <c r="D1912" t="s">
        <v>1929</v>
      </c>
      <c r="E1912" t="str">
        <f t="shared" si="2036"/>
        <v>Million</v>
      </c>
      <c r="F1912" s="1" cm="1">
        <f t="array" ref="F1912">SUMPRODUCT(("Var_Cap"=[1]OUT_TransportEnergyCons!$B$4:$B$10000)*1,("-"=[1]OUT_TransportEnergyCons!$C$4:$C$10000)*1,ISNUMBER(SEARCH("T_C*pev*GSL*s4",[1]OUT_TransportEnergyCons!$A$4:$A$10000))*1,[1]OUT_TransportEnergyCons!D$4:D$10000)</f>
        <v>7.26269943139435E-3</v>
      </c>
      <c r="G1912" s="1" cm="1">
        <f t="array" ref="G1912">SUMPRODUCT(("Var_Cap"=[1]OUT_TransportEnergyCons!$B$4:$B$10000)*1,("-"=[1]OUT_TransportEnergyCons!$C$4:$C$10000)*1,ISNUMBER(SEARCH("T_C*pev*GSL*s4",[1]OUT_TransportEnergyCons!$A$4:$A$10000))*1,[1]OUT_TransportEnergyCons!E$4:E$10000)</f>
        <v>1.251912557958712E-2</v>
      </c>
      <c r="H1912" s="1" cm="1">
        <f t="array" ref="H1912">SUMPRODUCT(("Var_Cap"=[1]OUT_TransportEnergyCons!$B$4:$B$10000)*1,("-"=[1]OUT_TransportEnergyCons!$C$4:$C$10000)*1,ISNUMBER(SEARCH("T_C*pev*GSL*s4",[1]OUT_TransportEnergyCons!$A$4:$A$10000))*1,[1]OUT_TransportEnergyCons!F$4:F$10000)</f>
        <v>1.2063952645319787E-2</v>
      </c>
      <c r="I1912" s="1" cm="1">
        <f t="array" ref="I1912">SUMPRODUCT(("Var_Cap"=[1]OUT_TransportEnergyCons!$B$4:$B$10000)*1,("-"=[1]OUT_TransportEnergyCons!$C$4:$C$10000)*1,ISNUMBER(SEARCH("T_C*pev*GSL*s4",[1]OUT_TransportEnergyCons!$A$4:$A$10000))*1,[1]OUT_TransportEnergyCons!G$4:G$10000)</f>
        <v>9.704145019800681E-3</v>
      </c>
      <c r="J1912" s="1" cm="1">
        <f t="array" ref="J1912">SUMPRODUCT(("Var_Cap"=[2]OUT_TransportEnergyCons!$B$4:$B$10000)*1,("-"=[2]OUT_TransportEnergyCons!$C$4:$C$10000)*1,ISNUMBER(SEARCH("T_C*pev*GSL*s4",[2]OUT_TransportEnergyCons!$A$4:$A$10000))*1,[2]OUT_TransportEnergyCons!H$4:H$10000)</f>
        <v>2.155880514010655E-3</v>
      </c>
      <c r="K1912" s="1" cm="1">
        <f t="array" ref="K1912">SUMPRODUCT(("Var_Cap"=[2]OUT_TransportEnergyCons!$B$4:$B$10000)*1,("-"=[2]OUT_TransportEnergyCons!$C$4:$C$10000)*1,ISNUMBER(SEARCH("T_C*pev*GSL*s4",[2]OUT_TransportEnergyCons!$A$4:$A$10000))*1,[2]OUT_TransportEnergyCons!I$4:I$10000)</f>
        <v>3.4680899054344403E-4</v>
      </c>
      <c r="L1912" s="1" cm="1">
        <f t="array" ref="L1912">SUMPRODUCT(("Var_Cap"=[2]OUT_TransportEnergyCons!$B$4:$B$10000)*1,("-"=[2]OUT_TransportEnergyCons!$C$4:$C$10000)*1,ISNUMBER(SEARCH("T_C*pev*GSL*s4",[2]OUT_TransportEnergyCons!$A$4:$A$10000))*1,[2]OUT_TransportEnergyCons!J$4:J$10000)</f>
        <v>2.3032358643383638E-4</v>
      </c>
      <c r="N1912" s="1"/>
    </row>
    <row r="1913" spans="2:14" x14ac:dyDescent="0.35">
      <c r="B1913" s="5" t="str">
        <f t="shared" si="2034"/>
        <v>SPS1</v>
      </c>
      <c r="C1913" s="5" t="str">
        <f t="shared" si="2035"/>
        <v>CH</v>
      </c>
      <c r="D1913" t="s">
        <v>1930</v>
      </c>
      <c r="E1913" t="str">
        <f t="shared" si="2036"/>
        <v>Million</v>
      </c>
      <c r="F1913" s="1" cm="1">
        <f t="array" ref="F1913">SUMPRODUCT(("Var_Cap"=[1]OUT_TransportEnergyCons!$B$4:$B$10000)*1,("-"=[1]OUT_TransportEnergyCons!$C$4:$C$10000)*1,ISNUMBER(SEARCH("T_C*pev*dsl*s1",[1]OUT_TransportEnergyCons!$A$4:$A$10000))*1,[1]OUT_TransportEnergyCons!D$4:D$10000)</f>
        <v>1.5200000000000001E-6</v>
      </c>
      <c r="G1913" s="1" cm="1">
        <f t="array" ref="G1913">SUMPRODUCT(("Var_Cap"=[1]OUT_TransportEnergyCons!$B$4:$B$10000)*1,("-"=[1]OUT_TransportEnergyCons!$C$4:$C$10000)*1,ISNUMBER(SEARCH("T_C*pev*dsl*s1",[1]OUT_TransportEnergyCons!$A$4:$A$10000))*1,[1]OUT_TransportEnergyCons!E$4:E$10000)</f>
        <v>3.28153716553084E-5</v>
      </c>
      <c r="H1913" s="1" cm="1">
        <f t="array" ref="H1913">SUMPRODUCT(("Var_Cap"=[1]OUT_TransportEnergyCons!$B$4:$B$10000)*1,("-"=[1]OUT_TransportEnergyCons!$C$4:$C$10000)*1,ISNUMBER(SEARCH("T_C*pev*dsl*s1",[1]OUT_TransportEnergyCons!$A$4:$A$10000))*1,[1]OUT_TransportEnergyCons!F$4:F$10000)</f>
        <v>5.1725008912137796E-5</v>
      </c>
      <c r="I1913" s="1" cm="1">
        <f t="array" ref="I1913">SUMPRODUCT(("Var_Cap"=[1]OUT_TransportEnergyCons!$B$4:$B$10000)*1,("-"=[1]OUT_TransportEnergyCons!$C$4:$C$10000)*1,ISNUMBER(SEARCH("T_C*pev*dsl*s1",[1]OUT_TransportEnergyCons!$A$4:$A$10000))*1,[1]OUT_TransportEnergyCons!G$4:G$10000)</f>
        <v>6.3263174230261302E-5</v>
      </c>
      <c r="J1913" s="1" cm="1">
        <f t="array" ref="J1913">SUMPRODUCT(("Var_Cap"=[2]OUT_TransportEnergyCons!$B$4:$B$10000)*1,("-"=[2]OUT_TransportEnergyCons!$C$4:$C$10000)*1,ISNUMBER(SEARCH("T_C*pev*dsl*s1",[2]OUT_TransportEnergyCons!$A$4:$A$10000))*1,[2]OUT_TransportEnergyCons!H$4:H$10000)</f>
        <v>1.5723963967423699E-4</v>
      </c>
      <c r="K1913" s="1" cm="1">
        <f t="array" ref="K1913">SUMPRODUCT(("Var_Cap"=[2]OUT_TransportEnergyCons!$B$4:$B$10000)*1,("-"=[2]OUT_TransportEnergyCons!$C$4:$C$10000)*1,ISNUMBER(SEARCH("T_C*pev*dsl*s1",[2]OUT_TransportEnergyCons!$A$4:$A$10000))*1,[2]OUT_TransportEnergyCons!I$4:I$10000)</f>
        <v>1.3495081235969343E-4</v>
      </c>
      <c r="L1913" s="1" cm="1">
        <f t="array" ref="L1913">SUMPRODUCT(("Var_Cap"=[2]OUT_TransportEnergyCons!$B$4:$B$10000)*1,("-"=[2]OUT_TransportEnergyCons!$C$4:$C$10000)*1,ISNUMBER(SEARCH("T_C*pev*dsl*s1",[2]OUT_TransportEnergyCons!$A$4:$A$10000))*1,[2]OUT_TransportEnergyCons!J$4:J$10000)</f>
        <v>8.4229117724145112E-5</v>
      </c>
      <c r="N1913" s="1"/>
    </row>
    <row r="1914" spans="2:14" x14ac:dyDescent="0.35">
      <c r="B1914" s="5" t="str">
        <f t="shared" si="2034"/>
        <v>SPS1</v>
      </c>
      <c r="C1914" s="5" t="str">
        <f t="shared" si="2035"/>
        <v>CH</v>
      </c>
      <c r="D1914" t="s">
        <v>1931</v>
      </c>
      <c r="E1914" t="str">
        <f t="shared" si="2036"/>
        <v>Million</v>
      </c>
      <c r="F1914" s="1" cm="1">
        <f t="array" ref="F1914">SUMPRODUCT(("Var_Cap"=[1]OUT_TransportEnergyCons!$B$4:$B$10000)*1,("-"=[1]OUT_TransportEnergyCons!$C$4:$C$10000)*1,ISNUMBER(SEARCH("T_C*pev*dsl*s2",[1]OUT_TransportEnergyCons!$A$4:$A$10000))*1,[1]OUT_TransportEnergyCons!D$4:D$10000)</f>
        <v>2.5773195876288697E-7</v>
      </c>
      <c r="G1914" s="1" cm="1">
        <f t="array" ref="G1914">SUMPRODUCT(("Var_Cap"=[1]OUT_TransportEnergyCons!$B$4:$B$10000)*1,("-"=[1]OUT_TransportEnergyCons!$C$4:$C$10000)*1,ISNUMBER(SEARCH("T_C*pev*dsl*s2",[1]OUT_TransportEnergyCons!$A$4:$A$10000))*1,[1]OUT_TransportEnergyCons!E$4:E$10000)</f>
        <v>1.4333367511632664E-5</v>
      </c>
      <c r="H1914" s="1" cm="1">
        <f t="array" ref="H1914">SUMPRODUCT(("Var_Cap"=[1]OUT_TransportEnergyCons!$B$4:$B$10000)*1,("-"=[1]OUT_TransportEnergyCons!$C$4:$C$10000)*1,ISNUMBER(SEARCH("T_C*pev*dsl*s2",[1]OUT_TransportEnergyCons!$A$4:$A$10000))*1,[1]OUT_TransportEnergyCons!F$4:F$10000)</f>
        <v>4.8718740676216015E-5</v>
      </c>
      <c r="I1914" s="1" cm="1">
        <f t="array" ref="I1914">SUMPRODUCT(("Var_Cap"=[1]OUT_TransportEnergyCons!$B$4:$B$10000)*1,("-"=[1]OUT_TransportEnergyCons!$C$4:$C$10000)*1,ISNUMBER(SEARCH("T_C*pev*dsl*s2",[1]OUT_TransportEnergyCons!$A$4:$A$10000))*1,[1]OUT_TransportEnergyCons!G$4:G$10000)</f>
        <v>7.7010817143427057E-5</v>
      </c>
      <c r="J1914" s="1" cm="1">
        <f t="array" ref="J1914">SUMPRODUCT(("Var_Cap"=[2]OUT_TransportEnergyCons!$B$4:$B$10000)*1,("-"=[2]OUT_TransportEnergyCons!$C$4:$C$10000)*1,ISNUMBER(SEARCH("T_C*pev*dsl*s2",[2]OUT_TransportEnergyCons!$A$4:$A$10000))*1,[2]OUT_TransportEnergyCons!H$4:H$10000)</f>
        <v>4.0280198997621531E-4</v>
      </c>
      <c r="K1914" s="1" cm="1">
        <f t="array" ref="K1914">SUMPRODUCT(("Var_Cap"=[2]OUT_TransportEnergyCons!$B$4:$B$10000)*1,("-"=[2]OUT_TransportEnergyCons!$C$4:$C$10000)*1,ISNUMBER(SEARCH("T_C*pev*dsl*s2",[2]OUT_TransportEnergyCons!$A$4:$A$10000))*1,[2]OUT_TransportEnergyCons!I$4:I$10000)</f>
        <v>4.0097295422596158E-4</v>
      </c>
      <c r="L1914" s="1" cm="1">
        <f t="array" ref="L1914">SUMPRODUCT(("Var_Cap"=[2]OUT_TransportEnergyCons!$B$4:$B$10000)*1,("-"=[2]OUT_TransportEnergyCons!$C$4:$C$10000)*1,ISNUMBER(SEARCH("T_C*pev*dsl*s2",[2]OUT_TransportEnergyCons!$A$4:$A$10000))*1,[2]OUT_TransportEnergyCons!J$4:J$10000)</f>
        <v>2.3063257295223241E-4</v>
      </c>
      <c r="N1914" s="1"/>
    </row>
    <row r="1915" spans="2:14" x14ac:dyDescent="0.35">
      <c r="B1915" s="5" t="str">
        <f t="shared" si="2034"/>
        <v>SPS1</v>
      </c>
      <c r="C1915" s="5" t="str">
        <f t="shared" si="2035"/>
        <v>CH</v>
      </c>
      <c r="D1915" t="s">
        <v>1932</v>
      </c>
      <c r="E1915" t="str">
        <f t="shared" si="2036"/>
        <v>Million</v>
      </c>
      <c r="F1915" s="1" cm="1">
        <f t="array" ref="F1915">SUMPRODUCT(("Var_Cap"=[1]OUT_TransportEnergyCons!$B$4:$B$10000)*1,("-"=[1]OUT_TransportEnergyCons!$C$4:$C$10000)*1,ISNUMBER(SEARCH("T_C*pev*dsl*s3",[1]OUT_TransportEnergyCons!$A$4:$A$10000))*1,[1]OUT_TransportEnergyCons!D$4:D$10000)</f>
        <v>4.0699052660908299E-6</v>
      </c>
      <c r="G1915" s="1" cm="1">
        <f t="array" ref="G1915">SUMPRODUCT(("Var_Cap"=[1]OUT_TransportEnergyCons!$B$4:$B$10000)*1,("-"=[1]OUT_TransportEnergyCons!$C$4:$C$10000)*1,ISNUMBER(SEARCH("T_C*pev*dsl*s3",[1]OUT_TransportEnergyCons!$A$4:$A$10000))*1,[1]OUT_TransportEnergyCons!E$4:E$10000)</f>
        <v>6.2948862172543061E-3</v>
      </c>
      <c r="H1915" s="1" cm="1">
        <f t="array" ref="H1915">SUMPRODUCT(("Var_Cap"=[1]OUT_TransportEnergyCons!$B$4:$B$10000)*1,("-"=[1]OUT_TransportEnergyCons!$C$4:$C$10000)*1,ISNUMBER(SEARCH("T_C*pev*dsl*s3",[1]OUT_TransportEnergyCons!$A$4:$A$10000))*1,[1]OUT_TransportEnergyCons!F$4:F$10000)</f>
        <v>6.8623515488501582E-2</v>
      </c>
      <c r="I1915" s="1" cm="1">
        <f t="array" ref="I1915">SUMPRODUCT(("Var_Cap"=[1]OUT_TransportEnergyCons!$B$4:$B$10000)*1,("-"=[1]OUT_TransportEnergyCons!$C$4:$C$10000)*1,ISNUMBER(SEARCH("T_C*pev*dsl*s3",[1]OUT_TransportEnergyCons!$A$4:$A$10000))*1,[1]OUT_TransportEnergyCons!G$4:G$10000)</f>
        <v>0.24909270776797818</v>
      </c>
      <c r="J1915" s="1" cm="1">
        <f t="array" ref="J1915">SUMPRODUCT(("Var_Cap"=[2]OUT_TransportEnergyCons!$B$4:$B$10000)*1,("-"=[2]OUT_TransportEnergyCons!$C$4:$C$10000)*1,ISNUMBER(SEARCH("T_C*pev*dsl*s3",[2]OUT_TransportEnergyCons!$A$4:$A$10000))*1,[2]OUT_TransportEnergyCons!H$4:H$10000)</f>
        <v>0.60153195789238445</v>
      </c>
      <c r="K1915" s="1" cm="1">
        <f t="array" ref="K1915">SUMPRODUCT(("Var_Cap"=[2]OUT_TransportEnergyCons!$B$4:$B$10000)*1,("-"=[2]OUT_TransportEnergyCons!$C$4:$C$10000)*1,ISNUMBER(SEARCH("T_C*pev*dsl*s3",[2]OUT_TransportEnergyCons!$A$4:$A$10000))*1,[2]OUT_TransportEnergyCons!I$4:I$10000)</f>
        <v>0.63120815129577246</v>
      </c>
      <c r="L1915" s="1" cm="1">
        <f t="array" ref="L1915">SUMPRODUCT(("Var_Cap"=[2]OUT_TransportEnergyCons!$B$4:$B$10000)*1,("-"=[2]OUT_TransportEnergyCons!$C$4:$C$10000)*1,ISNUMBER(SEARCH("T_C*pev*dsl*s3",[2]OUT_TransportEnergyCons!$A$4:$A$10000))*1,[2]OUT_TransportEnergyCons!J$4:J$10000)</f>
        <v>0.56994383297417195</v>
      </c>
      <c r="N1915" s="1"/>
    </row>
    <row r="1916" spans="2:14" x14ac:dyDescent="0.35">
      <c r="B1916" s="5" t="str">
        <f t="shared" si="2034"/>
        <v>SPS1</v>
      </c>
      <c r="C1916" s="5" t="str">
        <f t="shared" si="2035"/>
        <v>CH</v>
      </c>
      <c r="D1916" t="s">
        <v>1933</v>
      </c>
      <c r="E1916" t="str">
        <f t="shared" si="2036"/>
        <v>Million</v>
      </c>
      <c r="F1916" s="1" cm="1">
        <f t="array" ref="F1916">SUMPRODUCT(("Var_Cap"=[1]OUT_TransportEnergyCons!$B$4:$B$10000)*1,("-"=[1]OUT_TransportEnergyCons!$C$4:$C$10000)*1,ISNUMBER(SEARCH("T_C*pev*dsl*s4",[1]OUT_TransportEnergyCons!$A$4:$A$10000))*1,[1]OUT_TransportEnergyCons!D$4:D$10000)</f>
        <v>2.5905494140503887E-4</v>
      </c>
      <c r="G1916" s="1" cm="1">
        <f t="array" ref="G1916">SUMPRODUCT(("Var_Cap"=[1]OUT_TransportEnergyCons!$B$4:$B$10000)*1,("-"=[1]OUT_TransportEnergyCons!$C$4:$C$10000)*1,ISNUMBER(SEARCH("T_C*pev*dsl*s4",[1]OUT_TransportEnergyCons!$A$4:$A$10000))*1,[1]OUT_TransportEnergyCons!E$4:E$10000)</f>
        <v>7.5175714847817272E-4</v>
      </c>
      <c r="H1916" s="1" cm="1">
        <f t="array" ref="H1916">SUMPRODUCT(("Var_Cap"=[1]OUT_TransportEnergyCons!$B$4:$B$10000)*1,("-"=[1]OUT_TransportEnergyCons!$C$4:$C$10000)*1,ISNUMBER(SEARCH("T_C*pev*dsl*s4",[1]OUT_TransportEnergyCons!$A$4:$A$10000))*1,[1]OUT_TransportEnergyCons!F$4:F$10000)</f>
        <v>7.9452578381574096E-4</v>
      </c>
      <c r="I1916" s="1" cm="1">
        <f t="array" ref="I1916">SUMPRODUCT(("Var_Cap"=[1]OUT_TransportEnergyCons!$B$4:$B$10000)*1,("-"=[1]OUT_TransportEnergyCons!$C$4:$C$10000)*1,ISNUMBER(SEARCH("T_C*pev*dsl*s4",[1]OUT_TransportEnergyCons!$A$4:$A$10000))*1,[1]OUT_TransportEnergyCons!G$4:G$10000)</f>
        <v>6.9215987736589491E-4</v>
      </c>
      <c r="J1916" s="1" cm="1">
        <f t="array" ref="J1916">SUMPRODUCT(("Var_Cap"=[2]OUT_TransportEnergyCons!$B$4:$B$10000)*1,("-"=[2]OUT_TransportEnergyCons!$C$4:$C$10000)*1,ISNUMBER(SEARCH("T_C*pev*dsl*s4",[2]OUT_TransportEnergyCons!$A$4:$A$10000))*1,[2]OUT_TransportEnergyCons!H$4:H$10000)</f>
        <v>5.6784878689446119E-4</v>
      </c>
      <c r="K1916" s="1" cm="1">
        <f t="array" ref="K1916">SUMPRODUCT(("Var_Cap"=[2]OUT_TransportEnergyCons!$B$4:$B$10000)*1,("-"=[2]OUT_TransportEnergyCons!$C$4:$C$10000)*1,ISNUMBER(SEARCH("T_C*pev*dsl*s4",[2]OUT_TransportEnergyCons!$A$4:$A$10000))*1,[2]OUT_TransportEnergyCons!I$4:I$10000)</f>
        <v>3.7144224287658146E-4</v>
      </c>
      <c r="L1916" s="1" cm="1">
        <f t="array" ref="L1916">SUMPRODUCT(("Var_Cap"=[2]OUT_TransportEnergyCons!$B$4:$B$10000)*1,("-"=[2]OUT_TransportEnergyCons!$C$4:$C$10000)*1,ISNUMBER(SEARCH("T_C*pev*dsl*s4",[2]OUT_TransportEnergyCons!$A$4:$A$10000))*1,[2]OUT_TransportEnergyCons!J$4:J$10000)</f>
        <v>2.2956192396572964E-4</v>
      </c>
      <c r="N1916" s="1"/>
    </row>
    <row r="1917" spans="2:14" x14ac:dyDescent="0.35">
      <c r="B1917" s="5" t="str">
        <f t="shared" si="2034"/>
        <v>SPS1</v>
      </c>
      <c r="C1917" s="5" t="str">
        <f t="shared" si="2035"/>
        <v>CH</v>
      </c>
      <c r="D1917" t="s">
        <v>1934</v>
      </c>
      <c r="E1917" t="str">
        <f t="shared" si="2036"/>
        <v>Million</v>
      </c>
      <c r="F1917" s="1" cm="1">
        <f t="array" ref="F1917">SUMPRODUCT(("Var_Cap"=[1]OUT_TransportEnergyCons!$B$4:$B$10000)*1,("-"=[1]OUT_TransportEnergyCons!$C$4:$C$10000)*1,ISNUMBER(SEARCH("T_C*h2o*s1",[1]OUT_TransportEnergyCons!$A$4:$A$10000))*1,[1]OUT_TransportEnergyCons!D$4:D$10000)</f>
        <v>0</v>
      </c>
      <c r="G1917" s="1" cm="1">
        <f t="array" ref="G1917">SUMPRODUCT(("Var_Cap"=[1]OUT_TransportEnergyCons!$B$4:$B$10000)*1,("-"=[1]OUT_TransportEnergyCons!$C$4:$C$10000)*1,ISNUMBER(SEARCH("T_C*h2o*s1",[1]OUT_TransportEnergyCons!$A$4:$A$10000))*1,[1]OUT_TransportEnergyCons!E$4:E$10000)</f>
        <v>7.7397814670271595E-7</v>
      </c>
      <c r="H1917" s="1" cm="1">
        <f t="array" ref="H1917">SUMPRODUCT(("Var_Cap"=[1]OUT_TransportEnergyCons!$B$4:$B$10000)*1,("-"=[1]OUT_TransportEnergyCons!$C$4:$C$10000)*1,ISNUMBER(SEARCH("T_C*h2o*s1",[1]OUT_TransportEnergyCons!$A$4:$A$10000))*1,[1]OUT_TransportEnergyCons!F$4:F$10000)</f>
        <v>1.1707242929083199E-6</v>
      </c>
      <c r="I1917" s="1" cm="1">
        <f t="array" ref="I1917">SUMPRODUCT(("Var_Cap"=[1]OUT_TransportEnergyCons!$B$4:$B$10000)*1,("-"=[1]OUT_TransportEnergyCons!$C$4:$C$10000)*1,ISNUMBER(SEARCH("T_C*h2o*s1",[1]OUT_TransportEnergyCons!$A$4:$A$10000))*1,[1]OUT_TransportEnergyCons!G$4:G$10000)</f>
        <v>4.0323175326443903E-7</v>
      </c>
      <c r="J1917" s="1" cm="1">
        <f t="array" ref="J1917">SUMPRODUCT(("Var_Cap"=[2]OUT_TransportEnergyCons!$B$4:$B$10000)*1,("-"=[2]OUT_TransportEnergyCons!$C$4:$C$10000)*1,ISNUMBER(SEARCH("T_C*h2o*s1",[2]OUT_TransportEnergyCons!$A$4:$A$10000))*1,[2]OUT_TransportEnergyCons!H$4:H$10000)</f>
        <v>8.0581973611750993E-7</v>
      </c>
      <c r="K1917" s="1" cm="1">
        <f t="array" ref="K1917">SUMPRODUCT(("Var_Cap"=[2]OUT_TransportEnergyCons!$B$4:$B$10000)*1,("-"=[2]OUT_TransportEnergyCons!$C$4:$C$10000)*1,ISNUMBER(SEARCH("T_C*h2o*s1",[2]OUT_TransportEnergyCons!$A$4:$A$10000))*1,[2]OUT_TransportEnergyCons!I$4:I$10000)</f>
        <v>8.6048980718859447E-7</v>
      </c>
      <c r="L1917" s="1" cm="1">
        <f t="array" ref="L1917">SUMPRODUCT(("Var_Cap"=[2]OUT_TransportEnergyCons!$B$4:$B$10000)*1,("-"=[2]OUT_TransportEnergyCons!$C$4:$C$10000)*1,ISNUMBER(SEARCH("T_C*h2o*s1",[2]OUT_TransportEnergyCons!$A$4:$A$10000))*1,[2]OUT_TransportEnergyCons!J$4:J$10000)</f>
        <v>7.7474154223606395E-7</v>
      </c>
      <c r="N1917" s="1"/>
    </row>
    <row r="1918" spans="2:14" x14ac:dyDescent="0.35">
      <c r="B1918" s="5" t="str">
        <f t="shared" si="2034"/>
        <v>SPS1</v>
      </c>
      <c r="C1918" s="5" t="str">
        <f t="shared" si="2035"/>
        <v>CH</v>
      </c>
      <c r="D1918" t="s">
        <v>1935</v>
      </c>
      <c r="E1918" t="str">
        <f t="shared" si="2036"/>
        <v>Million</v>
      </c>
      <c r="F1918" s="1" cm="1">
        <f t="array" ref="F1918">SUMPRODUCT(("Var_Cap"=[1]OUT_TransportEnergyCons!$B$4:$B$10000)*1,("-"=[1]OUT_TransportEnergyCons!$C$4:$C$10000)*1,ISNUMBER(SEARCH("T_C*h2o*s2",[1]OUT_TransportEnergyCons!$A$4:$A$10000))*1,[1]OUT_TransportEnergyCons!D$4:D$10000)</f>
        <v>1.2899879104720302E-6</v>
      </c>
      <c r="G1918" s="1" cm="1">
        <f t="array" ref="G1918">SUMPRODUCT(("Var_Cap"=[1]OUT_TransportEnergyCons!$B$4:$B$10000)*1,("-"=[1]OUT_TransportEnergyCons!$C$4:$C$10000)*1,ISNUMBER(SEARCH("T_C*h2o*s2",[1]OUT_TransportEnergyCons!$A$4:$A$10000))*1,[1]OUT_TransportEnergyCons!E$4:E$10000)</f>
        <v>1.8058797267872429E-6</v>
      </c>
      <c r="H1918" s="1" cm="1">
        <f t="array" ref="H1918">SUMPRODUCT(("Var_Cap"=[1]OUT_TransportEnergyCons!$B$4:$B$10000)*1,("-"=[1]OUT_TransportEnergyCons!$C$4:$C$10000)*1,ISNUMBER(SEARCH("T_C*h2o*s2",[1]OUT_TransportEnergyCons!$A$4:$A$10000))*1,[1]OUT_TransportEnergyCons!F$4:F$10000)</f>
        <v>2.2442052388497987E-6</v>
      </c>
      <c r="I1918" s="1" cm="1">
        <f t="array" ref="I1918">SUMPRODUCT(("Var_Cap"=[1]OUT_TransportEnergyCons!$B$4:$B$10000)*1,("-"=[1]OUT_TransportEnergyCons!$C$4:$C$10000)*1,ISNUMBER(SEARCH("T_C*h2o*s2",[1]OUT_TransportEnergyCons!$A$4:$A$10000))*1,[1]OUT_TransportEnergyCons!G$4:G$10000)</f>
        <v>7.2175025532131865E-7</v>
      </c>
      <c r="J1918" s="1" cm="1">
        <f t="array" ref="J1918">SUMPRODUCT(("Var_Cap"=[2]OUT_TransportEnergyCons!$B$4:$B$10000)*1,("-"=[2]OUT_TransportEnergyCons!$C$4:$C$10000)*1,ISNUMBER(SEARCH("T_C*h2o*s2",[2]OUT_TransportEnergyCons!$A$4:$A$10000))*1,[2]OUT_TransportEnergyCons!H$4:H$10000)</f>
        <v>7.8066105892583198E-7</v>
      </c>
      <c r="K1918" s="1" cm="1">
        <f t="array" ref="K1918">SUMPRODUCT(("Var_Cap"=[2]OUT_TransportEnergyCons!$B$4:$B$10000)*1,("-"=[2]OUT_TransportEnergyCons!$C$4:$C$10000)*1,ISNUMBER(SEARCH("T_C*h2o*s2",[2]OUT_TransportEnergyCons!$A$4:$A$10000))*1,[2]OUT_TransportEnergyCons!I$4:I$10000)</f>
        <v>7.9688853701817275E-7</v>
      </c>
      <c r="L1918" s="1" cm="1">
        <f t="array" ref="L1918">SUMPRODUCT(("Var_Cap"=[2]OUT_TransportEnergyCons!$B$4:$B$10000)*1,("-"=[2]OUT_TransportEnergyCons!$C$4:$C$10000)*1,ISNUMBER(SEARCH("T_C*h2o*s2",[2]OUT_TransportEnergyCons!$A$4:$A$10000))*1,[2]OUT_TransportEnergyCons!J$4:J$10000)</f>
        <v>7.6948044448640497E-7</v>
      </c>
      <c r="N1918" s="1"/>
    </row>
    <row r="1919" spans="2:14" x14ac:dyDescent="0.35">
      <c r="B1919" s="5" t="str">
        <f t="shared" si="2034"/>
        <v>SPS1</v>
      </c>
      <c r="C1919" s="5" t="str">
        <f t="shared" si="2035"/>
        <v>CH</v>
      </c>
      <c r="D1919" t="s">
        <v>1936</v>
      </c>
      <c r="E1919" t="str">
        <f t="shared" si="2036"/>
        <v>Million</v>
      </c>
      <c r="F1919" s="1" cm="1">
        <f t="array" ref="F1919">SUMPRODUCT(("Var_Cap"=[1]OUT_TransportEnergyCons!$B$4:$B$10000)*1,("-"=[1]OUT_TransportEnergyCons!$C$4:$C$10000)*1,ISNUMBER(SEARCH("T_C*h2o*s3",[1]OUT_TransportEnergyCons!$A$4:$A$10000))*1,[1]OUT_TransportEnergyCons!D$4:D$10000)</f>
        <v>3.2117189885621703E-5</v>
      </c>
      <c r="G1919" s="1" cm="1">
        <f t="array" ref="G1919">SUMPRODUCT(("Var_Cap"=[1]OUT_TransportEnergyCons!$B$4:$B$10000)*1,("-"=[1]OUT_TransportEnergyCons!$C$4:$C$10000)*1,ISNUMBER(SEARCH("T_C*h2o*s3",[1]OUT_TransportEnergyCons!$A$4:$A$10000))*1,[1]OUT_TransportEnergyCons!E$4:E$10000)</f>
        <v>8.6998269507163652E-5</v>
      </c>
      <c r="H1919" s="1" cm="1">
        <f t="array" ref="H1919">SUMPRODUCT(("Var_Cap"=[1]OUT_TransportEnergyCons!$B$4:$B$10000)*1,("-"=[1]OUT_TransportEnergyCons!$C$4:$C$10000)*1,ISNUMBER(SEARCH("T_C*h2o*s3",[1]OUT_TransportEnergyCons!$A$4:$A$10000))*1,[1]OUT_TransportEnergyCons!F$4:F$10000)</f>
        <v>8.2193826842482588E-5</v>
      </c>
      <c r="I1919" s="1" cm="1">
        <f t="array" ref="I1919">SUMPRODUCT(("Var_Cap"=[1]OUT_TransportEnergyCons!$B$4:$B$10000)*1,("-"=[1]OUT_TransportEnergyCons!$C$4:$C$10000)*1,ISNUMBER(SEARCH("T_C*h2o*s3",[1]OUT_TransportEnergyCons!$A$4:$A$10000))*1,[1]OUT_TransportEnergyCons!G$4:G$10000)</f>
        <v>1.3720600312928027E-6</v>
      </c>
      <c r="J1919" s="1" cm="1">
        <f t="array" ref="J1919">SUMPRODUCT(("Var_Cap"=[2]OUT_TransportEnergyCons!$B$4:$B$10000)*1,("-"=[2]OUT_TransportEnergyCons!$C$4:$C$10000)*1,ISNUMBER(SEARCH("T_C*h2o*s3",[2]OUT_TransportEnergyCons!$A$4:$A$10000))*1,[2]OUT_TransportEnergyCons!H$4:H$10000)</f>
        <v>8.2037304183258823E-7</v>
      </c>
      <c r="K1919" s="1" cm="1">
        <f t="array" ref="K1919">SUMPRODUCT(("Var_Cap"=[2]OUT_TransportEnergyCons!$B$4:$B$10000)*1,("-"=[2]OUT_TransportEnergyCons!$C$4:$C$10000)*1,ISNUMBER(SEARCH("T_C*h2o*s3",[2]OUT_TransportEnergyCons!$A$4:$A$10000))*1,[2]OUT_TransportEnergyCons!I$4:I$10000)</f>
        <v>7.1284167431284914E-7</v>
      </c>
      <c r="L1919" s="1" cm="1">
        <f t="array" ref="L1919">SUMPRODUCT(("Var_Cap"=[2]OUT_TransportEnergyCons!$B$4:$B$10000)*1,("-"=[2]OUT_TransportEnergyCons!$C$4:$C$10000)*1,ISNUMBER(SEARCH("T_C*h2o*s3",[2]OUT_TransportEnergyCons!$A$4:$A$10000))*1,[2]OUT_TransportEnergyCons!J$4:J$10000)</f>
        <v>7.4525999248342099E-7</v>
      </c>
      <c r="N1919" s="1"/>
    </row>
    <row r="1920" spans="2:14" x14ac:dyDescent="0.35">
      <c r="B1920" s="5" t="str">
        <f t="shared" si="2034"/>
        <v>SPS1</v>
      </c>
      <c r="C1920" s="5" t="str">
        <f t="shared" si="2035"/>
        <v>CH</v>
      </c>
      <c r="D1920" t="s">
        <v>1937</v>
      </c>
      <c r="E1920" t="str">
        <f t="shared" si="2036"/>
        <v>Million</v>
      </c>
      <c r="F1920" s="1" cm="1">
        <f t="array" ref="F1920">SUMPRODUCT(("Var_Cap"=[1]OUT_TransportEnergyCons!$B$4:$B$10000)*1,("-"=[1]OUT_TransportEnergyCons!$C$4:$C$10000)*1,ISNUMBER(SEARCH("T_C*h2o*s4",[1]OUT_TransportEnergyCons!$A$4:$A$10000))*1,[1]OUT_TransportEnergyCons!D$4:D$10000)</f>
        <v>0</v>
      </c>
      <c r="G1920" s="1" cm="1">
        <f t="array" ref="G1920">SUMPRODUCT(("Var_Cap"=[1]OUT_TransportEnergyCons!$B$4:$B$10000)*1,("-"=[1]OUT_TransportEnergyCons!$C$4:$C$10000)*1,ISNUMBER(SEARCH("T_C*h2o*s4",[1]OUT_TransportEnergyCons!$A$4:$A$10000))*1,[1]OUT_TransportEnergyCons!E$4:E$10000)</f>
        <v>3.9018524217648501E-7</v>
      </c>
      <c r="H1920" s="1" cm="1">
        <f t="array" ref="H1920">SUMPRODUCT(("Var_Cap"=[1]OUT_TransportEnergyCons!$B$4:$B$10000)*1,("-"=[1]OUT_TransportEnergyCons!$C$4:$C$10000)*1,ISNUMBER(SEARCH("T_C*h2o*s4",[1]OUT_TransportEnergyCons!$A$4:$A$10000))*1,[1]OUT_TransportEnergyCons!F$4:F$10000)</f>
        <v>6.7853679374323605E-7</v>
      </c>
      <c r="I1920" s="1" cm="1">
        <f t="array" ref="I1920">SUMPRODUCT(("Var_Cap"=[1]OUT_TransportEnergyCons!$B$4:$B$10000)*1,("-"=[1]OUT_TransportEnergyCons!$C$4:$C$10000)*1,ISNUMBER(SEARCH("T_C*h2o*s4",[1]OUT_TransportEnergyCons!$A$4:$A$10000))*1,[1]OUT_TransportEnergyCons!G$4:G$10000)</f>
        <v>5.2620491148647502E-7</v>
      </c>
      <c r="J1920" s="1" cm="1">
        <f t="array" ref="J1920">SUMPRODUCT(("Var_Cap"=[2]OUT_TransportEnergyCons!$B$4:$B$10000)*1,("-"=[2]OUT_TransportEnergyCons!$C$4:$C$10000)*1,ISNUMBER(SEARCH("T_C*h2o*s4",[2]OUT_TransportEnergyCons!$A$4:$A$10000))*1,[2]OUT_TransportEnergyCons!H$4:H$10000)</f>
        <v>7.450935848812519E-7</v>
      </c>
      <c r="K1920" s="1" cm="1">
        <f t="array" ref="K1920">SUMPRODUCT(("Var_Cap"=[2]OUT_TransportEnergyCons!$B$4:$B$10000)*1,("-"=[2]OUT_TransportEnergyCons!$C$4:$C$10000)*1,ISNUMBER(SEARCH("T_C*h2o*s4",[2]OUT_TransportEnergyCons!$A$4:$A$10000))*1,[2]OUT_TransportEnergyCons!I$4:I$10000)</f>
        <v>7.7437525869488654E-7</v>
      </c>
      <c r="L1920" s="1" cm="1">
        <f t="array" ref="L1920">SUMPRODUCT(("Var_Cap"=[2]OUT_TransportEnergyCons!$B$4:$B$10000)*1,("-"=[2]OUT_TransportEnergyCons!$C$4:$C$10000)*1,ISNUMBER(SEARCH("T_C*h2o*s4",[2]OUT_TransportEnergyCons!$A$4:$A$10000))*1,[2]OUT_TransportEnergyCons!J$4:J$10000)</f>
        <v>7.9176394596126197E-7</v>
      </c>
      <c r="N1920" s="1"/>
    </row>
    <row r="1921" spans="2:14" x14ac:dyDescent="0.35">
      <c r="B1921" s="5" t="str">
        <f t="shared" si="2034"/>
        <v>SPS1</v>
      </c>
      <c r="C1921" s="5" t="str">
        <f t="shared" si="2035"/>
        <v>CH</v>
      </c>
      <c r="D1921" t="s">
        <v>1938</v>
      </c>
      <c r="E1921" t="str">
        <f t="shared" si="2036"/>
        <v>Million</v>
      </c>
      <c r="F1921" s="1" cm="1">
        <f t="array" ref="F1921">SUMPRODUCT(("Var_Cap"=[1]OUT_TransportEnergyCons!$B$4:$B$10000)*1,("-"=[1]OUT_TransportEnergyCons!$C$4:$C$10000)*1,ISNUMBER(SEARCH("T_C*hy*GSL*ext",[1]OUT_TransportEnergyCons!$A$4:$A$10000))*1,[1]OUT_TransportEnergyCons!D$4:D$10000)</f>
        <v>6.5841999999999998E-2</v>
      </c>
      <c r="G1921" s="1" cm="1">
        <f t="array" ref="G1921">SUMPRODUCT(("Var_Cap"=[1]OUT_TransportEnergyCons!$B$4:$B$10000)*1,("-"=[1]OUT_TransportEnergyCons!$C$4:$C$10000)*1,ISNUMBER(SEARCH("T_C*hy*GSL*ext",[1]OUT_TransportEnergyCons!$A$4:$A$10000))*1,[1]OUT_TransportEnergyCons!E$4:E$10000)</f>
        <v>5.7063066666666697E-2</v>
      </c>
      <c r="H1921" s="1" cm="1">
        <f t="array" ref="H1921">SUMPRODUCT(("Var_Cap"=[1]OUT_TransportEnergyCons!$B$4:$B$10000)*1,("-"=[1]OUT_TransportEnergyCons!$C$4:$C$10000)*1,ISNUMBER(SEARCH("T_C*hy*GSL*ext",[1]OUT_TransportEnergyCons!$A$4:$A$10000))*1,[1]OUT_TransportEnergyCons!F$4:F$10000)</f>
        <v>4.38946666666667E-2</v>
      </c>
      <c r="I1921" s="1" cm="1">
        <f t="array" ref="I1921">SUMPRODUCT(("Var_Cap"=[1]OUT_TransportEnergyCons!$B$4:$B$10000)*1,("-"=[1]OUT_TransportEnergyCons!$C$4:$C$10000)*1,ISNUMBER(SEARCH("T_C*hy*GSL*ext",[1]OUT_TransportEnergyCons!$A$4:$A$10000))*1,[1]OUT_TransportEnergyCons!G$4:G$10000)</f>
        <v>2.1947333333333301E-2</v>
      </c>
      <c r="J1921" s="1" cm="1">
        <f t="array" ref="J1921">SUMPRODUCT(("Var_Cap"=[2]OUT_TransportEnergyCons!$B$4:$B$10000)*1,("-"=[2]OUT_TransportEnergyCons!$C$4:$C$10000)*1,ISNUMBER(SEARCH("T_C*hy*GSL*ext",[2]OUT_TransportEnergyCons!$A$4:$A$10000))*1,[2]OUT_TransportEnergyCons!H$4:H$10000)</f>
        <v>0</v>
      </c>
      <c r="K1921" s="1" cm="1">
        <f t="array" ref="K1921">SUMPRODUCT(("Var_Cap"=[2]OUT_TransportEnergyCons!$B$4:$B$10000)*1,("-"=[2]OUT_TransportEnergyCons!$C$4:$C$10000)*1,ISNUMBER(SEARCH("T_C*hy*GSL*ext",[2]OUT_TransportEnergyCons!$A$4:$A$10000))*1,[2]OUT_TransportEnergyCons!I$4:I$10000)</f>
        <v>0</v>
      </c>
      <c r="L1921" s="1" cm="1">
        <f t="array" ref="L1921">SUMPRODUCT(("Var_Cap"=[2]OUT_TransportEnergyCons!$B$4:$B$10000)*1,("-"=[2]OUT_TransportEnergyCons!$C$4:$C$10000)*1,ISNUMBER(SEARCH("T_C*hy*GSL*ext",[2]OUT_TransportEnergyCons!$A$4:$A$10000))*1,[2]OUT_TransportEnergyCons!J$4:J$10000)</f>
        <v>0</v>
      </c>
      <c r="N1921" s="1"/>
    </row>
    <row r="1922" spans="2:14" x14ac:dyDescent="0.35">
      <c r="B1922" s="5" t="str">
        <f t="shared" si="2034"/>
        <v>SPS1</v>
      </c>
      <c r="C1922" s="5" t="str">
        <f t="shared" si="2035"/>
        <v>CH</v>
      </c>
      <c r="D1922" t="s">
        <v>1939</v>
      </c>
      <c r="E1922" t="str">
        <f t="shared" si="2036"/>
        <v>Million</v>
      </c>
      <c r="F1922" s="1" cm="1">
        <f t="array" ref="F1922">SUMPRODUCT(("Var_Cap"=[1]OUT_TransportEnergyCons!$B$4:$B$10000)*1,("-"=[1]OUT_TransportEnergyCons!$C$4:$C$10000)*1,ISNUMBER(SEARCH("T_C*hy*GSL*s1",[1]OUT_TransportEnergyCons!$A$4:$A$10000))*1,[1]OUT_TransportEnergyCons!D$4:D$10000)</f>
        <v>5.669041603835849E-3</v>
      </c>
      <c r="G1922" s="1" cm="1">
        <f t="array" ref="G1922">SUMPRODUCT(("Var_Cap"=[1]OUT_TransportEnergyCons!$B$4:$B$10000)*1,("-"=[1]OUT_TransportEnergyCons!$C$4:$C$10000)*1,ISNUMBER(SEARCH("T_C*hy*GSL*s1",[1]OUT_TransportEnergyCons!$A$4:$A$10000))*1,[1]OUT_TransportEnergyCons!E$4:E$10000)</f>
        <v>6.6142648737534315E-3</v>
      </c>
      <c r="H1922" s="1" cm="1">
        <f t="array" ref="H1922">SUMPRODUCT(("Var_Cap"=[1]OUT_TransportEnergyCons!$B$4:$B$10000)*1,("-"=[1]OUT_TransportEnergyCons!$C$4:$C$10000)*1,ISNUMBER(SEARCH("T_C*hy*GSL*s1",[1]OUT_TransportEnergyCons!$A$4:$A$10000))*1,[1]OUT_TransportEnergyCons!F$4:F$10000)</f>
        <v>6.5652379322323744E-3</v>
      </c>
      <c r="I1922" s="1" cm="1">
        <f t="array" ref="I1922">SUMPRODUCT(("Var_Cap"=[1]OUT_TransportEnergyCons!$B$4:$B$10000)*1,("-"=[1]OUT_TransportEnergyCons!$C$4:$C$10000)*1,ISNUMBER(SEARCH("T_C*hy*GSL*s1",[1]OUT_TransportEnergyCons!$A$4:$A$10000))*1,[1]OUT_TransportEnergyCons!G$4:G$10000)</f>
        <v>3.3194259778854145E-2</v>
      </c>
      <c r="J1922" s="1" cm="1">
        <f t="array" ref="J1922">SUMPRODUCT(("Var_Cap"=[2]OUT_TransportEnergyCons!$B$4:$B$10000)*1,("-"=[2]OUT_TransportEnergyCons!$C$4:$C$10000)*1,ISNUMBER(SEARCH("T_C*hy*GSL*s1",[2]OUT_TransportEnergyCons!$A$4:$A$10000))*1,[2]OUT_TransportEnergyCons!H$4:H$10000)</f>
        <v>0.16086842934575221</v>
      </c>
      <c r="K1922" s="1" cm="1">
        <f t="array" ref="K1922">SUMPRODUCT(("Var_Cap"=[2]OUT_TransportEnergyCons!$B$4:$B$10000)*1,("-"=[2]OUT_TransportEnergyCons!$C$4:$C$10000)*1,ISNUMBER(SEARCH("T_C*hy*GSL*s1",[2]OUT_TransportEnergyCons!$A$4:$A$10000))*1,[2]OUT_TransportEnergyCons!I$4:I$10000)</f>
        <v>0.25100532337550341</v>
      </c>
      <c r="L1922" s="1" cm="1">
        <f t="array" ref="L1922">SUMPRODUCT(("Var_Cap"=[2]OUT_TransportEnergyCons!$B$4:$B$10000)*1,("-"=[2]OUT_TransportEnergyCons!$C$4:$C$10000)*1,ISNUMBER(SEARCH("T_C*hy*GSL*s1",[2]OUT_TransportEnergyCons!$A$4:$A$10000))*1,[2]OUT_TransportEnergyCons!J$4:J$10000)</f>
        <v>9.8022416378120328E-2</v>
      </c>
      <c r="N1922" s="1"/>
    </row>
    <row r="1923" spans="2:14" x14ac:dyDescent="0.35">
      <c r="B1923" s="5" t="str">
        <f t="shared" si="2034"/>
        <v>SPS1</v>
      </c>
      <c r="C1923" s="5" t="str">
        <f t="shared" si="2035"/>
        <v>CH</v>
      </c>
      <c r="D1923" t="s">
        <v>1940</v>
      </c>
      <c r="E1923" t="str">
        <f t="shared" si="2036"/>
        <v>Million</v>
      </c>
      <c r="F1923" s="1" cm="1">
        <f t="array" ref="F1923">SUMPRODUCT(("Var_Cap"=[1]OUT_TransportEnergyCons!$B$4:$B$10000)*1,("-"=[1]OUT_TransportEnergyCons!$C$4:$C$10000)*1,ISNUMBER(SEARCH("T_C*hy*GSL*s2",[1]OUT_TransportEnergyCons!$A$4:$A$10000))*1,[1]OUT_TransportEnergyCons!D$4:D$10000)</f>
        <v>1.7227052293229423E-2</v>
      </c>
      <c r="G1923" s="1" cm="1">
        <f t="array" ref="G1923">SUMPRODUCT(("Var_Cap"=[1]OUT_TransportEnergyCons!$B$4:$B$10000)*1,("-"=[1]OUT_TransportEnergyCons!$C$4:$C$10000)*1,ISNUMBER(SEARCH("T_C*hy*GSL*s2",[1]OUT_TransportEnergyCons!$A$4:$A$10000))*1,[1]OUT_TransportEnergyCons!E$4:E$10000)</f>
        <v>2.9497539568092111E-2</v>
      </c>
      <c r="H1923" s="1" cm="1">
        <f t="array" ref="H1923">SUMPRODUCT(("Var_Cap"=[1]OUT_TransportEnergyCons!$B$4:$B$10000)*1,("-"=[1]OUT_TransportEnergyCons!$C$4:$C$10000)*1,ISNUMBER(SEARCH("T_C*hy*GSL*s2",[1]OUT_TransportEnergyCons!$A$4:$A$10000))*1,[1]OUT_TransportEnergyCons!F$4:F$10000)</f>
        <v>0.10710892970865515</v>
      </c>
      <c r="I1923" s="1" cm="1">
        <f t="array" ref="I1923">SUMPRODUCT(("Var_Cap"=[1]OUT_TransportEnergyCons!$B$4:$B$10000)*1,("-"=[1]OUT_TransportEnergyCons!$C$4:$C$10000)*1,ISNUMBER(SEARCH("T_C*hy*GSL*s2",[1]OUT_TransportEnergyCons!$A$4:$A$10000))*1,[1]OUT_TransportEnergyCons!G$4:G$10000)</f>
        <v>9.1933238302065456E-2</v>
      </c>
      <c r="J1923" s="1" cm="1">
        <f t="array" ref="J1923">SUMPRODUCT(("Var_Cap"=[2]OUT_TransportEnergyCons!$B$4:$B$10000)*1,("-"=[2]OUT_TransportEnergyCons!$C$4:$C$10000)*1,ISNUMBER(SEARCH("T_C*hy*GSL*s2",[2]OUT_TransportEnergyCons!$A$4:$A$10000))*1,[2]OUT_TransportEnergyCons!H$4:H$10000)</f>
        <v>9.234354560839958E-2</v>
      </c>
      <c r="K1923" s="1" cm="1">
        <f t="array" ref="K1923">SUMPRODUCT(("Var_Cap"=[2]OUT_TransportEnergyCons!$B$4:$B$10000)*1,("-"=[2]OUT_TransportEnergyCons!$C$4:$C$10000)*1,ISNUMBER(SEARCH("T_C*hy*GSL*s2",[2]OUT_TransportEnergyCons!$A$4:$A$10000))*1,[2]OUT_TransportEnergyCons!I$4:I$10000)</f>
        <v>3.9474641862431943E-2</v>
      </c>
      <c r="L1923" s="1" cm="1">
        <f t="array" ref="L1923">SUMPRODUCT(("Var_Cap"=[2]OUT_TransportEnergyCons!$B$4:$B$10000)*1,("-"=[2]OUT_TransportEnergyCons!$C$4:$C$10000)*1,ISNUMBER(SEARCH("T_C*hy*GSL*s2",[2]OUT_TransportEnergyCons!$A$4:$A$10000))*1,[2]OUT_TransportEnergyCons!J$4:J$10000)</f>
        <v>0.17409139462243131</v>
      </c>
      <c r="N1923" s="1"/>
    </row>
    <row r="1924" spans="2:14" x14ac:dyDescent="0.35">
      <c r="B1924" s="5" t="str">
        <f t="shared" si="2034"/>
        <v>SPS1</v>
      </c>
      <c r="C1924" s="5" t="str">
        <f t="shared" si="2035"/>
        <v>CH</v>
      </c>
      <c r="D1924" t="s">
        <v>1941</v>
      </c>
      <c r="E1924" t="str">
        <f t="shared" si="2036"/>
        <v>Million</v>
      </c>
      <c r="F1924" s="1" cm="1">
        <f t="array" ref="F1924">SUMPRODUCT(("Var_Cap"=[1]OUT_TransportEnergyCons!$B$4:$B$10000)*1,("-"=[1]OUT_TransportEnergyCons!$C$4:$C$10000)*1,ISNUMBER(SEARCH("T_C*hy*GSL*s3",[1]OUT_TransportEnergyCons!$A$4:$A$10000))*1,[1]OUT_TransportEnergyCons!D$4:D$10000)</f>
        <v>1.4248797121047947E-2</v>
      </c>
      <c r="G1924" s="1" cm="1">
        <f t="array" ref="G1924">SUMPRODUCT(("Var_Cap"=[1]OUT_TransportEnergyCons!$B$4:$B$10000)*1,("-"=[1]OUT_TransportEnergyCons!$C$4:$C$10000)*1,ISNUMBER(SEARCH("T_C*hy*GSL*s3",[1]OUT_TransportEnergyCons!$A$4:$A$10000))*1,[1]OUT_TransportEnergyCons!E$4:E$10000)</f>
        <v>0.21259626046654892</v>
      </c>
      <c r="H1924" s="1" cm="1">
        <f t="array" ref="H1924">SUMPRODUCT(("Var_Cap"=[1]OUT_TransportEnergyCons!$B$4:$B$10000)*1,("-"=[1]OUT_TransportEnergyCons!$C$4:$C$10000)*1,ISNUMBER(SEARCH("T_C*hy*GSL*s3",[1]OUT_TransportEnergyCons!$A$4:$A$10000))*1,[1]OUT_TransportEnergyCons!F$4:F$10000)</f>
        <v>0.20085567694546488</v>
      </c>
      <c r="I1924" s="1" cm="1">
        <f t="array" ref="I1924">SUMPRODUCT(("Var_Cap"=[1]OUT_TransportEnergyCons!$B$4:$B$10000)*1,("-"=[1]OUT_TransportEnergyCons!$C$4:$C$10000)*1,ISNUMBER(SEARCH("T_C*hy*GSL*s3",[1]OUT_TransportEnergyCons!$A$4:$A$10000))*1,[1]OUT_TransportEnergyCons!G$4:G$10000)</f>
        <v>0.1617010984450506</v>
      </c>
      <c r="J1924" s="1" cm="1">
        <f t="array" ref="J1924">SUMPRODUCT(("Var_Cap"=[2]OUT_TransportEnergyCons!$B$4:$B$10000)*1,("-"=[2]OUT_TransportEnergyCons!$C$4:$C$10000)*1,ISNUMBER(SEARCH("T_C*hy*GSL*s3",[2]OUT_TransportEnergyCons!$A$4:$A$10000))*1,[2]OUT_TransportEnergyCons!H$4:H$10000)</f>
        <v>5.289685315379794E-2</v>
      </c>
      <c r="K1924" s="1" cm="1">
        <f t="array" ref="K1924">SUMPRODUCT(("Var_Cap"=[2]OUT_TransportEnergyCons!$B$4:$B$10000)*1,("-"=[2]OUT_TransportEnergyCons!$C$4:$C$10000)*1,ISNUMBER(SEARCH("T_C*hy*GSL*s3",[2]OUT_TransportEnergyCons!$A$4:$A$10000))*1,[2]OUT_TransportEnergyCons!I$4:I$10000)</f>
        <v>1.7146053033217836E-4</v>
      </c>
      <c r="L1924" s="1" cm="1">
        <f t="array" ref="L1924">SUMPRODUCT(("Var_Cap"=[2]OUT_TransportEnergyCons!$B$4:$B$10000)*1,("-"=[2]OUT_TransportEnergyCons!$C$4:$C$10000)*1,ISNUMBER(SEARCH("T_C*hy*GSL*s3",[2]OUT_TransportEnergyCons!$A$4:$A$10000))*1,[2]OUT_TransportEnergyCons!J$4:J$10000)</f>
        <v>9.3710717713031092E-5</v>
      </c>
      <c r="N1924" s="1"/>
    </row>
    <row r="1925" spans="2:14" x14ac:dyDescent="0.35">
      <c r="B1925" s="5" t="str">
        <f t="shared" si="2034"/>
        <v>SPS1</v>
      </c>
      <c r="C1925" s="5" t="str">
        <f t="shared" si="2035"/>
        <v>CH</v>
      </c>
      <c r="D1925" t="s">
        <v>1942</v>
      </c>
      <c r="E1925" t="str">
        <f t="shared" si="2036"/>
        <v>Million</v>
      </c>
      <c r="F1925" s="1" cm="1">
        <f t="array" ref="F1925">SUMPRODUCT(("Var_Cap"=[1]OUT_TransportEnergyCons!$B$4:$B$10000)*1,("-"=[1]OUT_TransportEnergyCons!$C$4:$C$10000)*1,ISNUMBER(SEARCH("T_C*hy*GSL*s4",[1]OUT_TransportEnergyCons!$A$4:$A$10000))*1,[1]OUT_TransportEnergyCons!D$4:D$10000)</f>
        <v>8.320393932386122E-3</v>
      </c>
      <c r="G1925" s="1" cm="1">
        <f t="array" ref="G1925">SUMPRODUCT(("Var_Cap"=[1]OUT_TransportEnergyCons!$B$4:$B$10000)*1,("-"=[1]OUT_TransportEnergyCons!$C$4:$C$10000)*1,ISNUMBER(SEARCH("T_C*hy*GSL*s4",[1]OUT_TransportEnergyCons!$A$4:$A$10000))*1,[1]OUT_TransportEnergyCons!E$4:E$10000)</f>
        <v>1.4110356686320444E-2</v>
      </c>
      <c r="H1925" s="1" cm="1">
        <f t="array" ref="H1925">SUMPRODUCT(("Var_Cap"=[1]OUT_TransportEnergyCons!$B$4:$B$10000)*1,("-"=[1]OUT_TransportEnergyCons!$C$4:$C$10000)*1,ISNUMBER(SEARCH("T_C*hy*GSL*s4",[1]OUT_TransportEnergyCons!$A$4:$A$10000))*1,[1]OUT_TransportEnergyCons!F$4:F$10000)</f>
        <v>1.3561375058091484E-2</v>
      </c>
      <c r="I1925" s="1" cm="1">
        <f t="array" ref="I1925">SUMPRODUCT(("Var_Cap"=[1]OUT_TransportEnergyCons!$B$4:$B$10000)*1,("-"=[1]OUT_TransportEnergyCons!$C$4:$C$10000)*1,ISNUMBER(SEARCH("T_C*hy*GSL*s4",[1]OUT_TransportEnergyCons!$A$4:$A$10000))*1,[1]OUT_TransportEnergyCons!G$4:G$10000)</f>
        <v>1.1369589718706601E-2</v>
      </c>
      <c r="J1925" s="1" cm="1">
        <f t="array" ref="J1925">SUMPRODUCT(("Var_Cap"=[2]OUT_TransportEnergyCons!$B$4:$B$10000)*1,("-"=[2]OUT_TransportEnergyCons!$C$4:$C$10000)*1,ISNUMBER(SEARCH("T_C*hy*GSL*s4",[2]OUT_TransportEnergyCons!$A$4:$A$10000))*1,[2]OUT_TransportEnergyCons!H$4:H$10000)</f>
        <v>7.8848202091233409E-3</v>
      </c>
      <c r="K1925" s="1" cm="1">
        <f t="array" ref="K1925">SUMPRODUCT(("Var_Cap"=[2]OUT_TransportEnergyCons!$B$4:$B$10000)*1,("-"=[2]OUT_TransportEnergyCons!$C$4:$C$10000)*1,ISNUMBER(SEARCH("T_C*hy*GSL*s4",[2]OUT_TransportEnergyCons!$A$4:$A$10000))*1,[2]OUT_TransportEnergyCons!I$4:I$10000)</f>
        <v>2.3326571889064562E-2</v>
      </c>
      <c r="L1925" s="1" cm="1">
        <f t="array" ref="L1925">SUMPRODUCT(("Var_Cap"=[2]OUT_TransportEnergyCons!$B$4:$B$10000)*1,("-"=[2]OUT_TransportEnergyCons!$C$4:$C$10000)*1,ISNUMBER(SEARCH("T_C*hy*GSL*s4",[2]OUT_TransportEnergyCons!$A$4:$A$10000))*1,[2]OUT_TransportEnergyCons!J$4:J$10000)</f>
        <v>4.177041042184667E-2</v>
      </c>
      <c r="N1925" s="1"/>
    </row>
    <row r="1926" spans="2:14" x14ac:dyDescent="0.35">
      <c r="B1926" s="5" t="str">
        <f t="shared" si="2034"/>
        <v>SPS1</v>
      </c>
      <c r="C1926" s="5" t="str">
        <f t="shared" si="2035"/>
        <v>CH</v>
      </c>
      <c r="D1926" t="s">
        <v>1943</v>
      </c>
      <c r="E1926" t="str">
        <f t="shared" si="2036"/>
        <v>Million</v>
      </c>
      <c r="F1926" s="1" cm="1">
        <f t="array" ref="F1926">SUMPRODUCT(("Var_Cap"=[1]OUT_TransportEnergyCons!$B$4:$B$10000)*1,("-"=[1]OUT_TransportEnergyCons!$C$4:$C$10000)*1,ISNUMBER(SEARCH("T_C*ICE*GSL*ext",[1]OUT_TransportEnergyCons!$A$4:$A$10000))*1,[1]OUT_TransportEnergyCons!D$4:D$10000)</f>
        <v>2.4943270000000002</v>
      </c>
      <c r="G1926" s="1" cm="1">
        <f t="array" ref="G1926">SUMPRODUCT(("Var_Cap"=[1]OUT_TransportEnergyCons!$B$4:$B$10000)*1,("-"=[1]OUT_TransportEnergyCons!$C$4:$C$10000)*1,ISNUMBER(SEARCH("T_C*ICE*GSL*ext",[1]OUT_TransportEnergyCons!$A$4:$A$10000))*1,[1]OUT_TransportEnergyCons!E$4:E$10000)</f>
        <v>2.16175006666667</v>
      </c>
      <c r="H1926" s="1" cm="1">
        <f t="array" ref="H1926">SUMPRODUCT(("Var_Cap"=[1]OUT_TransportEnergyCons!$B$4:$B$10000)*1,("-"=[1]OUT_TransportEnergyCons!$C$4:$C$10000)*1,ISNUMBER(SEARCH("T_C*ICE*GSL*ext",[1]OUT_TransportEnergyCons!$A$4:$A$10000))*1,[1]OUT_TransportEnergyCons!F$4:F$10000)</f>
        <v>1.6628846666666701</v>
      </c>
      <c r="I1926" s="1" cm="1">
        <f t="array" ref="I1926">SUMPRODUCT(("Var_Cap"=[1]OUT_TransportEnergyCons!$B$4:$B$10000)*1,("-"=[1]OUT_TransportEnergyCons!$C$4:$C$10000)*1,ISNUMBER(SEARCH("T_C*ICE*GSL*ext",[1]OUT_TransportEnergyCons!$A$4:$A$10000))*1,[1]OUT_TransportEnergyCons!G$4:G$10000)</f>
        <v>0.83144233333333339</v>
      </c>
      <c r="J1926" s="1" cm="1">
        <f t="array" ref="J1926">SUMPRODUCT(("Var_Cap"=[2]OUT_TransportEnergyCons!$B$4:$B$10000)*1,("-"=[2]OUT_TransportEnergyCons!$C$4:$C$10000)*1,ISNUMBER(SEARCH("T_C*ICE*GSL*ext",[2]OUT_TransportEnergyCons!$A$4:$A$10000))*1,[2]OUT_TransportEnergyCons!H$4:H$10000)</f>
        <v>0</v>
      </c>
      <c r="K1926" s="1" cm="1">
        <f t="array" ref="K1926">SUMPRODUCT(("Var_Cap"=[2]OUT_TransportEnergyCons!$B$4:$B$10000)*1,("-"=[2]OUT_TransportEnergyCons!$C$4:$C$10000)*1,ISNUMBER(SEARCH("T_C*ICE*GSL*ext",[2]OUT_TransportEnergyCons!$A$4:$A$10000))*1,[2]OUT_TransportEnergyCons!I$4:I$10000)</f>
        <v>0</v>
      </c>
      <c r="L1926" s="1" cm="1">
        <f t="array" ref="L1926">SUMPRODUCT(("Var_Cap"=[2]OUT_TransportEnergyCons!$B$4:$B$10000)*1,("-"=[2]OUT_TransportEnergyCons!$C$4:$C$10000)*1,ISNUMBER(SEARCH("T_C*ICE*GSL*ext",[2]OUT_TransportEnergyCons!$A$4:$A$10000))*1,[2]OUT_TransportEnergyCons!J$4:J$10000)</f>
        <v>0</v>
      </c>
      <c r="N1926" s="1"/>
    </row>
    <row r="1927" spans="2:14" x14ac:dyDescent="0.35">
      <c r="B1927" s="5" t="str">
        <f t="shared" si="2034"/>
        <v>SPS1</v>
      </c>
      <c r="C1927" s="5" t="str">
        <f t="shared" si="2035"/>
        <v>CH</v>
      </c>
      <c r="D1927" t="s">
        <v>1944</v>
      </c>
      <c r="E1927" t="str">
        <f t="shared" si="2036"/>
        <v>Million</v>
      </c>
      <c r="F1927" s="1" cm="1">
        <f t="array" ref="F1927">SUMPRODUCT(("Var_Cap"=[1]OUT_TransportEnergyCons!$B$4:$B$10000)*1,("-"=[1]OUT_TransportEnergyCons!$C$4:$C$10000)*1,ISNUMBER(SEARCH("T_C*ICE*GSL*s1",[1]OUT_TransportEnergyCons!$A$4:$A$10000))*1,[1]OUT_TransportEnergyCons!D$4:D$10000)</f>
        <v>3.6542773617589494E-2</v>
      </c>
      <c r="G1927" s="1" cm="1">
        <f t="array" ref="G1927">SUMPRODUCT(("Var_Cap"=[1]OUT_TransportEnergyCons!$B$4:$B$10000)*1,("-"=[1]OUT_TransportEnergyCons!$C$4:$C$10000)*1,ISNUMBER(SEARCH("T_C*ICE*GSL*s1",[1]OUT_TransportEnergyCons!$A$4:$A$10000))*1,[1]OUT_TransportEnergyCons!E$4:E$10000)</f>
        <v>3.976882528743169E-2</v>
      </c>
      <c r="H1927" s="1" cm="1">
        <f t="array" ref="H1927">SUMPRODUCT(("Var_Cap"=[1]OUT_TransportEnergyCons!$B$4:$B$10000)*1,("-"=[1]OUT_TransportEnergyCons!$C$4:$C$10000)*1,ISNUMBER(SEARCH("T_C*ICE*GSL*s1",[1]OUT_TransportEnergyCons!$A$4:$A$10000))*1,[1]OUT_TransportEnergyCons!F$4:F$10000)</f>
        <v>0.1299413380809358</v>
      </c>
      <c r="I1927" s="1" cm="1">
        <f t="array" ref="I1927">SUMPRODUCT(("Var_Cap"=[1]OUT_TransportEnergyCons!$B$4:$B$10000)*1,("-"=[1]OUT_TransportEnergyCons!$C$4:$C$10000)*1,ISNUMBER(SEARCH("T_C*ICE*GSL*s1",[1]OUT_TransportEnergyCons!$A$4:$A$10000))*1,[1]OUT_TransportEnergyCons!G$4:G$10000)</f>
        <v>0.2022063286914331</v>
      </c>
      <c r="J1927" s="1" cm="1">
        <f t="array" ref="J1927">SUMPRODUCT(("Var_Cap"=[2]OUT_TransportEnergyCons!$B$4:$B$10000)*1,("-"=[2]OUT_TransportEnergyCons!$C$4:$C$10000)*1,ISNUMBER(SEARCH("T_C*ICE*GSL*s1",[2]OUT_TransportEnergyCons!$A$4:$A$10000))*1,[2]OUT_TransportEnergyCons!H$4:H$10000)</f>
        <v>0.1235208834308671</v>
      </c>
      <c r="K1927" s="1" cm="1">
        <f t="array" ref="K1927">SUMPRODUCT(("Var_Cap"=[2]OUT_TransportEnergyCons!$B$4:$B$10000)*1,("-"=[2]OUT_TransportEnergyCons!$C$4:$C$10000)*1,ISNUMBER(SEARCH("T_C*ICE*GSL*s1",[2]OUT_TransportEnergyCons!$A$4:$A$10000))*1,[2]OUT_TransportEnergyCons!I$4:I$10000)</f>
        <v>4.0229494770693285E-2</v>
      </c>
      <c r="L1927" s="1" cm="1">
        <f t="array" ref="L1927">SUMPRODUCT(("Var_Cap"=[2]OUT_TransportEnergyCons!$B$4:$B$10000)*1,("-"=[2]OUT_TransportEnergyCons!$C$4:$C$10000)*1,ISNUMBER(SEARCH("T_C*ICE*GSL*s1",[2]OUT_TransportEnergyCons!$A$4:$A$10000))*1,[2]OUT_TransportEnergyCons!J$4:J$10000)</f>
        <v>4.7873224320095072E-5</v>
      </c>
      <c r="N1927" s="1"/>
    </row>
    <row r="1928" spans="2:14" x14ac:dyDescent="0.35">
      <c r="B1928" s="5" t="str">
        <f t="shared" si="2034"/>
        <v>SPS1</v>
      </c>
      <c r="C1928" s="5" t="str">
        <f t="shared" si="2035"/>
        <v>CH</v>
      </c>
      <c r="D1928" t="s">
        <v>1945</v>
      </c>
      <c r="E1928" t="str">
        <f t="shared" si="2036"/>
        <v>Million</v>
      </c>
      <c r="F1928" s="1" cm="1">
        <f t="array" ref="F1928">SUMPRODUCT(("Var_Cap"=[1]OUT_TransportEnergyCons!$B$4:$B$10000)*1,("-"=[1]OUT_TransportEnergyCons!$C$4:$C$10000)*1,ISNUMBER(SEARCH("T_C*ICE*GSL*s2",[1]OUT_TransportEnergyCons!$A$4:$A$10000))*1,[1]OUT_TransportEnergyCons!D$4:D$10000)</f>
        <v>0.21743082758424429</v>
      </c>
      <c r="G1928" s="1" cm="1">
        <f t="array" ref="G1928">SUMPRODUCT(("Var_Cap"=[1]OUT_TransportEnergyCons!$B$4:$B$10000)*1,("-"=[1]OUT_TransportEnergyCons!$C$4:$C$10000)*1,ISNUMBER(SEARCH("T_C*ICE*GSL*s2",[1]OUT_TransportEnergyCons!$A$4:$A$10000))*1,[1]OUT_TransportEnergyCons!E$4:E$10000)</f>
        <v>0.24337921371634744</v>
      </c>
      <c r="H1928" s="1" cm="1">
        <f t="array" ref="H1928">SUMPRODUCT(("Var_Cap"=[1]OUT_TransportEnergyCons!$B$4:$B$10000)*1,("-"=[1]OUT_TransportEnergyCons!$C$4:$C$10000)*1,ISNUMBER(SEARCH("T_C*ICE*GSL*s2",[1]OUT_TransportEnergyCons!$A$4:$A$10000))*1,[1]OUT_TransportEnergyCons!F$4:F$10000)</f>
        <v>0.31128511909586992</v>
      </c>
      <c r="I1928" s="1" cm="1">
        <f t="array" ref="I1928">SUMPRODUCT(("Var_Cap"=[1]OUT_TransportEnergyCons!$B$4:$B$10000)*1,("-"=[1]OUT_TransportEnergyCons!$C$4:$C$10000)*1,ISNUMBER(SEARCH("T_C*ICE*GSL*s2",[1]OUT_TransportEnergyCons!$A$4:$A$10000))*1,[1]OUT_TransportEnergyCons!G$4:G$10000)</f>
        <v>0.25228240495668253</v>
      </c>
      <c r="J1928" s="1" cm="1">
        <f t="array" ref="J1928">SUMPRODUCT(("Var_Cap"=[2]OUT_TransportEnergyCons!$B$4:$B$10000)*1,("-"=[2]OUT_TransportEnergyCons!$C$4:$C$10000)*1,ISNUMBER(SEARCH("T_C*ICE*GSL*s2",[2]OUT_TransportEnergyCons!$A$4:$A$10000))*1,[2]OUT_TransportEnergyCons!H$4:H$10000)</f>
        <v>4.4848693418458985E-2</v>
      </c>
      <c r="K1928" s="1" cm="1">
        <f t="array" ref="K1928">SUMPRODUCT(("Var_Cap"=[2]OUT_TransportEnergyCons!$B$4:$B$10000)*1,("-"=[2]OUT_TransportEnergyCons!$C$4:$C$10000)*1,ISNUMBER(SEARCH("T_C*ICE*GSL*s2",[2]OUT_TransportEnergyCons!$A$4:$A$10000))*1,[2]OUT_TransportEnergyCons!I$4:I$10000)</f>
        <v>4.8151067513560533E-3</v>
      </c>
      <c r="L1928" s="1" cm="1">
        <f t="array" ref="L1928">SUMPRODUCT(("Var_Cap"=[2]OUT_TransportEnergyCons!$B$4:$B$10000)*1,("-"=[2]OUT_TransportEnergyCons!$C$4:$C$10000)*1,ISNUMBER(SEARCH("T_C*ICE*GSL*s2",[2]OUT_TransportEnergyCons!$A$4:$A$10000))*1,[2]OUT_TransportEnergyCons!J$4:J$10000)</f>
        <v>5.5856473667901528E-5</v>
      </c>
      <c r="N1928" s="1"/>
    </row>
    <row r="1929" spans="2:14" x14ac:dyDescent="0.35">
      <c r="B1929" s="5" t="str">
        <f t="shared" si="2034"/>
        <v>SPS1</v>
      </c>
      <c r="C1929" s="5" t="str">
        <f t="shared" si="2035"/>
        <v>CH</v>
      </c>
      <c r="D1929" t="s">
        <v>1946</v>
      </c>
      <c r="E1929" t="str">
        <f t="shared" si="2036"/>
        <v>Million</v>
      </c>
      <c r="F1929" s="1" cm="1">
        <f t="array" ref="F1929">SUMPRODUCT(("Var_Cap"=[1]OUT_TransportEnergyCons!$B$4:$B$10000)*1,("-"=[1]OUT_TransportEnergyCons!$C$4:$C$10000)*1,ISNUMBER(SEARCH("T_C*ICE*GSL*s3",[1]OUT_TransportEnergyCons!$A$4:$A$10000))*1,[1]OUT_TransportEnergyCons!D$4:D$10000)</f>
        <v>0.18201253589393093</v>
      </c>
      <c r="G1929" s="1" cm="1">
        <f t="array" ref="G1929">SUMPRODUCT(("Var_Cap"=[1]OUT_TransportEnergyCons!$B$4:$B$10000)*1,("-"=[1]OUT_TransportEnergyCons!$C$4:$C$10000)*1,ISNUMBER(SEARCH("T_C*ICE*GSL*s3",[1]OUT_TransportEnergyCons!$A$4:$A$10000))*1,[1]OUT_TransportEnergyCons!E$4:E$10000)</f>
        <v>0.20366271220038373</v>
      </c>
      <c r="H1929" s="1" cm="1">
        <f t="array" ref="H1929">SUMPRODUCT(("Var_Cap"=[1]OUT_TransportEnergyCons!$B$4:$B$10000)*1,("-"=[1]OUT_TransportEnergyCons!$C$4:$C$10000)*1,ISNUMBER(SEARCH("T_C*ICE*GSL*s3",[1]OUT_TransportEnergyCons!$A$4:$A$10000))*1,[1]OUT_TransportEnergyCons!F$4:F$10000)</f>
        <v>0.23912645479668979</v>
      </c>
      <c r="I1929" s="1" cm="1">
        <f t="array" ref="I1929">SUMPRODUCT(("Var_Cap"=[1]OUT_TransportEnergyCons!$B$4:$B$10000)*1,("-"=[1]OUT_TransportEnergyCons!$C$4:$C$10000)*1,ISNUMBER(SEARCH("T_C*ICE*GSL*s3",[1]OUT_TransportEnergyCons!$A$4:$A$10000))*1,[1]OUT_TransportEnergyCons!G$4:G$10000)</f>
        <v>0.1967747091474896</v>
      </c>
      <c r="J1929" s="1" cm="1">
        <f t="array" ref="J1929">SUMPRODUCT(("Var_Cap"=[2]OUT_TransportEnergyCons!$B$4:$B$10000)*1,("-"=[2]OUT_TransportEnergyCons!$C$4:$C$10000)*1,ISNUMBER(SEARCH("T_C*ICE*GSL*s3",[2]OUT_TransportEnergyCons!$A$4:$A$10000))*1,[2]OUT_TransportEnergyCons!H$4:H$10000)</f>
        <v>3.3386978621784885E-2</v>
      </c>
      <c r="K1929" s="1" cm="1">
        <f t="array" ref="K1929">SUMPRODUCT(("Var_Cap"=[2]OUT_TransportEnergyCons!$B$4:$B$10000)*1,("-"=[2]OUT_TransportEnergyCons!$C$4:$C$10000)*1,ISNUMBER(SEARCH("T_C*ICE*GSL*s3",[2]OUT_TransportEnergyCons!$A$4:$A$10000))*1,[2]OUT_TransportEnergyCons!I$4:I$10000)</f>
        <v>3.3899631435524795E-3</v>
      </c>
      <c r="L1929" s="1" cm="1">
        <f t="array" ref="L1929">SUMPRODUCT(("Var_Cap"=[2]OUT_TransportEnergyCons!$B$4:$B$10000)*1,("-"=[2]OUT_TransportEnergyCons!$C$4:$C$10000)*1,ISNUMBER(SEARCH("T_C*ICE*GSL*s3",[2]OUT_TransportEnergyCons!$A$4:$A$10000))*1,[2]OUT_TransportEnergyCons!J$4:J$10000)</f>
        <v>6.0564969613133712E-5</v>
      </c>
      <c r="N1929" s="1"/>
    </row>
    <row r="1930" spans="2:14" x14ac:dyDescent="0.35">
      <c r="B1930" s="5" t="str">
        <f t="shared" si="2034"/>
        <v>SPS1</v>
      </c>
      <c r="C1930" s="5" t="str">
        <f t="shared" si="2035"/>
        <v>CH</v>
      </c>
      <c r="D1930" t="s">
        <v>1947</v>
      </c>
      <c r="E1930" t="str">
        <f t="shared" si="2036"/>
        <v>Million</v>
      </c>
      <c r="F1930" s="1" cm="1">
        <f t="array" ref="F1930">SUMPRODUCT(("Var_Cap"=[1]OUT_TransportEnergyCons!$B$4:$B$10000)*1,("-"=[1]OUT_TransportEnergyCons!$C$4:$C$10000)*1,ISNUMBER(SEARCH("T_C*ICE*GSL*s4",[1]OUT_TransportEnergyCons!$A$4:$A$10000))*1,[1]OUT_TransportEnergyCons!D$4:D$10000)</f>
        <v>0.15707572224196165</v>
      </c>
      <c r="G1930" s="1" cm="1">
        <f t="array" ref="G1930">SUMPRODUCT(("Var_Cap"=[1]OUT_TransportEnergyCons!$B$4:$B$10000)*1,("-"=[1]OUT_TransportEnergyCons!$C$4:$C$10000)*1,ISNUMBER(SEARCH("T_C*ICE*GSL*s4",[1]OUT_TransportEnergyCons!$A$4:$A$10000))*1,[1]OUT_TransportEnergyCons!E$4:E$10000)</f>
        <v>0.17927123455842789</v>
      </c>
      <c r="H1930" s="1" cm="1">
        <f t="array" ref="H1930">SUMPRODUCT(("Var_Cap"=[1]OUT_TransportEnergyCons!$B$4:$B$10000)*1,("-"=[1]OUT_TransportEnergyCons!$C$4:$C$10000)*1,ISNUMBER(SEARCH("T_C*ICE*GSL*s4",[1]OUT_TransportEnergyCons!$A$4:$A$10000))*1,[1]OUT_TransportEnergyCons!F$4:F$10000)</f>
        <v>0.290573887883457</v>
      </c>
      <c r="I1930" s="1" cm="1">
        <f t="array" ref="I1930">SUMPRODUCT(("Var_Cap"=[1]OUT_TransportEnergyCons!$B$4:$B$10000)*1,("-"=[1]OUT_TransportEnergyCons!$C$4:$C$10000)*1,ISNUMBER(SEARCH("T_C*ICE*GSL*s4",[1]OUT_TransportEnergyCons!$A$4:$A$10000))*1,[1]OUT_TransportEnergyCons!G$4:G$10000)</f>
        <v>0.242183052029743</v>
      </c>
      <c r="J1930" s="1" cm="1">
        <f t="array" ref="J1930">SUMPRODUCT(("Var_Cap"=[2]OUT_TransportEnergyCons!$B$4:$B$10000)*1,("-"=[2]OUT_TransportEnergyCons!$C$4:$C$10000)*1,ISNUMBER(SEARCH("T_C*ICE*GSL*s4",[2]OUT_TransportEnergyCons!$A$4:$A$10000))*1,[2]OUT_TransportEnergyCons!H$4:H$10000)</f>
        <v>0.69349449791685436</v>
      </c>
      <c r="K1930" s="1" cm="1">
        <f t="array" ref="K1930">SUMPRODUCT(("Var_Cap"=[2]OUT_TransportEnergyCons!$B$4:$B$10000)*1,("-"=[2]OUT_TransportEnergyCons!$C$4:$C$10000)*1,ISNUMBER(SEARCH("T_C*ICE*GSL*s4",[2]OUT_TransportEnergyCons!$A$4:$A$10000))*1,[2]OUT_TransportEnergyCons!I$4:I$10000)</f>
        <v>0.85767040584821319</v>
      </c>
      <c r="L1930" s="1" cm="1">
        <f t="array" ref="L1930">SUMPRODUCT(("Var_Cap"=[2]OUT_TransportEnergyCons!$B$4:$B$10000)*1,("-"=[2]OUT_TransportEnergyCons!$C$4:$C$10000)*1,ISNUMBER(SEARCH("T_C*ICE*GSL*s4",[2]OUT_TransportEnergyCons!$A$4:$A$10000))*1,[2]OUT_TransportEnergyCons!J$4:J$10000)</f>
        <v>0.90607915663910443</v>
      </c>
      <c r="N1930" s="1"/>
    </row>
    <row r="1931" spans="2:14" x14ac:dyDescent="0.35">
      <c r="B1931" s="5" t="str">
        <f t="shared" si="2034"/>
        <v>SPS1</v>
      </c>
      <c r="C1931" s="5" t="str">
        <f t="shared" si="2035"/>
        <v>CH</v>
      </c>
      <c r="D1931" t="s">
        <v>1948</v>
      </c>
      <c r="E1931" t="str">
        <f t="shared" si="2036"/>
        <v>Million</v>
      </c>
      <c r="F1931" s="1" cm="1">
        <f t="array" ref="F1931">SUMPRODUCT(("Var_Cap"=[1]OUT_TransportEnergyCons!$B$4:$B$10000)*1,("-"=[1]OUT_TransportEnergyCons!$C$4:$C$10000)*1,ISNUMBER(SEARCH("T_C*mhy*GSL*s1",[1]OUT_TransportEnergyCons!$A$4:$A$10000))*1,[1]OUT_TransportEnergyCons!D$4:D$10000)</f>
        <v>0</v>
      </c>
      <c r="G1931" s="1" cm="1">
        <f t="array" ref="G1931">SUMPRODUCT(("Var_Cap"=[1]OUT_TransportEnergyCons!$B$4:$B$10000)*1,("-"=[1]OUT_TransportEnergyCons!$C$4:$C$10000)*1,ISNUMBER(SEARCH("T_C*mhy*GSL*s1",[1]OUT_TransportEnergyCons!$A$4:$A$10000))*1,[1]OUT_TransportEnergyCons!E$4:E$10000)</f>
        <v>7.8051839031490608E-6</v>
      </c>
      <c r="H1931" s="1" cm="1">
        <f t="array" ref="H1931">SUMPRODUCT(("Var_Cap"=[1]OUT_TransportEnergyCons!$B$4:$B$10000)*1,("-"=[1]OUT_TransportEnergyCons!$C$4:$C$10000)*1,ISNUMBER(SEARCH("T_C*mhy*GSL*s1",[1]OUT_TransportEnergyCons!$A$4:$A$10000))*1,[1]OUT_TransportEnergyCons!F$4:F$10000)</f>
        <v>3.8092131705171902E-5</v>
      </c>
      <c r="I1931" s="1" cm="1">
        <f t="array" ref="I1931">SUMPRODUCT(("Var_Cap"=[1]OUT_TransportEnergyCons!$B$4:$B$10000)*1,("-"=[1]OUT_TransportEnergyCons!$C$4:$C$10000)*1,ISNUMBER(SEARCH("T_C*mhy*GSL*s1",[1]OUT_TransportEnergyCons!$A$4:$A$10000))*1,[1]OUT_TransportEnergyCons!G$4:G$10000)</f>
        <v>2.7958191632530199E-2</v>
      </c>
      <c r="J1931" s="1" cm="1">
        <f t="array" ref="J1931">SUMPRODUCT(("Var_Cap"=[2]OUT_TransportEnergyCons!$B$4:$B$10000)*1,("-"=[2]OUT_TransportEnergyCons!$C$4:$C$10000)*1,ISNUMBER(SEARCH("T_C*mhy*GSL*s1",[2]OUT_TransportEnergyCons!$A$4:$A$10000))*1,[2]OUT_TransportEnergyCons!H$4:H$10000)</f>
        <v>2.8726753074815599E-2</v>
      </c>
      <c r="K1931" s="1" cm="1">
        <f t="array" ref="K1931">SUMPRODUCT(("Var_Cap"=[2]OUT_TransportEnergyCons!$B$4:$B$10000)*1,("-"=[2]OUT_TransportEnergyCons!$C$4:$C$10000)*1,ISNUMBER(SEARCH("T_C*mhy*GSL*s1",[2]OUT_TransportEnergyCons!$A$4:$A$10000))*1,[2]OUT_TransportEnergyCons!I$4:I$10000)</f>
        <v>1.4298258545137801E-2</v>
      </c>
      <c r="L1931" s="1" cm="1">
        <f t="array" ref="L1931">SUMPRODUCT(("Var_Cap"=[2]OUT_TransportEnergyCons!$B$4:$B$10000)*1,("-"=[2]OUT_TransportEnergyCons!$C$4:$C$10000)*1,ISNUMBER(SEARCH("T_C*mhy*GSL*s1",[2]OUT_TransportEnergyCons!$A$4:$A$10000))*1,[2]OUT_TransportEnergyCons!J$4:J$10000)</f>
        <v>5.7729255267359702E-5</v>
      </c>
      <c r="N1931" s="1"/>
    </row>
    <row r="1932" spans="2:14" x14ac:dyDescent="0.35">
      <c r="B1932" s="5" t="str">
        <f t="shared" si="2034"/>
        <v>SPS1</v>
      </c>
      <c r="C1932" s="5" t="str">
        <f t="shared" si="2035"/>
        <v>CH</v>
      </c>
      <c r="D1932" t="s">
        <v>1949</v>
      </c>
      <c r="E1932" t="str">
        <f t="shared" si="2036"/>
        <v>Million</v>
      </c>
      <c r="F1932" s="1" cm="1">
        <f t="array" ref="F1932">SUMPRODUCT(("Var_Cap"=[1]OUT_TransportEnergyCons!$B$4:$B$10000)*1,("-"=[1]OUT_TransportEnergyCons!$C$4:$C$10000)*1,ISNUMBER(SEARCH("T_C*mhy*GSL*s2",[1]OUT_TransportEnergyCons!$A$4:$A$10000))*1,[1]OUT_TransportEnergyCons!D$4:D$10000)</f>
        <v>0</v>
      </c>
      <c r="G1932" s="1" cm="1">
        <f t="array" ref="G1932">SUMPRODUCT(("Var_Cap"=[1]OUT_TransportEnergyCons!$B$4:$B$10000)*1,("-"=[1]OUT_TransportEnergyCons!$C$4:$C$10000)*1,ISNUMBER(SEARCH("T_C*mhy*GSL*s2",[1]OUT_TransportEnergyCons!$A$4:$A$10000))*1,[1]OUT_TransportEnergyCons!E$4:E$10000)</f>
        <v>3.1970912269438501E-6</v>
      </c>
      <c r="H1932" s="1" cm="1">
        <f t="array" ref="H1932">SUMPRODUCT(("Var_Cap"=[1]OUT_TransportEnergyCons!$B$4:$B$10000)*1,("-"=[1]OUT_TransportEnergyCons!$C$4:$C$10000)*1,ISNUMBER(SEARCH("T_C*mhy*GSL*s2",[1]OUT_TransportEnergyCons!$A$4:$A$10000))*1,[1]OUT_TransportEnergyCons!F$4:F$10000)</f>
        <v>1.61268123446541E-5</v>
      </c>
      <c r="I1932" s="1" cm="1">
        <f t="array" ref="I1932">SUMPRODUCT(("Var_Cap"=[1]OUT_TransportEnergyCons!$B$4:$B$10000)*1,("-"=[1]OUT_TransportEnergyCons!$C$4:$C$10000)*1,ISNUMBER(SEARCH("T_C*mhy*GSL*s2",[1]OUT_TransportEnergyCons!$A$4:$A$10000))*1,[1]OUT_TransportEnergyCons!G$4:G$10000)</f>
        <v>2.8866825601551999E-5</v>
      </c>
      <c r="J1932" s="1" cm="1">
        <f t="array" ref="J1932">SUMPRODUCT(("Var_Cap"=[2]OUT_TransportEnergyCons!$B$4:$B$10000)*1,("-"=[2]OUT_TransportEnergyCons!$C$4:$C$10000)*1,ISNUMBER(SEARCH("T_C*mhy*GSL*s2",[2]OUT_TransportEnergyCons!$A$4:$A$10000))*1,[2]OUT_TransportEnergyCons!H$4:H$10000)</f>
        <v>1.53713840220244E-4</v>
      </c>
      <c r="K1932" s="1" cm="1">
        <f t="array" ref="K1932">SUMPRODUCT(("Var_Cap"=[2]OUT_TransportEnergyCons!$B$4:$B$10000)*1,("-"=[2]OUT_TransportEnergyCons!$C$4:$C$10000)*1,ISNUMBER(SEARCH("T_C*mhy*GSL*s2",[2]OUT_TransportEnergyCons!$A$4:$A$10000))*1,[2]OUT_TransportEnergyCons!I$4:I$10000)</f>
        <v>1.3041875343898599E-4</v>
      </c>
      <c r="L1932" s="1" cm="1">
        <f t="array" ref="L1932">SUMPRODUCT(("Var_Cap"=[2]OUT_TransportEnergyCons!$B$4:$B$10000)*1,("-"=[2]OUT_TransportEnergyCons!$C$4:$C$10000)*1,ISNUMBER(SEARCH("T_C*mhy*GSL*s2",[2]OUT_TransportEnergyCons!$A$4:$A$10000))*1,[2]OUT_TransportEnergyCons!J$4:J$10000)</f>
        <v>4.9355422256508802E-5</v>
      </c>
      <c r="N1932" s="1"/>
    </row>
    <row r="1933" spans="2:14" x14ac:dyDescent="0.35">
      <c r="B1933" s="5" t="str">
        <f t="shared" si="2034"/>
        <v>SPS1</v>
      </c>
      <c r="C1933" s="5" t="str">
        <f t="shared" si="2035"/>
        <v>CH</v>
      </c>
      <c r="D1933" t="s">
        <v>1950</v>
      </c>
      <c r="E1933" t="str">
        <f t="shared" si="2036"/>
        <v>Million</v>
      </c>
      <c r="F1933" s="1" cm="1">
        <f t="array" ref="F1933">SUMPRODUCT(("Var_Cap"=[1]OUT_TransportEnergyCons!$B$4:$B$10000)*1,("-"=[1]OUT_TransportEnergyCons!$C$4:$C$10000)*1,ISNUMBER(SEARCH("T_C*mhy*GSL*s3",[1]OUT_TransportEnergyCons!$A$4:$A$10000))*1,[1]OUT_TransportEnergyCons!D$4:D$10000)</f>
        <v>0</v>
      </c>
      <c r="G1933" s="1" cm="1">
        <f t="array" ref="G1933">SUMPRODUCT(("Var_Cap"=[1]OUT_TransportEnergyCons!$B$4:$B$10000)*1,("-"=[1]OUT_TransportEnergyCons!$C$4:$C$10000)*1,ISNUMBER(SEARCH("T_C*mhy*GSL*s3",[1]OUT_TransportEnergyCons!$A$4:$A$10000))*1,[1]OUT_TransportEnergyCons!E$4:E$10000)</f>
        <v>3.4117178591033901E-6</v>
      </c>
      <c r="H1933" s="1" cm="1">
        <f t="array" ref="H1933">SUMPRODUCT(("Var_Cap"=[1]OUT_TransportEnergyCons!$B$4:$B$10000)*1,("-"=[1]OUT_TransportEnergyCons!$C$4:$C$10000)*1,ISNUMBER(SEARCH("T_C*mhy*GSL*s3",[1]OUT_TransportEnergyCons!$A$4:$A$10000))*1,[1]OUT_TransportEnergyCons!F$4:F$10000)</f>
        <v>1.39165963441645E-5</v>
      </c>
      <c r="I1933" s="1" cm="1">
        <f t="array" ref="I1933">SUMPRODUCT(("Var_Cap"=[1]OUT_TransportEnergyCons!$B$4:$B$10000)*1,("-"=[1]OUT_TransportEnergyCons!$C$4:$C$10000)*1,ISNUMBER(SEARCH("T_C*mhy*GSL*s3",[1]OUT_TransportEnergyCons!$A$4:$A$10000))*1,[1]OUT_TransportEnergyCons!G$4:G$10000)</f>
        <v>2.2391435487721699E-5</v>
      </c>
      <c r="J1933" s="1" cm="1">
        <f t="array" ref="J1933">SUMPRODUCT(("Var_Cap"=[2]OUT_TransportEnergyCons!$B$4:$B$10000)*1,("-"=[2]OUT_TransportEnergyCons!$C$4:$C$10000)*1,ISNUMBER(SEARCH("T_C*mhy*GSL*s3",[2]OUT_TransportEnergyCons!$A$4:$A$10000))*1,[2]OUT_TransportEnergyCons!H$4:H$10000)</f>
        <v>1.10652587397047E-4</v>
      </c>
      <c r="K1933" s="1" cm="1">
        <f t="array" ref="K1933">SUMPRODUCT(("Var_Cap"=[2]OUT_TransportEnergyCons!$B$4:$B$10000)*1,("-"=[2]OUT_TransportEnergyCons!$C$4:$C$10000)*1,ISNUMBER(SEARCH("T_C*mhy*GSL*s3",[2]OUT_TransportEnergyCons!$A$4:$A$10000))*1,[2]OUT_TransportEnergyCons!I$4:I$10000)</f>
        <v>1.0169148480351799E-4</v>
      </c>
      <c r="L1933" s="1" cm="1">
        <f t="array" ref="L1933">SUMPRODUCT(("Var_Cap"=[2]OUT_TransportEnergyCons!$B$4:$B$10000)*1,("-"=[2]OUT_TransportEnergyCons!$C$4:$C$10000)*1,ISNUMBER(SEARCH("T_C*mhy*GSL*s3",[2]OUT_TransportEnergyCons!$A$4:$A$10000))*1,[2]OUT_TransportEnergyCons!J$4:J$10000)</f>
        <v>4.8075676350499102E-5</v>
      </c>
      <c r="N1933" s="1"/>
    </row>
    <row r="1934" spans="2:14" x14ac:dyDescent="0.35">
      <c r="B1934" s="5" t="str">
        <f t="shared" si="2034"/>
        <v>SPS1</v>
      </c>
      <c r="C1934" s="5" t="str">
        <f t="shared" si="2035"/>
        <v>CH</v>
      </c>
      <c r="D1934" t="s">
        <v>1951</v>
      </c>
      <c r="E1934" t="str">
        <f t="shared" si="2036"/>
        <v>Million</v>
      </c>
      <c r="F1934" s="1" cm="1">
        <f t="array" ref="F1934">SUMPRODUCT(("Var_Cap"=[1]OUT_TransportEnergyCons!$B$4:$B$10000)*1,("-"=[1]OUT_TransportEnergyCons!$C$4:$C$10000)*1,ISNUMBER(SEARCH("T_C*mhy*GSL*s4",[1]OUT_TransportEnergyCons!$A$4:$A$10000))*1,[1]OUT_TransportEnergyCons!D$4:D$10000)</f>
        <v>0</v>
      </c>
      <c r="G1934" s="1" cm="1">
        <f t="array" ref="G1934">SUMPRODUCT(("Var_Cap"=[1]OUT_TransportEnergyCons!$B$4:$B$10000)*1,("-"=[1]OUT_TransportEnergyCons!$C$4:$C$10000)*1,ISNUMBER(SEARCH("T_C*mhy*GSL*s4",[1]OUT_TransportEnergyCons!$A$4:$A$10000))*1,[1]OUT_TransportEnergyCons!E$4:E$10000)</f>
        <v>4.7569394197090099E-6</v>
      </c>
      <c r="H1934" s="1" cm="1">
        <f t="array" ref="H1934">SUMPRODUCT(("Var_Cap"=[1]OUT_TransportEnergyCons!$B$4:$B$10000)*1,("-"=[1]OUT_TransportEnergyCons!$C$4:$C$10000)*1,ISNUMBER(SEARCH("T_C*mhy*GSL*s4",[1]OUT_TransportEnergyCons!$A$4:$A$10000))*1,[1]OUT_TransportEnergyCons!F$4:F$10000)</f>
        <v>2.317446657927E-5</v>
      </c>
      <c r="I1934" s="1" cm="1">
        <f t="array" ref="I1934">SUMPRODUCT(("Var_Cap"=[1]OUT_TransportEnergyCons!$B$4:$B$10000)*1,("-"=[1]OUT_TransportEnergyCons!$C$4:$C$10000)*1,ISNUMBER(SEARCH("T_C*mhy*GSL*s4",[1]OUT_TransportEnergyCons!$A$4:$A$10000))*1,[1]OUT_TransportEnergyCons!G$4:G$10000)</f>
        <v>4.1150877404970297E-5</v>
      </c>
      <c r="J1934" s="1" cm="1">
        <f t="array" ref="J1934">SUMPRODUCT(("Var_Cap"=[2]OUT_TransportEnergyCons!$B$4:$B$10000)*1,("-"=[2]OUT_TransportEnergyCons!$C$4:$C$10000)*1,ISNUMBER(SEARCH("T_C*mhy*GSL*s4",[2]OUT_TransportEnergyCons!$A$4:$A$10000))*1,[2]OUT_TransportEnergyCons!H$4:H$10000)</f>
        <v>5.8162211688905898E-3</v>
      </c>
      <c r="K1934" s="1" cm="1">
        <f t="array" ref="K1934">SUMPRODUCT(("Var_Cap"=[2]OUT_TransportEnergyCons!$B$4:$B$10000)*1,("-"=[2]OUT_TransportEnergyCons!$C$4:$C$10000)*1,ISNUMBER(SEARCH("T_C*mhy*GSL*s4",[2]OUT_TransportEnergyCons!$A$4:$A$10000))*1,[2]OUT_TransportEnergyCons!I$4:I$10000)</f>
        <v>2.3221187752570201E-2</v>
      </c>
      <c r="L1934" s="1" cm="1">
        <f t="array" ref="L1934">SUMPRODUCT(("Var_Cap"=[2]OUT_TransportEnergyCons!$B$4:$B$10000)*1,("-"=[2]OUT_TransportEnergyCons!$C$4:$C$10000)*1,ISNUMBER(SEARCH("T_C*mhy*GSL*s4",[2]OUT_TransportEnergyCons!$A$4:$A$10000))*1,[2]OUT_TransportEnergyCons!J$4:J$10000)</f>
        <v>4.1581020755056201E-2</v>
      </c>
      <c r="N1934" s="1"/>
    </row>
    <row r="1935" spans="2:14" x14ac:dyDescent="0.35">
      <c r="B1935" s="5" t="str">
        <f t="shared" si="2034"/>
        <v>SPS1</v>
      </c>
      <c r="C1935" s="5" t="str">
        <f t="shared" si="2035"/>
        <v>CH</v>
      </c>
      <c r="D1935" t="s">
        <v>1952</v>
      </c>
      <c r="E1935" t="str">
        <f t="shared" si="2036"/>
        <v>Million</v>
      </c>
      <c r="F1935" s="1" cm="1">
        <f t="array" ref="F1935">SUMPRODUCT(("Var_Cap"=[1]OUT_TransportEnergyCons!$B$4:$B$10000)*1,("-"=[1]OUT_TransportEnergyCons!$C$4:$C$10000)*1,ISNUMBER(SEARCH("T_C*hy*dsl*ext",[1]OUT_TransportEnergyCons!$A$4:$A$10000))*1,[1]OUT_TransportEnergyCons!D$4:D$10000)</f>
        <v>0</v>
      </c>
      <c r="G1935" s="1" cm="1">
        <f t="array" ref="G1935">SUMPRODUCT(("Var_Cap"=[1]OUT_TransportEnergyCons!$B$4:$B$10000)*1,("-"=[1]OUT_TransportEnergyCons!$C$4:$C$10000)*1,ISNUMBER(SEARCH("T_C*hy*dsl*ext",[1]OUT_TransportEnergyCons!$A$4:$A$10000))*1,[1]OUT_TransportEnergyCons!E$4:E$10000)</f>
        <v>0</v>
      </c>
      <c r="H1935" s="1" cm="1">
        <f t="array" ref="H1935">SUMPRODUCT(("Var_Cap"=[1]OUT_TransportEnergyCons!$B$4:$B$10000)*1,("-"=[1]OUT_TransportEnergyCons!$C$4:$C$10000)*1,ISNUMBER(SEARCH("T_C*hy*dsl*ext",[1]OUT_TransportEnergyCons!$A$4:$A$10000))*1,[1]OUT_TransportEnergyCons!F$4:F$10000)</f>
        <v>0</v>
      </c>
      <c r="I1935" s="1" cm="1">
        <f t="array" ref="I1935">SUMPRODUCT(("Var_Cap"=[1]OUT_TransportEnergyCons!$B$4:$B$10000)*1,("-"=[1]OUT_TransportEnergyCons!$C$4:$C$10000)*1,ISNUMBER(SEARCH("T_C*hy*dsl*ext",[1]OUT_TransportEnergyCons!$A$4:$A$10000))*1,[1]OUT_TransportEnergyCons!G$4:G$10000)</f>
        <v>0</v>
      </c>
      <c r="J1935" s="1" cm="1">
        <f t="array" ref="J1935">SUMPRODUCT(("Var_Cap"=[2]OUT_TransportEnergyCons!$B$4:$B$10000)*1,("-"=[2]OUT_TransportEnergyCons!$C$4:$C$10000)*1,ISNUMBER(SEARCH("T_C*hy*dsl*ext",[2]OUT_TransportEnergyCons!$A$4:$A$10000))*1,[2]OUT_TransportEnergyCons!H$4:H$10000)</f>
        <v>0</v>
      </c>
      <c r="K1935" s="1" cm="1">
        <f t="array" ref="K1935">SUMPRODUCT(("Var_Cap"=[2]OUT_TransportEnergyCons!$B$4:$B$10000)*1,("-"=[2]OUT_TransportEnergyCons!$C$4:$C$10000)*1,ISNUMBER(SEARCH("T_C*hy*dsl*ext",[2]OUT_TransportEnergyCons!$A$4:$A$10000))*1,[2]OUT_TransportEnergyCons!I$4:I$10000)</f>
        <v>0</v>
      </c>
      <c r="L1935" s="1" cm="1">
        <f t="array" ref="L1935">SUMPRODUCT(("Var_Cap"=[2]OUT_TransportEnergyCons!$B$4:$B$10000)*1,("-"=[2]OUT_TransportEnergyCons!$C$4:$C$10000)*1,ISNUMBER(SEARCH("T_C*hy*dsl*ext",[2]OUT_TransportEnergyCons!$A$4:$A$10000))*1,[2]OUT_TransportEnergyCons!J$4:J$10000)</f>
        <v>0</v>
      </c>
      <c r="N1935" s="1"/>
    </row>
    <row r="1936" spans="2:14" x14ac:dyDescent="0.35">
      <c r="B1936" s="5" t="str">
        <f t="shared" si="2034"/>
        <v>SPS1</v>
      </c>
      <c r="C1936" s="5" t="str">
        <f t="shared" si="2035"/>
        <v>CH</v>
      </c>
      <c r="D1936" t="s">
        <v>1953</v>
      </c>
      <c r="E1936" t="str">
        <f t="shared" si="2036"/>
        <v>Million</v>
      </c>
      <c r="F1936" s="1" cm="1">
        <f t="array" ref="F1936">SUMPRODUCT(("Var_Cap"=[1]OUT_TransportEnergyCons!$B$4:$B$10000)*1,("-"=[1]OUT_TransportEnergyCons!$C$4:$C$10000)*1,ISNUMBER(SEARCH("T_C*hy*dsl*s1",[1]OUT_TransportEnergyCons!$A$4:$A$10000))*1,[1]OUT_TransportEnergyCons!D$4:D$10000)</f>
        <v>1.5999999999999999E-6</v>
      </c>
      <c r="G1936" s="1" cm="1">
        <f t="array" ref="G1936">SUMPRODUCT(("Var_Cap"=[1]OUT_TransportEnergyCons!$B$4:$B$10000)*1,("-"=[1]OUT_TransportEnergyCons!$C$4:$C$10000)*1,ISNUMBER(SEARCH("T_C*hy*dsl*s1",[1]OUT_TransportEnergyCons!$A$4:$A$10000))*1,[1]OUT_TransportEnergyCons!E$4:E$10000)</f>
        <v>3.3258282917208226E-2</v>
      </c>
      <c r="H1936" s="1" cm="1">
        <f t="array" ref="H1936">SUMPRODUCT(("Var_Cap"=[1]OUT_TransportEnergyCons!$B$4:$B$10000)*1,("-"=[1]OUT_TransportEnergyCons!$C$4:$C$10000)*1,ISNUMBER(SEARCH("T_C*hy*dsl*s1",[1]OUT_TransportEnergyCons!$A$4:$A$10000))*1,[1]OUT_TransportEnergyCons!F$4:F$10000)</f>
        <v>3.1418648451763932E-2</v>
      </c>
      <c r="I1936" s="1" cm="1">
        <f t="array" ref="I1936">SUMPRODUCT(("Var_Cap"=[1]OUT_TransportEnergyCons!$B$4:$B$10000)*1,("-"=[1]OUT_TransportEnergyCons!$C$4:$C$10000)*1,ISNUMBER(SEARCH("T_C*hy*dsl*s1",[1]OUT_TransportEnergyCons!$A$4:$A$10000))*1,[1]OUT_TransportEnergyCons!G$4:G$10000)</f>
        <v>4.4741865799704558E-2</v>
      </c>
      <c r="J1936" s="1" cm="1">
        <f t="array" ref="J1936">SUMPRODUCT(("Var_Cap"=[2]OUT_TransportEnergyCons!$B$4:$B$10000)*1,("-"=[2]OUT_TransportEnergyCons!$C$4:$C$10000)*1,ISNUMBER(SEARCH("T_C*hy*dsl*s1",[2]OUT_TransportEnergyCons!$A$4:$A$10000))*1,[2]OUT_TransportEnergyCons!H$4:H$10000)</f>
        <v>6.6482163798053398E-2</v>
      </c>
      <c r="K1936" s="1" cm="1">
        <f t="array" ref="K1936">SUMPRODUCT(("Var_Cap"=[2]OUT_TransportEnergyCons!$B$4:$B$10000)*1,("-"=[2]OUT_TransportEnergyCons!$C$4:$C$10000)*1,ISNUMBER(SEARCH("T_C*hy*dsl*s1",[2]OUT_TransportEnergyCons!$A$4:$A$10000))*1,[2]OUT_TransportEnergyCons!I$4:I$10000)</f>
        <v>5.3092030096110784E-2</v>
      </c>
      <c r="L1936" s="1" cm="1">
        <f t="array" ref="L1936">SUMPRODUCT(("Var_Cap"=[2]OUT_TransportEnergyCons!$B$4:$B$10000)*1,("-"=[2]OUT_TransportEnergyCons!$C$4:$C$10000)*1,ISNUMBER(SEARCH("T_C*hy*dsl*s1",[2]OUT_TransportEnergyCons!$A$4:$A$10000))*1,[2]OUT_TransportEnergyCons!J$4:J$10000)</f>
        <v>1.3409948906688224E-2</v>
      </c>
      <c r="N1936" s="1"/>
    </row>
    <row r="1937" spans="2:14" x14ac:dyDescent="0.35">
      <c r="B1937" s="5" t="str">
        <f t="shared" si="2034"/>
        <v>SPS1</v>
      </c>
      <c r="C1937" s="5" t="str">
        <f t="shared" si="2035"/>
        <v>CH</v>
      </c>
      <c r="D1937" t="s">
        <v>1954</v>
      </c>
      <c r="E1937" t="str">
        <f t="shared" si="2036"/>
        <v>Million</v>
      </c>
      <c r="F1937" s="1" cm="1">
        <f t="array" ref="F1937">SUMPRODUCT(("Var_Cap"=[1]OUT_TransportEnergyCons!$B$4:$B$10000)*1,("-"=[1]OUT_TransportEnergyCons!$C$4:$C$10000)*1,ISNUMBER(SEARCH("T_C*hy*dsl*s2",[1]OUT_TransportEnergyCons!$A$4:$A$10000))*1,[1]OUT_TransportEnergyCons!D$4:D$10000)</f>
        <v>2.5979045702664378E-4</v>
      </c>
      <c r="G1937" s="1" cm="1">
        <f t="array" ref="G1937">SUMPRODUCT(("Var_Cap"=[1]OUT_TransportEnergyCons!$B$4:$B$10000)*1,("-"=[1]OUT_TransportEnergyCons!$C$4:$C$10000)*1,ISNUMBER(SEARCH("T_C*hy*dsl*s2",[1]OUT_TransportEnergyCons!$A$4:$A$10000))*1,[1]OUT_TransportEnergyCons!E$4:E$10000)</f>
        <v>0.13756661027552375</v>
      </c>
      <c r="H1937" s="1" cm="1">
        <f t="array" ref="H1937">SUMPRODUCT(("Var_Cap"=[1]OUT_TransportEnergyCons!$B$4:$B$10000)*1,("-"=[1]OUT_TransportEnergyCons!$C$4:$C$10000)*1,ISNUMBER(SEARCH("T_C*hy*dsl*s2",[1]OUT_TransportEnergyCons!$A$4:$A$10000))*1,[1]OUT_TransportEnergyCons!F$4:F$10000)</f>
        <v>0.21266141931554502</v>
      </c>
      <c r="I1937" s="1" cm="1">
        <f t="array" ref="I1937">SUMPRODUCT(("Var_Cap"=[1]OUT_TransportEnergyCons!$B$4:$B$10000)*1,("-"=[1]OUT_TransportEnergyCons!$C$4:$C$10000)*1,ISNUMBER(SEARCH("T_C*hy*dsl*s2",[1]OUT_TransportEnergyCons!$A$4:$A$10000))*1,[1]OUT_TransportEnergyCons!G$4:G$10000)</f>
        <v>0.17708915321407864</v>
      </c>
      <c r="J1937" s="1" cm="1">
        <f t="array" ref="J1937">SUMPRODUCT(("Var_Cap"=[2]OUT_TransportEnergyCons!$B$4:$B$10000)*1,("-"=[2]OUT_TransportEnergyCons!$C$4:$C$10000)*1,ISNUMBER(SEARCH("T_C*hy*dsl*s2",[2]OUT_TransportEnergyCons!$A$4:$A$10000))*1,[2]OUT_TransportEnergyCons!H$4:H$10000)</f>
        <v>0.1744039282071872</v>
      </c>
      <c r="K1937" s="1" cm="1">
        <f t="array" ref="K1937">SUMPRODUCT(("Var_Cap"=[2]OUT_TransportEnergyCons!$B$4:$B$10000)*1,("-"=[2]OUT_TransportEnergyCons!$C$4:$C$10000)*1,ISNUMBER(SEARCH("T_C*hy*dsl*s2",[2]OUT_TransportEnergyCons!$A$4:$A$10000))*1,[2]OUT_TransportEnergyCons!I$4:I$10000)</f>
        <v>0.13090622144028402</v>
      </c>
      <c r="L1937" s="1" cm="1">
        <f t="array" ref="L1937">SUMPRODUCT(("Var_Cap"=[2]OUT_TransportEnergyCons!$B$4:$B$10000)*1,("-"=[2]OUT_TransportEnergyCons!$C$4:$C$10000)*1,ISNUMBER(SEARCH("T_C*hy*dsl*s2",[2]OUT_TransportEnergyCons!$A$4:$A$10000))*1,[2]OUT_TransportEnergyCons!J$4:J$10000)</f>
        <v>0.16130505506759285</v>
      </c>
      <c r="N1937" s="1"/>
    </row>
    <row r="1938" spans="2:14" x14ac:dyDescent="0.35">
      <c r="B1938" s="5" t="str">
        <f t="shared" si="2034"/>
        <v>SPS1</v>
      </c>
      <c r="C1938" s="5" t="str">
        <f t="shared" si="2035"/>
        <v>CH</v>
      </c>
      <c r="D1938" t="s">
        <v>1955</v>
      </c>
      <c r="E1938" t="str">
        <f t="shared" si="2036"/>
        <v>Million</v>
      </c>
      <c r="F1938" s="1" cm="1">
        <f t="array" ref="F1938">SUMPRODUCT(("Var_Cap"=[1]OUT_TransportEnergyCons!$B$4:$B$10000)*1,("-"=[1]OUT_TransportEnergyCons!$C$4:$C$10000)*1,ISNUMBER(SEARCH("T_C*hy*dsl*s3",[1]OUT_TransportEnergyCons!$A$4:$A$10000))*1,[1]OUT_TransportEnergyCons!D$4:D$10000)</f>
        <v>1.8563744209439594E-3</v>
      </c>
      <c r="G1938" s="1" cm="1">
        <f t="array" ref="G1938">SUMPRODUCT(("Var_Cap"=[1]OUT_TransportEnergyCons!$B$4:$B$10000)*1,("-"=[1]OUT_TransportEnergyCons!$C$4:$C$10000)*1,ISNUMBER(SEARCH("T_C*hy*dsl*s3",[1]OUT_TransportEnergyCons!$A$4:$A$10000))*1,[1]OUT_TransportEnergyCons!E$4:E$10000)</f>
        <v>3.7000109164924064E-3</v>
      </c>
      <c r="H1938" s="1" cm="1">
        <f t="array" ref="H1938">SUMPRODUCT(("Var_Cap"=[1]OUT_TransportEnergyCons!$B$4:$B$10000)*1,("-"=[1]OUT_TransportEnergyCons!$C$4:$C$10000)*1,ISNUMBER(SEARCH("T_C*hy*dsl*s3",[1]OUT_TransportEnergyCons!$A$4:$A$10000))*1,[1]OUT_TransportEnergyCons!F$4:F$10000)</f>
        <v>3.5414490697712134E-3</v>
      </c>
      <c r="I1938" s="1" cm="1">
        <f t="array" ref="I1938">SUMPRODUCT(("Var_Cap"=[1]OUT_TransportEnergyCons!$B$4:$B$10000)*1,("-"=[1]OUT_TransportEnergyCons!$C$4:$C$10000)*1,ISNUMBER(SEARCH("T_C*hy*dsl*s3",[1]OUT_TransportEnergyCons!$A$4:$A$10000))*1,[1]OUT_TransportEnergyCons!G$4:G$10000)</f>
        <v>2.8266068330213001E-3</v>
      </c>
      <c r="J1938" s="1" cm="1">
        <f t="array" ref="J1938">SUMPRODUCT(("Var_Cap"=[2]OUT_TransportEnergyCons!$B$4:$B$10000)*1,("-"=[2]OUT_TransportEnergyCons!$C$4:$C$10000)*1,ISNUMBER(SEARCH("T_C*hy*dsl*s3",[2]OUT_TransportEnergyCons!$A$4:$A$10000))*1,[2]OUT_TransportEnergyCons!H$4:H$10000)</f>
        <v>8.634139210494207E-4</v>
      </c>
      <c r="K1938" s="1" cm="1">
        <f t="array" ref="K1938">SUMPRODUCT(("Var_Cap"=[2]OUT_TransportEnergyCons!$B$4:$B$10000)*1,("-"=[2]OUT_TransportEnergyCons!$C$4:$C$10000)*1,ISNUMBER(SEARCH("T_C*hy*dsl*s3",[2]OUT_TransportEnergyCons!$A$4:$A$10000))*1,[2]OUT_TransportEnergyCons!I$4:I$10000)</f>
        <v>7.9311470671059783E-3</v>
      </c>
      <c r="L1938" s="1" cm="1">
        <f t="array" ref="L1938">SUMPRODUCT(("Var_Cap"=[2]OUT_TransportEnergyCons!$B$4:$B$10000)*1,("-"=[2]OUT_TransportEnergyCons!$C$4:$C$10000)*1,ISNUMBER(SEARCH("T_C*hy*dsl*s3",[2]OUT_TransportEnergyCons!$A$4:$A$10000))*1,[2]OUT_TransportEnergyCons!J$4:J$10000)</f>
        <v>1.7143788910846173E-2</v>
      </c>
      <c r="N1938" s="1"/>
    </row>
    <row r="1939" spans="2:14" x14ac:dyDescent="0.35">
      <c r="B1939" s="5" t="str">
        <f t="shared" si="2034"/>
        <v>SPS1</v>
      </c>
      <c r="C1939" s="5" t="str">
        <f t="shared" si="2035"/>
        <v>CH</v>
      </c>
      <c r="D1939" t="s">
        <v>1956</v>
      </c>
      <c r="E1939" t="str">
        <f t="shared" si="2036"/>
        <v>Million</v>
      </c>
      <c r="F1939" s="1" cm="1">
        <f t="array" ref="F1939">SUMPRODUCT(("Var_Cap"=[1]OUT_TransportEnergyCons!$B$4:$B$10000)*1,("-"=[1]OUT_TransportEnergyCons!$C$4:$C$10000)*1,ISNUMBER(SEARCH("T_C*hy*dsl*s4",[1]OUT_TransportEnergyCons!$A$4:$A$10000))*1,[1]OUT_TransportEnergyCons!D$4:D$10000)</f>
        <v>3.7728766898187426E-3</v>
      </c>
      <c r="G1939" s="1" cm="1">
        <f t="array" ref="G1939">SUMPRODUCT(("Var_Cap"=[1]OUT_TransportEnergyCons!$B$4:$B$10000)*1,("-"=[1]OUT_TransportEnergyCons!$C$4:$C$10000)*1,ISNUMBER(SEARCH("T_C*hy*dsl*s4",[1]OUT_TransportEnergyCons!$A$4:$A$10000))*1,[1]OUT_TransportEnergyCons!E$4:E$10000)</f>
        <v>8.800980589929416E-3</v>
      </c>
      <c r="H1939" s="1" cm="1">
        <f t="array" ref="H1939">SUMPRODUCT(("Var_Cap"=[1]OUT_TransportEnergyCons!$B$4:$B$10000)*1,("-"=[1]OUT_TransportEnergyCons!$C$4:$C$10000)*1,ISNUMBER(SEARCH("T_C*hy*dsl*s4",[1]OUT_TransportEnergyCons!$A$4:$A$10000))*1,[1]OUT_TransportEnergyCons!F$4:F$10000)</f>
        <v>8.4083935754829219E-3</v>
      </c>
      <c r="I1939" s="1" cm="1">
        <f t="array" ref="I1939">SUMPRODUCT(("Var_Cap"=[1]OUT_TransportEnergyCons!$B$4:$B$10000)*1,("-"=[1]OUT_TransportEnergyCons!$C$4:$C$10000)*1,ISNUMBER(SEARCH("T_C*hy*dsl*s4",[1]OUT_TransportEnergyCons!$A$4:$A$10000))*1,[1]OUT_TransportEnergyCons!G$4:G$10000)</f>
        <v>7.0565333541607019E-3</v>
      </c>
      <c r="J1939" s="1" cm="1">
        <f t="array" ref="J1939">SUMPRODUCT(("Var_Cap"=[2]OUT_TransportEnergyCons!$B$4:$B$10000)*1,("-"=[2]OUT_TransportEnergyCons!$C$4:$C$10000)*1,ISNUMBER(SEARCH("T_C*hy*dsl*s4",[2]OUT_TransportEnergyCons!$A$4:$A$10000))*1,[2]OUT_TransportEnergyCons!H$4:H$10000)</f>
        <v>1.6921524569250856E-3</v>
      </c>
      <c r="K1939" s="1" cm="1">
        <f t="array" ref="K1939">SUMPRODUCT(("Var_Cap"=[2]OUT_TransportEnergyCons!$B$4:$B$10000)*1,("-"=[2]OUT_TransportEnergyCons!$C$4:$C$10000)*1,ISNUMBER(SEARCH("T_C*hy*dsl*s4",[2]OUT_TransportEnergyCons!$A$4:$A$10000))*1,[2]OUT_TransportEnergyCons!I$4:I$10000)</f>
        <v>1.7689389048332872E-4</v>
      </c>
      <c r="L1939" s="1" cm="1">
        <f t="array" ref="L1939">SUMPRODUCT(("Var_Cap"=[2]OUT_TransportEnergyCons!$B$4:$B$10000)*1,("-"=[2]OUT_TransportEnergyCons!$C$4:$C$10000)*1,ISNUMBER(SEARCH("T_C*hy*dsl*s4",[2]OUT_TransportEnergyCons!$A$4:$A$10000))*1,[2]OUT_TransportEnergyCons!J$4:J$10000)</f>
        <v>2.4743509482830483E-4</v>
      </c>
      <c r="N1939" s="1"/>
    </row>
    <row r="1940" spans="2:14" x14ac:dyDescent="0.35">
      <c r="B1940" s="5" t="str">
        <f t="shared" si="2034"/>
        <v>SPS1</v>
      </c>
      <c r="C1940" s="5" t="str">
        <f t="shared" si="2035"/>
        <v>CH</v>
      </c>
      <c r="D1940" t="s">
        <v>1957</v>
      </c>
      <c r="E1940" t="str">
        <f t="shared" si="2036"/>
        <v>Million</v>
      </c>
      <c r="F1940" s="1" cm="1">
        <f t="array" ref="F1940">SUMPRODUCT(("Var_Cap"=[1]OUT_TransportEnergyCons!$B$4:$B$10000)*1,("-"=[1]OUT_TransportEnergyCons!$C$4:$C$10000)*1,ISNUMBER(SEARCH("T_C*ICE*dsl*ext",[1]OUT_TransportEnergyCons!$A$4:$A$10000))*1,[1]OUT_TransportEnergyCons!D$4:D$10000)</f>
        <v>1.059558</v>
      </c>
      <c r="G1940" s="1" cm="1">
        <f t="array" ref="G1940">SUMPRODUCT(("Var_Cap"=[1]OUT_TransportEnergyCons!$B$4:$B$10000)*1,("-"=[1]OUT_TransportEnergyCons!$C$4:$C$10000)*1,ISNUMBER(SEARCH("T_C*ICE*dsl*ext",[1]OUT_TransportEnergyCons!$A$4:$A$10000))*1,[1]OUT_TransportEnergyCons!E$4:E$10000)</f>
        <v>0.91828359999999998</v>
      </c>
      <c r="H1940" s="1" cm="1">
        <f t="array" ref="H1940">SUMPRODUCT(("Var_Cap"=[1]OUT_TransportEnergyCons!$B$4:$B$10000)*1,("-"=[1]OUT_TransportEnergyCons!$C$4:$C$10000)*1,ISNUMBER(SEARCH("T_C*ICE*dsl*ext",[1]OUT_TransportEnergyCons!$A$4:$A$10000))*1,[1]OUT_TransportEnergyCons!F$4:F$10000)</f>
        <v>0.706372</v>
      </c>
      <c r="I1940" s="1" cm="1">
        <f t="array" ref="I1940">SUMPRODUCT(("Var_Cap"=[1]OUT_TransportEnergyCons!$B$4:$B$10000)*1,("-"=[1]OUT_TransportEnergyCons!$C$4:$C$10000)*1,ISNUMBER(SEARCH("T_C*ICE*dsl*ext",[1]OUT_TransportEnergyCons!$A$4:$A$10000))*1,[1]OUT_TransportEnergyCons!G$4:G$10000)</f>
        <v>0.353186</v>
      </c>
      <c r="J1940" s="1" cm="1">
        <f t="array" ref="J1940">SUMPRODUCT(("Var_Cap"=[2]OUT_TransportEnergyCons!$B$4:$B$10000)*1,("-"=[2]OUT_TransportEnergyCons!$C$4:$C$10000)*1,ISNUMBER(SEARCH("T_C*ICE*dsl*ext",[2]OUT_TransportEnergyCons!$A$4:$A$10000))*1,[2]OUT_TransportEnergyCons!H$4:H$10000)</f>
        <v>0</v>
      </c>
      <c r="K1940" s="1" cm="1">
        <f t="array" ref="K1940">SUMPRODUCT(("Var_Cap"=[2]OUT_TransportEnergyCons!$B$4:$B$10000)*1,("-"=[2]OUT_TransportEnergyCons!$C$4:$C$10000)*1,ISNUMBER(SEARCH("T_C*ICE*dsl*ext",[2]OUT_TransportEnergyCons!$A$4:$A$10000))*1,[2]OUT_TransportEnergyCons!I$4:I$10000)</f>
        <v>0</v>
      </c>
      <c r="L1940" s="1" cm="1">
        <f t="array" ref="L1940">SUMPRODUCT(("Var_Cap"=[2]OUT_TransportEnergyCons!$B$4:$B$10000)*1,("-"=[2]OUT_TransportEnergyCons!$C$4:$C$10000)*1,ISNUMBER(SEARCH("T_C*ICE*dsl*ext",[2]OUT_TransportEnergyCons!$A$4:$A$10000))*1,[2]OUT_TransportEnergyCons!J$4:J$10000)</f>
        <v>0</v>
      </c>
      <c r="N1940" s="1"/>
    </row>
    <row r="1941" spans="2:14" x14ac:dyDescent="0.35">
      <c r="B1941" s="5" t="str">
        <f t="shared" si="2034"/>
        <v>SPS1</v>
      </c>
      <c r="C1941" s="5" t="str">
        <f t="shared" si="2035"/>
        <v>CH</v>
      </c>
      <c r="D1941" t="s">
        <v>1958</v>
      </c>
      <c r="E1941" t="str">
        <f t="shared" si="2036"/>
        <v>Million</v>
      </c>
      <c r="F1941" s="1" cm="1">
        <f t="array" ref="F1941">SUMPRODUCT(("Var_Cap"=[1]OUT_TransportEnergyCons!$B$4:$B$10000)*1,("-"=[1]OUT_TransportEnergyCons!$C$4:$C$10000)*1,ISNUMBER(SEARCH("T_C*ICE*dsl*s1",[1]OUT_TransportEnergyCons!$A$4:$A$10000))*1,[1]OUT_TransportEnergyCons!D$4:D$10000)</f>
        <v>4.4465691838591515E-4</v>
      </c>
      <c r="G1941" s="1" cm="1">
        <f t="array" ref="G1941">SUMPRODUCT(("Var_Cap"=[1]OUT_TransportEnergyCons!$B$4:$B$10000)*1,("-"=[1]OUT_TransportEnergyCons!$C$4:$C$10000)*1,ISNUMBER(SEARCH("T_C*ICE*dsl*s1",[1]OUT_TransportEnergyCons!$A$4:$A$10000))*1,[1]OUT_TransportEnergyCons!E$4:E$10000)</f>
        <v>4.8476969179081346E-4</v>
      </c>
      <c r="H1941" s="1" cm="1">
        <f t="array" ref="H1941">SUMPRODUCT(("Var_Cap"=[1]OUT_TransportEnergyCons!$B$4:$B$10000)*1,("-"=[1]OUT_TransportEnergyCons!$C$4:$C$10000)*1,ISNUMBER(SEARCH("T_C*ICE*dsl*s1",[1]OUT_TransportEnergyCons!$A$4:$A$10000))*1,[1]OUT_TransportEnergyCons!F$4:F$10000)</f>
        <v>5.010337840079096E-4</v>
      </c>
      <c r="I1941" s="1" cm="1">
        <f t="array" ref="I1941">SUMPRODUCT(("Var_Cap"=[1]OUT_TransportEnergyCons!$B$4:$B$10000)*1,("-"=[1]OUT_TransportEnergyCons!$C$4:$C$10000)*1,ISNUMBER(SEARCH("T_C*ICE*dsl*s1",[1]OUT_TransportEnergyCons!$A$4:$A$10000))*1,[1]OUT_TransportEnergyCons!G$4:G$10000)</f>
        <v>3.7143668749505671E-4</v>
      </c>
      <c r="J1941" s="1" cm="1">
        <f t="array" ref="J1941">SUMPRODUCT(("Var_Cap"=[2]OUT_TransportEnergyCons!$B$4:$B$10000)*1,("-"=[2]OUT_TransportEnergyCons!$C$4:$C$10000)*1,ISNUMBER(SEARCH("T_C*ICE*dsl*s1",[2]OUT_TransportEnergyCons!$A$4:$A$10000))*1,[2]OUT_TransportEnergyCons!H$4:H$10000)</f>
        <v>1.5382616391238941E-4</v>
      </c>
      <c r="K1941" s="1" cm="1">
        <f t="array" ref="K1941">SUMPRODUCT(("Var_Cap"=[2]OUT_TransportEnergyCons!$B$4:$B$10000)*1,("-"=[2]OUT_TransportEnergyCons!$C$4:$C$10000)*1,ISNUMBER(SEARCH("T_C*ICE*dsl*s1",[2]OUT_TransportEnergyCons!$A$4:$A$10000))*1,[2]OUT_TransportEnergyCons!I$4:I$10000)</f>
        <v>8.5679382468942209E-5</v>
      </c>
      <c r="L1941" s="1" cm="1">
        <f t="array" ref="L1941">SUMPRODUCT(("Var_Cap"=[2]OUT_TransportEnergyCons!$B$4:$B$10000)*1,("-"=[2]OUT_TransportEnergyCons!$C$4:$C$10000)*1,ISNUMBER(SEARCH("T_C*ICE*dsl*s1",[2]OUT_TransportEnergyCons!$A$4:$A$10000))*1,[2]OUT_TransportEnergyCons!J$4:J$10000)</f>
        <v>2.904552093738151E-5</v>
      </c>
      <c r="N1941" s="1"/>
    </row>
    <row r="1942" spans="2:14" x14ac:dyDescent="0.35">
      <c r="B1942" s="5" t="str">
        <f t="shared" si="2034"/>
        <v>SPS1</v>
      </c>
      <c r="C1942" s="5" t="str">
        <f t="shared" si="2035"/>
        <v>CH</v>
      </c>
      <c r="D1942" t="s">
        <v>1959</v>
      </c>
      <c r="E1942" t="str">
        <f t="shared" si="2036"/>
        <v>Million</v>
      </c>
      <c r="F1942" s="1" cm="1">
        <f t="array" ref="F1942">SUMPRODUCT(("Var_Cap"=[1]OUT_TransportEnergyCons!$B$4:$B$10000)*1,("-"=[1]OUT_TransportEnergyCons!$C$4:$C$10000)*1,ISNUMBER(SEARCH("T_C*ICE*dsl*s2",[1]OUT_TransportEnergyCons!$A$4:$A$10000))*1,[1]OUT_TransportEnergyCons!D$4:D$10000)</f>
        <v>6.4569606817228481E-2</v>
      </c>
      <c r="G1942" s="1" cm="1">
        <f t="array" ref="G1942">SUMPRODUCT(("Var_Cap"=[1]OUT_TransportEnergyCons!$B$4:$B$10000)*1,("-"=[1]OUT_TransportEnergyCons!$C$4:$C$10000)*1,ISNUMBER(SEARCH("T_C*ICE*dsl*s2",[1]OUT_TransportEnergyCons!$A$4:$A$10000))*1,[1]OUT_TransportEnergyCons!E$4:E$10000)</f>
        <v>6.8510065392165614E-2</v>
      </c>
      <c r="H1942" s="1" cm="1">
        <f t="array" ref="H1942">SUMPRODUCT(("Var_Cap"=[1]OUT_TransportEnergyCons!$B$4:$B$10000)*1,("-"=[1]OUT_TransportEnergyCons!$C$4:$C$10000)*1,ISNUMBER(SEARCH("T_C*ICE*dsl*s2",[1]OUT_TransportEnergyCons!$A$4:$A$10000))*1,[1]OUT_TransportEnergyCons!F$4:F$10000)</f>
        <v>6.7901019301008697E-2</v>
      </c>
      <c r="I1942" s="1" cm="1">
        <f t="array" ref="I1942">SUMPRODUCT(("Var_Cap"=[1]OUT_TransportEnergyCons!$B$4:$B$10000)*1,("-"=[1]OUT_TransportEnergyCons!$C$4:$C$10000)*1,ISNUMBER(SEARCH("T_C*ICE*dsl*s2",[1]OUT_TransportEnergyCons!$A$4:$A$10000))*1,[1]OUT_TransportEnergyCons!G$4:G$10000)</f>
        <v>5.148201171989366E-2</v>
      </c>
      <c r="J1942" s="1" cm="1">
        <f t="array" ref="J1942">SUMPRODUCT(("Var_Cap"=[2]OUT_TransportEnergyCons!$B$4:$B$10000)*1,("-"=[2]OUT_TransportEnergyCons!$C$4:$C$10000)*1,ISNUMBER(SEARCH("T_C*ICE*dsl*s2",[2]OUT_TransportEnergyCons!$A$4:$A$10000))*1,[2]OUT_TransportEnergyCons!H$4:H$10000)</f>
        <v>1.854997617836771E-3</v>
      </c>
      <c r="K1942" s="1" cm="1">
        <f t="array" ref="K1942">SUMPRODUCT(("Var_Cap"=[2]OUT_TransportEnergyCons!$B$4:$B$10000)*1,("-"=[2]OUT_TransportEnergyCons!$C$4:$C$10000)*1,ISNUMBER(SEARCH("T_C*ICE*dsl*s2",[2]OUT_TransportEnergyCons!$A$4:$A$10000))*1,[2]OUT_TransportEnergyCons!I$4:I$10000)</f>
        <v>6.3380192893896419E-5</v>
      </c>
      <c r="L1942" s="1" cm="1">
        <f t="array" ref="L1942">SUMPRODUCT(("Var_Cap"=[2]OUT_TransportEnergyCons!$B$4:$B$10000)*1,("-"=[2]OUT_TransportEnergyCons!$C$4:$C$10000)*1,ISNUMBER(SEARCH("T_C*ICE*dsl*s2",[2]OUT_TransportEnergyCons!$A$4:$A$10000))*1,[2]OUT_TransportEnergyCons!J$4:J$10000)</f>
        <v>2.589280660536675E-5</v>
      </c>
      <c r="N1942" s="1"/>
    </row>
    <row r="1943" spans="2:14" x14ac:dyDescent="0.35">
      <c r="B1943" s="5" t="str">
        <f t="shared" si="2034"/>
        <v>SPS1</v>
      </c>
      <c r="C1943" s="5" t="str">
        <f t="shared" si="2035"/>
        <v>CH</v>
      </c>
      <c r="D1943" t="s">
        <v>1960</v>
      </c>
      <c r="E1943" t="str">
        <f t="shared" si="2036"/>
        <v>Million</v>
      </c>
      <c r="F1943" s="1" cm="1">
        <f t="array" ref="F1943">SUMPRODUCT(("Var_Cap"=[1]OUT_TransportEnergyCons!$B$4:$B$10000)*1,("-"=[1]OUT_TransportEnergyCons!$C$4:$C$10000)*1,ISNUMBER(SEARCH("T_C*ICE*dsl*s3",[1]OUT_TransportEnergyCons!$A$4:$A$10000))*1,[1]OUT_TransportEnergyCons!D$4:D$10000)</f>
        <v>0.18324147760900036</v>
      </c>
      <c r="G1943" s="1" cm="1">
        <f t="array" ref="G1943">SUMPRODUCT(("Var_Cap"=[1]OUT_TransportEnergyCons!$B$4:$B$10000)*1,("-"=[1]OUT_TransportEnergyCons!$C$4:$C$10000)*1,ISNUMBER(SEARCH("T_C*ICE*dsl*s3",[1]OUT_TransportEnergyCons!$A$4:$A$10000))*1,[1]OUT_TransportEnergyCons!E$4:E$10000)</f>
        <v>0.19500108153048012</v>
      </c>
      <c r="H1943" s="1" cm="1">
        <f t="array" ref="H1943">SUMPRODUCT(("Var_Cap"=[1]OUT_TransportEnergyCons!$B$4:$B$10000)*1,("-"=[1]OUT_TransportEnergyCons!$C$4:$C$10000)*1,ISNUMBER(SEARCH("T_C*ICE*dsl*s3",[1]OUT_TransportEnergyCons!$A$4:$A$10000))*1,[1]OUT_TransportEnergyCons!F$4:F$10000)</f>
        <v>0.19297502982416803</v>
      </c>
      <c r="I1943" s="1" cm="1">
        <f t="array" ref="I1943">SUMPRODUCT(("Var_Cap"=[1]OUT_TransportEnergyCons!$B$4:$B$10000)*1,("-"=[1]OUT_TransportEnergyCons!$C$4:$C$10000)*1,ISNUMBER(SEARCH("T_C*ICE*dsl*s3",[1]OUT_TransportEnergyCons!$A$4:$A$10000))*1,[1]OUT_TransportEnergyCons!G$4:G$10000)</f>
        <v>0.14993510242799174</v>
      </c>
      <c r="J1943" s="1" cm="1">
        <f t="array" ref="J1943">SUMPRODUCT(("Var_Cap"=[2]OUT_TransportEnergyCons!$B$4:$B$10000)*1,("-"=[2]OUT_TransportEnergyCons!$C$4:$C$10000)*1,ISNUMBER(SEARCH("T_C*ICE*dsl*s3",[2]OUT_TransportEnergyCons!$A$4:$A$10000))*1,[2]OUT_TransportEnergyCons!H$4:H$10000)</f>
        <v>5.6803665078735974E-3</v>
      </c>
      <c r="K1943" s="1" cm="1">
        <f t="array" ref="K1943">SUMPRODUCT(("Var_Cap"=[2]OUT_TransportEnergyCons!$B$4:$B$10000)*1,("-"=[2]OUT_TransportEnergyCons!$C$4:$C$10000)*1,ISNUMBER(SEARCH("T_C*ICE*dsl*s3",[2]OUT_TransportEnergyCons!$A$4:$A$10000))*1,[2]OUT_TransportEnergyCons!I$4:I$10000)</f>
        <v>5.4138406782874341E-5</v>
      </c>
      <c r="L1943" s="1" cm="1">
        <f t="array" ref="L1943">SUMPRODUCT(("Var_Cap"=[2]OUT_TransportEnergyCons!$B$4:$B$10000)*1,("-"=[2]OUT_TransportEnergyCons!$C$4:$C$10000)*1,ISNUMBER(SEARCH("T_C*ICE*dsl*s3",[2]OUT_TransportEnergyCons!$A$4:$A$10000))*1,[2]OUT_TransportEnergyCons!J$4:J$10000)</f>
        <v>2.5782659686853146E-5</v>
      </c>
      <c r="N1943" s="1"/>
    </row>
    <row r="1944" spans="2:14" x14ac:dyDescent="0.35">
      <c r="B1944" s="5" t="str">
        <f t="shared" si="2034"/>
        <v>SPS1</v>
      </c>
      <c r="C1944" s="5" t="str">
        <f t="shared" si="2035"/>
        <v>CH</v>
      </c>
      <c r="D1944" t="s">
        <v>1961</v>
      </c>
      <c r="E1944" t="str">
        <f t="shared" si="2036"/>
        <v>Million</v>
      </c>
      <c r="F1944" s="1" cm="1">
        <f t="array" ref="F1944">SUMPRODUCT(("Var_Cap"=[1]OUT_TransportEnergyCons!$B$4:$B$10000)*1,("-"=[1]OUT_TransportEnergyCons!$C$4:$C$10000)*1,ISNUMBER(SEARCH("T_C*ICE*dsl*s4",[1]OUT_TransportEnergyCons!$A$4:$A$10000))*1,[1]OUT_TransportEnergyCons!D$4:D$10000)</f>
        <v>7.126233429968877E-2</v>
      </c>
      <c r="G1944" s="1" cm="1">
        <f t="array" ref="G1944">SUMPRODUCT(("Var_Cap"=[1]OUT_TransportEnergyCons!$B$4:$B$10000)*1,("-"=[1]OUT_TransportEnergyCons!$C$4:$C$10000)*1,ISNUMBER(SEARCH("T_C*ICE*dsl*s4",[1]OUT_TransportEnergyCons!$A$4:$A$10000))*1,[1]OUT_TransportEnergyCons!E$4:E$10000)</f>
        <v>7.9339626726555826E-2</v>
      </c>
      <c r="H1944" s="1" cm="1">
        <f t="array" ref="H1944">SUMPRODUCT(("Var_Cap"=[1]OUT_TransportEnergyCons!$B$4:$B$10000)*1,("-"=[1]OUT_TransportEnergyCons!$C$4:$C$10000)*1,ISNUMBER(SEARCH("T_C*ICE*dsl*s4",[1]OUT_TransportEnergyCons!$A$4:$A$10000))*1,[1]OUT_TransportEnergyCons!F$4:F$10000)</f>
        <v>7.8207922219116946E-2</v>
      </c>
      <c r="I1944" s="1" cm="1">
        <f t="array" ref="I1944">SUMPRODUCT(("Var_Cap"=[1]OUT_TransportEnergyCons!$B$4:$B$10000)*1,("-"=[1]OUT_TransportEnergyCons!$C$4:$C$10000)*1,ISNUMBER(SEARCH("T_C*ICE*dsl*s4",[1]OUT_TransportEnergyCons!$A$4:$A$10000))*1,[1]OUT_TransportEnergyCons!G$4:G$10000)</f>
        <v>6.105882737586827E-2</v>
      </c>
      <c r="J1944" s="1" cm="1">
        <f t="array" ref="J1944">SUMPRODUCT(("Var_Cap"=[2]OUT_TransportEnergyCons!$B$4:$B$10000)*1,("-"=[2]OUT_TransportEnergyCons!$C$4:$C$10000)*1,ISNUMBER(SEARCH("T_C*ICE*dsl*s4",[2]OUT_TransportEnergyCons!$A$4:$A$10000))*1,[2]OUT_TransportEnergyCons!H$4:H$10000)</f>
        <v>3.4059645546926985E-3</v>
      </c>
      <c r="K1944" s="1" cm="1">
        <f t="array" ref="K1944">SUMPRODUCT(("Var_Cap"=[2]OUT_TransportEnergyCons!$B$4:$B$10000)*1,("-"=[2]OUT_TransportEnergyCons!$C$4:$C$10000)*1,ISNUMBER(SEARCH("T_C*ICE*dsl*s4",[2]OUT_TransportEnergyCons!$A$4:$A$10000))*1,[2]OUT_TransportEnergyCons!I$4:I$10000)</f>
        <v>3.701378284682547E-5</v>
      </c>
      <c r="L1944" s="1" cm="1">
        <f t="array" ref="L1944">SUMPRODUCT(("Var_Cap"=[2]OUT_TransportEnergyCons!$B$4:$B$10000)*1,("-"=[2]OUT_TransportEnergyCons!$C$4:$C$10000)*1,ISNUMBER(SEARCH("T_C*ICE*dsl*s4",[2]OUT_TransportEnergyCons!$A$4:$A$10000))*1,[2]OUT_TransportEnergyCons!J$4:J$10000)</f>
        <v>1.9601469209118801E-5</v>
      </c>
      <c r="N1944" s="1"/>
    </row>
    <row r="1945" spans="2:14" x14ac:dyDescent="0.35">
      <c r="B1945" s="5" t="str">
        <f t="shared" si="2034"/>
        <v>SPS1</v>
      </c>
      <c r="C1945" s="5" t="str">
        <f t="shared" si="2035"/>
        <v>CH</v>
      </c>
      <c r="D1945" t="s">
        <v>1962</v>
      </c>
      <c r="E1945" t="str">
        <f t="shared" si="2036"/>
        <v>Million</v>
      </c>
      <c r="F1945" s="1" cm="1">
        <f t="array" ref="F1945">SUMPRODUCT(("Var_Cap"=[1]OUT_TransportEnergyCons!$B$4:$B$10000)*1,("-"=[1]OUT_TransportEnergyCons!$C$4:$C$10000)*1,ISNUMBER(SEARCH("T_C*mhy*dsl*s1",[1]OUT_TransportEnergyCons!$A$4:$A$10000))*1,[1]OUT_TransportEnergyCons!D$4:D$10000)</f>
        <v>0</v>
      </c>
      <c r="G1945" s="1" cm="1">
        <f t="array" ref="G1945">SUMPRODUCT(("Var_Cap"=[1]OUT_TransportEnergyCons!$B$4:$B$10000)*1,("-"=[1]OUT_TransportEnergyCons!$C$4:$C$10000)*1,ISNUMBER(SEARCH("T_C*mhy*dsl*s1",[1]OUT_TransportEnergyCons!$A$4:$A$10000))*1,[1]OUT_TransportEnergyCons!E$4:E$10000)</f>
        <v>7.3808536064300204E-6</v>
      </c>
      <c r="H1945" s="1" cm="1">
        <f t="array" ref="H1945">SUMPRODUCT(("Var_Cap"=[1]OUT_TransportEnergyCons!$B$4:$B$10000)*1,("-"=[1]OUT_TransportEnergyCons!$C$4:$C$10000)*1,ISNUMBER(SEARCH("T_C*mhy*dsl*s1",[1]OUT_TransportEnergyCons!$A$4:$A$10000))*1,[1]OUT_TransportEnergyCons!F$4:F$10000)</f>
        <v>3.1913482481834397E-5</v>
      </c>
      <c r="I1945" s="1" cm="1">
        <f t="array" ref="I1945">SUMPRODUCT(("Var_Cap"=[1]OUT_TransportEnergyCons!$B$4:$B$10000)*1,("-"=[1]OUT_TransportEnergyCons!$C$4:$C$10000)*1,ISNUMBER(SEARCH("T_C*mhy*dsl*s1",[1]OUT_TransportEnergyCons!$A$4:$A$10000))*1,[1]OUT_TransportEnergyCons!G$4:G$10000)</f>
        <v>1.9520577635087698E-2</v>
      </c>
      <c r="J1945" s="1" cm="1">
        <f t="array" ref="J1945">SUMPRODUCT(("Var_Cap"=[2]OUT_TransportEnergyCons!$B$4:$B$10000)*1,("-"=[2]OUT_TransportEnergyCons!$C$4:$C$10000)*1,ISNUMBER(SEARCH("T_C*mhy*dsl*s1",[2]OUT_TransportEnergyCons!$A$4:$A$10000))*1,[2]OUT_TransportEnergyCons!H$4:H$10000)</f>
        <v>2.51057198275931E-2</v>
      </c>
      <c r="K1945" s="1" cm="1">
        <f t="array" ref="K1945">SUMPRODUCT(("Var_Cap"=[2]OUT_TransportEnergyCons!$B$4:$B$10000)*1,("-"=[2]OUT_TransportEnergyCons!$C$4:$C$10000)*1,ISNUMBER(SEARCH("T_C*mhy*dsl*s1",[2]OUT_TransportEnergyCons!$A$4:$A$10000))*1,[2]OUT_TransportEnergyCons!I$4:I$10000)</f>
        <v>1.44354318129841E-2</v>
      </c>
      <c r="L1945" s="1" cm="1">
        <f t="array" ref="L1945">SUMPRODUCT(("Var_Cap"=[2]OUT_TransportEnergyCons!$B$4:$B$10000)*1,("-"=[2]OUT_TransportEnergyCons!$C$4:$C$10000)*1,ISNUMBER(SEARCH("T_C*mhy*dsl*s1",[2]OUT_TransportEnergyCons!$A$4:$A$10000))*1,[2]OUT_TransportEnergyCons!J$4:J$10000)</f>
        <v>1.36541333394035E-3</v>
      </c>
      <c r="N1945" s="1"/>
    </row>
    <row r="1946" spans="2:14" x14ac:dyDescent="0.35">
      <c r="B1946" s="5" t="str">
        <f t="shared" si="2034"/>
        <v>SPS1</v>
      </c>
      <c r="C1946" s="5" t="str">
        <f t="shared" si="2035"/>
        <v>CH</v>
      </c>
      <c r="D1946" t="s">
        <v>1963</v>
      </c>
      <c r="E1946" t="str">
        <f t="shared" si="2036"/>
        <v>Million</v>
      </c>
      <c r="F1946" s="1" cm="1">
        <f t="array" ref="F1946">SUMPRODUCT(("Var_Cap"=[1]OUT_TransportEnergyCons!$B$4:$B$10000)*1,("-"=[1]OUT_TransportEnergyCons!$C$4:$C$10000)*1,ISNUMBER(SEARCH("T_C*mhy*dsl*s2",[1]OUT_TransportEnergyCons!$A$4:$A$10000))*1,[1]OUT_TransportEnergyCons!D$4:D$10000)</f>
        <v>0</v>
      </c>
      <c r="G1946" s="1" cm="1">
        <f t="array" ref="G1946">SUMPRODUCT(("Var_Cap"=[1]OUT_TransportEnergyCons!$B$4:$B$10000)*1,("-"=[1]OUT_TransportEnergyCons!$C$4:$C$10000)*1,ISNUMBER(SEARCH("T_C*mhy*dsl*s2",[1]OUT_TransportEnergyCons!$A$4:$A$10000))*1,[1]OUT_TransportEnergyCons!E$4:E$10000)</f>
        <v>3.0313961783543899E-6</v>
      </c>
      <c r="H1946" s="1" cm="1">
        <f t="array" ref="H1946">SUMPRODUCT(("Var_Cap"=[1]OUT_TransportEnergyCons!$B$4:$B$10000)*1,("-"=[1]OUT_TransportEnergyCons!$C$4:$C$10000)*1,ISNUMBER(SEARCH("T_C*mhy*dsl*s2",[1]OUT_TransportEnergyCons!$A$4:$A$10000))*1,[1]OUT_TransportEnergyCons!F$4:F$10000)</f>
        <v>1.3846851502652399E-5</v>
      </c>
      <c r="I1946" s="1" cm="1">
        <f t="array" ref="I1946">SUMPRODUCT(("Var_Cap"=[1]OUT_TransportEnergyCons!$B$4:$B$10000)*1,("-"=[1]OUT_TransportEnergyCons!$C$4:$C$10000)*1,ISNUMBER(SEARCH("T_C*mhy*dsl*s2",[1]OUT_TransportEnergyCons!$A$4:$A$10000))*1,[1]OUT_TransportEnergyCons!G$4:G$10000)</f>
        <v>2.5746617443455299E-5</v>
      </c>
      <c r="J1946" s="1" cm="1">
        <f t="array" ref="J1946">SUMPRODUCT(("Var_Cap"=[2]OUT_TransportEnergyCons!$B$4:$B$10000)*1,("-"=[2]OUT_TransportEnergyCons!$C$4:$C$10000)*1,ISNUMBER(SEARCH("T_C*mhy*dsl*s2",[2]OUT_TransportEnergyCons!$A$4:$A$10000))*1,[2]OUT_TransportEnergyCons!H$4:H$10000)</f>
        <v>2.0847578859768101E-4</v>
      </c>
      <c r="K1946" s="1" cm="1">
        <f t="array" ref="K1946">SUMPRODUCT(("Var_Cap"=[2]OUT_TransportEnergyCons!$B$4:$B$10000)*1,("-"=[2]OUT_TransportEnergyCons!$C$4:$C$10000)*1,ISNUMBER(SEARCH("T_C*mhy*dsl*s2",[2]OUT_TransportEnergyCons!$A$4:$A$10000))*1,[2]OUT_TransportEnergyCons!I$4:I$10000)</f>
        <v>2.33895198675065E-4</v>
      </c>
      <c r="L1946" s="1" cm="1">
        <f t="array" ref="L1946">SUMPRODUCT(("Var_Cap"=[2]OUT_TransportEnergyCons!$B$4:$B$10000)*1,("-"=[2]OUT_TransportEnergyCons!$C$4:$C$10000)*1,ISNUMBER(SEARCH("T_C*mhy*dsl*s2",[2]OUT_TransportEnergyCons!$A$4:$A$10000))*1,[2]OUT_TransportEnergyCons!J$4:J$10000)</f>
        <v>1.03952071365954E-4</v>
      </c>
      <c r="N1946" s="1"/>
    </row>
    <row r="1947" spans="2:14" x14ac:dyDescent="0.35">
      <c r="B1947" s="5" t="str">
        <f t="shared" si="2034"/>
        <v>SPS1</v>
      </c>
      <c r="C1947" s="5" t="str">
        <f t="shared" si="2035"/>
        <v>CH</v>
      </c>
      <c r="D1947" t="s">
        <v>1964</v>
      </c>
      <c r="E1947" t="str">
        <f t="shared" si="2036"/>
        <v>Million</v>
      </c>
      <c r="F1947" s="1" cm="1">
        <f t="array" ref="F1947">SUMPRODUCT(("Var_Cap"=[1]OUT_TransportEnergyCons!$B$4:$B$10000)*1,("-"=[1]OUT_TransportEnergyCons!$C$4:$C$10000)*1,ISNUMBER(SEARCH("T_C*mhy*dsl*s3",[1]OUT_TransportEnergyCons!$A$4:$A$10000))*1,[1]OUT_TransportEnergyCons!D$4:D$10000)</f>
        <v>0</v>
      </c>
      <c r="G1947" s="1" cm="1">
        <f t="array" ref="G1947">SUMPRODUCT(("Var_Cap"=[1]OUT_TransportEnergyCons!$B$4:$B$10000)*1,("-"=[1]OUT_TransportEnergyCons!$C$4:$C$10000)*1,ISNUMBER(SEARCH("T_C*mhy*dsl*s3",[1]OUT_TransportEnergyCons!$A$4:$A$10000))*1,[1]OUT_TransportEnergyCons!E$4:E$10000)</f>
        <v>3.1348703235245301E-6</v>
      </c>
      <c r="H1947" s="1" cm="1">
        <f t="array" ref="H1947">SUMPRODUCT(("Var_Cap"=[1]OUT_TransportEnergyCons!$B$4:$B$10000)*1,("-"=[1]OUT_TransportEnergyCons!$C$4:$C$10000)*1,ISNUMBER(SEARCH("T_C*mhy*dsl*s3",[1]OUT_TransportEnergyCons!$A$4:$A$10000))*1,[1]OUT_TransportEnergyCons!F$4:F$10000)</f>
        <v>1.1747663374526E-5</v>
      </c>
      <c r="I1947" s="1" cm="1">
        <f t="array" ref="I1947">SUMPRODUCT(("Var_Cap"=[1]OUT_TransportEnergyCons!$B$4:$B$10000)*1,("-"=[1]OUT_TransportEnergyCons!$C$4:$C$10000)*1,ISNUMBER(SEARCH("T_C*mhy*dsl*s3",[1]OUT_TransportEnergyCons!$A$4:$A$10000))*1,[1]OUT_TransportEnergyCons!G$4:G$10000)</f>
        <v>1.9607378795321699E-5</v>
      </c>
      <c r="J1947" s="1" cm="1">
        <f t="array" ref="J1947">SUMPRODUCT(("Var_Cap"=[2]OUT_TransportEnergyCons!$B$4:$B$10000)*1,("-"=[2]OUT_TransportEnergyCons!$C$4:$C$10000)*1,ISNUMBER(SEARCH("T_C*mhy*dsl*s3",[2]OUT_TransportEnergyCons!$A$4:$A$10000))*1,[2]OUT_TransportEnergyCons!H$4:H$10000)</f>
        <v>1.7200798795235299E-4</v>
      </c>
      <c r="K1947" s="1" cm="1">
        <f t="array" ref="K1947">SUMPRODUCT(("Var_Cap"=[2]OUT_TransportEnergyCons!$B$4:$B$10000)*1,("-"=[2]OUT_TransportEnergyCons!$C$4:$C$10000)*1,ISNUMBER(SEARCH("T_C*mhy*dsl*s3",[2]OUT_TransportEnergyCons!$A$4:$A$10000))*1,[2]OUT_TransportEnergyCons!I$4:I$10000)</f>
        <v>7.8616745616969901E-3</v>
      </c>
      <c r="L1947" s="1" cm="1">
        <f t="array" ref="L1947">SUMPRODUCT(("Var_Cap"=[2]OUT_TransportEnergyCons!$B$4:$B$10000)*1,("-"=[2]OUT_TransportEnergyCons!$C$4:$C$10000)*1,ISNUMBER(SEARCH("T_C*mhy*dsl*s3",[2]OUT_TransportEnergyCons!$A$4:$A$10000))*1,[2]OUT_TransportEnergyCons!J$4:J$10000)</f>
        <v>1.7096691625601401E-2</v>
      </c>
      <c r="N1947" s="1"/>
    </row>
    <row r="1948" spans="2:14" x14ac:dyDescent="0.35">
      <c r="B1948" s="5" t="str">
        <f t="shared" si="2034"/>
        <v>SPS1</v>
      </c>
      <c r="C1948" s="5" t="str">
        <f t="shared" si="2035"/>
        <v>CH</v>
      </c>
      <c r="D1948" t="s">
        <v>1965</v>
      </c>
      <c r="E1948" t="str">
        <f t="shared" si="2036"/>
        <v>Million</v>
      </c>
      <c r="F1948" s="1" cm="1">
        <f t="array" ref="F1948">SUMPRODUCT(("Var_Cap"=[1]OUT_TransportEnergyCons!$B$4:$B$10000)*1,("-"=[1]OUT_TransportEnergyCons!$C$4:$C$10000)*1,ISNUMBER(SEARCH("T_C*mhy*dsl*s4",[1]OUT_TransportEnergyCons!$A$4:$A$10000))*1,[1]OUT_TransportEnergyCons!D$4:D$10000)</f>
        <v>0</v>
      </c>
      <c r="G1948" s="1" cm="1">
        <f t="array" ref="G1948">SUMPRODUCT(("Var_Cap"=[1]OUT_TransportEnergyCons!$B$4:$B$10000)*1,("-"=[1]OUT_TransportEnergyCons!$C$4:$C$10000)*1,ISNUMBER(SEARCH("T_C*mhy*dsl*s4",[1]OUT_TransportEnergyCons!$A$4:$A$10000))*1,[1]OUT_TransportEnergyCons!E$4:E$10000)</f>
        <v>2.58799254823319E-6</v>
      </c>
      <c r="H1948" s="1" cm="1">
        <f t="array" ref="H1948">SUMPRODUCT(("Var_Cap"=[1]OUT_TransportEnergyCons!$B$4:$B$10000)*1,("-"=[1]OUT_TransportEnergyCons!$C$4:$C$10000)*1,ISNUMBER(SEARCH("T_C*mhy*dsl*s4",[1]OUT_TransportEnergyCons!$A$4:$A$10000))*1,[1]OUT_TransportEnergyCons!F$4:F$10000)</f>
        <v>7.8478861949893594E-6</v>
      </c>
      <c r="I1948" s="1" cm="1">
        <f t="array" ref="I1948">SUMPRODUCT(("Var_Cap"=[1]OUT_TransportEnergyCons!$B$4:$B$10000)*1,("-"=[1]OUT_TransportEnergyCons!$C$4:$C$10000)*1,ISNUMBER(SEARCH("T_C*mhy*dsl*s4",[1]OUT_TransportEnergyCons!$A$4:$A$10000))*1,[1]OUT_TransportEnergyCons!G$4:G$10000)</f>
        <v>1.19214842924732E-5</v>
      </c>
      <c r="J1948" s="1" cm="1">
        <f t="array" ref="J1948">SUMPRODUCT(("Var_Cap"=[2]OUT_TransportEnergyCons!$B$4:$B$10000)*1,("-"=[2]OUT_TransportEnergyCons!$C$4:$C$10000)*1,ISNUMBER(SEARCH("T_C*mhy*dsl*s4",[2]OUT_TransportEnergyCons!$A$4:$A$10000))*1,[2]OUT_TransportEnergyCons!H$4:H$10000)</f>
        <v>5.8856509749843898E-5</v>
      </c>
      <c r="K1948" s="1" cm="1">
        <f t="array" ref="K1948">SUMPRODUCT(("Var_Cap"=[2]OUT_TransportEnergyCons!$B$4:$B$10000)*1,("-"=[2]OUT_TransportEnergyCons!$C$4:$C$10000)*1,ISNUMBER(SEARCH("T_C*mhy*dsl*s4",[2]OUT_TransportEnergyCons!$A$4:$A$10000))*1,[2]OUT_TransportEnergyCons!I$4:I$10000)</f>
        <v>6.9802855763916402E-5</v>
      </c>
      <c r="L1948" s="1" cm="1">
        <f t="array" ref="L1948">SUMPRODUCT(("Var_Cap"=[2]OUT_TransportEnergyCons!$B$4:$B$10000)*1,("-"=[2]OUT_TransportEnergyCons!$C$4:$C$10000)*1,ISNUMBER(SEARCH("T_C*mhy*dsl*s4",[2]OUT_TransportEnergyCons!$A$4:$A$10000))*1,[2]OUT_TransportEnergyCons!J$4:J$10000)</f>
        <v>5.0116050447868802E-5</v>
      </c>
      <c r="N1948" s="1"/>
    </row>
    <row r="1949" spans="2:14" x14ac:dyDescent="0.35">
      <c r="B1949" s="5" t="str">
        <f t="shared" si="2034"/>
        <v>SPS1</v>
      </c>
      <c r="C1949" s="5" t="str">
        <f t="shared" si="2035"/>
        <v>CH</v>
      </c>
      <c r="D1949" t="s">
        <v>1966</v>
      </c>
      <c r="E1949" t="str">
        <f t="shared" si="2036"/>
        <v>Million</v>
      </c>
      <c r="F1949" s="1" cm="1">
        <f t="array" ref="F1949">SUMPRODUCT(("Var_Cap"=[1]OUT_TransportEnergyCons!$B$4:$B$10000)*1,("-"=[1]OUT_TransportEnergyCons!$C$4:$C$10000)*1,ISNUMBER(SEARCH("T_C*ICE*nga*ext",[1]OUT_TransportEnergyCons!$A$4:$A$10000))*1,[1]OUT_TransportEnergyCons!D$4:D$10000)</f>
        <v>0</v>
      </c>
      <c r="G1949" s="1" cm="1">
        <f t="array" ref="G1949">SUMPRODUCT(("Var_Cap"=[1]OUT_TransportEnergyCons!$B$4:$B$10000)*1,("-"=[1]OUT_TransportEnergyCons!$C$4:$C$10000)*1,ISNUMBER(SEARCH("T_C*ICE*nga*ext",[1]OUT_TransportEnergyCons!$A$4:$A$10000))*1,[1]OUT_TransportEnergyCons!E$4:E$10000)</f>
        <v>0</v>
      </c>
      <c r="H1949" s="1" cm="1">
        <f t="array" ref="H1949">SUMPRODUCT(("Var_Cap"=[1]OUT_TransportEnergyCons!$B$4:$B$10000)*1,("-"=[1]OUT_TransportEnergyCons!$C$4:$C$10000)*1,ISNUMBER(SEARCH("T_C*ICE*nga*ext",[1]OUT_TransportEnergyCons!$A$4:$A$10000))*1,[1]OUT_TransportEnergyCons!F$4:F$10000)</f>
        <v>0</v>
      </c>
      <c r="I1949" s="1" cm="1">
        <f t="array" ref="I1949">SUMPRODUCT(("Var_Cap"=[1]OUT_TransportEnergyCons!$B$4:$B$10000)*1,("-"=[1]OUT_TransportEnergyCons!$C$4:$C$10000)*1,ISNUMBER(SEARCH("T_C*ICE*nga*ext",[1]OUT_TransportEnergyCons!$A$4:$A$10000))*1,[1]OUT_TransportEnergyCons!G$4:G$10000)</f>
        <v>0</v>
      </c>
      <c r="J1949" s="1" cm="1">
        <f t="array" ref="J1949">SUMPRODUCT(("Var_Cap"=[2]OUT_TransportEnergyCons!$B$4:$B$10000)*1,("-"=[2]OUT_TransportEnergyCons!$C$4:$C$10000)*1,ISNUMBER(SEARCH("T_C*ICE*nga*ext",[2]OUT_TransportEnergyCons!$A$4:$A$10000))*1,[2]OUT_TransportEnergyCons!H$4:H$10000)</f>
        <v>0</v>
      </c>
      <c r="K1949" s="1" cm="1">
        <f t="array" ref="K1949">SUMPRODUCT(("Var_Cap"=[2]OUT_TransportEnergyCons!$B$4:$B$10000)*1,("-"=[2]OUT_TransportEnergyCons!$C$4:$C$10000)*1,ISNUMBER(SEARCH("T_C*ICE*nga*ext",[2]OUT_TransportEnergyCons!$A$4:$A$10000))*1,[2]OUT_TransportEnergyCons!I$4:I$10000)</f>
        <v>0</v>
      </c>
      <c r="L1949" s="1" cm="1">
        <f t="array" ref="L1949">SUMPRODUCT(("Var_Cap"=[2]OUT_TransportEnergyCons!$B$4:$B$10000)*1,("-"=[2]OUT_TransportEnergyCons!$C$4:$C$10000)*1,ISNUMBER(SEARCH("T_C*ICE*nga*ext",[2]OUT_TransportEnergyCons!$A$4:$A$10000))*1,[2]OUT_TransportEnergyCons!J$4:J$10000)</f>
        <v>0</v>
      </c>
      <c r="N1949" s="1"/>
    </row>
    <row r="1950" spans="2:14" x14ac:dyDescent="0.35">
      <c r="B1950" s="5" t="str">
        <f t="shared" si="2034"/>
        <v>SPS1</v>
      </c>
      <c r="C1950" s="5" t="str">
        <f t="shared" si="2035"/>
        <v>CH</v>
      </c>
      <c r="D1950" t="s">
        <v>1967</v>
      </c>
      <c r="E1950" t="str">
        <f t="shared" si="2036"/>
        <v>Million</v>
      </c>
      <c r="F1950" s="1" cm="1">
        <f t="array" ref="F1950">SUMPRODUCT(("Var_Cap"=[1]OUT_TransportEnergyCons!$B$4:$B$10000)*1,("-"=[1]OUT_TransportEnergyCons!$C$4:$C$10000)*1,ISNUMBER(SEARCH("T_C*ICE*nga*s1",[1]OUT_TransportEnergyCons!$A$4:$A$10000))*1,[1]OUT_TransportEnergyCons!D$4:D$10000)</f>
        <v>2.5600090772638596E-4</v>
      </c>
      <c r="G1950" s="1" cm="1">
        <f t="array" ref="G1950">SUMPRODUCT(("Var_Cap"=[1]OUT_TransportEnergyCons!$B$4:$B$10000)*1,("-"=[1]OUT_TransportEnergyCons!$C$4:$C$10000)*1,ISNUMBER(SEARCH("T_C*ICE*nga*s1",[1]OUT_TransportEnergyCons!$A$4:$A$10000))*1,[1]OUT_TransportEnergyCons!E$4:E$10000)</f>
        <v>1.5551100563001793E-4</v>
      </c>
      <c r="H1950" s="1" cm="1">
        <f t="array" ref="H1950">SUMPRODUCT(("Var_Cap"=[1]OUT_TransportEnergyCons!$B$4:$B$10000)*1,("-"=[1]OUT_TransportEnergyCons!$C$4:$C$10000)*1,ISNUMBER(SEARCH("T_C*ICE*nga*s1",[1]OUT_TransportEnergyCons!$A$4:$A$10000))*1,[1]OUT_TransportEnergyCons!F$4:F$10000)</f>
        <v>1.5568106968583871E-4</v>
      </c>
      <c r="I1950" s="1" cm="1">
        <f t="array" ref="I1950">SUMPRODUCT(("Var_Cap"=[1]OUT_TransportEnergyCons!$B$4:$B$10000)*1,("-"=[1]OUT_TransportEnergyCons!$C$4:$C$10000)*1,ISNUMBER(SEARCH("T_C*ICE*nga*s1",[1]OUT_TransportEnergyCons!$A$4:$A$10000))*1,[1]OUT_TransportEnergyCons!G$4:G$10000)</f>
        <v>1.2790862718035483E-5</v>
      </c>
      <c r="J1950" s="1" cm="1">
        <f t="array" ref="J1950">SUMPRODUCT(("Var_Cap"=[2]OUT_TransportEnergyCons!$B$4:$B$10000)*1,("-"=[2]OUT_TransportEnergyCons!$C$4:$C$10000)*1,ISNUMBER(SEARCH("T_C*ICE*nga*s1",[2]OUT_TransportEnergyCons!$A$4:$A$10000))*1,[2]OUT_TransportEnergyCons!H$4:H$10000)</f>
        <v>8.7826640501673403E-6</v>
      </c>
      <c r="K1950" s="1" cm="1">
        <f t="array" ref="K1950">SUMPRODUCT(("Var_Cap"=[2]OUT_TransportEnergyCons!$B$4:$B$10000)*1,("-"=[2]OUT_TransportEnergyCons!$C$4:$C$10000)*1,ISNUMBER(SEARCH("T_C*ICE*nga*s1",[2]OUT_TransportEnergyCons!$A$4:$A$10000))*1,[2]OUT_TransportEnergyCons!I$4:I$10000)</f>
        <v>6.5416566575329E-6</v>
      </c>
      <c r="L1950" s="1" cm="1">
        <f t="array" ref="L1950">SUMPRODUCT(("Var_Cap"=[2]OUT_TransportEnergyCons!$B$4:$B$10000)*1,("-"=[2]OUT_TransportEnergyCons!$C$4:$C$10000)*1,ISNUMBER(SEARCH("T_C*ICE*nga*s1",[2]OUT_TransportEnergyCons!$A$4:$A$10000))*1,[2]OUT_TransportEnergyCons!J$4:J$10000)</f>
        <v>5.0225841378619851E-6</v>
      </c>
      <c r="N1950" s="1"/>
    </row>
    <row r="1951" spans="2:14" x14ac:dyDescent="0.35">
      <c r="B1951" s="5" t="str">
        <f t="shared" si="2034"/>
        <v>SPS1</v>
      </c>
      <c r="C1951" s="5" t="str">
        <f t="shared" si="2035"/>
        <v>CH</v>
      </c>
      <c r="D1951" t="s">
        <v>1968</v>
      </c>
      <c r="E1951" t="str">
        <f t="shared" si="2036"/>
        <v>Million</v>
      </c>
      <c r="F1951" s="1" cm="1">
        <f t="array" ref="F1951">SUMPRODUCT(("Var_Cap"=[1]OUT_TransportEnergyCons!$B$4:$B$10000)*1,("-"=[1]OUT_TransportEnergyCons!$C$4:$C$10000)*1,ISNUMBER(SEARCH("T_C*ICE*nga*s2",[1]OUT_TransportEnergyCons!$A$4:$A$10000))*1,[1]OUT_TransportEnergyCons!D$4:D$10000)</f>
        <v>2.688362739561594E-3</v>
      </c>
      <c r="G1951" s="1" cm="1">
        <f t="array" ref="G1951">SUMPRODUCT(("Var_Cap"=[1]OUT_TransportEnergyCons!$B$4:$B$10000)*1,("-"=[1]OUT_TransportEnergyCons!$C$4:$C$10000)*1,ISNUMBER(SEARCH("T_C*ICE*nga*s2",[1]OUT_TransportEnergyCons!$A$4:$A$10000))*1,[1]OUT_TransportEnergyCons!E$4:E$10000)</f>
        <v>2.2743888788403087E-3</v>
      </c>
      <c r="H1951" s="1" cm="1">
        <f t="array" ref="H1951">SUMPRODUCT(("Var_Cap"=[1]OUT_TransportEnergyCons!$B$4:$B$10000)*1,("-"=[1]OUT_TransportEnergyCons!$C$4:$C$10000)*1,ISNUMBER(SEARCH("T_C*ICE*nga*s2",[1]OUT_TransportEnergyCons!$A$4:$A$10000))*1,[1]OUT_TransportEnergyCons!F$4:F$10000)</f>
        <v>2.2454748078382736E-3</v>
      </c>
      <c r="I1951" s="1" cm="1">
        <f t="array" ref="I1951">SUMPRODUCT(("Var_Cap"=[1]OUT_TransportEnergyCons!$B$4:$B$10000)*1,("-"=[1]OUT_TransportEnergyCons!$C$4:$C$10000)*1,ISNUMBER(SEARCH("T_C*ICE*nga*s2",[1]OUT_TransportEnergyCons!$A$4:$A$10000))*1,[1]OUT_TransportEnergyCons!G$4:G$10000)</f>
        <v>9.605012979854808E-6</v>
      </c>
      <c r="J1951" s="1" cm="1">
        <f t="array" ref="J1951">SUMPRODUCT(("Var_Cap"=[2]OUT_TransportEnergyCons!$B$4:$B$10000)*1,("-"=[2]OUT_TransportEnergyCons!$C$4:$C$10000)*1,ISNUMBER(SEARCH("T_C*ICE*nga*s2",[2]OUT_TransportEnergyCons!$A$4:$A$10000))*1,[2]OUT_TransportEnergyCons!H$4:H$10000)</f>
        <v>8.179789173063328E-6</v>
      </c>
      <c r="K1951" s="1" cm="1">
        <f t="array" ref="K1951">SUMPRODUCT(("Var_Cap"=[2]OUT_TransportEnergyCons!$B$4:$B$10000)*1,("-"=[2]OUT_TransportEnergyCons!$C$4:$C$10000)*1,ISNUMBER(SEARCH("T_C*ICE*nga*s2",[2]OUT_TransportEnergyCons!$A$4:$A$10000))*1,[2]OUT_TransportEnergyCons!I$4:I$10000)</f>
        <v>8.0337901986778799E-6</v>
      </c>
      <c r="L1951" s="1" cm="1">
        <f t="array" ref="L1951">SUMPRODUCT(("Var_Cap"=[2]OUT_TransportEnergyCons!$B$4:$B$10000)*1,("-"=[2]OUT_TransportEnergyCons!$C$4:$C$10000)*1,ISNUMBER(SEARCH("T_C*ICE*nga*s2",[2]OUT_TransportEnergyCons!$A$4:$A$10000))*1,[2]OUT_TransportEnergyCons!J$4:J$10000)</f>
        <v>6.080287604742235E-6</v>
      </c>
      <c r="N1951" s="1"/>
    </row>
    <row r="1952" spans="2:14" x14ac:dyDescent="0.35">
      <c r="B1952" s="5" t="str">
        <f t="shared" si="2034"/>
        <v>SPS1</v>
      </c>
      <c r="C1952" s="5" t="str">
        <f t="shared" si="2035"/>
        <v>CH</v>
      </c>
      <c r="D1952" t="s">
        <v>1969</v>
      </c>
      <c r="E1952" t="str">
        <f t="shared" si="2036"/>
        <v>Million</v>
      </c>
      <c r="F1952" s="1" cm="1">
        <f t="array" ref="F1952">SUMPRODUCT(("Var_Cap"=[1]OUT_TransportEnergyCons!$B$4:$B$10000)*1,("-"=[1]OUT_TransportEnergyCons!$C$4:$C$10000)*1,ISNUMBER(SEARCH("T_C*ICE*nga*s3",[1]OUT_TransportEnergyCons!$A$4:$A$10000))*1,[1]OUT_TransportEnergyCons!D$4:D$10000)</f>
        <v>1.5099906590571878E-4</v>
      </c>
      <c r="G1952" s="1" cm="1">
        <f t="array" ref="G1952">SUMPRODUCT(("Var_Cap"=[1]OUT_TransportEnergyCons!$B$4:$B$10000)*1,("-"=[1]OUT_TransportEnergyCons!$C$4:$C$10000)*1,ISNUMBER(SEARCH("T_C*ICE*nga*s3",[1]OUT_TransportEnergyCons!$A$4:$A$10000))*1,[1]OUT_TransportEnergyCons!E$4:E$10000)</f>
        <v>1.5913757281716092E-4</v>
      </c>
      <c r="H1952" s="1" cm="1">
        <f t="array" ref="H1952">SUMPRODUCT(("Var_Cap"=[1]OUT_TransportEnergyCons!$B$4:$B$10000)*1,("-"=[1]OUT_TransportEnergyCons!$C$4:$C$10000)*1,ISNUMBER(SEARCH("T_C*ICE*nga*s3",[1]OUT_TransportEnergyCons!$A$4:$A$10000))*1,[1]OUT_TransportEnergyCons!F$4:F$10000)</f>
        <v>1.5876622821205604E-4</v>
      </c>
      <c r="I1952" s="1" cm="1">
        <f t="array" ref="I1952">SUMPRODUCT(("Var_Cap"=[1]OUT_TransportEnergyCons!$B$4:$B$10000)*1,("-"=[1]OUT_TransportEnergyCons!$C$4:$C$10000)*1,ISNUMBER(SEARCH("T_C*ICE*nga*s3",[1]OUT_TransportEnergyCons!$A$4:$A$10000))*1,[1]OUT_TransportEnergyCons!G$4:G$10000)</f>
        <v>1.8368011488094151E-5</v>
      </c>
      <c r="J1952" s="1" cm="1">
        <f t="array" ref="J1952">SUMPRODUCT(("Var_Cap"=[2]OUT_TransportEnergyCons!$B$4:$B$10000)*1,("-"=[2]OUT_TransportEnergyCons!$C$4:$C$10000)*1,ISNUMBER(SEARCH("T_C*ICE*nga*s3",[2]OUT_TransportEnergyCons!$A$4:$A$10000))*1,[2]OUT_TransportEnergyCons!H$4:H$10000)</f>
        <v>1.0732385392006831E-5</v>
      </c>
      <c r="K1952" s="1" cm="1">
        <f t="array" ref="K1952">SUMPRODUCT(("Var_Cap"=[2]OUT_TransportEnergyCons!$B$4:$B$10000)*1,("-"=[2]OUT_TransportEnergyCons!$C$4:$C$10000)*1,ISNUMBER(SEARCH("T_C*ICE*nga*s3",[2]OUT_TransportEnergyCons!$A$4:$A$10000))*1,[2]OUT_TransportEnergyCons!I$4:I$10000)</f>
        <v>9.6546297394617332E-6</v>
      </c>
      <c r="L1952" s="1" cm="1">
        <f t="array" ref="L1952">SUMPRODUCT(("Var_Cap"=[2]OUT_TransportEnergyCons!$B$4:$B$10000)*1,("-"=[2]OUT_TransportEnergyCons!$C$4:$C$10000)*1,ISNUMBER(SEARCH("T_C*ICE*nga*s3",[2]OUT_TransportEnergyCons!$A$4:$A$10000))*1,[2]OUT_TransportEnergyCons!J$4:J$10000)</f>
        <v>8.5229829193455394E-6</v>
      </c>
      <c r="N1952" s="1"/>
    </row>
    <row r="1953" spans="2:14" x14ac:dyDescent="0.35">
      <c r="B1953" s="5" t="str">
        <f t="shared" si="2034"/>
        <v>SPS1</v>
      </c>
      <c r="C1953" s="5" t="str">
        <f t="shared" si="2035"/>
        <v>CH</v>
      </c>
      <c r="D1953" t="s">
        <v>1970</v>
      </c>
      <c r="E1953" t="str">
        <f t="shared" si="2036"/>
        <v>Million</v>
      </c>
      <c r="F1953" s="1" cm="1">
        <f t="array" ref="F1953">SUMPRODUCT(("Var_Cap"=[1]OUT_TransportEnergyCons!$B$4:$B$10000)*1,("-"=[1]OUT_TransportEnergyCons!$C$4:$C$10000)*1,ISNUMBER(SEARCH("T_C*ICE*nga*s4",[1]OUT_TransportEnergyCons!$A$4:$A$10000))*1,[1]OUT_TransportEnergyCons!D$4:D$10000)</f>
        <v>2.6074482428115001E-3</v>
      </c>
      <c r="G1953" s="1" cm="1">
        <f t="array" ref="G1953">SUMPRODUCT(("Var_Cap"=[1]OUT_TransportEnergyCons!$B$4:$B$10000)*1,("-"=[1]OUT_TransportEnergyCons!$C$4:$C$10000)*1,ISNUMBER(SEARCH("T_C*ICE*nga*s4",[1]OUT_TransportEnergyCons!$A$4:$A$10000))*1,[1]OUT_TransportEnergyCons!E$4:E$10000)</f>
        <v>2.5344813555673996E-3</v>
      </c>
      <c r="H1953" s="1" cm="1">
        <f t="array" ref="H1953">SUMPRODUCT(("Var_Cap"=[1]OUT_TransportEnergyCons!$B$4:$B$10000)*1,("-"=[1]OUT_TransportEnergyCons!$C$4:$C$10000)*1,ISNUMBER(SEARCH("T_C*ICE*nga*s4",[1]OUT_TransportEnergyCons!$A$4:$A$10000))*1,[1]OUT_TransportEnergyCons!F$4:F$10000)</f>
        <v>2.35973853981898E-3</v>
      </c>
      <c r="I1953" s="1" cm="1">
        <f t="array" ref="I1953">SUMPRODUCT(("Var_Cap"=[1]OUT_TransportEnergyCons!$B$4:$B$10000)*1,("-"=[1]OUT_TransportEnergyCons!$C$4:$C$10000)*1,ISNUMBER(SEARCH("T_C*ICE*nga*s4",[1]OUT_TransportEnergyCons!$A$4:$A$10000))*1,[1]OUT_TransportEnergyCons!G$4:G$10000)</f>
        <v>7.0232111551468517E-6</v>
      </c>
      <c r="J1953" s="1" cm="1">
        <f t="array" ref="J1953">SUMPRODUCT(("Var_Cap"=[2]OUT_TransportEnergyCons!$B$4:$B$10000)*1,("-"=[2]OUT_TransportEnergyCons!$C$4:$C$10000)*1,ISNUMBER(SEARCH("T_C*ICE*nga*s4",[2]OUT_TransportEnergyCons!$A$4:$A$10000))*1,[2]OUT_TransportEnergyCons!H$4:H$10000)</f>
        <v>9.3064941164528272E-6</v>
      </c>
      <c r="K1953" s="1" cm="1">
        <f t="array" ref="K1953">SUMPRODUCT(("Var_Cap"=[2]OUT_TransportEnergyCons!$B$4:$B$10000)*1,("-"=[2]OUT_TransportEnergyCons!$C$4:$C$10000)*1,ISNUMBER(SEARCH("T_C*ICE*nga*s4",[2]OUT_TransportEnergyCons!$A$4:$A$10000))*1,[2]OUT_TransportEnergyCons!I$4:I$10000)</f>
        <v>1.0081982073357314E-5</v>
      </c>
      <c r="L1953" s="1" cm="1">
        <f t="array" ref="L1953">SUMPRODUCT(("Var_Cap"=[2]OUT_TransportEnergyCons!$B$4:$B$10000)*1,("-"=[2]OUT_TransportEnergyCons!$C$4:$C$10000)*1,ISNUMBER(SEARCH("T_C*ICE*nga*s4",[2]OUT_TransportEnergyCons!$A$4:$A$10000))*1,[2]OUT_TransportEnergyCons!J$4:J$10000)</f>
        <v>1.0252603003718501E-5</v>
      </c>
      <c r="N1953" s="1"/>
    </row>
    <row r="1954" spans="2:14" x14ac:dyDescent="0.35">
      <c r="B1954" s="5" t="str">
        <f>B1953</f>
        <v>SPS1</v>
      </c>
      <c r="C1954" s="5" t="str">
        <f>C1953</f>
        <v>CH</v>
      </c>
      <c r="D1954" s="2" t="s">
        <v>1973</v>
      </c>
      <c r="E1954" s="2" t="s">
        <v>1999</v>
      </c>
      <c r="F1954" s="3">
        <f>SUM(F1955:F1977)</f>
        <v>5.7181519190128292</v>
      </c>
      <c r="G1954" s="3">
        <f t="shared" ref="G1954:K1954" si="2037">SUM(G1955:G1977)</f>
        <v>5.6800298469073986</v>
      </c>
      <c r="H1954" s="3">
        <f t="shared" si="2037"/>
        <v>5.8290743139636412</v>
      </c>
      <c r="I1954" s="3">
        <f t="shared" si="2037"/>
        <v>6.5691249805439087</v>
      </c>
      <c r="J1954" s="3">
        <f t="shared" si="2037"/>
        <v>6.8365140739684174</v>
      </c>
      <c r="K1954" s="3">
        <f t="shared" si="2037"/>
        <v>7.1741724492719374</v>
      </c>
      <c r="L1954" s="3">
        <f t="shared" ref="L1954" si="2038">SUM(L1955:L1977)</f>
        <v>7.8515860630413279</v>
      </c>
      <c r="N1954" s="1"/>
    </row>
    <row r="1955" spans="2:14" x14ac:dyDescent="0.35">
      <c r="B1955" s="5" t="str">
        <f t="shared" ref="B1955:B1977" si="2039">B1954</f>
        <v>SPS1</v>
      </c>
      <c r="C1955" s="5" t="str">
        <f t="shared" ref="C1955:C1977" si="2040">C1954</f>
        <v>CH</v>
      </c>
      <c r="D1955" t="s">
        <v>1978</v>
      </c>
      <c r="E1955" t="s">
        <v>1999</v>
      </c>
      <c r="F1955" s="1" cm="1">
        <f t="array" ref="F1955">(SUMPRODUCT(("Var_Cap"=[1]OUT_TransportEnergyCons!$B$4:$B$10000)*1,ISNUMBER(SEARCH("T_B_u*bev*ext",[1]OUT_TransportEnergyCons!$A$4:$A$10000))*1,[1]OUT_TransportEnergyCons!D$4:D$10000))*1000</f>
        <v>3.7789555006180503E-2</v>
      </c>
      <c r="G1955" s="1" cm="1">
        <f t="array" ref="G1955">(SUMPRODUCT(("Var_Cap"=[1]OUT_TransportEnergyCons!$B$4:$B$10000)*1,ISNUMBER(SEARCH("T_B_u*bev*ext",[1]OUT_TransportEnergyCons!$A$4:$A$10000))*1,[1]OUT_TransportEnergyCons!E$4:E$10000))*1000</f>
        <v>3.0231644004944401E-2</v>
      </c>
      <c r="H1955" s="1" cm="1">
        <f t="array" ref="H1955">(SUMPRODUCT(("Var_Cap"=[1]OUT_TransportEnergyCons!$B$4:$B$10000)*1,ISNUMBER(SEARCH("T_B_u*bev*ext",[1]OUT_TransportEnergyCons!$A$4:$A$10000))*1,[1]OUT_TransportEnergyCons!F$4:F$10000))*1000</f>
        <v>1.8894777503090199E-2</v>
      </c>
      <c r="I1955" s="1" cm="1">
        <f t="array" ref="I1955">(SUMPRODUCT(("Var_Cap"=[1]OUT_TransportEnergyCons!$B$4:$B$10000)*1,ISNUMBER(SEARCH("T_B_u*bev*ext",[1]OUT_TransportEnergyCons!$A$4:$A$10000))*1,[1]OUT_TransportEnergyCons!G$4:G$10000))*1000</f>
        <v>0</v>
      </c>
      <c r="J1955" s="1" cm="1">
        <f t="array" ref="J1955">(SUMPRODUCT(("Var_Cap"=[2]OUT_TransportEnergyCons!$B$4:$B$10000)*1,ISNUMBER(SEARCH("T_B_u*bev*ext",[2]OUT_TransportEnergyCons!$A$4:$A$10000))*1,[2]OUT_TransportEnergyCons!H$4:H$10000))*1000</f>
        <v>0</v>
      </c>
      <c r="K1955" s="1" cm="1">
        <f t="array" ref="K1955">(SUMPRODUCT(("Var_Cap"=[2]OUT_TransportEnergyCons!$B$4:$B$10000)*1,ISNUMBER(SEARCH("T_B_u*bev*ext",[2]OUT_TransportEnergyCons!$A$4:$A$10000))*1,[2]OUT_TransportEnergyCons!I$4:I$10000))*1000</f>
        <v>0</v>
      </c>
      <c r="L1955" s="1" cm="1">
        <f t="array" ref="L1955">(SUMPRODUCT(("Var_Cap"=[2]OUT_TransportEnergyCons!$B$4:$B$10000)*1,ISNUMBER(SEARCH("T_B_u*bev*ext",[2]OUT_TransportEnergyCons!$A$4:$A$10000))*1,[2]OUT_TransportEnergyCons!J$4:J$10000))*1000</f>
        <v>0</v>
      </c>
      <c r="N1955" s="1"/>
    </row>
    <row r="1956" spans="2:14" x14ac:dyDescent="0.35">
      <c r="B1956" s="5" t="str">
        <f t="shared" si="2039"/>
        <v>SPS1</v>
      </c>
      <c r="C1956" s="5" t="str">
        <f t="shared" si="2040"/>
        <v>CH</v>
      </c>
      <c r="D1956" t="s">
        <v>1979</v>
      </c>
      <c r="E1956" t="s">
        <v>1999</v>
      </c>
      <c r="F1956" s="1" cm="1">
        <f t="array" ref="F1956">(SUMPRODUCT(("Var_Cap"=[1]OUT_TransportEnergyCons!$B$4:$B$10000)*1,ISNUMBER(SEARCH("T_B_u*bev*s1",[1]OUT_TransportEnergyCons!$A$4:$A$10000))*1,[1]OUT_TransportEnergyCons!D$4:D$10000))*1000</f>
        <v>3.02390998593531E-5</v>
      </c>
      <c r="G1956" s="1" cm="1">
        <f t="array" ref="G1956">(SUMPRODUCT(("Var_Cap"=[1]OUT_TransportEnergyCons!$B$4:$B$10000)*1,ISNUMBER(SEARCH("T_B_u*bev*s1",[1]OUT_TransportEnergyCons!$A$4:$A$10000))*1,[1]OUT_TransportEnergyCons!E$4:E$10000))*1000</f>
        <v>7.1016019372068841E-3</v>
      </c>
      <c r="H1956" s="1" cm="1">
        <f t="array" ref="H1956">(SUMPRODUCT(("Var_Cap"=[1]OUT_TransportEnergyCons!$B$4:$B$10000)*1,ISNUMBER(SEARCH("T_B_u*bev*s1",[1]OUT_TransportEnergyCons!$A$4:$A$10000))*1,[1]OUT_TransportEnergyCons!F$4:F$10000))*1000</f>
        <v>1.5565509122354956E-2</v>
      </c>
      <c r="I1956" s="1" cm="1">
        <f t="array" ref="I1956">(SUMPRODUCT(("Var_Cap"=[1]OUT_TransportEnergyCons!$B$4:$B$10000)*1,ISNUMBER(SEARCH("T_B_u*bev*s1",[1]OUT_TransportEnergyCons!$A$4:$A$10000))*1,[1]OUT_TransportEnergyCons!G$4:G$10000))*1000</f>
        <v>2.5529858152837224</v>
      </c>
      <c r="J1956" s="1" cm="1">
        <f t="array" ref="J1956">(SUMPRODUCT(("Var_Cap"=[2]OUT_TransportEnergyCons!$B$4:$B$10000)*1,ISNUMBER(SEARCH("T_B_u*bev*s1",[2]OUT_TransportEnergyCons!$A$4:$A$10000))*1,[2]OUT_TransportEnergyCons!H$4:H$10000))*1000</f>
        <v>2.64035860708423</v>
      </c>
      <c r="K1956" s="1" cm="1">
        <f t="array" ref="K1956">(SUMPRODUCT(("Var_Cap"=[2]OUT_TransportEnergyCons!$B$4:$B$10000)*1,ISNUMBER(SEARCH("T_B_u*bev*s1",[2]OUT_TransportEnergyCons!$A$4:$A$10000))*1,[2]OUT_TransportEnergyCons!I$4:I$10000))*1000</f>
        <v>2.7990692204515764</v>
      </c>
      <c r="L1956" s="1" cm="1">
        <f t="array" ref="L1956">(SUMPRODUCT(("Var_Cap"=[2]OUT_TransportEnergyCons!$B$4:$B$10000)*1,ISNUMBER(SEARCH("T_B_u*bev*s1",[2]OUT_TransportEnergyCons!$A$4:$A$10000))*1,[2]OUT_TransportEnergyCons!J$4:J$10000))*1000</f>
        <v>3.1712568983103684</v>
      </c>
      <c r="N1956" s="1"/>
    </row>
    <row r="1957" spans="2:14" x14ac:dyDescent="0.35">
      <c r="B1957" s="5" t="str">
        <f t="shared" si="2039"/>
        <v>SPS1</v>
      </c>
      <c r="C1957" s="5" t="str">
        <f t="shared" si="2040"/>
        <v>CH</v>
      </c>
      <c r="D1957" t="s">
        <v>1980</v>
      </c>
      <c r="E1957" t="s">
        <v>1999</v>
      </c>
      <c r="F1957" s="1" cm="1">
        <f t="array" ref="F1957">(SUMPRODUCT(("Var_Cap"=[1]OUT_TransportEnergyCons!$B$4:$B$10000)*1,ISNUMBER(SEARCH("T_B_u*bev*s2",[1]OUT_TransportEnergyCons!$A$4:$A$10000))*1,[1]OUT_TransportEnergyCons!D$4:D$10000))*1000</f>
        <v>7.820058425876927E-3</v>
      </c>
      <c r="G1957" s="1" cm="1">
        <f t="array" ref="G1957">(SUMPRODUCT(("Var_Cap"=[1]OUT_TransportEnergyCons!$B$4:$B$10000)*1,ISNUMBER(SEARCH("T_B_u*bev*s2",[1]OUT_TransportEnergyCons!$A$4:$A$10000))*1,[1]OUT_TransportEnergyCons!E$4:E$10000))*1000</f>
        <v>1.188582361780465E-2</v>
      </c>
      <c r="H1957" s="1" cm="1">
        <f t="array" ref="H1957">(SUMPRODUCT(("Var_Cap"=[1]OUT_TransportEnergyCons!$B$4:$B$10000)*1,ISNUMBER(SEARCH("T_B_u*bev*s2",[1]OUT_TransportEnergyCons!$A$4:$A$10000))*1,[1]OUT_TransportEnergyCons!F$4:F$10000))*1000</f>
        <v>1.6057448439340649E-2</v>
      </c>
      <c r="I1957" s="1" cm="1">
        <f t="array" ref="I1957">(SUMPRODUCT(("Var_Cap"=[1]OUT_TransportEnergyCons!$B$4:$B$10000)*1,ISNUMBER(SEARCH("T_B_u*bev*s2",[1]OUT_TransportEnergyCons!$A$4:$A$10000))*1,[1]OUT_TransportEnergyCons!G$4:G$10000))*1000</f>
        <v>0.74722772860341968</v>
      </c>
      <c r="J1957" s="1" cm="1">
        <f t="array" ref="J1957">(SUMPRODUCT(("Var_Cap"=[2]OUT_TransportEnergyCons!$B$4:$B$10000)*1,ISNUMBER(SEARCH("T_B_u*bev*s2",[2]OUT_TransportEnergyCons!$A$4:$A$10000))*1,[2]OUT_TransportEnergyCons!H$4:H$10000))*1000</f>
        <v>0.7784484931149851</v>
      </c>
      <c r="K1957" s="1" cm="1">
        <f t="array" ref="K1957">(SUMPRODUCT(("Var_Cap"=[2]OUT_TransportEnergyCons!$B$4:$B$10000)*1,ISNUMBER(SEARCH("T_B_u*bev*s2",[2]OUT_TransportEnergyCons!$A$4:$A$10000))*1,[2]OUT_TransportEnergyCons!I$4:I$10000))*1000</f>
        <v>0.81110542461803803</v>
      </c>
      <c r="L1957" s="1" cm="1">
        <f t="array" ref="L1957">(SUMPRODUCT(("Var_Cap"=[2]OUT_TransportEnergyCons!$B$4:$B$10000)*1,ISNUMBER(SEARCH("T_B_u*bev*s2",[2]OUT_TransportEnergyCons!$A$4:$A$10000))*1,[2]OUT_TransportEnergyCons!J$4:J$10000))*1000</f>
        <v>0.86829776321313246</v>
      </c>
      <c r="N1957" s="1"/>
    </row>
    <row r="1958" spans="2:14" x14ac:dyDescent="0.35">
      <c r="B1958" s="5" t="str">
        <f t="shared" si="2039"/>
        <v>SPS1</v>
      </c>
      <c r="C1958" s="5" t="str">
        <f t="shared" si="2040"/>
        <v>CH</v>
      </c>
      <c r="D1958" t="s">
        <v>1981</v>
      </c>
      <c r="E1958" t="s">
        <v>1999</v>
      </c>
      <c r="F1958" s="1" cm="1">
        <f t="array" ref="F1958">(SUMPRODUCT(("Var_Cap"=[1]OUT_TransportEnergyCons!$B$4:$B$10000)*1,ISNUMBER(SEARCH("T_B_u*bev*s3",[1]OUT_TransportEnergyCons!$A$4:$A$10000))*1,[1]OUT_TransportEnergyCons!D$4:D$10000))*1000</f>
        <v>2.6377068004953628E-2</v>
      </c>
      <c r="G1958" s="1" cm="1">
        <f t="array" ref="G1958">(SUMPRODUCT(("Var_Cap"=[1]OUT_TransportEnergyCons!$B$4:$B$10000)*1,ISNUMBER(SEARCH("T_B_u*bev*s3",[1]OUT_TransportEnergyCons!$A$4:$A$10000))*1,[1]OUT_TransportEnergyCons!E$4:E$10000))*1000</f>
        <v>3.9690668926246064E-2</v>
      </c>
      <c r="H1958" s="1" cm="1">
        <f t="array" ref="H1958">(SUMPRODUCT(("Var_Cap"=[1]OUT_TransportEnergyCons!$B$4:$B$10000)*1,ISNUMBER(SEARCH("T_B_u*bev*s3",[1]OUT_TransportEnergyCons!$A$4:$A$10000))*1,[1]OUT_TransportEnergyCons!F$4:F$10000))*1000</f>
        <v>4.009458563461122E-2</v>
      </c>
      <c r="I1958" s="1" cm="1">
        <f t="array" ref="I1958">(SUMPRODUCT(("Var_Cap"=[1]OUT_TransportEnergyCons!$B$4:$B$10000)*1,ISNUMBER(SEARCH("T_B_u*bev*s3",[1]OUT_TransportEnergyCons!$A$4:$A$10000))*1,[1]OUT_TransportEnergyCons!G$4:G$10000))*1000</f>
        <v>1.7111135631963703</v>
      </c>
      <c r="J1958" s="1" cm="1">
        <f t="array" ref="J1958">(SUMPRODUCT(("Var_Cap"=[2]OUT_TransportEnergyCons!$B$4:$B$10000)*1,ISNUMBER(SEARCH("T_B_u*bev*s3",[2]OUT_TransportEnergyCons!$A$4:$A$10000))*1,[2]OUT_TransportEnergyCons!H$4:H$10000))*1000</f>
        <v>1.4529956010523839</v>
      </c>
      <c r="K1958" s="1" cm="1">
        <f t="array" ref="K1958">(SUMPRODUCT(("Var_Cap"=[2]OUT_TransportEnergyCons!$B$4:$B$10000)*1,ISNUMBER(SEARCH("T_B_u*bev*s3",[2]OUT_TransportEnergyCons!$A$4:$A$10000))*1,[2]OUT_TransportEnergyCons!I$4:I$10000))*1000</f>
        <v>1.2615998632683401</v>
      </c>
      <c r="L1958" s="1" cm="1">
        <f t="array" ref="L1958">(SUMPRODUCT(("Var_Cap"=[2]OUT_TransportEnergyCons!$B$4:$B$10000)*1,ISNUMBER(SEARCH("T_B_u*bev*s3",[2]OUT_TransportEnergyCons!$A$4:$A$10000))*1,[2]OUT_TransportEnergyCons!J$4:J$10000))*1000</f>
        <v>0.83251974941963403</v>
      </c>
      <c r="N1958" s="1"/>
    </row>
    <row r="1959" spans="2:14" x14ac:dyDescent="0.35">
      <c r="B1959" s="5" t="str">
        <f t="shared" si="2039"/>
        <v>SPS1</v>
      </c>
      <c r="C1959" s="5" t="str">
        <f t="shared" si="2040"/>
        <v>CH</v>
      </c>
      <c r="D1959" t="s">
        <v>1982</v>
      </c>
      <c r="E1959" t="s">
        <v>1999</v>
      </c>
      <c r="F1959" s="1" cm="1">
        <f t="array" ref="F1959">(SUMPRODUCT(("Var_Cap"=[1]OUT_TransportEnergyCons!$B$4:$B$10000)*1,ISNUMBER(SEARCH("T_B_u*bev*s4",[1]OUT_TransportEnergyCons!$A$4:$A$10000))*1,[1]OUT_TransportEnergyCons!D$4:D$10000))*1000</f>
        <v>2.7795086897221001E-4</v>
      </c>
      <c r="G1959" s="1" cm="1">
        <f t="array" ref="G1959">(SUMPRODUCT(("Var_Cap"=[1]OUT_TransportEnergyCons!$B$4:$B$10000)*1,ISNUMBER(SEARCH("T_B_u*bev*s4",[1]OUT_TransportEnergyCons!$A$4:$A$10000))*1,[1]OUT_TransportEnergyCons!E$4:E$10000))*1000</f>
        <v>2.0084412177570886E-4</v>
      </c>
      <c r="H1959" s="1" cm="1">
        <f t="array" ref="H1959">(SUMPRODUCT(("Var_Cap"=[1]OUT_TransportEnergyCons!$B$4:$B$10000)*1,ISNUMBER(SEARCH("T_B_u*bev*s4",[1]OUT_TransportEnergyCons!$A$4:$A$10000))*1,[1]OUT_TransportEnergyCons!F$4:F$10000))*1000</f>
        <v>2.5328473248036407E-4</v>
      </c>
      <c r="I1959" s="1" cm="1">
        <f t="array" ref="I1959">(SUMPRODUCT(("Var_Cap"=[1]OUT_TransportEnergyCons!$B$4:$B$10000)*1,ISNUMBER(SEARCH("T_B_u*bev*s4",[1]OUT_TransportEnergyCons!$A$4:$A$10000))*1,[1]OUT_TransportEnergyCons!G$4:G$10000))*1000</f>
        <v>1.168895304529788E-4</v>
      </c>
      <c r="J1959" s="1" cm="1">
        <f t="array" ref="J1959">(SUMPRODUCT(("Var_Cap"=[2]OUT_TransportEnergyCons!$B$4:$B$10000)*1,ISNUMBER(SEARCH("T_B_u*bev*s4",[2]OUT_TransportEnergyCons!$A$4:$A$10000))*1,[2]OUT_TransportEnergyCons!H$4:H$10000))*1000</f>
        <v>4.0223970877263301E-4</v>
      </c>
      <c r="K1959" s="1" cm="1">
        <f t="array" ref="K1959">(SUMPRODUCT(("Var_Cap"=[2]OUT_TransportEnergyCons!$B$4:$B$10000)*1,ISNUMBER(SEARCH("T_B_u*bev*s4",[2]OUT_TransportEnergyCons!$A$4:$A$10000))*1,[2]OUT_TransportEnergyCons!I$4:I$10000))*1000</f>
        <v>4.7431557901033192E-4</v>
      </c>
      <c r="L1959" s="1" cm="1">
        <f t="array" ref="L1959">(SUMPRODUCT(("Var_Cap"=[2]OUT_TransportEnergyCons!$B$4:$B$10000)*1,ISNUMBER(SEARCH("T_B_u*bev*s4",[2]OUT_TransportEnergyCons!$A$4:$A$10000))*1,[2]OUT_TransportEnergyCons!J$4:J$10000))*1000</f>
        <v>2.0770345768268399E-4</v>
      </c>
      <c r="N1959" s="1"/>
    </row>
    <row r="1960" spans="2:14" x14ac:dyDescent="0.35">
      <c r="B1960" s="5" t="str">
        <f t="shared" si="2039"/>
        <v>SPS1</v>
      </c>
      <c r="C1960" s="5" t="str">
        <f t="shared" si="2040"/>
        <v>CH</v>
      </c>
      <c r="D1960" t="s">
        <v>1983</v>
      </c>
      <c r="E1960" t="s">
        <v>1999</v>
      </c>
      <c r="F1960" s="1" cm="1">
        <f t="array" ref="F1960">(SUMPRODUCT(("Var_Cap"=[1]OUT_TransportEnergyCons!$B$4:$B$10000)*1,ISNUMBER(SEARCH("T_B_u*h2o*s1",[1]OUT_TransportEnergyCons!$A$4:$A$10000))*1,[1]OUT_TransportEnergyCons!D$4:D$10000))*1000</f>
        <v>0</v>
      </c>
      <c r="G1960" s="1" cm="1">
        <f t="array" ref="G1960">(SUMPRODUCT(("Var_Cap"=[1]OUT_TransportEnergyCons!$B$4:$B$10000)*1,ISNUMBER(SEARCH("T_B_u*h2o*s1",[1]OUT_TransportEnergyCons!$A$4:$A$10000))*1,[1]OUT_TransportEnergyCons!E$4:E$10000))*1000</f>
        <v>0</v>
      </c>
      <c r="H1960" s="1" cm="1">
        <f t="array" ref="H1960">(SUMPRODUCT(("Var_Cap"=[1]OUT_TransportEnergyCons!$B$4:$B$10000)*1,ISNUMBER(SEARCH("T_B_u*h2o*s1",[1]OUT_TransportEnergyCons!$A$4:$A$10000))*1,[1]OUT_TransportEnergyCons!F$4:F$10000))*1000</f>
        <v>0</v>
      </c>
      <c r="I1960" s="1" cm="1">
        <f t="array" ref="I1960">(SUMPRODUCT(("Var_Cap"=[1]OUT_TransportEnergyCons!$B$4:$B$10000)*1,ISNUMBER(SEARCH("T_B_u*h2o*s1",[1]OUT_TransportEnergyCons!$A$4:$A$10000))*1,[1]OUT_TransportEnergyCons!G$4:G$10000))*1000</f>
        <v>1.08702788326137E-5</v>
      </c>
      <c r="J1960" s="1" cm="1">
        <f t="array" ref="J1960">(SUMPRODUCT(("Var_Cap"=[2]OUT_TransportEnergyCons!$B$4:$B$10000)*1,ISNUMBER(SEARCH("T_B_u*h2o*s1",[2]OUT_TransportEnergyCons!$A$4:$A$10000))*1,[2]OUT_TransportEnergyCons!H$4:H$10000))*1000</f>
        <v>5.2390093427527018E-6</v>
      </c>
      <c r="K1960" s="1" cm="1">
        <f t="array" ref="K1960">(SUMPRODUCT(("Var_Cap"=[2]OUT_TransportEnergyCons!$B$4:$B$10000)*1,ISNUMBER(SEARCH("T_B_u*h2o*s1",[2]OUT_TransportEnergyCons!$A$4:$A$10000))*1,[2]OUT_TransportEnergyCons!I$4:I$10000))*1000</f>
        <v>3.1182223075024398E-6</v>
      </c>
      <c r="L1960" s="1" cm="1">
        <f t="array" ref="L1960">(SUMPRODUCT(("Var_Cap"=[2]OUT_TransportEnergyCons!$B$4:$B$10000)*1,ISNUMBER(SEARCH("T_B_u*h2o*s1",[2]OUT_TransportEnergyCons!$A$4:$A$10000))*1,[2]OUT_TransportEnergyCons!J$4:J$10000))*1000</f>
        <v>0</v>
      </c>
      <c r="N1960" s="1"/>
    </row>
    <row r="1961" spans="2:14" x14ac:dyDescent="0.35">
      <c r="B1961" s="5" t="str">
        <f t="shared" si="2039"/>
        <v>SPS1</v>
      </c>
      <c r="C1961" s="5" t="str">
        <f t="shared" si="2040"/>
        <v>CH</v>
      </c>
      <c r="D1961" t="s">
        <v>1984</v>
      </c>
      <c r="E1961" t="s">
        <v>1999</v>
      </c>
      <c r="F1961" s="1" cm="1">
        <f t="array" ref="F1961">IF((SUMPRODUCT(("Var_Cap"=[1]OUT_TransportEnergyCons!$B$4:$B$10000)*1,ISNUMBER(SEARCH("T_B_u*h2o*s2",[1]OUT_TransportEnergyCons!$A$4:$A$10000))*1,[1]OUT_TransportEnergyCons!D$4:D$10000))*1000&lt;0,0,(SUMPRODUCT(("Var_Cap"=[1]OUT_TransportEnergyCons!$B$4:$B$10000)*1,ISNUMBER(SEARCH("T_B_u*h2o*s2",[1]OUT_TransportEnergyCons!$A$4:$A$10000))*1,[1]OUT_TransportEnergyCons!D$4:D$10000))*1000)</f>
        <v>0</v>
      </c>
      <c r="G1961" s="1" cm="1">
        <f t="array" ref="G1961">IF((SUMPRODUCT(("Var_Cap"=[1]OUT_TransportEnergyCons!$B$4:$B$10000)*1,ISNUMBER(SEARCH("T_B_u*h2o*s2",[1]OUT_TransportEnergyCons!$A$4:$A$10000))*1,[1]OUT_TransportEnergyCons!E$4:E$10000))*1000&lt;0,0,(SUMPRODUCT(("Var_Cap"=[1]OUT_TransportEnergyCons!$B$4:$B$10000)*1,ISNUMBER(SEARCH("T_B_u*h2o*s2",[1]OUT_TransportEnergyCons!$A$4:$A$10000))*1,[1]OUT_TransportEnergyCons!E$4:E$10000))*1000)</f>
        <v>0</v>
      </c>
      <c r="H1961" s="1" cm="1">
        <f t="array" ref="H1961">IF((SUMPRODUCT(("Var_Cap"=[1]OUT_TransportEnergyCons!$B$4:$B$10000)*1,ISNUMBER(SEARCH("T_B_u*h2o*s2",[1]OUT_TransportEnergyCons!$A$4:$A$10000))*1,[1]OUT_TransportEnergyCons!F$4:F$10000))*1000&lt;0,0,(SUMPRODUCT(("Var_Cap"=[1]OUT_TransportEnergyCons!$B$4:$B$10000)*1,ISNUMBER(SEARCH("T_B_u*h2o*s2",[1]OUT_TransportEnergyCons!$A$4:$A$10000))*1,[1]OUT_TransportEnergyCons!F$4:F$10000))*1000)</f>
        <v>0</v>
      </c>
      <c r="I1961" s="1" cm="1">
        <f t="array" ref="I1961">IF((SUMPRODUCT(("Var_Cap"=[1]OUT_TransportEnergyCons!$B$4:$B$10000)*1,ISNUMBER(SEARCH("T_B_u*h2o*s2",[1]OUT_TransportEnergyCons!$A$4:$A$10000))*1,[1]OUT_TransportEnergyCons!G$4:G$10000))*1000&lt;0,0,(SUMPRODUCT(("Var_Cap"=[1]OUT_TransportEnergyCons!$B$4:$B$10000)*1,ISNUMBER(SEARCH("T_B_u*h2o*s2",[1]OUT_TransportEnergyCons!$A$4:$A$10000))*1,[1]OUT_TransportEnergyCons!G$4:G$10000))*1000)</f>
        <v>0</v>
      </c>
      <c r="J1961" s="1" cm="1">
        <f t="array" ref="J1961">IF((SUMPRODUCT(("Var_Cap"=[2]OUT_TransportEnergyCons!$B$4:$B$10000)*1,ISNUMBER(SEARCH("T_B_u*h2o*s2",[2]OUT_TransportEnergyCons!$A$4:$A$10000))*1,[2]OUT_TransportEnergyCons!H$4:H$10000))*1000&lt;0,0,(SUMPRODUCT(("Var_Cap"=[2]OUT_TransportEnergyCons!$B$4:$B$10000)*1,ISNUMBER(SEARCH("T_B_u*h2o*s2",[2]OUT_TransportEnergyCons!$A$4:$A$10000))*1,[2]OUT_TransportEnergyCons!H$4:H$10000))*1000)</f>
        <v>1.01958345510272E-5</v>
      </c>
      <c r="K1961" s="1" cm="1">
        <f t="array" ref="K1961">IF((SUMPRODUCT(("Var_Cap"=[2]OUT_TransportEnergyCons!$B$4:$B$10000)*1,ISNUMBER(SEARCH("T_B_u*h2o*s2",[2]OUT_TransportEnergyCons!$A$4:$A$10000))*1,[2]OUT_TransportEnergyCons!I$4:I$10000))*1000&lt;0,0,(SUMPRODUCT(("Var_Cap"=[2]OUT_TransportEnergyCons!$B$4:$B$10000)*1,ISNUMBER(SEARCH("T_B_u*h2o*s2",[2]OUT_TransportEnergyCons!$A$4:$A$10000))*1,[2]OUT_TransportEnergyCons!I$4:I$10000))*1000)</f>
        <v>1.8059058249296099E-6</v>
      </c>
      <c r="L1961" s="1" cm="1">
        <f t="array" ref="L1961">IF((SUMPRODUCT(("Var_Cap"=[2]OUT_TransportEnergyCons!$B$4:$B$10000)*1,ISNUMBER(SEARCH("T_B_u*h2o*s2",[2]OUT_TransportEnergyCons!$A$4:$A$10000))*1,[2]OUT_TransportEnergyCons!J$4:J$10000))*1000&lt;0,0,(SUMPRODUCT(("Var_Cap"=[2]OUT_TransportEnergyCons!$B$4:$B$10000)*1,ISNUMBER(SEARCH("T_B_u*h2o*s2",[2]OUT_TransportEnergyCons!$A$4:$A$10000))*1,[2]OUT_TransportEnergyCons!J$4:J$10000))*1000)</f>
        <v>0</v>
      </c>
      <c r="N1961" s="1"/>
    </row>
    <row r="1962" spans="2:14" x14ac:dyDescent="0.35">
      <c r="B1962" s="5" t="str">
        <f t="shared" si="2039"/>
        <v>SPS1</v>
      </c>
      <c r="C1962" s="5" t="str">
        <f t="shared" si="2040"/>
        <v>CH</v>
      </c>
      <c r="D1962" t="s">
        <v>1985</v>
      </c>
      <c r="E1962" t="s">
        <v>1999</v>
      </c>
      <c r="F1962" s="1" cm="1">
        <f t="array" ref="F1962">IF((SUMPRODUCT(("Var_Cap"=[1]OUT_TransportEnergyCons!$B$4:$B$10000)*1,ISNUMBER(SEARCH("T_B_u*h2o*s3",[1]OUT_TransportEnergyCons!$A$4:$A$10000))*1,[1]OUT_TransportEnergyCons!D$4:D$10000))*1000&lt;0,0,(SUMPRODUCT(("Var_Cap"=[1]OUT_TransportEnergyCons!$B$4:$B$10000)*1,ISNUMBER(SEARCH("T_B_u*h2o*s3",[1]OUT_TransportEnergyCons!$A$4:$A$10000))*1,[1]OUT_TransportEnergyCons!D$4:D$10000))*1000)</f>
        <v>0</v>
      </c>
      <c r="G1962" s="1" cm="1">
        <f t="array" ref="G1962">IF((SUMPRODUCT(("Var_Cap"=[1]OUT_TransportEnergyCons!$B$4:$B$10000)*1,ISNUMBER(SEARCH("T_B_u*h2o*s3",[1]OUT_TransportEnergyCons!$A$4:$A$10000))*1,[1]OUT_TransportEnergyCons!E$4:E$10000))*1000&lt;0,0,(SUMPRODUCT(("Var_Cap"=[1]OUT_TransportEnergyCons!$B$4:$B$10000)*1,ISNUMBER(SEARCH("T_B_u*h2o*s3",[1]OUT_TransportEnergyCons!$A$4:$A$10000))*1,[1]OUT_TransportEnergyCons!E$4:E$10000))*1000)</f>
        <v>0</v>
      </c>
      <c r="H1962" s="1" cm="1">
        <f t="array" ref="H1962">IF((SUMPRODUCT(("Var_Cap"=[1]OUT_TransportEnergyCons!$B$4:$B$10000)*1,ISNUMBER(SEARCH("T_B_u*h2o*s3",[1]OUT_TransportEnergyCons!$A$4:$A$10000))*1,[1]OUT_TransportEnergyCons!F$4:F$10000))*1000&lt;0,0,(SUMPRODUCT(("Var_Cap"=[1]OUT_TransportEnergyCons!$B$4:$B$10000)*1,ISNUMBER(SEARCH("T_B_u*h2o*s3",[1]OUT_TransportEnergyCons!$A$4:$A$10000))*1,[1]OUT_TransportEnergyCons!F$4:F$10000))*1000)</f>
        <v>0</v>
      </c>
      <c r="I1962" s="1" cm="1">
        <f t="array" ref="I1962">IF((SUMPRODUCT(("Var_Cap"=[1]OUT_TransportEnergyCons!$B$4:$B$10000)*1,ISNUMBER(SEARCH("T_B_u*h2o*s3",[1]OUT_TransportEnergyCons!$A$4:$A$10000))*1,[1]OUT_TransportEnergyCons!G$4:G$10000))*1000&lt;0,0,(SUMPRODUCT(("Var_Cap"=[1]OUT_TransportEnergyCons!$B$4:$B$10000)*1,ISNUMBER(SEARCH("T_B_u*h2o*s3",[1]OUT_TransportEnergyCons!$A$4:$A$10000))*1,[1]OUT_TransportEnergyCons!G$4:G$10000))*1000)</f>
        <v>1.04212997327227E-5</v>
      </c>
      <c r="J1962" s="1" cm="1">
        <f t="array" ref="J1962">IF((SUMPRODUCT(("Var_Cap"=[2]OUT_TransportEnergyCons!$B$4:$B$10000)*1,ISNUMBER(SEARCH("T_B_u*h2o*s3",[2]OUT_TransportEnergyCons!$A$4:$A$10000))*1,[2]OUT_TransportEnergyCons!H$4:H$10000))*1000&lt;0,0,(SUMPRODUCT(("Var_Cap"=[2]OUT_TransportEnergyCons!$B$4:$B$10000)*1,ISNUMBER(SEARCH("T_B_u*h2o*s3",[2]OUT_TransportEnergyCons!$A$4:$A$10000))*1,[2]OUT_TransportEnergyCons!H$4:H$10000))*1000)</f>
        <v>0</v>
      </c>
      <c r="K1962" s="1" cm="1">
        <f t="array" ref="K1962">IF((SUMPRODUCT(("Var_Cap"=[2]OUT_TransportEnergyCons!$B$4:$B$10000)*1,ISNUMBER(SEARCH("T_B_u*h2o*s3",[2]OUT_TransportEnergyCons!$A$4:$A$10000))*1,[2]OUT_TransportEnergyCons!I$4:I$10000))*1000&lt;0,0,(SUMPRODUCT(("Var_Cap"=[2]OUT_TransportEnergyCons!$B$4:$B$10000)*1,ISNUMBER(SEARCH("T_B_u*h2o*s3",[2]OUT_TransportEnergyCons!$A$4:$A$10000))*1,[2]OUT_TransportEnergyCons!I$4:I$10000))*1000)</f>
        <v>0</v>
      </c>
      <c r="L1962" s="1" cm="1">
        <f t="array" ref="L1962">IF((SUMPRODUCT(("Var_Cap"=[2]OUT_TransportEnergyCons!$B$4:$B$10000)*1,ISNUMBER(SEARCH("T_B_u*h2o*s3",[2]OUT_TransportEnergyCons!$A$4:$A$10000))*1,[2]OUT_TransportEnergyCons!J$4:J$10000))*1000&lt;0,0,(SUMPRODUCT(("Var_Cap"=[2]OUT_TransportEnergyCons!$B$4:$B$10000)*1,ISNUMBER(SEARCH("T_B_u*h2o*s3",[2]OUT_TransportEnergyCons!$A$4:$A$10000))*1,[2]OUT_TransportEnergyCons!J$4:J$10000))*1000)</f>
        <v>0</v>
      </c>
      <c r="N1962" s="1"/>
    </row>
    <row r="1963" spans="2:14" x14ac:dyDescent="0.35">
      <c r="B1963" s="5" t="str">
        <f t="shared" si="2039"/>
        <v>SPS1</v>
      </c>
      <c r="C1963" s="5" t="str">
        <f t="shared" si="2040"/>
        <v>CH</v>
      </c>
      <c r="D1963" t="s">
        <v>1986</v>
      </c>
      <c r="E1963" t="s">
        <v>1999</v>
      </c>
      <c r="F1963" s="1" cm="1">
        <f t="array" ref="F1963">IF((SUMPRODUCT(("Var_Cap"=[1]OUT_TransportEnergyCons!$B$4:$B$10000)*1,ISNUMBER(SEARCH("T_B_u*h2o*s4",[1]OUT_TransportEnergyCons!$A$4:$A$10000))*1,[1]OUT_TransportEnergyCons!D$4:D$10000))*1000&lt;0,0,(SUMPRODUCT(("Var_Cap"=[1]OUT_TransportEnergyCons!$B$4:$B$10000)*1,ISNUMBER(SEARCH("T_B_u*h2o*s4",[1]OUT_TransportEnergyCons!$A$4:$A$10000))*1,[1]OUT_TransportEnergyCons!D$4:D$10000))*1000)</f>
        <v>0</v>
      </c>
      <c r="G1963" s="1" cm="1">
        <f t="array" ref="G1963">IF((SUMPRODUCT(("Var_Cap"=[1]OUT_TransportEnergyCons!$B$4:$B$10000)*1,ISNUMBER(SEARCH("T_B_u*h2o*s4",[1]OUT_TransportEnergyCons!$A$4:$A$10000))*1,[1]OUT_TransportEnergyCons!E$4:E$10000))*1000&lt;0,0,(SUMPRODUCT(("Var_Cap"=[1]OUT_TransportEnergyCons!$B$4:$B$10000)*1,ISNUMBER(SEARCH("T_B_u*h2o*s4",[1]OUT_TransportEnergyCons!$A$4:$A$10000))*1,[1]OUT_TransportEnergyCons!E$4:E$10000))*1000)</f>
        <v>0</v>
      </c>
      <c r="H1963" s="1" cm="1">
        <f t="array" ref="H1963">IF((SUMPRODUCT(("Var_Cap"=[1]OUT_TransportEnergyCons!$B$4:$B$10000)*1,ISNUMBER(SEARCH("T_B_u*h2o*s4",[1]OUT_TransportEnergyCons!$A$4:$A$10000))*1,[1]OUT_TransportEnergyCons!F$4:F$10000))*1000&lt;0,0,(SUMPRODUCT(("Var_Cap"=[1]OUT_TransportEnergyCons!$B$4:$B$10000)*1,ISNUMBER(SEARCH("T_B_u*h2o*s4",[1]OUT_TransportEnergyCons!$A$4:$A$10000))*1,[1]OUT_TransportEnergyCons!F$4:F$10000))*1000)</f>
        <v>0</v>
      </c>
      <c r="I1963" s="1" cm="1">
        <f t="array" ref="I1963">IF((SUMPRODUCT(("Var_Cap"=[1]OUT_TransportEnergyCons!$B$4:$B$10000)*1,ISNUMBER(SEARCH("T_B_u*h2o*s4",[1]OUT_TransportEnergyCons!$A$4:$A$10000))*1,[1]OUT_TransportEnergyCons!G$4:G$10000))*1000&lt;0,0,(SUMPRODUCT(("Var_Cap"=[1]OUT_TransportEnergyCons!$B$4:$B$10000)*1,ISNUMBER(SEARCH("T_B_u*h2o*s4",[1]OUT_TransportEnergyCons!$A$4:$A$10000))*1,[1]OUT_TransportEnergyCons!G$4:G$10000))*1000)</f>
        <v>0</v>
      </c>
      <c r="J1963" s="1" cm="1">
        <f t="array" ref="J1963">IF((SUMPRODUCT(("Var_Cap"=[2]OUT_TransportEnergyCons!$B$4:$B$10000)*1,ISNUMBER(SEARCH("T_B_u*h2o*s4",[2]OUT_TransportEnergyCons!$A$4:$A$10000))*1,[2]OUT_TransportEnergyCons!H$4:H$10000))*1000&lt;0,0,(SUMPRODUCT(("Var_Cap"=[2]OUT_TransportEnergyCons!$B$4:$B$10000)*1,ISNUMBER(SEARCH("T_B_u*h2o*s4",[2]OUT_TransportEnergyCons!$A$4:$A$10000))*1,[2]OUT_TransportEnergyCons!H$4:H$10000))*1000)</f>
        <v>0</v>
      </c>
      <c r="K1963" s="1" cm="1">
        <f t="array" ref="K1963">IF((SUMPRODUCT(("Var_Cap"=[2]OUT_TransportEnergyCons!$B$4:$B$10000)*1,ISNUMBER(SEARCH("T_B_u*h2o*s4",[2]OUT_TransportEnergyCons!$A$4:$A$10000))*1,[2]OUT_TransportEnergyCons!I$4:I$10000))*1000&lt;0,0,(SUMPRODUCT(("Var_Cap"=[2]OUT_TransportEnergyCons!$B$4:$B$10000)*1,ISNUMBER(SEARCH("T_B_u*h2o*s4",[2]OUT_TransportEnergyCons!$A$4:$A$10000))*1,[2]OUT_TransportEnergyCons!I$4:I$10000))*1000)</f>
        <v>0</v>
      </c>
      <c r="L1963" s="1" cm="1">
        <f t="array" ref="L1963">IF((SUMPRODUCT(("Var_Cap"=[2]OUT_TransportEnergyCons!$B$4:$B$10000)*1,ISNUMBER(SEARCH("T_B_u*h2o*s4",[2]OUT_TransportEnergyCons!$A$4:$A$10000))*1,[2]OUT_TransportEnergyCons!J$4:J$10000))*1000&lt;0,0,(SUMPRODUCT(("Var_Cap"=[2]OUT_TransportEnergyCons!$B$4:$B$10000)*1,ISNUMBER(SEARCH("T_B_u*h2o*s4",[2]OUT_TransportEnergyCons!$A$4:$A$10000))*1,[2]OUT_TransportEnergyCons!J$4:J$10000))*1000)</f>
        <v>0</v>
      </c>
      <c r="N1963" s="1"/>
    </row>
    <row r="1964" spans="2:14" x14ac:dyDescent="0.35">
      <c r="B1964" s="5" t="str">
        <f t="shared" si="2039"/>
        <v>SPS1</v>
      </c>
      <c r="C1964" s="5" t="str">
        <f t="shared" si="2040"/>
        <v>CH</v>
      </c>
      <c r="D1964" t="s">
        <v>1987</v>
      </c>
      <c r="E1964" t="s">
        <v>1999</v>
      </c>
      <c r="F1964" s="1" cm="1">
        <f t="array" ref="F1964">(SUMPRODUCT(("Var_Cap"=[1]OUT_TransportEnergyCons!$B$4:$B$10000)*1,ISNUMBER(SEARCH("T_B_u*hyb*DSL*s1",[1]OUT_TransportEnergyCons!$A$4:$A$10000))*1,[1]OUT_TransportEnergyCons!D$4:D$10000))*1000</f>
        <v>0</v>
      </c>
      <c r="G1964" s="1" cm="1">
        <f t="array" ref="G1964">(SUMPRODUCT(("Var_Cap"=[1]OUT_TransportEnergyCons!$B$4:$B$10000)*1,ISNUMBER(SEARCH("T_B_u*hyb*DSL*s1",[1]OUT_TransportEnergyCons!$A$4:$A$10000))*1,[1]OUT_TransportEnergyCons!E$4:E$10000))*1000</f>
        <v>0.64370296065702992</v>
      </c>
      <c r="H1964" s="1" cm="1">
        <f t="array" ref="H1964">(SUMPRODUCT(("Var_Cap"=[1]OUT_TransportEnergyCons!$B$4:$B$10000)*1,ISNUMBER(SEARCH("T_B_u*hyb*DSL*s1",[1]OUT_TransportEnergyCons!$A$4:$A$10000))*1,[1]OUT_TransportEnergyCons!F$4:F$10000))*1000</f>
        <v>0.64435305530195297</v>
      </c>
      <c r="I1964" s="1" cm="1">
        <f t="array" ref="I1964">(SUMPRODUCT(("Var_Cap"=[1]OUT_TransportEnergyCons!$B$4:$B$10000)*1,ISNUMBER(SEARCH("T_B_u*hyb*DSL*s1",[1]OUT_TransportEnergyCons!$A$4:$A$10000))*1,[1]OUT_TransportEnergyCons!G$4:G$10000))*1000</f>
        <v>4.6463631685493469E-4</v>
      </c>
      <c r="J1964" s="1" cm="1">
        <f t="array" ref="J1964">(SUMPRODUCT(("Var_Cap"=[2]OUT_TransportEnergyCons!$B$4:$B$10000)*1,ISNUMBER(SEARCH("T_B_u*hyb*DSL*s1",[2]OUT_TransportEnergyCons!$A$4:$A$10000))*1,[2]OUT_TransportEnergyCons!H$4:H$10000))*1000</f>
        <v>3.8973237552744418E-3</v>
      </c>
      <c r="K1964" s="1" cm="1">
        <f t="array" ref="K1964">(SUMPRODUCT(("Var_Cap"=[2]OUT_TransportEnergyCons!$B$4:$B$10000)*1,ISNUMBER(SEARCH("T_B_u*hyb*DSL*s1",[2]OUT_TransportEnergyCons!$A$4:$A$10000))*1,[2]OUT_TransportEnergyCons!I$4:I$10000))*1000</f>
        <v>4.8945522555302844E-3</v>
      </c>
      <c r="L1964" s="1" cm="1">
        <f t="array" ref="L1964">(SUMPRODUCT(("Var_Cap"=[2]OUT_TransportEnergyCons!$B$4:$B$10000)*1,ISNUMBER(SEARCH("T_B_u*hyb*DSL*s1",[2]OUT_TransportEnergyCons!$A$4:$A$10000))*1,[2]OUT_TransportEnergyCons!J$4:J$10000))*1000</f>
        <v>6.0597849410561717E-3</v>
      </c>
      <c r="N1964" s="1"/>
    </row>
    <row r="1965" spans="2:14" x14ac:dyDescent="0.35">
      <c r="B1965" s="5" t="str">
        <f t="shared" si="2039"/>
        <v>SPS1</v>
      </c>
      <c r="C1965" s="5" t="str">
        <f t="shared" si="2040"/>
        <v>CH</v>
      </c>
      <c r="D1965" t="s">
        <v>1988</v>
      </c>
      <c r="E1965" t="s">
        <v>1999</v>
      </c>
      <c r="F1965" s="1" cm="1">
        <f t="array" ref="F1965">IF((SUMPRODUCT(("Var_Cap"=[1]OUT_TransportEnergyCons!$B$4:$B$10000)*1,ISNUMBER(SEARCH("T_B_u*hyb*DSL*s2",[1]OUT_TransportEnergyCons!$A$4:$A$10000))*1,[1]OUT_TransportEnergyCons!D$4:D$10000))*1000&lt;0,0,(SUMPRODUCT(("Var_Cap"=[1]OUT_TransportEnergyCons!$B$4:$B$10000)*1,ISNUMBER(SEARCH("T_B_u*hyb*DSL*s2",[1]OUT_TransportEnergyCons!$A$4:$A$10000))*1,[1]OUT_TransportEnergyCons!D$4:D$10000))*1000)</f>
        <v>0</v>
      </c>
      <c r="G1965" s="1" cm="1">
        <f t="array" ref="G1965">IF((SUMPRODUCT(("Var_Cap"=[1]OUT_TransportEnergyCons!$B$4:$B$10000)*1,ISNUMBER(SEARCH("T_B_u*hyb*DSL*s2",[1]OUT_TransportEnergyCons!$A$4:$A$10000))*1,[1]OUT_TransportEnergyCons!E$4:E$10000))*1000&lt;0,0,(SUMPRODUCT(("Var_Cap"=[1]OUT_TransportEnergyCons!$B$4:$B$10000)*1,ISNUMBER(SEARCH("T_B_u*hyb*DSL*s2",[1]OUT_TransportEnergyCons!$A$4:$A$10000))*1,[1]OUT_TransportEnergyCons!E$4:E$10000))*1000)</f>
        <v>7.70802518485074E-4</v>
      </c>
      <c r="H1965" s="1" cm="1">
        <f t="array" ref="H1965">IF((SUMPRODUCT(("Var_Cap"=[1]OUT_TransportEnergyCons!$B$4:$B$10000)*1,ISNUMBER(SEARCH("T_B_u*hyb*DSL*s2",[1]OUT_TransportEnergyCons!$A$4:$A$10000))*1,[1]OUT_TransportEnergyCons!F$4:F$10000))*1000&lt;0,0,(SUMPRODUCT(("Var_Cap"=[1]OUT_TransportEnergyCons!$B$4:$B$10000)*1,ISNUMBER(SEARCH("T_B_u*hyb*DSL*s2",[1]OUT_TransportEnergyCons!$A$4:$A$10000))*1,[1]OUT_TransportEnergyCons!F$4:F$10000))*1000)</f>
        <v>1.0434172177505299E-3</v>
      </c>
      <c r="I1965" s="1" cm="1">
        <f t="array" ref="I1965">IF((SUMPRODUCT(("Var_Cap"=[1]OUT_TransportEnergyCons!$B$4:$B$10000)*1,ISNUMBER(SEARCH("T_B_u*hyb*DSL*s2",[1]OUT_TransportEnergyCons!$A$4:$A$10000))*1,[1]OUT_TransportEnergyCons!G$4:G$10000))*1000&lt;0,0,(SUMPRODUCT(("Var_Cap"=[1]OUT_TransportEnergyCons!$B$4:$B$10000)*1,ISNUMBER(SEARCH("T_B_u*hyb*DSL*s2",[1]OUT_TransportEnergyCons!$A$4:$A$10000))*1,[1]OUT_TransportEnergyCons!G$4:G$10000))*1000)</f>
        <v>5.3539743581189391E-4</v>
      </c>
      <c r="J1965" s="1" cm="1">
        <f t="array" ref="J1965">IF((SUMPRODUCT(("Var_Cap"=[2]OUT_TransportEnergyCons!$B$4:$B$10000)*1,ISNUMBER(SEARCH("T_B_u*hyb*DSL*s2",[2]OUT_TransportEnergyCons!$A$4:$A$10000))*1,[2]OUT_TransportEnergyCons!H$4:H$10000))*1000&lt;0,0,(SUMPRODUCT(("Var_Cap"=[2]OUT_TransportEnergyCons!$B$4:$B$10000)*1,ISNUMBER(SEARCH("T_B_u*hyb*DSL*s2",[2]OUT_TransportEnergyCons!$A$4:$A$10000))*1,[2]OUT_TransportEnergyCons!H$4:H$10000))*1000)</f>
        <v>2.672691715245245E-3</v>
      </c>
      <c r="K1965" s="1" cm="1">
        <f t="array" ref="K1965">IF((SUMPRODUCT(("Var_Cap"=[2]OUT_TransportEnergyCons!$B$4:$B$10000)*1,ISNUMBER(SEARCH("T_B_u*hyb*DSL*s2",[2]OUT_TransportEnergyCons!$A$4:$A$10000))*1,[2]OUT_TransportEnergyCons!I$4:I$10000))*1000&lt;0,0,(SUMPRODUCT(("Var_Cap"=[2]OUT_TransportEnergyCons!$B$4:$B$10000)*1,ISNUMBER(SEARCH("T_B_u*hyb*DSL*s2",[2]OUT_TransportEnergyCons!$A$4:$A$10000))*1,[2]OUT_TransportEnergyCons!I$4:I$10000))*1000)</f>
        <v>2.9974714064202402E-3</v>
      </c>
      <c r="L1965" s="1" cm="1">
        <f t="array" ref="L1965">IF((SUMPRODUCT(("Var_Cap"=[2]OUT_TransportEnergyCons!$B$4:$B$10000)*1,ISNUMBER(SEARCH("T_B_u*hyb*DSL*s2",[2]OUT_TransportEnergyCons!$A$4:$A$10000))*1,[2]OUT_TransportEnergyCons!J$4:J$10000))*1000&lt;0,0,(SUMPRODUCT(("Var_Cap"=[2]OUT_TransportEnergyCons!$B$4:$B$10000)*1,ISNUMBER(SEARCH("T_B_u*hyb*DSL*s2",[2]OUT_TransportEnergyCons!$A$4:$A$10000))*1,[2]OUT_TransportEnergyCons!J$4:J$10000))*1000)</f>
        <v>2.3865845933307801E-3</v>
      </c>
      <c r="N1965" s="1"/>
    </row>
    <row r="1966" spans="2:14" x14ac:dyDescent="0.35">
      <c r="B1966" s="5" t="str">
        <f t="shared" si="2039"/>
        <v>SPS1</v>
      </c>
      <c r="C1966" s="5" t="str">
        <f t="shared" si="2040"/>
        <v>CH</v>
      </c>
      <c r="D1966" t="s">
        <v>1989</v>
      </c>
      <c r="E1966" t="s">
        <v>1999</v>
      </c>
      <c r="F1966" s="1" cm="1">
        <f t="array" ref="F1966">IF((SUMPRODUCT(("Var_Cap"=[1]OUT_TransportEnergyCons!$B$4:$B$10000)*1,ISNUMBER(SEARCH("T_B_u*hyb*DSL*s3",[1]OUT_TransportEnergyCons!$A$4:$A$10000))*1,[1]OUT_TransportEnergyCons!D$4:D$10000))*1000&lt;0,0,(SUMPRODUCT(("Var_Cap"=[1]OUT_TransportEnergyCons!$B$4:$B$10000)*1,ISNUMBER(SEARCH("T_B_u*hyb*DSL*s3",[1]OUT_TransportEnergyCons!$A$4:$A$10000))*1,[1]OUT_TransportEnergyCons!D$4:D$10000))*1000)</f>
        <v>0</v>
      </c>
      <c r="G1966" s="1" cm="1">
        <f t="array" ref="G1966">IF((SUMPRODUCT(("Var_Cap"=[1]OUT_TransportEnergyCons!$B$4:$B$10000)*1,ISNUMBER(SEARCH("T_B_u*hyb*DSL*s3",[1]OUT_TransportEnergyCons!$A$4:$A$10000))*1,[1]OUT_TransportEnergyCons!E$4:E$10000))*1000&lt;0,0,(SUMPRODUCT(("Var_Cap"=[1]OUT_TransportEnergyCons!$B$4:$B$10000)*1,ISNUMBER(SEARCH("T_B_u*hyb*DSL*s3",[1]OUT_TransportEnergyCons!$A$4:$A$10000))*1,[1]OUT_TransportEnergyCons!E$4:E$10000))*1000)</f>
        <v>4.2188772436559198E-2</v>
      </c>
      <c r="H1966" s="1" cm="1">
        <f t="array" ref="H1966">IF((SUMPRODUCT(("Var_Cap"=[1]OUT_TransportEnergyCons!$B$4:$B$10000)*1,ISNUMBER(SEARCH("T_B_u*hyb*DSL*s3",[1]OUT_TransportEnergyCons!$A$4:$A$10000))*1,[1]OUT_TransportEnergyCons!F$4:F$10000))*1000&lt;0,0,(SUMPRODUCT(("Var_Cap"=[1]OUT_TransportEnergyCons!$B$4:$B$10000)*1,ISNUMBER(SEARCH("T_B_u*hyb*DSL*s3",[1]OUT_TransportEnergyCons!$A$4:$A$10000))*1,[1]OUT_TransportEnergyCons!F$4:F$10000))*1000)</f>
        <v>0.87685325833195904</v>
      </c>
      <c r="I1966" s="1" cm="1">
        <f t="array" ref="I1966">IF((SUMPRODUCT(("Var_Cap"=[1]OUT_TransportEnergyCons!$B$4:$B$10000)*1,ISNUMBER(SEARCH("T_B_u*hyb*DSL*s3",[1]OUT_TransportEnergyCons!$A$4:$A$10000))*1,[1]OUT_TransportEnergyCons!G$4:G$10000))*1000&lt;0,0,(SUMPRODUCT(("Var_Cap"=[1]OUT_TransportEnergyCons!$B$4:$B$10000)*1,ISNUMBER(SEARCH("T_B_u*hyb*DSL*s3",[1]OUT_TransportEnergyCons!$A$4:$A$10000))*1,[1]OUT_TransportEnergyCons!G$4:G$10000))*1000)</f>
        <v>1.5564893900130599</v>
      </c>
      <c r="J1966" s="1" cm="1">
        <f t="array" ref="J1966">IF((SUMPRODUCT(("Var_Cap"=[2]OUT_TransportEnergyCons!$B$4:$B$10000)*1,ISNUMBER(SEARCH("T_B_u*hyb*DSL*s3",[2]OUT_TransportEnergyCons!$A$4:$A$10000))*1,[2]OUT_TransportEnergyCons!H$4:H$10000))*1000&lt;0,0,(SUMPRODUCT(("Var_Cap"=[2]OUT_TransportEnergyCons!$B$4:$B$10000)*1,ISNUMBER(SEARCH("T_B_u*hyb*DSL*s3",[2]OUT_TransportEnergyCons!$A$4:$A$10000))*1,[2]OUT_TransportEnergyCons!H$4:H$10000))*1000)</f>
        <v>1.9576057598582599</v>
      </c>
      <c r="K1966" s="1" cm="1">
        <f t="array" ref="K1966">IF((SUMPRODUCT(("Var_Cap"=[2]OUT_TransportEnergyCons!$B$4:$B$10000)*1,ISNUMBER(SEARCH("T_B_u*hyb*DSL*s3",[2]OUT_TransportEnergyCons!$A$4:$A$10000))*1,[2]OUT_TransportEnergyCons!I$4:I$10000))*1000&lt;0,0,(SUMPRODUCT(("Var_Cap"=[2]OUT_TransportEnergyCons!$B$4:$B$10000)*1,ISNUMBER(SEARCH("T_B_u*hyb*DSL*s3",[2]OUT_TransportEnergyCons!$A$4:$A$10000))*1,[2]OUT_TransportEnergyCons!I$4:I$10000))*1000)</f>
        <v>2.2938950407655998</v>
      </c>
      <c r="L1966" s="1" cm="1">
        <f t="array" ref="L1966">IF((SUMPRODUCT(("Var_Cap"=[2]OUT_TransportEnergyCons!$B$4:$B$10000)*1,ISNUMBER(SEARCH("T_B_u*hyb*DSL*s3",[2]OUT_TransportEnergyCons!$A$4:$A$10000))*1,[2]OUT_TransportEnergyCons!J$4:J$10000))*1000&lt;0,0,(SUMPRODUCT(("Var_Cap"=[2]OUT_TransportEnergyCons!$B$4:$B$10000)*1,ISNUMBER(SEARCH("T_B_u*hyb*DSL*s3",[2]OUT_TransportEnergyCons!$A$4:$A$10000))*1,[2]OUT_TransportEnergyCons!J$4:J$10000))*1000)</f>
        <v>2.9708078551964499</v>
      </c>
      <c r="N1966" s="1"/>
    </row>
    <row r="1967" spans="2:14" x14ac:dyDescent="0.35">
      <c r="B1967" s="5" t="str">
        <f t="shared" si="2039"/>
        <v>SPS1</v>
      </c>
      <c r="C1967" s="5" t="str">
        <f t="shared" si="2040"/>
        <v>CH</v>
      </c>
      <c r="D1967" t="s">
        <v>1990</v>
      </c>
      <c r="E1967" t="s">
        <v>1999</v>
      </c>
      <c r="F1967" s="1" cm="1">
        <f t="array" ref="F1967">IF((SUMPRODUCT(("Var_Cap"=[1]OUT_TransportEnergyCons!$B$4:$B$10000)*1,ISNUMBER(SEARCH("T_B_u*hyb*DSL*s4",[1]OUT_TransportEnergyCons!$A$4:$A$10000))*1,[1]OUT_TransportEnergyCons!D$4:D$10000))*1000&lt;0,0,(SUMPRODUCT(("Var_Cap"=[1]OUT_TransportEnergyCons!$B$4:$B$10000)*1,ISNUMBER(SEARCH("T_B_u*hyb*DSL*s4",[1]OUT_TransportEnergyCons!$A$4:$A$10000))*1,[1]OUT_TransportEnergyCons!D$4:D$10000))*1000)</f>
        <v>0</v>
      </c>
      <c r="G1967" s="1" cm="1">
        <f t="array" ref="G1967">IF((SUMPRODUCT(("Var_Cap"=[1]OUT_TransportEnergyCons!$B$4:$B$10000)*1,ISNUMBER(SEARCH("T_B_u*hyb*DSL*s4",[1]OUT_TransportEnergyCons!$A$4:$A$10000))*1,[1]OUT_TransportEnergyCons!E$4:E$10000))*1000&lt;0,0,(SUMPRODUCT(("Var_Cap"=[1]OUT_TransportEnergyCons!$B$4:$B$10000)*1,ISNUMBER(SEARCH("T_B_u*hyb*DSL*s4",[1]OUT_TransportEnergyCons!$A$4:$A$10000))*1,[1]OUT_TransportEnergyCons!E$4:E$10000))*1000)</f>
        <v>0</v>
      </c>
      <c r="H1967" s="1" cm="1">
        <f t="array" ref="H1967">IF((SUMPRODUCT(("Var_Cap"=[1]OUT_TransportEnergyCons!$B$4:$B$10000)*1,ISNUMBER(SEARCH("T_B_u*hyb*DSL*s4",[1]OUT_TransportEnergyCons!$A$4:$A$10000))*1,[1]OUT_TransportEnergyCons!F$4:F$10000))*1000&lt;0,0,(SUMPRODUCT(("Var_Cap"=[1]OUT_TransportEnergyCons!$B$4:$B$10000)*1,ISNUMBER(SEARCH("T_B_u*hyb*DSL*s4",[1]OUT_TransportEnergyCons!$A$4:$A$10000))*1,[1]OUT_TransportEnergyCons!F$4:F$10000))*1000)</f>
        <v>0</v>
      </c>
      <c r="I1967" s="1" cm="1">
        <f t="array" ref="I1967">IF((SUMPRODUCT(("Var_Cap"=[1]OUT_TransportEnergyCons!$B$4:$B$10000)*1,ISNUMBER(SEARCH("T_B_u*hyb*DSL*s4",[1]OUT_TransportEnergyCons!$A$4:$A$10000))*1,[1]OUT_TransportEnergyCons!G$4:G$10000))*1000&lt;0,0,(SUMPRODUCT(("Var_Cap"=[1]OUT_TransportEnergyCons!$B$4:$B$10000)*1,ISNUMBER(SEARCH("T_B_u*hyb*DSL*s4",[1]OUT_TransportEnergyCons!$A$4:$A$10000))*1,[1]OUT_TransportEnergyCons!G$4:G$10000))*1000)</f>
        <v>0</v>
      </c>
      <c r="J1967" s="1" cm="1">
        <f t="array" ref="J1967">IF((SUMPRODUCT(("Var_Cap"=[2]OUT_TransportEnergyCons!$B$4:$B$10000)*1,ISNUMBER(SEARCH("T_B_u*hyb*DSL*s4",[2]OUT_TransportEnergyCons!$A$4:$A$10000))*1,[2]OUT_TransportEnergyCons!H$4:H$10000))*1000&lt;0,0,(SUMPRODUCT(("Var_Cap"=[2]OUT_TransportEnergyCons!$B$4:$B$10000)*1,ISNUMBER(SEARCH("T_B_u*hyb*DSL*s4",[2]OUT_TransportEnergyCons!$A$4:$A$10000))*1,[2]OUT_TransportEnergyCons!H$4:H$10000))*1000)</f>
        <v>7.8463796075593789E-5</v>
      </c>
      <c r="K1967" s="1" cm="1">
        <f t="array" ref="K1967">IF((SUMPRODUCT(("Var_Cap"=[2]OUT_TransportEnergyCons!$B$4:$B$10000)*1,ISNUMBER(SEARCH("T_B_u*hyb*DSL*s4",[2]OUT_TransportEnergyCons!$A$4:$A$10000))*1,[2]OUT_TransportEnergyCons!I$4:I$10000))*1000&lt;0,0,(SUMPRODUCT(("Var_Cap"=[2]OUT_TransportEnergyCons!$B$4:$B$10000)*1,ISNUMBER(SEARCH("T_B_u*hyb*DSL*s4",[2]OUT_TransportEnergyCons!$A$4:$A$10000))*1,[2]OUT_TransportEnergyCons!I$4:I$10000))*1000)</f>
        <v>1.03473038208E-4</v>
      </c>
      <c r="L1967" s="1" cm="1">
        <f t="array" ref="L1967">IF((SUMPRODUCT(("Var_Cap"=[2]OUT_TransportEnergyCons!$B$4:$B$10000)*1,ISNUMBER(SEARCH("T_B_u*hyb*DSL*s4",[2]OUT_TransportEnergyCons!$A$4:$A$10000))*1,[2]OUT_TransportEnergyCons!J$4:J$10000))*1000&lt;0,0,(SUMPRODUCT(("Var_Cap"=[2]OUT_TransportEnergyCons!$B$4:$B$10000)*1,ISNUMBER(SEARCH("T_B_u*hyb*DSL*s4",[2]OUT_TransportEnergyCons!$A$4:$A$10000))*1,[2]OUT_TransportEnergyCons!J$4:J$10000))*1000)</f>
        <v>2.9960875943844501E-5</v>
      </c>
      <c r="N1967" s="1"/>
    </row>
    <row r="1968" spans="2:14" x14ac:dyDescent="0.35">
      <c r="B1968" s="5" t="str">
        <f t="shared" si="2039"/>
        <v>SPS1</v>
      </c>
      <c r="C1968" s="5" t="str">
        <f t="shared" si="2040"/>
        <v>CH</v>
      </c>
      <c r="D1968" t="s">
        <v>2003</v>
      </c>
      <c r="E1968" t="s">
        <v>1999</v>
      </c>
      <c r="F1968" s="1" cm="1">
        <f t="array" ref="F1968">(SUMPRODUCT(("Var_Cap"=[1]OUT_TransportEnergyCons!$B$4:$B$10000)*1,ISNUMBER(SEARCH("T_B_u*ICE*DSL*ext",[1]OUT_TransportEnergyCons!$A$4:$A$10000))*1,[1]OUT_TransportEnergyCons!D$4:D$10000))*1000</f>
        <v>4.5678362175525304</v>
      </c>
      <c r="G1968" s="1" cm="1">
        <f t="array" ref="G1968">(SUMPRODUCT(("Var_Cap"=[1]OUT_TransportEnergyCons!$B$4:$B$10000)*1,ISNUMBER(SEARCH("T_B_u*ICE*DSL*ext",[1]OUT_TransportEnergyCons!$A$4:$A$10000))*1,[1]OUT_TransportEnergyCons!E$4:E$10000))*1000</f>
        <v>3.65426897404202</v>
      </c>
      <c r="H1968" s="1" cm="1">
        <f t="array" ref="H1968">(SUMPRODUCT(("Var_Cap"=[1]OUT_TransportEnergyCons!$B$4:$B$10000)*1,ISNUMBER(SEARCH("T_B_u*ICE*DSL*ext",[1]OUT_TransportEnergyCons!$A$4:$A$10000))*1,[1]OUT_TransportEnergyCons!F$4:F$10000))*1000</f>
        <v>2.2839181087762701</v>
      </c>
      <c r="I1968" s="1" cm="1">
        <f t="array" ref="I1968">(SUMPRODUCT(("Var_Cap"=[1]OUT_TransportEnergyCons!$B$4:$B$10000)*1,ISNUMBER(SEARCH("T_B_u*ICE*DSL*ext",[1]OUT_TransportEnergyCons!$A$4:$A$10000))*1,[1]OUT_TransportEnergyCons!G$4:G$10000))*1000</f>
        <v>0</v>
      </c>
      <c r="J1968" s="1" cm="1">
        <f t="array" ref="J1968">(SUMPRODUCT(("Var_Cap"=[2]OUT_TransportEnergyCons!$B$4:$B$10000)*1,ISNUMBER(SEARCH("T_B_u*ICE*DSL*ext",[2]OUT_TransportEnergyCons!$A$4:$A$10000))*1,[2]OUT_TransportEnergyCons!H$4:H$10000))*1000</f>
        <v>0</v>
      </c>
      <c r="K1968" s="1" cm="1">
        <f t="array" ref="K1968">(SUMPRODUCT(("Var_Cap"=[2]OUT_TransportEnergyCons!$B$4:$B$10000)*1,ISNUMBER(SEARCH("T_B_u*ICE*DSL*ext",[2]OUT_TransportEnergyCons!$A$4:$A$10000))*1,[2]OUT_TransportEnergyCons!I$4:I$10000))*1000</f>
        <v>0</v>
      </c>
      <c r="L1968" s="1" cm="1">
        <f t="array" ref="L1968">(SUMPRODUCT(("Var_Cap"=[2]OUT_TransportEnergyCons!$B$4:$B$10000)*1,ISNUMBER(SEARCH("T_B_u*ICE*DSL*ext",[2]OUT_TransportEnergyCons!$A$4:$A$10000))*1,[2]OUT_TransportEnergyCons!J$4:J$10000))*1000</f>
        <v>0</v>
      </c>
      <c r="N1968" s="1"/>
    </row>
    <row r="1969" spans="2:14" x14ac:dyDescent="0.35">
      <c r="B1969" s="5" t="str">
        <f t="shared" si="2039"/>
        <v>SPS1</v>
      </c>
      <c r="C1969" s="5" t="str">
        <f t="shared" si="2040"/>
        <v>CH</v>
      </c>
      <c r="D1969" t="s">
        <v>1991</v>
      </c>
      <c r="E1969" t="s">
        <v>1999</v>
      </c>
      <c r="F1969" s="1" cm="1">
        <f t="array" ref="F1969">(SUMPRODUCT(("Var_Cap"=[1]OUT_TransportEnergyCons!$B$4:$B$10000)*1,ISNUMBER(SEARCH("T_B_u*ICE*DSL*s1",[1]OUT_TransportEnergyCons!$A$4:$A$10000))*1,[1]OUT_TransportEnergyCons!D$4:D$10000))*1000</f>
        <v>7.0464135021097002E-4</v>
      </c>
      <c r="G1969" s="1" cm="1">
        <f t="array" ref="G1969">(SUMPRODUCT(("Var_Cap"=[1]OUT_TransportEnergyCons!$B$4:$B$10000)*1,ISNUMBER(SEARCH("T_B_u*ICE*DSL*s1",[1]OUT_TransportEnergyCons!$A$4:$A$10000))*1,[1]OUT_TransportEnergyCons!E$4:E$10000))*1000</f>
        <v>5.2181227309386425E-3</v>
      </c>
      <c r="H1969" s="1" cm="1">
        <f t="array" ref="H1969">(SUMPRODUCT(("Var_Cap"=[1]OUT_TransportEnergyCons!$B$4:$B$10000)*1,ISNUMBER(SEARCH("T_B_u*ICE*DSL*s1",[1]OUT_TransportEnergyCons!$A$4:$A$10000))*1,[1]OUT_TransportEnergyCons!F$4:F$10000))*1000</f>
        <v>0.52510642038994138</v>
      </c>
      <c r="I1969" s="1" cm="1">
        <f t="array" ref="I1969">(SUMPRODUCT(("Var_Cap"=[1]OUT_TransportEnergyCons!$B$4:$B$10000)*1,ISNUMBER(SEARCH("T_B_u*ICE*DSL*s1",[1]OUT_TransportEnergyCons!$A$4:$A$10000))*1,[1]OUT_TransportEnergyCons!G$4:G$10000))*1000</f>
        <v>1.2309169790836617E-4</v>
      </c>
      <c r="J1969" s="1" cm="1">
        <f t="array" ref="J1969">(SUMPRODUCT(("Var_Cap"=[2]OUT_TransportEnergyCons!$B$4:$B$10000)*1,ISNUMBER(SEARCH("T_B_u*ICE*DSL*s1",[2]OUT_TransportEnergyCons!$A$4:$A$10000))*1,[2]OUT_TransportEnergyCons!H$4:H$10000))*1000</f>
        <v>2.1518077380155119E-6</v>
      </c>
      <c r="K1969" s="1" cm="1">
        <f t="array" ref="K1969">(SUMPRODUCT(("Var_Cap"=[2]OUT_TransportEnergyCons!$B$4:$B$10000)*1,ISNUMBER(SEARCH("T_B_u*ICE*DSL*s1",[2]OUT_TransportEnergyCons!$A$4:$A$10000))*1,[2]OUT_TransportEnergyCons!I$4:I$10000))*1000</f>
        <v>0</v>
      </c>
      <c r="L1969" s="1" cm="1">
        <f t="array" ref="L1969">(SUMPRODUCT(("Var_Cap"=[2]OUT_TransportEnergyCons!$B$4:$B$10000)*1,ISNUMBER(SEARCH("T_B_u*ICE*DSL*s1",[2]OUT_TransportEnergyCons!$A$4:$A$10000))*1,[2]OUT_TransportEnergyCons!J$4:J$10000))*1000</f>
        <v>0</v>
      </c>
      <c r="N1969" s="1"/>
    </row>
    <row r="1970" spans="2:14" x14ac:dyDescent="0.35">
      <c r="B1970" s="5" t="str">
        <f t="shared" si="2039"/>
        <v>SPS1</v>
      </c>
      <c r="C1970" s="5" t="str">
        <f t="shared" si="2040"/>
        <v>CH</v>
      </c>
      <c r="D1970" t="s">
        <v>1992</v>
      </c>
      <c r="E1970" t="s">
        <v>1999</v>
      </c>
      <c r="F1970" s="1" cm="1">
        <f t="array" ref="F1970">IF((SUMPRODUCT(("Var_Cap"=[1]OUT_TransportEnergyCons!$B$4:$B$10000)*1,ISNUMBER(SEARCH("T_B_u*ICE*DSL*s2",[1]OUT_TransportEnergyCons!$A$4:$A$10000))*1,[1]OUT_TransportEnergyCons!D$4:D$10000))*1000&lt;0,0,(SUMPRODUCT(("Var_Cap"=[1]OUT_TransportEnergyCons!$B$4:$B$10000)*1,ISNUMBER(SEARCH("T_B_u*ICE*DSL*s2",[1]OUT_TransportEnergyCons!$A$4:$A$10000))*1,[1]OUT_TransportEnergyCons!D$4:D$10000))*1000)</f>
        <v>0.18448915608925698</v>
      </c>
      <c r="G1970" s="1" cm="1">
        <f t="array" ref="G1970">IF((SUMPRODUCT(("Var_Cap"=[1]OUT_TransportEnergyCons!$B$4:$B$10000)*1,ISNUMBER(SEARCH("T_B_u*ICE*DSL*s2",[1]OUT_TransportEnergyCons!$A$4:$A$10000))*1,[1]OUT_TransportEnergyCons!E$4:E$10000))*1000&lt;0,0,(SUMPRODUCT(("Var_Cap"=[1]OUT_TransportEnergyCons!$B$4:$B$10000)*1,ISNUMBER(SEARCH("T_B_u*ICE*DSL*s2",[1]OUT_TransportEnergyCons!$A$4:$A$10000))*1,[1]OUT_TransportEnergyCons!E$4:E$10000))*1000)</f>
        <v>0.22466891402464653</v>
      </c>
      <c r="H1970" s="1" cm="1">
        <f t="array" ref="H1970">IF((SUMPRODUCT(("Var_Cap"=[1]OUT_TransportEnergyCons!$B$4:$B$10000)*1,ISNUMBER(SEARCH("T_B_u*ICE*DSL*s2",[1]OUT_TransportEnergyCons!$A$4:$A$10000))*1,[1]OUT_TransportEnergyCons!F$4:F$10000))*1000&lt;0,0,(SUMPRODUCT(("Var_Cap"=[1]OUT_TransportEnergyCons!$B$4:$B$10000)*1,ISNUMBER(SEARCH("T_B_u*ICE*DSL*s2",[1]OUT_TransportEnergyCons!$A$4:$A$10000))*1,[1]OUT_TransportEnergyCons!F$4:F$10000))*1000)</f>
        <v>0.37867198520212403</v>
      </c>
      <c r="I1970" s="1" cm="1">
        <f t="array" ref="I1970">IF((SUMPRODUCT(("Var_Cap"=[1]OUT_TransportEnergyCons!$B$4:$B$10000)*1,ISNUMBER(SEARCH("T_B_u*ICE*DSL*s2",[1]OUT_TransportEnergyCons!$A$4:$A$10000))*1,[1]OUT_TransportEnergyCons!G$4:G$10000))*1000&lt;0,0,(SUMPRODUCT(("Var_Cap"=[1]OUT_TransportEnergyCons!$B$4:$B$10000)*1,ISNUMBER(SEARCH("T_B_u*ICE*DSL*s2",[1]OUT_TransportEnergyCons!$A$4:$A$10000))*1,[1]OUT_TransportEnergyCons!G$4:G$10000))*1000)</f>
        <v>0</v>
      </c>
      <c r="J1970" s="1" cm="1">
        <f t="array" ref="J1970">IF((SUMPRODUCT(("Var_Cap"=[2]OUT_TransportEnergyCons!$B$4:$B$10000)*1,ISNUMBER(SEARCH("T_B_u*ICE*DSL*s2",[2]OUT_TransportEnergyCons!$A$4:$A$10000))*1,[2]OUT_TransportEnergyCons!H$4:H$10000))*1000&lt;0,0,(SUMPRODUCT(("Var_Cap"=[2]OUT_TransportEnergyCons!$B$4:$B$10000)*1,ISNUMBER(SEARCH("T_B_u*ICE*DSL*s2",[2]OUT_TransportEnergyCons!$A$4:$A$10000))*1,[2]OUT_TransportEnergyCons!H$4:H$10000))*1000)</f>
        <v>0</v>
      </c>
      <c r="K1970" s="1" cm="1">
        <f t="array" ref="K1970">IF((SUMPRODUCT(("Var_Cap"=[2]OUT_TransportEnergyCons!$B$4:$B$10000)*1,ISNUMBER(SEARCH("T_B_u*ICE*DSL*s2",[2]OUT_TransportEnergyCons!$A$4:$A$10000))*1,[2]OUT_TransportEnergyCons!I$4:I$10000))*1000&lt;0,0,(SUMPRODUCT(("Var_Cap"=[2]OUT_TransportEnergyCons!$B$4:$B$10000)*1,ISNUMBER(SEARCH("T_B_u*ICE*DSL*s2",[2]OUT_TransportEnergyCons!$A$4:$A$10000))*1,[2]OUT_TransportEnergyCons!I$4:I$10000))*1000)</f>
        <v>0</v>
      </c>
      <c r="L1970" s="1" cm="1">
        <f t="array" ref="L1970">IF((SUMPRODUCT(("Var_Cap"=[2]OUT_TransportEnergyCons!$B$4:$B$10000)*1,ISNUMBER(SEARCH("T_B_u*ICE*DSL*s2",[2]OUT_TransportEnergyCons!$A$4:$A$10000))*1,[2]OUT_TransportEnergyCons!J$4:J$10000))*1000&lt;0,0,(SUMPRODUCT(("Var_Cap"=[2]OUT_TransportEnergyCons!$B$4:$B$10000)*1,ISNUMBER(SEARCH("T_B_u*ICE*DSL*s2",[2]OUT_TransportEnergyCons!$A$4:$A$10000))*1,[2]OUT_TransportEnergyCons!J$4:J$10000))*1000)</f>
        <v>0</v>
      </c>
      <c r="N1970" s="1"/>
    </row>
    <row r="1971" spans="2:14" x14ac:dyDescent="0.35">
      <c r="B1971" s="5" t="str">
        <f t="shared" si="2039"/>
        <v>SPS1</v>
      </c>
      <c r="C1971" s="5" t="str">
        <f t="shared" si="2040"/>
        <v>CH</v>
      </c>
      <c r="D1971" t="s">
        <v>1993</v>
      </c>
      <c r="E1971" t="s">
        <v>1999</v>
      </c>
      <c r="F1971" s="1" cm="1">
        <f t="array" ref="F1971">IF((SUMPRODUCT(("Var_Cap"=[1]OUT_TransportEnergyCons!$B$4:$B$10000)*1,ISNUMBER(SEARCH("T_B_u*ICE*DSL*s3",[1]OUT_TransportEnergyCons!$A$4:$A$10000))*1,[1]OUT_TransportEnergyCons!D$4:D$10000))*1000&lt;0,0,(SUMPRODUCT(("Var_Cap"=[1]OUT_TransportEnergyCons!$B$4:$B$10000)*1,ISNUMBER(SEARCH("T_B_u*ICE*DSL*s3",[1]OUT_TransportEnergyCons!$A$4:$A$10000))*1,[1]OUT_TransportEnergyCons!D$4:D$10000))*1000)</f>
        <v>0.80670702998663346</v>
      </c>
      <c r="G1971" s="1" cm="1">
        <f t="array" ref="G1971">IF((SUMPRODUCT(("Var_Cap"=[1]OUT_TransportEnergyCons!$B$4:$B$10000)*1,ISNUMBER(SEARCH("T_B_u*ICE*DSL*s3",[1]OUT_TransportEnergyCons!$A$4:$A$10000))*1,[1]OUT_TransportEnergyCons!E$4:E$10000))*1000&lt;0,0,(SUMPRODUCT(("Var_Cap"=[1]OUT_TransportEnergyCons!$B$4:$B$10000)*1,ISNUMBER(SEARCH("T_B_u*ICE*DSL*s3",[1]OUT_TransportEnergyCons!$A$4:$A$10000))*1,[1]OUT_TransportEnergyCons!E$4:E$10000))*1000)</f>
        <v>0.95295726056209373</v>
      </c>
      <c r="H1971" s="1" cm="1">
        <f t="array" ref="H1971">IF((SUMPRODUCT(("Var_Cap"=[1]OUT_TransportEnergyCons!$B$4:$B$10000)*1,ISNUMBER(SEARCH("T_B_u*ICE*DSL*s3",[1]OUT_TransportEnergyCons!$A$4:$A$10000))*1,[1]OUT_TransportEnergyCons!F$4:F$10000))*1000&lt;0,0,(SUMPRODUCT(("Var_Cap"=[1]OUT_TransportEnergyCons!$B$4:$B$10000)*1,ISNUMBER(SEARCH("T_B_u*ICE*DSL*s3",[1]OUT_TransportEnergyCons!$A$4:$A$10000))*1,[1]OUT_TransportEnergyCons!F$4:F$10000))*1000)</f>
        <v>0.95309400434256952</v>
      </c>
      <c r="I1971" s="1" cm="1">
        <f t="array" ref="I1971">IF((SUMPRODUCT(("Var_Cap"=[1]OUT_TransportEnergyCons!$B$4:$B$10000)*1,ISNUMBER(SEARCH("T_B_u*ICE*DSL*s3",[1]OUT_TransportEnergyCons!$A$4:$A$10000))*1,[1]OUT_TransportEnergyCons!G$4:G$10000))*1000&lt;0,0,(SUMPRODUCT(("Var_Cap"=[1]OUT_TransportEnergyCons!$B$4:$B$10000)*1,ISNUMBER(SEARCH("T_B_u*ICE*DSL*s3",[1]OUT_TransportEnergyCons!$A$4:$A$10000))*1,[1]OUT_TransportEnergyCons!G$4:G$10000))*1000)</f>
        <v>0</v>
      </c>
      <c r="J1971" s="1" cm="1">
        <f t="array" ref="J1971">IF((SUMPRODUCT(("Var_Cap"=[2]OUT_TransportEnergyCons!$B$4:$B$10000)*1,ISNUMBER(SEARCH("T_B_u*ICE*DSL*s3",[2]OUT_TransportEnergyCons!$A$4:$A$10000))*1,[2]OUT_TransportEnergyCons!H$4:H$10000))*1000&lt;0,0,(SUMPRODUCT(("Var_Cap"=[2]OUT_TransportEnergyCons!$B$4:$B$10000)*1,ISNUMBER(SEARCH("T_B_u*ICE*DSL*s3",[2]OUT_TransportEnergyCons!$A$4:$A$10000))*1,[2]OUT_TransportEnergyCons!H$4:H$10000))*1000)</f>
        <v>0</v>
      </c>
      <c r="K1971" s="1" cm="1">
        <f t="array" ref="K1971">IF((SUMPRODUCT(("Var_Cap"=[2]OUT_TransportEnergyCons!$B$4:$B$10000)*1,ISNUMBER(SEARCH("T_B_u*ICE*DSL*s3",[2]OUT_TransportEnergyCons!$A$4:$A$10000))*1,[2]OUT_TransportEnergyCons!I$4:I$10000))*1000&lt;0,0,(SUMPRODUCT(("Var_Cap"=[2]OUT_TransportEnergyCons!$B$4:$B$10000)*1,ISNUMBER(SEARCH("T_B_u*ICE*DSL*s3",[2]OUT_TransportEnergyCons!$A$4:$A$10000))*1,[2]OUT_TransportEnergyCons!I$4:I$10000))*1000)</f>
        <v>0</v>
      </c>
      <c r="L1971" s="1" cm="1">
        <f t="array" ref="L1971">IF((SUMPRODUCT(("Var_Cap"=[2]OUT_TransportEnergyCons!$B$4:$B$10000)*1,ISNUMBER(SEARCH("T_B_u*ICE*DSL*s3",[2]OUT_TransportEnergyCons!$A$4:$A$10000))*1,[2]OUT_TransportEnergyCons!J$4:J$10000))*1000&lt;0,0,(SUMPRODUCT(("Var_Cap"=[2]OUT_TransportEnergyCons!$B$4:$B$10000)*1,ISNUMBER(SEARCH("T_B_u*ICE*DSL*s3",[2]OUT_TransportEnergyCons!$A$4:$A$10000))*1,[2]OUT_TransportEnergyCons!J$4:J$10000))*1000)</f>
        <v>0</v>
      </c>
      <c r="N1971" s="1"/>
    </row>
    <row r="1972" spans="2:14" x14ac:dyDescent="0.35">
      <c r="B1972" s="5" t="str">
        <f t="shared" si="2039"/>
        <v>SPS1</v>
      </c>
      <c r="C1972" s="5" t="str">
        <f t="shared" si="2040"/>
        <v>CH</v>
      </c>
      <c r="D1972" t="s">
        <v>1994</v>
      </c>
      <c r="E1972" t="s">
        <v>1999</v>
      </c>
      <c r="F1972" s="1" cm="1">
        <f t="array" ref="F1972">IF((SUMPRODUCT(("Var_Cap"=[1]OUT_TransportEnergyCons!$B$4:$B$10000)*1,ISNUMBER(SEARCH("T_B_u*ICE*DSL*s4",[1]OUT_TransportEnergyCons!$A$4:$A$10000))*1,[1]OUT_TransportEnergyCons!D$4:D$10000))*1000&lt;0,0,(SUMPRODUCT(("Var_Cap"=[1]OUT_TransportEnergyCons!$B$4:$B$10000)*1,ISNUMBER(SEARCH("T_B_u*ICE*DSL*s4",[1]OUT_TransportEnergyCons!$A$4:$A$10000))*1,[1]OUT_TransportEnergyCons!D$4:D$10000))*1000)</f>
        <v>2.5446008978227989E-3</v>
      </c>
      <c r="G1972" s="1" cm="1">
        <f t="array" ref="G1972">IF((SUMPRODUCT(("Var_Cap"=[1]OUT_TransportEnergyCons!$B$4:$B$10000)*1,ISNUMBER(SEARCH("T_B_u*ICE*DSL*s4",[1]OUT_TransportEnergyCons!$A$4:$A$10000))*1,[1]OUT_TransportEnergyCons!E$4:E$10000))*1000&lt;0,0,(SUMPRODUCT(("Var_Cap"=[1]OUT_TransportEnergyCons!$B$4:$B$10000)*1,ISNUMBER(SEARCH("T_B_u*ICE*DSL*s4",[1]OUT_TransportEnergyCons!$A$4:$A$10000))*1,[1]OUT_TransportEnergyCons!E$4:E$10000))*1000)</f>
        <v>1.5870815831992859E-6</v>
      </c>
      <c r="H1972" s="1" cm="1">
        <f t="array" ref="H1972">IF((SUMPRODUCT(("Var_Cap"=[1]OUT_TransportEnergyCons!$B$4:$B$10000)*1,ISNUMBER(SEARCH("T_B_u*ICE*DSL*s4",[1]OUT_TransportEnergyCons!$A$4:$A$10000))*1,[1]OUT_TransportEnergyCons!F$4:F$10000))*1000&lt;0,0,(SUMPRODUCT(("Var_Cap"=[1]OUT_TransportEnergyCons!$B$4:$B$10000)*1,ISNUMBER(SEARCH("T_B_u*ICE*DSL*s4",[1]OUT_TransportEnergyCons!$A$4:$A$10000))*1,[1]OUT_TransportEnergyCons!F$4:F$10000))*1000)</f>
        <v>3.5915141427019507E-5</v>
      </c>
      <c r="I1972" s="1" cm="1">
        <f t="array" ref="I1972">IF((SUMPRODUCT(("Var_Cap"=[1]OUT_TransportEnergyCons!$B$4:$B$10000)*1,ISNUMBER(SEARCH("T_B_u*ICE*DSL*s4",[1]OUT_TransportEnergyCons!$A$4:$A$10000))*1,[1]OUT_TransportEnergyCons!G$4:G$10000))*1000&lt;0,0,(SUMPRODUCT(("Var_Cap"=[1]OUT_TransportEnergyCons!$B$4:$B$10000)*1,ISNUMBER(SEARCH("T_B_u*ICE*DSL*s4",[1]OUT_TransportEnergyCons!$A$4:$A$10000))*1,[1]OUT_TransportEnergyCons!G$4:G$10000))*1000)</f>
        <v>0</v>
      </c>
      <c r="J1972" s="1" cm="1">
        <f t="array" ref="J1972">IF((SUMPRODUCT(("Var_Cap"=[2]OUT_TransportEnergyCons!$B$4:$B$10000)*1,ISNUMBER(SEARCH("T_B_u*ICE*DSL*s4",[2]OUT_TransportEnergyCons!$A$4:$A$10000))*1,[2]OUT_TransportEnergyCons!H$4:H$10000))*1000&lt;0,0,(SUMPRODUCT(("Var_Cap"=[2]OUT_TransportEnergyCons!$B$4:$B$10000)*1,ISNUMBER(SEARCH("T_B_u*ICE*DSL*s4",[2]OUT_TransportEnergyCons!$A$4:$A$10000))*1,[2]OUT_TransportEnergyCons!H$4:H$10000))*1000)</f>
        <v>0</v>
      </c>
      <c r="K1972" s="1" cm="1">
        <f t="array" ref="K1972">IF((SUMPRODUCT(("Var_Cap"=[2]OUT_TransportEnergyCons!$B$4:$B$10000)*1,ISNUMBER(SEARCH("T_B_u*ICE*DSL*s4",[2]OUT_TransportEnergyCons!$A$4:$A$10000))*1,[2]OUT_TransportEnergyCons!I$4:I$10000))*1000&lt;0,0,(SUMPRODUCT(("Var_Cap"=[2]OUT_TransportEnergyCons!$B$4:$B$10000)*1,ISNUMBER(SEARCH("T_B_u*ICE*DSL*s4",[2]OUT_TransportEnergyCons!$A$4:$A$10000))*1,[2]OUT_TransportEnergyCons!I$4:I$10000))*1000)</f>
        <v>0</v>
      </c>
      <c r="L1972" s="1" cm="1">
        <f t="array" ref="L1972">IF((SUMPRODUCT(("Var_Cap"=[2]OUT_TransportEnergyCons!$B$4:$B$10000)*1,ISNUMBER(SEARCH("T_B_u*ICE*DSL*s4",[2]OUT_TransportEnergyCons!$A$4:$A$10000))*1,[2]OUT_TransportEnergyCons!J$4:J$10000))*1000&lt;0,0,(SUMPRODUCT(("Var_Cap"=[2]OUT_TransportEnergyCons!$B$4:$B$10000)*1,ISNUMBER(SEARCH("T_B_u*ICE*DSL*s4",[2]OUT_TransportEnergyCons!$A$4:$A$10000))*1,[2]OUT_TransportEnergyCons!J$4:J$10000))*1000)</f>
        <v>0</v>
      </c>
      <c r="N1972" s="1"/>
    </row>
    <row r="1973" spans="2:14" x14ac:dyDescent="0.35">
      <c r="B1973" s="5" t="str">
        <f t="shared" si="2039"/>
        <v>SPS1</v>
      </c>
      <c r="C1973" s="5" t="str">
        <f t="shared" si="2040"/>
        <v>CH</v>
      </c>
      <c r="D1973" t="s">
        <v>2007</v>
      </c>
      <c r="E1973" t="s">
        <v>1999</v>
      </c>
      <c r="F1973" s="1" cm="1">
        <f t="array" ref="F1973">(SUMPRODUCT(("Var_Cap"=[1]OUT_TransportEnergyCons!$B$4:$B$10000)*1,ISNUMBER(SEARCH("T_B_u*ICE*nga*ext",[1]OUT_TransportEnergyCons!$A$4:$A$10000))*1,[1]OUT_TransportEnergyCons!D$4:D$10000))*1000</f>
        <v>8.3575401730531504E-2</v>
      </c>
      <c r="G1973" s="1" cm="1">
        <f t="array" ref="G1973">(SUMPRODUCT(("Var_Cap"=[1]OUT_TransportEnergyCons!$B$4:$B$10000)*1,ISNUMBER(SEARCH("T_B_u*ICE*nga*ext",[1]OUT_TransportEnergyCons!$A$4:$A$10000))*1,[1]OUT_TransportEnergyCons!E$4:E$10000))*1000</f>
        <v>6.68603213844252E-2</v>
      </c>
      <c r="H1973" s="1" cm="1">
        <f t="array" ref="H1973">(SUMPRODUCT(("Var_Cap"=[1]OUT_TransportEnergyCons!$B$4:$B$10000)*1,ISNUMBER(SEARCH("T_B_u*ICE*nga*ext",[1]OUT_TransportEnergyCons!$A$4:$A$10000))*1,[1]OUT_TransportEnergyCons!F$4:F$10000))*1000</f>
        <v>4.1787700865265807E-2</v>
      </c>
      <c r="I1973" s="1" cm="1">
        <f t="array" ref="I1973">(SUMPRODUCT(("Var_Cap"=[1]OUT_TransportEnergyCons!$B$4:$B$10000)*1,ISNUMBER(SEARCH("T_B_u*ICE*nga*ext",[1]OUT_TransportEnergyCons!$A$4:$A$10000))*1,[1]OUT_TransportEnergyCons!G$4:G$10000))*1000</f>
        <v>0</v>
      </c>
      <c r="J1973" s="1" cm="1">
        <f t="array" ref="J1973">(SUMPRODUCT(("Var_Cap"=[2]OUT_TransportEnergyCons!$B$4:$B$10000)*1,ISNUMBER(SEARCH("T_B_u*ICE*nga*ext",[2]OUT_TransportEnergyCons!$A$4:$A$10000))*1,[2]OUT_TransportEnergyCons!H$4:H$10000))*1000</f>
        <v>0</v>
      </c>
      <c r="K1973" s="1" cm="1">
        <f t="array" ref="K1973">(SUMPRODUCT(("Var_Cap"=[2]OUT_TransportEnergyCons!$B$4:$B$10000)*1,ISNUMBER(SEARCH("T_B_u*ICE*nga*ext",[2]OUT_TransportEnergyCons!$A$4:$A$10000))*1,[2]OUT_TransportEnergyCons!I$4:I$10000))*1000</f>
        <v>0</v>
      </c>
      <c r="L1973" s="1" cm="1">
        <f t="array" ref="L1973">(SUMPRODUCT(("Var_Cap"=[2]OUT_TransportEnergyCons!$B$4:$B$10000)*1,ISNUMBER(SEARCH("T_B_u*ICE*nga*ext",[2]OUT_TransportEnergyCons!$A$4:$A$10000))*1,[2]OUT_TransportEnergyCons!J$4:J$10000))*1000</f>
        <v>0</v>
      </c>
      <c r="N1973" s="1"/>
    </row>
    <row r="1974" spans="2:14" x14ac:dyDescent="0.35">
      <c r="B1974" s="5" t="str">
        <f t="shared" si="2039"/>
        <v>SPS1</v>
      </c>
      <c r="C1974" s="5" t="str">
        <f t="shared" si="2040"/>
        <v>CH</v>
      </c>
      <c r="D1974" t="s">
        <v>1995</v>
      </c>
      <c r="E1974" t="s">
        <v>1999</v>
      </c>
      <c r="F1974" s="1" cm="1">
        <f t="array" ref="F1974">(SUMPRODUCT(("Var_Cap"=[1]OUT_TransportEnergyCons!$B$4:$B$10000)*1,ISNUMBER(SEARCH("T_B_u*ICE*nga*s1",[1]OUT_TransportEnergyCons!$A$4:$A$10000))*1,[1]OUT_TransportEnergyCons!D$4:D$10000))*1000</f>
        <v>0</v>
      </c>
      <c r="G1974" s="1" cm="1">
        <f t="array" ref="G1974">(SUMPRODUCT(("Var_Cap"=[1]OUT_TransportEnergyCons!$B$4:$B$10000)*1,ISNUMBER(SEARCH("T_B_u*ICE*nga*s1",[1]OUT_TransportEnergyCons!$A$4:$A$10000))*1,[1]OUT_TransportEnergyCons!E$4:E$10000))*1000</f>
        <v>1.7232560978732499E-4</v>
      </c>
      <c r="H1974" s="1" cm="1">
        <f t="array" ref="H1974">(SUMPRODUCT(("Var_Cap"=[1]OUT_TransportEnergyCons!$B$4:$B$10000)*1,ISNUMBER(SEARCH("T_B_u*ICE*nga*s1",[1]OUT_TransportEnergyCons!$A$4:$A$10000))*1,[1]OUT_TransportEnergyCons!F$4:F$10000))*1000</f>
        <v>8.7345900045946302E-4</v>
      </c>
      <c r="I1974" s="1" cm="1">
        <f t="array" ref="I1974">(SUMPRODUCT(("Var_Cap"=[1]OUT_TransportEnergyCons!$B$4:$B$10000)*1,ISNUMBER(SEARCH("T_B_u*ICE*nga*s1",[1]OUT_TransportEnergyCons!$A$4:$A$10000))*1,[1]OUT_TransportEnergyCons!G$4:G$10000))*1000</f>
        <v>2.4443673482875015E-5</v>
      </c>
      <c r="J1974" s="1" cm="1">
        <f t="array" ref="J1974">(SUMPRODUCT(("Var_Cap"=[2]OUT_TransportEnergyCons!$B$4:$B$10000)*1,ISNUMBER(SEARCH("T_B_u*ICE*nga*s1",[2]OUT_TransportEnergyCons!$A$4:$A$10000))*1,[2]OUT_TransportEnergyCons!H$4:H$10000))*1000</f>
        <v>3.2711558813821015E-5</v>
      </c>
      <c r="K1974" s="1" cm="1">
        <f t="array" ref="K1974">(SUMPRODUCT(("Var_Cap"=[2]OUT_TransportEnergyCons!$B$4:$B$10000)*1,ISNUMBER(SEARCH("T_B_u*ICE*nga*s1",[2]OUT_TransportEnergyCons!$A$4:$A$10000))*1,[2]OUT_TransportEnergyCons!I$4:I$10000))*1000</f>
        <v>2.8163761081371199E-5</v>
      </c>
      <c r="L1974" s="1" cm="1">
        <f t="array" ref="L1974">(SUMPRODUCT(("Var_Cap"=[2]OUT_TransportEnergyCons!$B$4:$B$10000)*1,ISNUMBER(SEARCH("T_B_u*ICE*nga*s1",[2]OUT_TransportEnergyCons!$A$4:$A$10000))*1,[2]OUT_TransportEnergyCons!J$4:J$10000))*1000</f>
        <v>1.9763033730302501E-5</v>
      </c>
      <c r="N1974" s="1"/>
    </row>
    <row r="1975" spans="2:14" x14ac:dyDescent="0.35">
      <c r="B1975" s="5" t="str">
        <f t="shared" si="2039"/>
        <v>SPS1</v>
      </c>
      <c r="C1975" s="5" t="str">
        <f t="shared" si="2040"/>
        <v>CH</v>
      </c>
      <c r="D1975" t="s">
        <v>1996</v>
      </c>
      <c r="E1975" t="s">
        <v>1999</v>
      </c>
      <c r="F1975" s="1" cm="1">
        <f t="array" ref="F1975">(SUMPRODUCT(("Var_Cap"=[1]OUT_TransportEnergyCons!$B$4:$B$10000)*1,ISNUMBER(SEARCH("T_B_u*ICE*nga*s2",[1]OUT_TransportEnergyCons!$A$4:$A$10000))*1,[1]OUT_TransportEnergyCons!D$4:D$10000))*1000</f>
        <v>0</v>
      </c>
      <c r="G1975" s="1" cm="1">
        <f t="array" ref="G1975">(SUMPRODUCT(("Var_Cap"=[1]OUT_TransportEnergyCons!$B$4:$B$10000)*1,ISNUMBER(SEARCH("T_B_u*ICE*nga*s2",[1]OUT_TransportEnergyCons!$A$4:$A$10000))*1,[1]OUT_TransportEnergyCons!E$4:E$10000))*1000</f>
        <v>7.7311389224089989E-5</v>
      </c>
      <c r="H1975" s="1" cm="1">
        <f t="array" ref="H1975">(SUMPRODUCT(("Var_Cap"=[1]OUT_TransportEnergyCons!$B$4:$B$10000)*1,ISNUMBER(SEARCH("T_B_u*ICE*nga*s2",[1]OUT_TransportEnergyCons!$A$4:$A$10000))*1,[1]OUT_TransportEnergyCons!F$4:F$10000))*1000</f>
        <v>3.2314754534166205E-2</v>
      </c>
      <c r="I1975" s="1" cm="1">
        <f t="array" ref="I1975">(SUMPRODUCT(("Var_Cap"=[1]OUT_TransportEnergyCons!$B$4:$B$10000)*1,ISNUMBER(SEARCH("T_B_u*ICE*nga*s2",[1]OUT_TransportEnergyCons!$A$4:$A$10000))*1,[1]OUT_TransportEnergyCons!G$4:G$10000))*1000</f>
        <v>9.6225926898995296E-6</v>
      </c>
      <c r="J1975" s="1" cm="1">
        <f t="array" ref="J1975">(SUMPRODUCT(("Var_Cap"=[2]OUT_TransportEnergyCons!$B$4:$B$10000)*1,ISNUMBER(SEARCH("T_B_u*ICE*nga*s2",[2]OUT_TransportEnergyCons!$A$4:$A$10000))*1,[2]OUT_TransportEnergyCons!H$4:H$10000))*1000</f>
        <v>4.5956727437985816E-6</v>
      </c>
      <c r="K1975" s="1" cm="1">
        <f t="array" ref="K1975">(SUMPRODUCT(("Var_Cap"=[2]OUT_TransportEnergyCons!$B$4:$B$10000)*1,ISNUMBER(SEARCH("T_B_u*ICE*nga*s2",[2]OUT_TransportEnergyCons!$A$4:$A$10000))*1,[2]OUT_TransportEnergyCons!I$4:I$10000))*1000</f>
        <v>0</v>
      </c>
      <c r="L1975" s="1" cm="1">
        <f t="array" ref="L1975">(SUMPRODUCT(("Var_Cap"=[2]OUT_TransportEnergyCons!$B$4:$B$10000)*1,ISNUMBER(SEARCH("T_B_u*ICE*nga*s2",[2]OUT_TransportEnergyCons!$A$4:$A$10000))*1,[2]OUT_TransportEnergyCons!J$4:J$10000))*1000</f>
        <v>0</v>
      </c>
      <c r="N1975" s="1"/>
    </row>
    <row r="1976" spans="2:14" x14ac:dyDescent="0.35">
      <c r="B1976" s="5" t="str">
        <f t="shared" si="2039"/>
        <v>SPS1</v>
      </c>
      <c r="C1976" s="5" t="str">
        <f t="shared" si="2040"/>
        <v>CH</v>
      </c>
      <c r="D1976" t="s">
        <v>1997</v>
      </c>
      <c r="E1976" t="s">
        <v>1999</v>
      </c>
      <c r="F1976" s="1" cm="1">
        <f t="array" ref="F1976">IF((SUMPRODUCT(("Var_Cap"=[1]OUT_TransportEnergyCons!$B$4:$B$10000)*1,ISNUMBER(SEARCH("T_B_u*ICE*nga*s3",[1]OUT_TransportEnergyCons!$A$4:$A$10000))*1,[1]OUT_TransportEnergyCons!D$4:D$10000))*1000&lt;0,0,(SUMPRODUCT(("Var_Cap"=[1]OUT_TransportEnergyCons!$B$4:$B$10000)*1,ISNUMBER(SEARCH("T_B_u*ICE*nga*s3",[1]OUT_TransportEnergyCons!$A$4:$A$10000))*1,[1]OUT_TransportEnergyCons!D$4:D$10000))*1000)</f>
        <v>0</v>
      </c>
      <c r="G1976" s="1" cm="1">
        <f t="array" ref="G1976">IF((SUMPRODUCT(("Var_Cap"=[1]OUT_TransportEnergyCons!$B$4:$B$10000)*1,ISNUMBER(SEARCH("T_B_u*ICE*nga*s3",[1]OUT_TransportEnergyCons!$A$4:$A$10000))*1,[1]OUT_TransportEnergyCons!E$4:E$10000))*1000&lt;0,0,(SUMPRODUCT(("Var_Cap"=[1]OUT_TransportEnergyCons!$B$4:$B$10000)*1,ISNUMBER(SEARCH("T_B_u*ICE*nga*s3",[1]OUT_TransportEnergyCons!$A$4:$A$10000))*1,[1]OUT_TransportEnergyCons!E$4:E$10000))*1000)</f>
        <v>3.1911862628051997E-5</v>
      </c>
      <c r="H1976" s="1" cm="1">
        <f t="array" ref="H1976">IF((SUMPRODUCT(("Var_Cap"=[1]OUT_TransportEnergyCons!$B$4:$B$10000)*1,ISNUMBER(SEARCH("T_B_u*ICE*nga*s3",[1]OUT_TransportEnergyCons!$A$4:$A$10000))*1,[1]OUT_TransportEnergyCons!F$4:F$10000))*1000&lt;0,0,(SUMPRODUCT(("Var_Cap"=[1]OUT_TransportEnergyCons!$B$4:$B$10000)*1,ISNUMBER(SEARCH("T_B_u*ICE*nga*s3",[1]OUT_TransportEnergyCons!$A$4:$A$10000))*1,[1]OUT_TransportEnergyCons!F$4:F$10000))*1000)</f>
        <v>1.56629427878651E-4</v>
      </c>
      <c r="I1976" s="1" cm="1">
        <f t="array" ref="I1976">IF((SUMPRODUCT(("Var_Cap"=[1]OUT_TransportEnergyCons!$B$4:$B$10000)*1,ISNUMBER(SEARCH("T_B_u*ICE*nga*s3",[1]OUT_TransportEnergyCons!$A$4:$A$10000))*1,[1]OUT_TransportEnergyCons!G$4:G$10000))*1000&lt;0,0,(SUMPRODUCT(("Var_Cap"=[1]OUT_TransportEnergyCons!$B$4:$B$10000)*1,ISNUMBER(SEARCH("T_B_u*ICE*nga*s3",[1]OUT_TransportEnergyCons!$A$4:$A$10000))*1,[1]OUT_TransportEnergyCons!G$4:G$10000))*1000)</f>
        <v>1.3110621570967988E-5</v>
      </c>
      <c r="J1976" s="1" cm="1">
        <f t="array" ref="J1976">IF((SUMPRODUCT(("Var_Cap"=[2]OUT_TransportEnergyCons!$B$4:$B$10000)*1,ISNUMBER(SEARCH("T_B_u*ICE*nga*s3",[2]OUT_TransportEnergyCons!$A$4:$A$10000))*1,[2]OUT_TransportEnergyCons!H$4:H$10000))*1000&lt;0,0,(SUMPRODUCT(("Var_Cap"=[2]OUT_TransportEnergyCons!$B$4:$B$10000)*1,ISNUMBER(SEARCH("T_B_u*ICE*nga*s3",[2]OUT_TransportEnergyCons!$A$4:$A$10000))*1,[2]OUT_TransportEnergyCons!H$4:H$10000))*1000)</f>
        <v>0</v>
      </c>
      <c r="K1976" s="1" cm="1">
        <f t="array" ref="K1976">IF((SUMPRODUCT(("Var_Cap"=[2]OUT_TransportEnergyCons!$B$4:$B$10000)*1,ISNUMBER(SEARCH("T_B_u*ICE*nga*s3",[2]OUT_TransportEnergyCons!$A$4:$A$10000))*1,[2]OUT_TransportEnergyCons!I$4:I$10000))*1000&lt;0,0,(SUMPRODUCT(("Var_Cap"=[2]OUT_TransportEnergyCons!$B$4:$B$10000)*1,ISNUMBER(SEARCH("T_B_u*ICE*nga*s3",[2]OUT_TransportEnergyCons!$A$4:$A$10000))*1,[2]OUT_TransportEnergyCons!I$4:I$10000))*1000)</f>
        <v>0</v>
      </c>
      <c r="L1976" s="1" cm="1">
        <f t="array" ref="L1976">IF((SUMPRODUCT(("Var_Cap"=[2]OUT_TransportEnergyCons!$B$4:$B$10000)*1,ISNUMBER(SEARCH("T_B_u*ICE*nga*s3",[2]OUT_TransportEnergyCons!$A$4:$A$10000))*1,[2]OUT_TransportEnergyCons!J$4:J$10000))*1000&lt;0,0,(SUMPRODUCT(("Var_Cap"=[2]OUT_TransportEnergyCons!$B$4:$B$10000)*1,ISNUMBER(SEARCH("T_B_u*ICE*nga*s3",[2]OUT_TransportEnergyCons!$A$4:$A$10000))*1,[2]OUT_TransportEnergyCons!J$4:J$10000))*1000)</f>
        <v>0</v>
      </c>
      <c r="N1976" s="1"/>
    </row>
    <row r="1977" spans="2:14" x14ac:dyDescent="0.35">
      <c r="B1977" s="5" t="str">
        <f t="shared" si="2039"/>
        <v>SPS1</v>
      </c>
      <c r="C1977" s="5" t="str">
        <f t="shared" si="2040"/>
        <v>CH</v>
      </c>
      <c r="D1977" t="s">
        <v>1998</v>
      </c>
      <c r="E1977" t="s">
        <v>1999</v>
      </c>
      <c r="F1977" s="1" cm="1">
        <f t="array" ref="F1977">IF((SUMPRODUCT(("Var_Cap"=[1]OUT_TransportEnergyCons!$B$4:$B$10000)*1,ISNUMBER(SEARCH("T_B_u*ICE*nga*s4",[1]OUT_TransportEnergyCons!$A$4:$A$10000))*1,[1]OUT_TransportEnergyCons!D$4:D$10000))*1000&lt;0,0,(SUMPRODUCT(("Var_Cap"=[1]OUT_TransportEnergyCons!$B$4:$B$10000)*1,ISNUMBER(SEARCH("T_B_u*ICE*nga*s4",[1]OUT_TransportEnergyCons!$A$4:$A$10000))*1,[1]OUT_TransportEnergyCons!D$4:D$10000))*1000)</f>
        <v>0</v>
      </c>
      <c r="G1977" s="1" cm="1">
        <f t="array" ref="G1977">IF((SUMPRODUCT(("Var_Cap"=[1]OUT_TransportEnergyCons!$B$4:$B$10000)*1,ISNUMBER(SEARCH("T_B_u*ICE*nga*s4",[1]OUT_TransportEnergyCons!$A$4:$A$10000))*1,[1]OUT_TransportEnergyCons!E$4:E$10000))*1000&lt;0,0,(SUMPRODUCT(("Var_Cap"=[1]OUT_TransportEnergyCons!$B$4:$B$10000)*1,ISNUMBER(SEARCH("T_B_u*ICE*nga*s4",[1]OUT_TransportEnergyCons!$A$4:$A$10000))*1,[1]OUT_TransportEnergyCons!E$4:E$10000))*1000)</f>
        <v>0</v>
      </c>
      <c r="H1977" s="1" cm="1">
        <f t="array" ref="H1977">IF((SUMPRODUCT(("Var_Cap"=[1]OUT_TransportEnergyCons!$B$4:$B$10000)*1,ISNUMBER(SEARCH("T_B_u*ICE*nga*s4",[1]OUT_TransportEnergyCons!$A$4:$A$10000))*1,[1]OUT_TransportEnergyCons!F$4:F$10000))*1000&lt;0,0,(SUMPRODUCT(("Var_Cap"=[1]OUT_TransportEnergyCons!$B$4:$B$10000)*1,ISNUMBER(SEARCH("T_B_u*ICE*nga*s4",[1]OUT_TransportEnergyCons!$A$4:$A$10000))*1,[1]OUT_TransportEnergyCons!F$4:F$10000))*1000)</f>
        <v>0</v>
      </c>
      <c r="I1977" s="1" cm="1">
        <f t="array" ref="I1977">IF((SUMPRODUCT(("Var_Cap"=[1]OUT_TransportEnergyCons!$B$4:$B$10000)*1,ISNUMBER(SEARCH("T_B_u*ICE*nga*s4",[1]OUT_TransportEnergyCons!$A$4:$A$10000))*1,[1]OUT_TransportEnergyCons!G$4:G$10000))*1000&lt;0,0,(SUMPRODUCT(("Var_Cap"=[1]OUT_TransportEnergyCons!$B$4:$B$10000)*1,ISNUMBER(SEARCH("T_B_u*ICE*nga*s4",[1]OUT_TransportEnergyCons!$A$4:$A$10000))*1,[1]OUT_TransportEnergyCons!G$4:G$10000))*1000)</f>
        <v>0</v>
      </c>
      <c r="J1977" s="1" cm="1">
        <f t="array" ref="J1977">IF((SUMPRODUCT(("Var_Cap"=[2]OUT_TransportEnergyCons!$B$4:$B$10000)*1,ISNUMBER(SEARCH("T_B_u*ICE*nga*s4",[2]OUT_TransportEnergyCons!$A$4:$A$10000))*1,[2]OUT_TransportEnergyCons!H$4:H$10000))*1000&lt;0,0,(SUMPRODUCT(("Var_Cap"=[2]OUT_TransportEnergyCons!$B$4:$B$10000)*1,ISNUMBER(SEARCH("T_B_u*ICE*nga*s4",[2]OUT_TransportEnergyCons!$A$4:$A$10000))*1,[2]OUT_TransportEnergyCons!H$4:H$10000))*1000)</f>
        <v>0</v>
      </c>
      <c r="K1977" s="1" cm="1">
        <f t="array" ref="K1977">IF((SUMPRODUCT(("Var_Cap"=[2]OUT_TransportEnergyCons!$B$4:$B$10000)*1,ISNUMBER(SEARCH("T_B_u*ICE*nga*s4",[2]OUT_TransportEnergyCons!$A$4:$A$10000))*1,[2]OUT_TransportEnergyCons!I$4:I$10000))*1000&lt;0,0,(SUMPRODUCT(("Var_Cap"=[2]OUT_TransportEnergyCons!$B$4:$B$10000)*1,ISNUMBER(SEARCH("T_B_u*ICE*nga*s4",[2]OUT_TransportEnergyCons!$A$4:$A$10000))*1,[2]OUT_TransportEnergyCons!I$4:I$10000))*1000)</f>
        <v>0</v>
      </c>
      <c r="L1977" s="1" cm="1">
        <f t="array" ref="L1977">IF((SUMPRODUCT(("Var_Cap"=[2]OUT_TransportEnergyCons!$B$4:$B$10000)*1,ISNUMBER(SEARCH("T_B_u*ICE*nga*s4",[2]OUT_TransportEnergyCons!$A$4:$A$10000))*1,[2]OUT_TransportEnergyCons!J$4:J$10000))*1000&lt;0,0,(SUMPRODUCT(("Var_Cap"=[2]OUT_TransportEnergyCons!$B$4:$B$10000)*1,ISNUMBER(SEARCH("T_B_u*ICE*nga*s4",[2]OUT_TransportEnergyCons!$A$4:$A$10000))*1,[2]OUT_TransportEnergyCons!J$4:J$10000))*1000)</f>
        <v>0</v>
      </c>
      <c r="N1977" s="1"/>
    </row>
    <row r="1978" spans="2:14" x14ac:dyDescent="0.35">
      <c r="B1978" s="5" t="str">
        <f>B1977</f>
        <v>SPS1</v>
      </c>
      <c r="C1978" s="5" t="str">
        <f>C1977</f>
        <v>CH</v>
      </c>
      <c r="D1978" s="2" t="s">
        <v>1977</v>
      </c>
      <c r="E1978" s="2" t="s">
        <v>1999</v>
      </c>
      <c r="F1978" s="3">
        <f>SUM(F1979:F2001)</f>
        <v>2.8462149029230392</v>
      </c>
      <c r="G1978" s="3">
        <f t="shared" ref="G1978" si="2041">SUM(G1979:G2001)</f>
        <v>2.9057232466063581</v>
      </c>
      <c r="H1978" s="3">
        <f t="shared" ref="H1978" si="2042">SUM(H1979:H2001)</f>
        <v>2.8850230089218734</v>
      </c>
      <c r="I1978" s="3">
        <f t="shared" ref="I1978" si="2043">SUM(I1979:I2001)</f>
        <v>2.9274375799841934</v>
      </c>
      <c r="J1978" s="3">
        <f t="shared" ref="J1978" si="2044">SUM(J1979:J2001)</f>
        <v>2.9487102075897753</v>
      </c>
      <c r="K1978" s="3">
        <f t="shared" ref="K1978:L1978" si="2045">SUM(K1979:K2001)</f>
        <v>2.9300265849661473</v>
      </c>
      <c r="L1978" s="3">
        <f t="shared" si="2045"/>
        <v>2.993475247600105</v>
      </c>
      <c r="N1978" s="1"/>
    </row>
    <row r="1979" spans="2:14" x14ac:dyDescent="0.35">
      <c r="B1979" s="5" t="str">
        <f t="shared" ref="B1979:B2001" si="2046">B1978</f>
        <v>SPS1</v>
      </c>
      <c r="C1979" s="5" t="str">
        <f t="shared" ref="C1979:C2001" si="2047">C1978</f>
        <v>CH</v>
      </c>
      <c r="D1979" t="s">
        <v>2008</v>
      </c>
      <c r="E1979" t="s">
        <v>1999</v>
      </c>
      <c r="F1979" s="1" cm="1">
        <f t="array" ref="F1979">(SUMPRODUCT(("Var_Cap"=[1]OUT_TransportEnergyCons!$B$4:$B$10000)*1,ISNUMBER(SEARCH("T_b_c*bev*ext",[1]OUT_TransportEnergyCons!$A$4:$A$10000))*1,[1]OUT_TransportEnergyCons!D$4:D$10000))*1000</f>
        <v>0</v>
      </c>
      <c r="G1979" s="1" cm="1">
        <f t="array" ref="G1979">(SUMPRODUCT(("Var_Cap"=[1]OUT_TransportEnergyCons!$B$4:$B$10000)*1,ISNUMBER(SEARCH("T_b_c*bev*ext",[1]OUT_TransportEnergyCons!$A$4:$A$10000))*1,[1]OUT_TransportEnergyCons!E$4:E$10000))*1000</f>
        <v>0</v>
      </c>
      <c r="H1979" s="1" cm="1">
        <f t="array" ref="H1979">(SUMPRODUCT(("Var_Cap"=[1]OUT_TransportEnergyCons!$B$4:$B$10000)*1,ISNUMBER(SEARCH("T_b_c*bev*ext",[1]OUT_TransportEnergyCons!$A$4:$A$10000))*1,[1]OUT_TransportEnergyCons!F$4:F$10000))*1000</f>
        <v>0</v>
      </c>
      <c r="I1979" s="1" cm="1">
        <f t="array" ref="I1979">(SUMPRODUCT(("Var_Cap"=[1]OUT_TransportEnergyCons!$B$4:$B$10000)*1,ISNUMBER(SEARCH("T_b_c*bev*ext",[1]OUT_TransportEnergyCons!$A$4:$A$10000))*1,[1]OUT_TransportEnergyCons!G$4:G$10000))*1000</f>
        <v>0</v>
      </c>
      <c r="J1979" s="1" cm="1">
        <f t="array" ref="J1979">(SUMPRODUCT(("Var_Cap"=[2]OUT_TransportEnergyCons!$B$4:$B$10000)*1,ISNUMBER(SEARCH("T_b_c*bev*ext",[2]OUT_TransportEnergyCons!$A$4:$A$10000))*1,[2]OUT_TransportEnergyCons!H$4:H$10000))*1000</f>
        <v>0</v>
      </c>
      <c r="K1979" s="1" cm="1">
        <f t="array" ref="K1979">(SUMPRODUCT(("Var_Cap"=[2]OUT_TransportEnergyCons!$B$4:$B$10000)*1,ISNUMBER(SEARCH("T_b_c*bev*ext",[2]OUT_TransportEnergyCons!$A$4:$A$10000))*1,[2]OUT_TransportEnergyCons!I$4:I$10000))*1000</f>
        <v>0</v>
      </c>
      <c r="L1979" s="1" cm="1">
        <f t="array" ref="L1979">(SUMPRODUCT(("Var_Cap"=[2]OUT_TransportEnergyCons!$B$4:$B$10000)*1,ISNUMBER(SEARCH("T_b_c*bev*ext",[2]OUT_TransportEnergyCons!$A$4:$A$10000))*1,[2]OUT_TransportEnergyCons!J$4:J$10000))*1000</f>
        <v>0</v>
      </c>
      <c r="N1979" s="1"/>
    </row>
    <row r="1980" spans="2:14" x14ac:dyDescent="0.35">
      <c r="B1980" s="5" t="str">
        <f t="shared" si="2046"/>
        <v>SPS1</v>
      </c>
      <c r="C1980" s="5" t="str">
        <f t="shared" si="2047"/>
        <v>CH</v>
      </c>
      <c r="D1980" t="s">
        <v>2009</v>
      </c>
      <c r="E1980" t="s">
        <v>1999</v>
      </c>
      <c r="F1980" s="1" cm="1">
        <f t="array" ref="F1980">(SUMPRODUCT(("Var_Cap"=[1]OUT_TransportEnergyCons!$B$4:$B$10000)*1,ISNUMBER(SEARCH("T_b_c*bev*s1",[1]OUT_TransportEnergyCons!$A$4:$A$10000))*1,[1]OUT_TransportEnergyCons!D$4:D$10000))*1000</f>
        <v>3.3713942307692299E-3</v>
      </c>
      <c r="G1980" s="1" cm="1">
        <f t="array" ref="G1980">(SUMPRODUCT(("Var_Cap"=[1]OUT_TransportEnergyCons!$B$4:$B$10000)*1,ISNUMBER(SEARCH("T_b_c*bev*s1",[1]OUT_TransportEnergyCons!$A$4:$A$10000))*1,[1]OUT_TransportEnergyCons!E$4:E$10000))*1000</f>
        <v>7.509702606894683E-3</v>
      </c>
      <c r="H1980" s="1" cm="1">
        <f t="array" ref="H1980">(SUMPRODUCT(("Var_Cap"=[1]OUT_TransportEnergyCons!$B$4:$B$10000)*1,ISNUMBER(SEARCH("T_b_c*bev*s1",[1]OUT_TransportEnergyCons!$A$4:$A$10000))*1,[1]OUT_TransportEnergyCons!F$4:F$10000))*1000</f>
        <v>7.0337138419204409E-3</v>
      </c>
      <c r="I1980" s="1" cm="1">
        <f t="array" ref="I1980">(SUMPRODUCT(("Var_Cap"=[1]OUT_TransportEnergyCons!$B$4:$B$10000)*1,ISNUMBER(SEARCH("T_b_c*bev*s1",[1]OUT_TransportEnergyCons!$A$4:$A$10000))*1,[1]OUT_TransportEnergyCons!G$4:G$10000))*1000</f>
        <v>1.4106086728568805</v>
      </c>
      <c r="J1980" s="1" cm="1">
        <f t="array" ref="J1980">(SUMPRODUCT(("Var_Cap"=[2]OUT_TransportEnergyCons!$B$4:$B$10000)*1,ISNUMBER(SEARCH("T_b_c*bev*s1",[2]OUT_TransportEnergyCons!$A$4:$A$10000))*1,[2]OUT_TransportEnergyCons!H$4:H$10000))*1000</f>
        <v>1.2849397862566101</v>
      </c>
      <c r="K1980" s="1" cm="1">
        <f t="array" ref="K1980">(SUMPRODUCT(("Var_Cap"=[2]OUT_TransportEnergyCons!$B$4:$B$10000)*1,ISNUMBER(SEARCH("T_b_c*bev*s1",[2]OUT_TransportEnergyCons!$A$4:$A$10000))*1,[2]OUT_TransportEnergyCons!I$4:I$10000))*1000</f>
        <v>1.0307558630583822</v>
      </c>
      <c r="L1980" s="1" cm="1">
        <f t="array" ref="L1980">(SUMPRODUCT(("Var_Cap"=[2]OUT_TransportEnergyCons!$B$4:$B$10000)*1,ISNUMBER(SEARCH("T_b_c*bev*s1",[2]OUT_TransportEnergyCons!$A$4:$A$10000))*1,[2]OUT_TransportEnergyCons!J$4:J$10000))*1000</f>
        <v>0.64781656612007454</v>
      </c>
      <c r="N1980" s="1"/>
    </row>
    <row r="1981" spans="2:14" x14ac:dyDescent="0.35">
      <c r="B1981" s="5" t="str">
        <f t="shared" si="2046"/>
        <v>SPS1</v>
      </c>
      <c r="C1981" s="5" t="str">
        <f t="shared" si="2047"/>
        <v>CH</v>
      </c>
      <c r="D1981" t="s">
        <v>2010</v>
      </c>
      <c r="E1981" t="s">
        <v>1999</v>
      </c>
      <c r="F1981" s="1" cm="1">
        <f t="array" ref="F1981">(SUMPRODUCT(("Var_Cap"=[1]OUT_TransportEnergyCons!$B$4:$B$10000)*1,ISNUMBER(SEARCH("T_b_c*bev*s2",[1]OUT_TransportEnergyCons!$A$4:$A$10000))*1,[1]OUT_TransportEnergyCons!D$4:D$10000))*1000</f>
        <v>9.6046427002415297E-3</v>
      </c>
      <c r="G1981" s="1" cm="1">
        <f t="array" ref="G1981">(SUMPRODUCT(("Var_Cap"=[1]OUT_TransportEnergyCons!$B$4:$B$10000)*1,ISNUMBER(SEARCH("T_b_c*bev*s2",[1]OUT_TransportEnergyCons!$A$4:$A$10000))*1,[1]OUT_TransportEnergyCons!E$4:E$10000))*1000</f>
        <v>1.3320241699319089E-2</v>
      </c>
      <c r="H1981" s="1" cm="1">
        <f t="array" ref="H1981">(SUMPRODUCT(("Var_Cap"=[1]OUT_TransportEnergyCons!$B$4:$B$10000)*1,ISNUMBER(SEARCH("T_b_c*bev*s2",[1]OUT_TransportEnergyCons!$A$4:$A$10000))*1,[1]OUT_TransportEnergyCons!F$4:F$10000))*1000</f>
        <v>1.3931571107057639E-2</v>
      </c>
      <c r="I1981" s="1" cm="1">
        <f t="array" ref="I1981">(SUMPRODUCT(("Var_Cap"=[1]OUT_TransportEnergyCons!$B$4:$B$10000)*1,ISNUMBER(SEARCH("T_b_c*bev*s2",[1]OUT_TransportEnergyCons!$A$4:$A$10000))*1,[1]OUT_TransportEnergyCons!G$4:G$10000))*1000</f>
        <v>0.48833900596454655</v>
      </c>
      <c r="J1981" s="1" cm="1">
        <f t="array" ref="J1981">(SUMPRODUCT(("Var_Cap"=[2]OUT_TransportEnergyCons!$B$4:$B$10000)*1,ISNUMBER(SEARCH("T_b_c*bev*s2",[2]OUT_TransportEnergyCons!$A$4:$A$10000))*1,[2]OUT_TransportEnergyCons!H$4:H$10000))*1000</f>
        <v>0.5450116234384671</v>
      </c>
      <c r="K1981" s="1" cm="1">
        <f t="array" ref="K1981">(SUMPRODUCT(("Var_Cap"=[2]OUT_TransportEnergyCons!$B$4:$B$10000)*1,ISNUMBER(SEARCH("T_b_c*bev*s2",[2]OUT_TransportEnergyCons!$A$4:$A$10000))*1,[2]OUT_TransportEnergyCons!I$4:I$10000))*1000</f>
        <v>0.78961999499904756</v>
      </c>
      <c r="L1981" s="1" cm="1">
        <f t="array" ref="L1981">(SUMPRODUCT(("Var_Cap"=[2]OUT_TransportEnergyCons!$B$4:$B$10000)*1,ISNUMBER(SEARCH("T_b_c*bev*s2",[2]OUT_TransportEnergyCons!$A$4:$A$10000))*1,[2]OUT_TransportEnergyCons!J$4:J$10000))*1000</f>
        <v>1.0433598656715577</v>
      </c>
      <c r="N1981" s="1"/>
    </row>
    <row r="1982" spans="2:14" x14ac:dyDescent="0.35">
      <c r="B1982" s="5" t="str">
        <f t="shared" si="2046"/>
        <v>SPS1</v>
      </c>
      <c r="C1982" s="5" t="str">
        <f t="shared" si="2047"/>
        <v>CH</v>
      </c>
      <c r="D1982" t="s">
        <v>2011</v>
      </c>
      <c r="E1982" t="s">
        <v>1999</v>
      </c>
      <c r="F1982" s="1" cm="1">
        <f t="array" ref="F1982">(SUMPRODUCT(("Var_Cap"=[1]OUT_TransportEnergyCons!$B$4:$B$10000)*1,ISNUMBER(SEARCH("T_b_c*bev*s3",[1]OUT_TransportEnergyCons!$A$4:$A$10000))*1,[1]OUT_TransportEnergyCons!D$4:D$10000))*1000</f>
        <v>1.4143376381382643E-3</v>
      </c>
      <c r="G1982" s="1" cm="1">
        <f t="array" ref="G1982">(SUMPRODUCT(("Var_Cap"=[1]OUT_TransportEnergyCons!$B$4:$B$10000)*1,ISNUMBER(SEARCH("T_b_c*bev*s3",[1]OUT_TransportEnergyCons!$A$4:$A$10000))*1,[1]OUT_TransportEnergyCons!E$4:E$10000))*1000</f>
        <v>3.4205050352181052E-3</v>
      </c>
      <c r="H1982" s="1" cm="1">
        <f t="array" ref="H1982">(SUMPRODUCT(("Var_Cap"=[1]OUT_TransportEnergyCons!$B$4:$B$10000)*1,ISNUMBER(SEARCH("T_b_c*bev*s3",[1]OUT_TransportEnergyCons!$A$4:$A$10000))*1,[1]OUT_TransportEnergyCons!F$4:F$10000))*1000</f>
        <v>3.6272716638266595E-3</v>
      </c>
      <c r="I1982" s="1" cm="1">
        <f t="array" ref="I1982">(SUMPRODUCT(("Var_Cap"=[1]OUT_TransportEnergyCons!$B$4:$B$10000)*1,ISNUMBER(SEARCH("T_b_c*bev*s3",[1]OUT_TransportEnergyCons!$A$4:$A$10000))*1,[1]OUT_TransportEnergyCons!G$4:G$10000))*1000</f>
        <v>2.6481129674395879E-3</v>
      </c>
      <c r="J1982" s="1" cm="1">
        <f t="array" ref="J1982">(SUMPRODUCT(("Var_Cap"=[2]OUT_TransportEnergyCons!$B$4:$B$10000)*1,ISNUMBER(SEARCH("T_b_c*bev*s3",[2]OUT_TransportEnergyCons!$A$4:$A$10000))*1,[2]OUT_TransportEnergyCons!H$4:H$10000))*1000</f>
        <v>1.86505407997739E-2</v>
      </c>
      <c r="K1982" s="1" cm="1">
        <f t="array" ref="K1982">(SUMPRODUCT(("Var_Cap"=[2]OUT_TransportEnergyCons!$B$4:$B$10000)*1,ISNUMBER(SEARCH("T_b_c*bev*s3",[2]OUT_TransportEnergyCons!$A$4:$A$10000))*1,[2]OUT_TransportEnergyCons!I$4:I$10000))*1000</f>
        <v>2.8094039669749899E-2</v>
      </c>
      <c r="L1982" s="1" cm="1">
        <f t="array" ref="L1982">(SUMPRODUCT(("Var_Cap"=[2]OUT_TransportEnergyCons!$B$4:$B$10000)*1,ISNUMBER(SEARCH("T_b_c*bev*s3",[2]OUT_TransportEnergyCons!$A$4:$A$10000))*1,[2]OUT_TransportEnergyCons!J$4:J$10000))*1000</f>
        <v>0.15763498033707099</v>
      </c>
      <c r="N1982" s="1"/>
    </row>
    <row r="1983" spans="2:14" x14ac:dyDescent="0.35">
      <c r="B1983" s="5" t="str">
        <f t="shared" si="2046"/>
        <v>SPS1</v>
      </c>
      <c r="C1983" s="5" t="str">
        <f t="shared" si="2047"/>
        <v>CH</v>
      </c>
      <c r="D1983" t="s">
        <v>2012</v>
      </c>
      <c r="E1983" t="s">
        <v>1999</v>
      </c>
      <c r="F1983" s="1" cm="1">
        <f t="array" ref="F1983">(SUMPRODUCT(("Var_Cap"=[1]OUT_TransportEnergyCons!$B$4:$B$10000)*1,ISNUMBER(SEARCH("T_b_c*bev*s4",[1]OUT_TransportEnergyCons!$A$4:$A$10000))*1,[1]OUT_TransportEnergyCons!D$4:D$10000))*1000</f>
        <v>0</v>
      </c>
      <c r="G1983" s="1" cm="1">
        <f t="array" ref="G1983">(SUMPRODUCT(("Var_Cap"=[1]OUT_TransportEnergyCons!$B$4:$B$10000)*1,ISNUMBER(SEARCH("T_b_c*bev*s4",[1]OUT_TransportEnergyCons!$A$4:$A$10000))*1,[1]OUT_TransportEnergyCons!E$4:E$10000))*1000</f>
        <v>7.1498864964499099E-5</v>
      </c>
      <c r="H1983" s="1" cm="1">
        <f t="array" ref="H1983">(SUMPRODUCT(("Var_Cap"=[1]OUT_TransportEnergyCons!$B$4:$B$10000)*1,ISNUMBER(SEARCH("T_b_c*bev*s4",[1]OUT_TransportEnergyCons!$A$4:$A$10000))*1,[1]OUT_TransportEnergyCons!F$4:F$10000))*1000</f>
        <v>1.32582855814337E-4</v>
      </c>
      <c r="I1983" s="1" cm="1">
        <f t="array" ref="I1983">(SUMPRODUCT(("Var_Cap"=[1]OUT_TransportEnergyCons!$B$4:$B$10000)*1,ISNUMBER(SEARCH("T_b_c*bev*s4",[1]OUT_TransportEnergyCons!$A$4:$A$10000))*1,[1]OUT_TransportEnergyCons!G$4:G$10000))*1000</f>
        <v>1.260222427444706E-4</v>
      </c>
      <c r="J1983" s="1" cm="1">
        <f t="array" ref="J1983">(SUMPRODUCT(("Var_Cap"=[2]OUT_TransportEnergyCons!$B$4:$B$10000)*1,ISNUMBER(SEARCH("T_b_c*bev*s4",[2]OUT_TransportEnergyCons!$A$4:$A$10000))*1,[2]OUT_TransportEnergyCons!H$4:H$10000))*1000</f>
        <v>3.9761271263515698E-4</v>
      </c>
      <c r="K1983" s="1" cm="1">
        <f t="array" ref="K1983">(SUMPRODUCT(("Var_Cap"=[2]OUT_TransportEnergyCons!$B$4:$B$10000)*1,ISNUMBER(SEARCH("T_b_c*bev*s4",[2]OUT_TransportEnergyCons!$A$4:$A$10000))*1,[2]OUT_TransportEnergyCons!I$4:I$10000))*1000</f>
        <v>5.4612611888094835E-4</v>
      </c>
      <c r="L1983" s="1" cm="1">
        <f t="array" ref="L1983">(SUMPRODUCT(("Var_Cap"=[2]OUT_TransportEnergyCons!$B$4:$B$10000)*1,ISNUMBER(SEARCH("T_b_c*bev*s4",[2]OUT_TransportEnergyCons!$A$4:$A$10000))*1,[2]OUT_TransportEnergyCons!J$4:J$10000))*1000</f>
        <v>2.10178345678244E-4</v>
      </c>
      <c r="N1983" s="1"/>
    </row>
    <row r="1984" spans="2:14" x14ac:dyDescent="0.35">
      <c r="B1984" s="5" t="str">
        <f t="shared" si="2046"/>
        <v>SPS1</v>
      </c>
      <c r="C1984" s="5" t="str">
        <f t="shared" si="2047"/>
        <v>CH</v>
      </c>
      <c r="D1984" t="s">
        <v>2013</v>
      </c>
      <c r="E1984" t="s">
        <v>1999</v>
      </c>
      <c r="F1984" s="1" cm="1">
        <f t="array" ref="F1984">IF((SUMPRODUCT(("Var_Cap"=[1]OUT_TransportEnergyCons!$B$4:$B$10000)*1,ISNUMBER(SEARCH("T_b_c*h2o*s1",[1]OUT_TransportEnergyCons!$A$4:$A$10000))*1,[1]OUT_TransportEnergyCons!D$4:D$10000))*1000&lt;0,0,(SUMPRODUCT(("Var_Cap"=[1]OUT_TransportEnergyCons!$B$4:$B$10000)*1,ISNUMBER(SEARCH("T_b_c*h2o*s1",[1]OUT_TransportEnergyCons!$A$4:$A$10000))*1,[1]OUT_TransportEnergyCons!D$4:D$10000))*1000)</f>
        <v>0</v>
      </c>
      <c r="G1984" s="1" cm="1">
        <f t="array" ref="G1984">IF((SUMPRODUCT(("Var_Cap"=[1]OUT_TransportEnergyCons!$B$4:$B$10000)*1,ISNUMBER(SEARCH("T_b_c*h2o*s1",[1]OUT_TransportEnergyCons!$A$4:$A$10000))*1,[1]OUT_TransportEnergyCons!E$4:E$10000))*1000&lt;0,0,(SUMPRODUCT(("Var_Cap"=[1]OUT_TransportEnergyCons!$B$4:$B$10000)*1,ISNUMBER(SEARCH("T_b_c*h2o*s1",[1]OUT_TransportEnergyCons!$A$4:$A$10000))*1,[1]OUT_TransportEnergyCons!E$4:E$10000))*1000)</f>
        <v>0</v>
      </c>
      <c r="H1984" s="1" cm="1">
        <f t="array" ref="H1984">IF((SUMPRODUCT(("Var_Cap"=[1]OUT_TransportEnergyCons!$B$4:$B$10000)*1,ISNUMBER(SEARCH("T_b_c*h2o*s1",[1]OUT_TransportEnergyCons!$A$4:$A$10000))*1,[1]OUT_TransportEnergyCons!F$4:F$10000))*1000&lt;0,0,(SUMPRODUCT(("Var_Cap"=[1]OUT_TransportEnergyCons!$B$4:$B$10000)*1,ISNUMBER(SEARCH("T_b_c*h2o*s1",[1]OUT_TransportEnergyCons!$A$4:$A$10000))*1,[1]OUT_TransportEnergyCons!F$4:F$10000))*1000)</f>
        <v>0</v>
      </c>
      <c r="I1984" s="1" cm="1">
        <f t="array" ref="I1984">IF((SUMPRODUCT(("Var_Cap"=[1]OUT_TransportEnergyCons!$B$4:$B$10000)*1,ISNUMBER(SEARCH("T_b_c*h2o*s1",[1]OUT_TransportEnergyCons!$A$4:$A$10000))*1,[1]OUT_TransportEnergyCons!G$4:G$10000))*1000&lt;0,0,(SUMPRODUCT(("Var_Cap"=[1]OUT_TransportEnergyCons!$B$4:$B$10000)*1,ISNUMBER(SEARCH("T_b_c*h2o*s1",[1]OUT_TransportEnergyCons!$A$4:$A$10000))*1,[1]OUT_TransportEnergyCons!G$4:G$10000))*1000)</f>
        <v>0</v>
      </c>
      <c r="J1984" s="1" cm="1">
        <f t="array" ref="J1984">IF((SUMPRODUCT(("Var_Cap"=[2]OUT_TransportEnergyCons!$B$4:$B$10000)*1,ISNUMBER(SEARCH("T_b_c*h2o*s1",[2]OUT_TransportEnergyCons!$A$4:$A$10000))*1,[2]OUT_TransportEnergyCons!H$4:H$10000))*1000&lt;0,0,(SUMPRODUCT(("Var_Cap"=[2]OUT_TransportEnergyCons!$B$4:$B$10000)*1,ISNUMBER(SEARCH("T_b_c*h2o*s1",[2]OUT_TransportEnergyCons!$A$4:$A$10000))*1,[2]OUT_TransportEnergyCons!H$4:H$10000))*1000)</f>
        <v>0</v>
      </c>
      <c r="K1984" s="1" cm="1">
        <f t="array" ref="K1984">IF((SUMPRODUCT(("Var_Cap"=[2]OUT_TransportEnergyCons!$B$4:$B$10000)*1,ISNUMBER(SEARCH("T_b_c*h2o*s1",[2]OUT_TransportEnergyCons!$A$4:$A$10000))*1,[2]OUT_TransportEnergyCons!I$4:I$10000))*1000&lt;0,0,(SUMPRODUCT(("Var_Cap"=[2]OUT_TransportEnergyCons!$B$4:$B$10000)*1,ISNUMBER(SEARCH("T_b_c*h2o*s1",[2]OUT_TransportEnergyCons!$A$4:$A$10000))*1,[2]OUT_TransportEnergyCons!I$4:I$10000))*1000)</f>
        <v>0</v>
      </c>
      <c r="L1984" s="1" cm="1">
        <f t="array" ref="L1984">IF((SUMPRODUCT(("Var_Cap"=[2]OUT_TransportEnergyCons!$B$4:$B$10000)*1,ISNUMBER(SEARCH("T_b_c*h2o*s1",[2]OUT_TransportEnergyCons!$A$4:$A$10000))*1,[2]OUT_TransportEnergyCons!J$4:J$10000))*1000&lt;0,0,(SUMPRODUCT(("Var_Cap"=[2]OUT_TransportEnergyCons!$B$4:$B$10000)*1,ISNUMBER(SEARCH("T_b_c*h2o*s1",[2]OUT_TransportEnergyCons!$A$4:$A$10000))*1,[2]OUT_TransportEnergyCons!J$4:J$10000))*1000)</f>
        <v>0</v>
      </c>
      <c r="N1984" s="1"/>
    </row>
    <row r="1985" spans="2:14" x14ac:dyDescent="0.35">
      <c r="B1985" s="5" t="str">
        <f t="shared" si="2046"/>
        <v>SPS1</v>
      </c>
      <c r="C1985" s="5" t="str">
        <f t="shared" si="2047"/>
        <v>CH</v>
      </c>
      <c r="D1985" t="s">
        <v>2014</v>
      </c>
      <c r="E1985" t="s">
        <v>1999</v>
      </c>
      <c r="F1985" s="1" cm="1">
        <f t="array" ref="F1985">IF((SUMPRODUCT(("Var_Cap"=[1]OUT_TransportEnergyCons!$B$4:$B$10000)*1,ISNUMBER(SEARCH("T_b_c*h2o*s2",[1]OUT_TransportEnergyCons!$A$4:$A$10000))*1,[1]OUT_TransportEnergyCons!D$4:D$10000))*1000&lt;0,0,(SUMPRODUCT(("Var_Cap"=[1]OUT_TransportEnergyCons!$B$4:$B$10000)*1,ISNUMBER(SEARCH("T_b_c*h2o*s2",[1]OUT_TransportEnergyCons!$A$4:$A$10000))*1,[1]OUT_TransportEnergyCons!D$4:D$10000))*1000)</f>
        <v>0</v>
      </c>
      <c r="G1985" s="1" cm="1">
        <f t="array" ref="G1985">IF((SUMPRODUCT(("Var_Cap"=[1]OUT_TransportEnergyCons!$B$4:$B$10000)*1,ISNUMBER(SEARCH("T_b_c*h2o*s2",[1]OUT_TransportEnergyCons!$A$4:$A$10000))*1,[1]OUT_TransportEnergyCons!E$4:E$10000))*1000&lt;0,0,(SUMPRODUCT(("Var_Cap"=[1]OUT_TransportEnergyCons!$B$4:$B$10000)*1,ISNUMBER(SEARCH("T_b_c*h2o*s2",[1]OUT_TransportEnergyCons!$A$4:$A$10000))*1,[1]OUT_TransportEnergyCons!E$4:E$10000))*1000)</f>
        <v>0</v>
      </c>
      <c r="H1985" s="1" cm="1">
        <f t="array" ref="H1985">IF((SUMPRODUCT(("Var_Cap"=[1]OUT_TransportEnergyCons!$B$4:$B$10000)*1,ISNUMBER(SEARCH("T_b_c*h2o*s2",[1]OUT_TransportEnergyCons!$A$4:$A$10000))*1,[1]OUT_TransportEnergyCons!F$4:F$10000))*1000&lt;0,0,(SUMPRODUCT(("Var_Cap"=[1]OUT_TransportEnergyCons!$B$4:$B$10000)*1,ISNUMBER(SEARCH("T_b_c*h2o*s2",[1]OUT_TransportEnergyCons!$A$4:$A$10000))*1,[1]OUT_TransportEnergyCons!F$4:F$10000))*1000)</f>
        <v>0</v>
      </c>
      <c r="I1985" s="1" cm="1">
        <f t="array" ref="I1985">IF((SUMPRODUCT(("Var_Cap"=[1]OUT_TransportEnergyCons!$B$4:$B$10000)*1,ISNUMBER(SEARCH("T_b_c*h2o*s2",[1]OUT_TransportEnergyCons!$A$4:$A$10000))*1,[1]OUT_TransportEnergyCons!G$4:G$10000))*1000&lt;0,0,(SUMPRODUCT(("Var_Cap"=[1]OUT_TransportEnergyCons!$B$4:$B$10000)*1,ISNUMBER(SEARCH("T_b_c*h2o*s2",[1]OUT_TransportEnergyCons!$A$4:$A$10000))*1,[1]OUT_TransportEnergyCons!G$4:G$10000))*1000)</f>
        <v>0</v>
      </c>
      <c r="J1985" s="1" cm="1">
        <f t="array" ref="J1985">IF((SUMPRODUCT(("Var_Cap"=[2]OUT_TransportEnergyCons!$B$4:$B$10000)*1,ISNUMBER(SEARCH("T_b_c*h2o*s2",[2]OUT_TransportEnergyCons!$A$4:$A$10000))*1,[2]OUT_TransportEnergyCons!H$4:H$10000))*1000&lt;0,0,(SUMPRODUCT(("Var_Cap"=[2]OUT_TransportEnergyCons!$B$4:$B$10000)*1,ISNUMBER(SEARCH("T_b_c*h2o*s2",[2]OUT_TransportEnergyCons!$A$4:$A$10000))*1,[2]OUT_TransportEnergyCons!H$4:H$10000))*1000)</f>
        <v>0</v>
      </c>
      <c r="K1985" s="1" cm="1">
        <f t="array" ref="K1985">IF((SUMPRODUCT(("Var_Cap"=[2]OUT_TransportEnergyCons!$B$4:$B$10000)*1,ISNUMBER(SEARCH("T_b_c*h2o*s2",[2]OUT_TransportEnergyCons!$A$4:$A$10000))*1,[2]OUT_TransportEnergyCons!I$4:I$10000))*1000&lt;0,0,(SUMPRODUCT(("Var_Cap"=[2]OUT_TransportEnergyCons!$B$4:$B$10000)*1,ISNUMBER(SEARCH("T_b_c*h2o*s2",[2]OUT_TransportEnergyCons!$A$4:$A$10000))*1,[2]OUT_TransportEnergyCons!I$4:I$10000))*1000)</f>
        <v>0</v>
      </c>
      <c r="L1985" s="1" cm="1">
        <f t="array" ref="L1985">IF((SUMPRODUCT(("Var_Cap"=[2]OUT_TransportEnergyCons!$B$4:$B$10000)*1,ISNUMBER(SEARCH("T_b_c*h2o*s2",[2]OUT_TransportEnergyCons!$A$4:$A$10000))*1,[2]OUT_TransportEnergyCons!J$4:J$10000))*1000&lt;0,0,(SUMPRODUCT(("Var_Cap"=[2]OUT_TransportEnergyCons!$B$4:$B$10000)*1,ISNUMBER(SEARCH("T_b_c*h2o*s2",[2]OUT_TransportEnergyCons!$A$4:$A$10000))*1,[2]OUT_TransportEnergyCons!J$4:J$10000))*1000)</f>
        <v>0</v>
      </c>
      <c r="N1985" s="1"/>
    </row>
    <row r="1986" spans="2:14" x14ac:dyDescent="0.35">
      <c r="B1986" s="5" t="str">
        <f t="shared" si="2046"/>
        <v>SPS1</v>
      </c>
      <c r="C1986" s="5" t="str">
        <f t="shared" si="2047"/>
        <v>CH</v>
      </c>
      <c r="D1986" t="s">
        <v>2015</v>
      </c>
      <c r="E1986" t="s">
        <v>1999</v>
      </c>
      <c r="F1986" s="1" cm="1">
        <f t="array" ref="F1986">IF((SUMPRODUCT(("Var_Cap"=[1]OUT_TransportEnergyCons!$B$4:$B$10000)*1,ISNUMBER(SEARCH("T_b_c*h2o*s3",[1]OUT_TransportEnergyCons!$A$4:$A$10000))*1,[1]OUT_TransportEnergyCons!D$4:D$10000))*1000&lt;0,0,(SUMPRODUCT(("Var_Cap"=[1]OUT_TransportEnergyCons!$B$4:$B$10000)*1,ISNUMBER(SEARCH("T_b_c*h2o*s3",[1]OUT_TransportEnergyCons!$A$4:$A$10000))*1,[1]OUT_TransportEnergyCons!D$4:D$10000))*1000)</f>
        <v>0</v>
      </c>
      <c r="G1986" s="1" cm="1">
        <f t="array" ref="G1986">IF((SUMPRODUCT(("Var_Cap"=[1]OUT_TransportEnergyCons!$B$4:$B$10000)*1,ISNUMBER(SEARCH("T_b_c*h2o*s3",[1]OUT_TransportEnergyCons!$A$4:$A$10000))*1,[1]OUT_TransportEnergyCons!E$4:E$10000))*1000&lt;0,0,(SUMPRODUCT(("Var_Cap"=[1]OUT_TransportEnergyCons!$B$4:$B$10000)*1,ISNUMBER(SEARCH("T_b_c*h2o*s3",[1]OUT_TransportEnergyCons!$A$4:$A$10000))*1,[1]OUT_TransportEnergyCons!E$4:E$10000))*1000)</f>
        <v>0</v>
      </c>
      <c r="H1986" s="1" cm="1">
        <f t="array" ref="H1986">IF((SUMPRODUCT(("Var_Cap"=[1]OUT_TransportEnergyCons!$B$4:$B$10000)*1,ISNUMBER(SEARCH("T_b_c*h2o*s3",[1]OUT_TransportEnergyCons!$A$4:$A$10000))*1,[1]OUT_TransportEnergyCons!F$4:F$10000))*1000&lt;0,0,(SUMPRODUCT(("Var_Cap"=[1]OUT_TransportEnergyCons!$B$4:$B$10000)*1,ISNUMBER(SEARCH("T_b_c*h2o*s3",[1]OUT_TransportEnergyCons!$A$4:$A$10000))*1,[1]OUT_TransportEnergyCons!F$4:F$10000))*1000)</f>
        <v>0</v>
      </c>
      <c r="I1986" s="1" cm="1">
        <f t="array" ref="I1986">IF((SUMPRODUCT(("Var_Cap"=[1]OUT_TransportEnergyCons!$B$4:$B$10000)*1,ISNUMBER(SEARCH("T_b_c*h2o*s3",[1]OUT_TransportEnergyCons!$A$4:$A$10000))*1,[1]OUT_TransportEnergyCons!G$4:G$10000))*1000&lt;0,0,(SUMPRODUCT(("Var_Cap"=[1]OUT_TransportEnergyCons!$B$4:$B$10000)*1,ISNUMBER(SEARCH("T_b_c*h2o*s3",[1]OUT_TransportEnergyCons!$A$4:$A$10000))*1,[1]OUT_TransportEnergyCons!G$4:G$10000))*1000)</f>
        <v>0</v>
      </c>
      <c r="J1986" s="1" cm="1">
        <f t="array" ref="J1986">IF((SUMPRODUCT(("Var_Cap"=[2]OUT_TransportEnergyCons!$B$4:$B$10000)*1,ISNUMBER(SEARCH("T_b_c*h2o*s3",[2]OUT_TransportEnergyCons!$A$4:$A$10000))*1,[2]OUT_TransportEnergyCons!H$4:H$10000))*1000&lt;0,0,(SUMPRODUCT(("Var_Cap"=[2]OUT_TransportEnergyCons!$B$4:$B$10000)*1,ISNUMBER(SEARCH("T_b_c*h2o*s3",[2]OUT_TransportEnergyCons!$A$4:$A$10000))*1,[2]OUT_TransportEnergyCons!H$4:H$10000))*1000)</f>
        <v>0</v>
      </c>
      <c r="K1986" s="1" cm="1">
        <f t="array" ref="K1986">IF((SUMPRODUCT(("Var_Cap"=[2]OUT_TransportEnergyCons!$B$4:$B$10000)*1,ISNUMBER(SEARCH("T_b_c*h2o*s3",[2]OUT_TransportEnergyCons!$A$4:$A$10000))*1,[2]OUT_TransportEnergyCons!I$4:I$10000))*1000&lt;0,0,(SUMPRODUCT(("Var_Cap"=[2]OUT_TransportEnergyCons!$B$4:$B$10000)*1,ISNUMBER(SEARCH("T_b_c*h2o*s3",[2]OUT_TransportEnergyCons!$A$4:$A$10000))*1,[2]OUT_TransportEnergyCons!I$4:I$10000))*1000)</f>
        <v>0</v>
      </c>
      <c r="L1986" s="1" cm="1">
        <f t="array" ref="L1986">IF((SUMPRODUCT(("Var_Cap"=[2]OUT_TransportEnergyCons!$B$4:$B$10000)*1,ISNUMBER(SEARCH("T_b_c*h2o*s3",[2]OUT_TransportEnergyCons!$A$4:$A$10000))*1,[2]OUT_TransportEnergyCons!J$4:J$10000))*1000&lt;0,0,(SUMPRODUCT(("Var_Cap"=[2]OUT_TransportEnergyCons!$B$4:$B$10000)*1,ISNUMBER(SEARCH("T_b_c*h2o*s3",[2]OUT_TransportEnergyCons!$A$4:$A$10000))*1,[2]OUT_TransportEnergyCons!J$4:J$10000))*1000)</f>
        <v>0</v>
      </c>
      <c r="N1986" s="1"/>
    </row>
    <row r="1987" spans="2:14" x14ac:dyDescent="0.35">
      <c r="B1987" s="5" t="str">
        <f t="shared" si="2046"/>
        <v>SPS1</v>
      </c>
      <c r="C1987" s="5" t="str">
        <f t="shared" si="2047"/>
        <v>CH</v>
      </c>
      <c r="D1987" t="s">
        <v>2016</v>
      </c>
      <c r="E1987" t="s">
        <v>1999</v>
      </c>
      <c r="F1987" s="1" cm="1">
        <f t="array" ref="F1987">IF((SUMPRODUCT(("Var_Cap"=[1]OUT_TransportEnergyCons!$B$4:$B$10000)*1,ISNUMBER(SEARCH("T_b_c*h2o*s4",[1]OUT_TransportEnergyCons!$A$4:$A$10000))*1,[1]OUT_TransportEnergyCons!D$4:D$10000))*1000&lt;0,0,(SUMPRODUCT(("Var_Cap"=[1]OUT_TransportEnergyCons!$B$4:$B$10000)*1,ISNUMBER(SEARCH("T_b_c*h2o*s4",[1]OUT_TransportEnergyCons!$A$4:$A$10000))*1,[1]OUT_TransportEnergyCons!D$4:D$10000))*1000)</f>
        <v>0</v>
      </c>
      <c r="G1987" s="1" cm="1">
        <f t="array" ref="G1987">IF((SUMPRODUCT(("Var_Cap"=[1]OUT_TransportEnergyCons!$B$4:$B$10000)*1,ISNUMBER(SEARCH("T_b_c*h2o*s4",[1]OUT_TransportEnergyCons!$A$4:$A$10000))*1,[1]OUT_TransportEnergyCons!E$4:E$10000))*1000&lt;0,0,(SUMPRODUCT(("Var_Cap"=[1]OUT_TransportEnergyCons!$B$4:$B$10000)*1,ISNUMBER(SEARCH("T_b_c*h2o*s4",[1]OUT_TransportEnergyCons!$A$4:$A$10000))*1,[1]OUT_TransportEnergyCons!E$4:E$10000))*1000)</f>
        <v>0</v>
      </c>
      <c r="H1987" s="1" cm="1">
        <f t="array" ref="H1987">IF((SUMPRODUCT(("Var_Cap"=[1]OUT_TransportEnergyCons!$B$4:$B$10000)*1,ISNUMBER(SEARCH("T_b_c*h2o*s4",[1]OUT_TransportEnergyCons!$A$4:$A$10000))*1,[1]OUT_TransportEnergyCons!F$4:F$10000))*1000&lt;0,0,(SUMPRODUCT(("Var_Cap"=[1]OUT_TransportEnergyCons!$B$4:$B$10000)*1,ISNUMBER(SEARCH("T_b_c*h2o*s4",[1]OUT_TransportEnergyCons!$A$4:$A$10000))*1,[1]OUT_TransportEnergyCons!F$4:F$10000))*1000)</f>
        <v>0</v>
      </c>
      <c r="I1987" s="1" cm="1">
        <f t="array" ref="I1987">IF((SUMPRODUCT(("Var_Cap"=[1]OUT_TransportEnergyCons!$B$4:$B$10000)*1,ISNUMBER(SEARCH("T_b_c*h2o*s4",[1]OUT_TransportEnergyCons!$A$4:$A$10000))*1,[1]OUT_TransportEnergyCons!G$4:G$10000))*1000&lt;0,0,(SUMPRODUCT(("Var_Cap"=[1]OUT_TransportEnergyCons!$B$4:$B$10000)*1,ISNUMBER(SEARCH("T_b_c*h2o*s4",[1]OUT_TransportEnergyCons!$A$4:$A$10000))*1,[1]OUT_TransportEnergyCons!G$4:G$10000))*1000)</f>
        <v>0</v>
      </c>
      <c r="J1987" s="1" cm="1">
        <f t="array" ref="J1987">IF((SUMPRODUCT(("Var_Cap"=[2]OUT_TransportEnergyCons!$B$4:$B$10000)*1,ISNUMBER(SEARCH("T_b_c*h2o*s4",[2]OUT_TransportEnergyCons!$A$4:$A$10000))*1,[2]OUT_TransportEnergyCons!H$4:H$10000))*1000&lt;0,0,(SUMPRODUCT(("Var_Cap"=[2]OUT_TransportEnergyCons!$B$4:$B$10000)*1,ISNUMBER(SEARCH("T_b_c*h2o*s4",[2]OUT_TransportEnergyCons!$A$4:$A$10000))*1,[2]OUT_TransportEnergyCons!H$4:H$10000))*1000)</f>
        <v>0</v>
      </c>
      <c r="K1987" s="1" cm="1">
        <f t="array" ref="K1987">IF((SUMPRODUCT(("Var_Cap"=[2]OUT_TransportEnergyCons!$B$4:$B$10000)*1,ISNUMBER(SEARCH("T_b_c*h2o*s4",[2]OUT_TransportEnergyCons!$A$4:$A$10000))*1,[2]OUT_TransportEnergyCons!I$4:I$10000))*1000&lt;0,0,(SUMPRODUCT(("Var_Cap"=[2]OUT_TransportEnergyCons!$B$4:$B$10000)*1,ISNUMBER(SEARCH("T_b_c*h2o*s4",[2]OUT_TransportEnergyCons!$A$4:$A$10000))*1,[2]OUT_TransportEnergyCons!I$4:I$10000))*1000)</f>
        <v>0</v>
      </c>
      <c r="L1987" s="1" cm="1">
        <f t="array" ref="L1987">IF((SUMPRODUCT(("Var_Cap"=[2]OUT_TransportEnergyCons!$B$4:$B$10000)*1,ISNUMBER(SEARCH("T_b_c*h2o*s4",[2]OUT_TransportEnergyCons!$A$4:$A$10000))*1,[2]OUT_TransportEnergyCons!J$4:J$10000))*1000&lt;0,0,(SUMPRODUCT(("Var_Cap"=[2]OUT_TransportEnergyCons!$B$4:$B$10000)*1,ISNUMBER(SEARCH("T_b_c*h2o*s4",[2]OUT_TransportEnergyCons!$A$4:$A$10000))*1,[2]OUT_TransportEnergyCons!J$4:J$10000))*1000)</f>
        <v>0</v>
      </c>
      <c r="N1987" s="1"/>
    </row>
    <row r="1988" spans="2:14" x14ac:dyDescent="0.35">
      <c r="B1988" s="5" t="str">
        <f t="shared" si="2046"/>
        <v>SPS1</v>
      </c>
      <c r="C1988" s="5" t="str">
        <f t="shared" si="2047"/>
        <v>CH</v>
      </c>
      <c r="D1988" t="s">
        <v>2017</v>
      </c>
      <c r="E1988" t="s">
        <v>1999</v>
      </c>
      <c r="F1988" s="1" cm="1">
        <f t="array" ref="F1988">(SUMPRODUCT(("Var_Cap"=[1]OUT_TransportEnergyCons!$B$4:$B$10000)*1,ISNUMBER(SEARCH("T_b_c*hyb*DSL*s1",[1]OUT_TransportEnergyCons!$A$4:$A$10000))*1,[1]OUT_TransportEnergyCons!D$4:D$10000))*1000</f>
        <v>0</v>
      </c>
      <c r="G1988" s="1" cm="1">
        <f t="array" ref="G1988">(SUMPRODUCT(("Var_Cap"=[1]OUT_TransportEnergyCons!$B$4:$B$10000)*1,ISNUMBER(SEARCH("T_b_c*hyb*DSL*s1",[1]OUT_TransportEnergyCons!$A$4:$A$10000))*1,[1]OUT_TransportEnergyCons!E$4:E$10000))*1000</f>
        <v>9.440529907058761E-3</v>
      </c>
      <c r="H1988" s="1" cm="1">
        <f t="array" ref="H1988">(SUMPRODUCT(("Var_Cap"=[1]OUT_TransportEnergyCons!$B$4:$B$10000)*1,ISNUMBER(SEARCH("T_b_c*hyb*DSL*s1",[1]OUT_TransportEnergyCons!$A$4:$A$10000))*1,[1]OUT_TransportEnergyCons!F$4:F$10000))*1000</f>
        <v>1.0322759642718801E-2</v>
      </c>
      <c r="I1988" s="1" cm="1">
        <f t="array" ref="I1988">(SUMPRODUCT(("Var_Cap"=[1]OUT_TransportEnergyCons!$B$4:$B$10000)*1,ISNUMBER(SEARCH("T_b_c*hyb*DSL*s1",[1]OUT_TransportEnergyCons!$A$4:$A$10000))*1,[1]OUT_TransportEnergyCons!G$4:G$10000))*1000</f>
        <v>2.1931152347667605E-3</v>
      </c>
      <c r="J1988" s="1" cm="1">
        <f t="array" ref="J1988">(SUMPRODUCT(("Var_Cap"=[2]OUT_TransportEnergyCons!$B$4:$B$10000)*1,ISNUMBER(SEARCH("T_b_c*hyb*DSL*s1",[2]OUT_TransportEnergyCons!$A$4:$A$10000))*1,[2]OUT_TransportEnergyCons!H$4:H$10000))*1000</f>
        <v>0.14232227699819405</v>
      </c>
      <c r="K1988" s="1" cm="1">
        <f t="array" ref="K1988">(SUMPRODUCT(("Var_Cap"=[2]OUT_TransportEnergyCons!$B$4:$B$10000)*1,ISNUMBER(SEARCH("T_b_c*hyb*DSL*s1",[2]OUT_TransportEnergyCons!$A$4:$A$10000))*1,[2]OUT_TransportEnergyCons!I$4:I$10000))*1000</f>
        <v>0.38017628672742071</v>
      </c>
      <c r="L1988" s="1" cm="1">
        <f t="array" ref="L1988">(SUMPRODUCT(("Var_Cap"=[2]OUT_TransportEnergyCons!$B$4:$B$10000)*1,ISNUMBER(SEARCH("T_b_c*hyb*DSL*s1",[2]OUT_TransportEnergyCons!$A$4:$A$10000))*1,[2]OUT_TransportEnergyCons!J$4:J$10000))*1000</f>
        <v>0.86512413110132413</v>
      </c>
      <c r="N1988" s="1"/>
    </row>
    <row r="1989" spans="2:14" x14ac:dyDescent="0.35">
      <c r="B1989" s="5" t="str">
        <f t="shared" si="2046"/>
        <v>SPS1</v>
      </c>
      <c r="C1989" s="5" t="str">
        <f t="shared" si="2047"/>
        <v>CH</v>
      </c>
      <c r="D1989" t="s">
        <v>2018</v>
      </c>
      <c r="E1989" t="s">
        <v>1999</v>
      </c>
      <c r="F1989" s="1" cm="1">
        <f t="array" ref="F1989">(SUMPRODUCT(("Var_Cap"=[1]OUT_TransportEnergyCons!$B$4:$B$10000)*1,ISNUMBER(SEARCH("T_b_c*hyb*DSL*s2",[1]OUT_TransportEnergyCons!$A$4:$A$10000))*1,[1]OUT_TransportEnergyCons!D$4:D$10000))*1000</f>
        <v>0</v>
      </c>
      <c r="G1989" s="1" cm="1">
        <f t="array" ref="G1989">(SUMPRODUCT(("Var_Cap"=[1]OUT_TransportEnergyCons!$B$4:$B$10000)*1,ISNUMBER(SEARCH("T_b_c*hyb*DSL*s2",[1]OUT_TransportEnergyCons!$A$4:$A$10000))*1,[1]OUT_TransportEnergyCons!E$4:E$10000))*1000</f>
        <v>4.3359440283696602E-4</v>
      </c>
      <c r="H1989" s="1" cm="1">
        <f t="array" ref="H1989">(SUMPRODUCT(("Var_Cap"=[1]OUT_TransportEnergyCons!$B$4:$B$10000)*1,ISNUMBER(SEARCH("T_b_c*hyb*DSL*s2",[1]OUT_TransportEnergyCons!$A$4:$A$10000))*1,[1]OUT_TransportEnergyCons!F$4:F$10000))*1000</f>
        <v>0.16737432730173898</v>
      </c>
      <c r="I1989" s="1" cm="1">
        <f t="array" ref="I1989">(SUMPRODUCT(("Var_Cap"=[1]OUT_TransportEnergyCons!$B$4:$B$10000)*1,ISNUMBER(SEARCH("T_b_c*hyb*DSL*s2",[1]OUT_TransportEnergyCons!$A$4:$A$10000))*1,[1]OUT_TransportEnergyCons!G$4:G$10000))*1000</f>
        <v>0.75927382150901801</v>
      </c>
      <c r="J1989" s="1" cm="1">
        <f t="array" ref="J1989">(SUMPRODUCT(("Var_Cap"=[2]OUT_TransportEnergyCons!$B$4:$B$10000)*1,ISNUMBER(SEARCH("T_b_c*hyb*DSL*s2",[2]OUT_TransportEnergyCons!$A$4:$A$10000))*1,[2]OUT_TransportEnergyCons!H$4:H$10000))*1000</f>
        <v>0.70839888450203736</v>
      </c>
      <c r="K1989" s="1" cm="1">
        <f t="array" ref="K1989">(SUMPRODUCT(("Var_Cap"=[2]OUT_TransportEnergyCons!$B$4:$B$10000)*1,ISNUMBER(SEARCH("T_b_c*hyb*DSL*s2",[2]OUT_TransportEnergyCons!$A$4:$A$10000))*1,[2]OUT_TransportEnergyCons!I$4:I$10000))*1000</f>
        <v>0.46118909501845268</v>
      </c>
      <c r="L1989" s="1" cm="1">
        <f t="array" ref="L1989">(SUMPRODUCT(("Var_Cap"=[2]OUT_TransportEnergyCons!$B$4:$B$10000)*1,ISNUMBER(SEARCH("T_b_c*hyb*DSL*s2",[2]OUT_TransportEnergyCons!$A$4:$A$10000))*1,[2]OUT_TransportEnergyCons!J$4:J$10000))*1000</f>
        <v>0.17645251372662801</v>
      </c>
      <c r="N1989" s="1"/>
    </row>
    <row r="1990" spans="2:14" x14ac:dyDescent="0.35">
      <c r="B1990" s="5" t="str">
        <f t="shared" si="2046"/>
        <v>SPS1</v>
      </c>
      <c r="C1990" s="5" t="str">
        <f t="shared" si="2047"/>
        <v>CH</v>
      </c>
      <c r="D1990" t="s">
        <v>2019</v>
      </c>
      <c r="E1990" t="s">
        <v>1999</v>
      </c>
      <c r="F1990" s="1" cm="1">
        <f t="array" ref="F1990">(SUMPRODUCT(("Var_Cap"=[1]OUT_TransportEnergyCons!$B$4:$B$10000)*1,ISNUMBER(SEARCH("T_b_c*hyb*DSL*s3",[1]OUT_TransportEnergyCons!$A$4:$A$10000))*1,[1]OUT_TransportEnergyCons!D$4:D$10000))*1000</f>
        <v>0</v>
      </c>
      <c r="G1990" s="1" cm="1">
        <f t="array" ref="G1990">(SUMPRODUCT(("Var_Cap"=[1]OUT_TransportEnergyCons!$B$4:$B$10000)*1,ISNUMBER(SEARCH("T_b_c*hyb*DSL*s3",[1]OUT_TransportEnergyCons!$A$4:$A$10000))*1,[1]OUT_TransportEnergyCons!E$4:E$10000))*1000</f>
        <v>1.90410175141714E-4</v>
      </c>
      <c r="H1990" s="1" cm="1">
        <f t="array" ref="H1990">(SUMPRODUCT(("Var_Cap"=[1]OUT_TransportEnergyCons!$B$4:$B$10000)*1,ISNUMBER(SEARCH("T_b_c*hyb*DSL*s3",[1]OUT_TransportEnergyCons!$A$4:$A$10000))*1,[1]OUT_TransportEnergyCons!F$4:F$10000))*1000</f>
        <v>6.8020984765794395E-3</v>
      </c>
      <c r="I1990" s="1" cm="1">
        <f t="array" ref="I1990">(SUMPRODUCT(("Var_Cap"=[1]OUT_TransportEnergyCons!$B$4:$B$10000)*1,ISNUMBER(SEARCH("T_b_c*hyb*DSL*s3",[1]OUT_TransportEnergyCons!$A$4:$A$10000))*1,[1]OUT_TransportEnergyCons!G$4:G$10000))*1000</f>
        <v>0.26419810514466602</v>
      </c>
      <c r="J1990" s="1" cm="1">
        <f t="array" ref="J1990">(SUMPRODUCT(("Var_Cap"=[2]OUT_TransportEnergyCons!$B$4:$B$10000)*1,ISNUMBER(SEARCH("T_b_c*hyb*DSL*s3",[2]OUT_TransportEnergyCons!$A$4:$A$10000))*1,[2]OUT_TransportEnergyCons!H$4:H$10000))*1000</f>
        <v>0.24887603347752499</v>
      </c>
      <c r="K1990" s="1" cm="1">
        <f t="array" ref="K1990">(SUMPRODUCT(("Var_Cap"=[2]OUT_TransportEnergyCons!$B$4:$B$10000)*1,ISNUMBER(SEARCH("T_b_c*hyb*DSL*s3",[2]OUT_TransportEnergyCons!$A$4:$A$10000))*1,[2]OUT_TransportEnergyCons!I$4:I$10000))*1000</f>
        <v>0.239489207325148</v>
      </c>
      <c r="L1990" s="1" cm="1">
        <f t="array" ref="L1990">(SUMPRODUCT(("Var_Cap"=[2]OUT_TransportEnergyCons!$B$4:$B$10000)*1,ISNUMBER(SEARCH("T_b_c*hyb*DSL*s3",[2]OUT_TransportEnergyCons!$A$4:$A$10000))*1,[2]OUT_TransportEnergyCons!J$4:J$10000))*1000</f>
        <v>0.10282714890646499</v>
      </c>
      <c r="N1990" s="1"/>
    </row>
    <row r="1991" spans="2:14" x14ac:dyDescent="0.35">
      <c r="B1991" s="5" t="str">
        <f t="shared" si="2046"/>
        <v>SPS1</v>
      </c>
      <c r="C1991" s="5" t="str">
        <f t="shared" si="2047"/>
        <v>CH</v>
      </c>
      <c r="D1991" t="s">
        <v>2020</v>
      </c>
      <c r="E1991" t="s">
        <v>1999</v>
      </c>
      <c r="F1991" s="1" cm="1">
        <f t="array" ref="F1991">IF((SUMPRODUCT(("Var_Cap"=[1]OUT_TransportEnergyCons!$B$4:$B$10000)*1,ISNUMBER(SEARCH("T_b_c*hyb*DSL*s4",[1]OUT_TransportEnergyCons!$A$4:$A$10000))*1,[1]OUT_TransportEnergyCons!D$4:D$10000))*1000&lt;0,0,(SUMPRODUCT(("Var_Cap"=[1]OUT_TransportEnergyCons!$B$4:$B$10000)*1,ISNUMBER(SEARCH("T_b_c*hyb*DSL*s4",[1]OUT_TransportEnergyCons!$A$4:$A$10000))*1,[1]OUT_TransportEnergyCons!D$4:D$10000))*1000)</f>
        <v>0</v>
      </c>
      <c r="G1991" s="1" cm="1">
        <f t="array" ref="G1991">IF((SUMPRODUCT(("Var_Cap"=[1]OUT_TransportEnergyCons!$B$4:$B$10000)*1,ISNUMBER(SEARCH("T_b_c*hyb*DSL*s4",[1]OUT_TransportEnergyCons!$A$4:$A$10000))*1,[1]OUT_TransportEnergyCons!E$4:E$10000))*1000&lt;0,0,(SUMPRODUCT(("Var_Cap"=[1]OUT_TransportEnergyCons!$B$4:$B$10000)*1,ISNUMBER(SEARCH("T_b_c*hyb*DSL*s4",[1]OUT_TransportEnergyCons!$A$4:$A$10000))*1,[1]OUT_TransportEnergyCons!E$4:E$10000))*1000)</f>
        <v>1.5637310109677398E-5</v>
      </c>
      <c r="H1991" s="1" cm="1">
        <f t="array" ref="H1991">IF((SUMPRODUCT(("Var_Cap"=[1]OUT_TransportEnergyCons!$B$4:$B$10000)*1,ISNUMBER(SEARCH("T_b_c*hyb*DSL*s4",[1]OUT_TransportEnergyCons!$A$4:$A$10000))*1,[1]OUT_TransportEnergyCons!F$4:F$10000))*1000&lt;0,0,(SUMPRODUCT(("Var_Cap"=[1]OUT_TransportEnergyCons!$B$4:$B$10000)*1,ISNUMBER(SEARCH("T_b_c*hyb*DSL*s4",[1]OUT_TransportEnergyCons!$A$4:$A$10000))*1,[1]OUT_TransportEnergyCons!F$4:F$10000))*1000)</f>
        <v>2.94246957433085E-5</v>
      </c>
      <c r="I1991" s="1" cm="1">
        <f t="array" ref="I1991">IF((SUMPRODUCT(("Var_Cap"=[1]OUT_TransportEnergyCons!$B$4:$B$10000)*1,ISNUMBER(SEARCH("T_b_c*hyb*DSL*s4",[1]OUT_TransportEnergyCons!$A$4:$A$10000))*1,[1]OUT_TransportEnergyCons!G$4:G$10000))*1000&lt;0,0,(SUMPRODUCT(("Var_Cap"=[1]OUT_TransportEnergyCons!$B$4:$B$10000)*1,ISNUMBER(SEARCH("T_b_c*hyb*DSL*s4",[1]OUT_TransportEnergyCons!$A$4:$A$10000))*1,[1]OUT_TransportEnergyCons!G$4:G$10000))*1000)</f>
        <v>2.85705812161393E-5</v>
      </c>
      <c r="J1991" s="1" cm="1">
        <f t="array" ref="J1991">IF((SUMPRODUCT(("Var_Cap"=[2]OUT_TransportEnergyCons!$B$4:$B$10000)*1,ISNUMBER(SEARCH("T_b_c*hyb*DSL*s4",[2]OUT_TransportEnergyCons!$A$4:$A$10000))*1,[2]OUT_TransportEnergyCons!H$4:H$10000))*1000&lt;0,0,(SUMPRODUCT(("Var_Cap"=[2]OUT_TransportEnergyCons!$B$4:$B$10000)*1,ISNUMBER(SEARCH("T_b_c*hyb*DSL*s4",[2]OUT_TransportEnergyCons!$A$4:$A$10000))*1,[2]OUT_TransportEnergyCons!H$4:H$10000))*1000)</f>
        <v>1.06439982336265E-4</v>
      </c>
      <c r="K1991" s="1" cm="1">
        <f t="array" ref="K1991">IF((SUMPRODUCT(("Var_Cap"=[2]OUT_TransportEnergyCons!$B$4:$B$10000)*1,ISNUMBER(SEARCH("T_b_c*hyb*DSL*s4",[2]OUT_TransportEnergyCons!$A$4:$A$10000))*1,[2]OUT_TransportEnergyCons!I$4:I$10000))*1000&lt;0,0,(SUMPRODUCT(("Var_Cap"=[2]OUT_TransportEnergyCons!$B$4:$B$10000)*1,ISNUMBER(SEARCH("T_b_c*hyb*DSL*s4",[2]OUT_TransportEnergyCons!$A$4:$A$10000))*1,[2]OUT_TransportEnergyCons!I$4:I$10000))*1000)</f>
        <v>1.5597204906535401E-4</v>
      </c>
      <c r="L1991" s="1" cm="1">
        <f t="array" ref="L1991">IF((SUMPRODUCT(("Var_Cap"=[2]OUT_TransportEnergyCons!$B$4:$B$10000)*1,ISNUMBER(SEARCH("T_b_c*hyb*DSL*s4",[2]OUT_TransportEnergyCons!$A$4:$A$10000))*1,[2]OUT_TransportEnergyCons!J$4:J$10000))*1000&lt;0,0,(SUMPRODUCT(("Var_Cap"=[2]OUT_TransportEnergyCons!$B$4:$B$10000)*1,ISNUMBER(SEARCH("T_b_c*hyb*DSL*s4",[2]OUT_TransportEnergyCons!$A$4:$A$10000))*1,[2]OUT_TransportEnergyCons!J$4:J$10000))*1000)</f>
        <v>4.9863391305982998E-5</v>
      </c>
      <c r="N1991" s="1"/>
    </row>
    <row r="1992" spans="2:14" x14ac:dyDescent="0.35">
      <c r="B1992" s="5" t="str">
        <f t="shared" si="2046"/>
        <v>SPS1</v>
      </c>
      <c r="C1992" s="5" t="str">
        <f t="shared" si="2047"/>
        <v>CH</v>
      </c>
      <c r="D1992" t="s">
        <v>2021</v>
      </c>
      <c r="E1992" t="s">
        <v>1999</v>
      </c>
      <c r="F1992" s="1" cm="1">
        <f t="array" ref="F1992">(SUMPRODUCT(("Var_Cap"=[1]OUT_TransportEnergyCons!$B$4:$B$10000)*1,ISNUMBER(SEARCH("T_b_c*ICE*DSL*ext",[1]OUT_TransportEnergyCons!$A$4:$A$10000))*1,[1]OUT_TransportEnergyCons!D$4:D$10000))*1000</f>
        <v>1.3033204752126699</v>
      </c>
      <c r="G1992" s="1" cm="1">
        <f t="array" ref="G1992">(SUMPRODUCT(("Var_Cap"=[1]OUT_TransportEnergyCons!$B$4:$B$10000)*1,ISNUMBER(SEARCH("T_b_c*ICE*DSL*ext",[1]OUT_TransportEnergyCons!$A$4:$A$10000))*1,[1]OUT_TransportEnergyCons!E$4:E$10000))*1000</f>
        <v>1.0426563801701401</v>
      </c>
      <c r="H1992" s="1" cm="1">
        <f t="array" ref="H1992">(SUMPRODUCT(("Var_Cap"=[1]OUT_TransportEnergyCons!$B$4:$B$10000)*1,ISNUMBER(SEARCH("T_b_c*ICE*DSL*ext",[1]OUT_TransportEnergyCons!$A$4:$A$10000))*1,[1]OUT_TransportEnergyCons!F$4:F$10000))*1000</f>
        <v>0.65166023760633496</v>
      </c>
      <c r="I1992" s="1" cm="1">
        <f t="array" ref="I1992">(SUMPRODUCT(("Var_Cap"=[1]OUT_TransportEnergyCons!$B$4:$B$10000)*1,ISNUMBER(SEARCH("T_b_c*ICE*DSL*ext",[1]OUT_TransportEnergyCons!$A$4:$A$10000))*1,[1]OUT_TransportEnergyCons!G$4:G$10000))*1000</f>
        <v>0</v>
      </c>
      <c r="J1992" s="1" cm="1">
        <f t="array" ref="J1992">(SUMPRODUCT(("Var_Cap"=[2]OUT_TransportEnergyCons!$B$4:$B$10000)*1,ISNUMBER(SEARCH("T_b_c*ICE*DSL*ext",[2]OUT_TransportEnergyCons!$A$4:$A$10000))*1,[2]OUT_TransportEnergyCons!H$4:H$10000))*1000</f>
        <v>0</v>
      </c>
      <c r="K1992" s="1" cm="1">
        <f t="array" ref="K1992">(SUMPRODUCT(("Var_Cap"=[2]OUT_TransportEnergyCons!$B$4:$B$10000)*1,ISNUMBER(SEARCH("T_b_c*ICE*DSL*ext",[2]OUT_TransportEnergyCons!$A$4:$A$10000))*1,[2]OUT_TransportEnergyCons!I$4:I$10000))*1000</f>
        <v>0</v>
      </c>
      <c r="L1992" s="1" cm="1">
        <f t="array" ref="L1992">(SUMPRODUCT(("Var_Cap"=[2]OUT_TransportEnergyCons!$B$4:$B$10000)*1,ISNUMBER(SEARCH("T_b_c*ICE*DSL*ext",[2]OUT_TransportEnergyCons!$A$4:$A$10000))*1,[2]OUT_TransportEnergyCons!J$4:J$10000))*1000</f>
        <v>0</v>
      </c>
      <c r="N1992" s="1"/>
    </row>
    <row r="1993" spans="2:14" x14ac:dyDescent="0.35">
      <c r="B1993" s="5" t="str">
        <f t="shared" si="2046"/>
        <v>SPS1</v>
      </c>
      <c r="C1993" s="5" t="str">
        <f t="shared" si="2047"/>
        <v>CH</v>
      </c>
      <c r="D1993" t="s">
        <v>2022</v>
      </c>
      <c r="E1993" t="s">
        <v>1999</v>
      </c>
      <c r="F1993" s="1" cm="1">
        <f t="array" ref="F1993">IF((SUMPRODUCT(("Var_Cap"=[1]OUT_TransportEnergyCons!$B$4:$B$10000)*1,ISNUMBER(SEARCH("T_b_c*ICE*DSL*s1",[1]OUT_TransportEnergyCons!$A$4:$A$10000))*1,[1]OUT_TransportEnergyCons!D$4:D$10000))*1000&lt;0,0,(SUMPRODUCT(("Var_Cap"=[1]OUT_TransportEnergyCons!$B$4:$B$10000)*1,ISNUMBER(SEARCH("T_b_c*ICE*DSL*s1",[1]OUT_TransportEnergyCons!$A$4:$A$10000))*1,[1]OUT_TransportEnergyCons!D$4:D$10000))*1000)</f>
        <v>0.30580528846153798</v>
      </c>
      <c r="G1993" s="1" cm="1">
        <f t="array" ref="G1993">IF((SUMPRODUCT(("Var_Cap"=[1]OUT_TransportEnergyCons!$B$4:$B$10000)*1,ISNUMBER(SEARCH("T_b_c*ICE*DSL*s1",[1]OUT_TransportEnergyCons!$A$4:$A$10000))*1,[1]OUT_TransportEnergyCons!E$4:E$10000))*1000&lt;0,0,(SUMPRODUCT(("Var_Cap"=[1]OUT_TransportEnergyCons!$B$4:$B$10000)*1,ISNUMBER(SEARCH("T_b_c*ICE*DSL*s1",[1]OUT_TransportEnergyCons!$A$4:$A$10000))*1,[1]OUT_TransportEnergyCons!E$4:E$10000))*1000)</f>
        <v>0.84768556901466485</v>
      </c>
      <c r="H1993" s="1" cm="1">
        <f t="array" ref="H1993">IF((SUMPRODUCT(("Var_Cap"=[1]OUT_TransportEnergyCons!$B$4:$B$10000)*1,ISNUMBER(SEARCH("T_b_c*ICE*DSL*s1",[1]OUT_TransportEnergyCons!$A$4:$A$10000))*1,[1]OUT_TransportEnergyCons!F$4:F$10000))*1000&lt;0,0,(SUMPRODUCT(("Var_Cap"=[1]OUT_TransportEnergyCons!$B$4:$B$10000)*1,ISNUMBER(SEARCH("T_b_c*ICE*DSL*s1",[1]OUT_TransportEnergyCons!$A$4:$A$10000))*1,[1]OUT_TransportEnergyCons!F$4:F$10000))*1000)</f>
        <v>1.050501140602619</v>
      </c>
      <c r="I1993" s="1" cm="1">
        <f t="array" ref="I1993">IF((SUMPRODUCT(("Var_Cap"=[1]OUT_TransportEnergyCons!$B$4:$B$10000)*1,ISNUMBER(SEARCH("T_b_c*ICE*DSL*s1",[1]OUT_TransportEnergyCons!$A$4:$A$10000))*1,[1]OUT_TransportEnergyCons!G$4:G$10000))*1000&lt;0,0,(SUMPRODUCT(("Var_Cap"=[1]OUT_TransportEnergyCons!$B$4:$B$10000)*1,ISNUMBER(SEARCH("T_b_c*ICE*DSL*s1",[1]OUT_TransportEnergyCons!$A$4:$A$10000))*1,[1]OUT_TransportEnergyCons!G$4:G$10000))*1000)</f>
        <v>0</v>
      </c>
      <c r="J1993" s="1" cm="1">
        <f t="array" ref="J1993">IF((SUMPRODUCT(("Var_Cap"=[2]OUT_TransportEnergyCons!$B$4:$B$10000)*1,ISNUMBER(SEARCH("T_b_c*ICE*DSL*s1",[2]OUT_TransportEnergyCons!$A$4:$A$10000))*1,[2]OUT_TransportEnergyCons!H$4:H$10000))*1000&lt;0,0,(SUMPRODUCT(("Var_Cap"=[2]OUT_TransportEnergyCons!$B$4:$B$10000)*1,ISNUMBER(SEARCH("T_b_c*ICE*DSL*s1",[2]OUT_TransportEnergyCons!$A$4:$A$10000))*1,[2]OUT_TransportEnergyCons!H$4:H$10000))*1000)</f>
        <v>1.2831601065976111E-6</v>
      </c>
      <c r="K1993" s="1" cm="1">
        <f t="array" ref="K1993">IF((SUMPRODUCT(("Var_Cap"=[2]OUT_TransportEnergyCons!$B$4:$B$10000)*1,ISNUMBER(SEARCH("T_b_c*ICE*DSL*s1",[2]OUT_TransportEnergyCons!$A$4:$A$10000))*1,[2]OUT_TransportEnergyCons!I$4:I$10000))*1000&lt;0,0,(SUMPRODUCT(("Var_Cap"=[2]OUT_TransportEnergyCons!$B$4:$B$10000)*1,ISNUMBER(SEARCH("T_b_c*ICE*DSL*s1",[2]OUT_TransportEnergyCons!$A$4:$A$10000))*1,[2]OUT_TransportEnergyCons!I$4:I$10000))*1000)</f>
        <v>0</v>
      </c>
      <c r="L1993" s="1" cm="1">
        <f t="array" ref="L1993">IF((SUMPRODUCT(("Var_Cap"=[2]OUT_TransportEnergyCons!$B$4:$B$10000)*1,ISNUMBER(SEARCH("T_b_c*ICE*DSL*s1",[2]OUT_TransportEnergyCons!$A$4:$A$10000))*1,[2]OUT_TransportEnergyCons!J$4:J$10000))*1000&lt;0,0,(SUMPRODUCT(("Var_Cap"=[2]OUT_TransportEnergyCons!$B$4:$B$10000)*1,ISNUMBER(SEARCH("T_b_c*ICE*DSL*s1",[2]OUT_TransportEnergyCons!$A$4:$A$10000))*1,[2]OUT_TransportEnergyCons!J$4:J$10000))*1000)</f>
        <v>0</v>
      </c>
      <c r="N1993" s="1"/>
    </row>
    <row r="1994" spans="2:14" x14ac:dyDescent="0.35">
      <c r="B1994" s="5" t="str">
        <f t="shared" si="2046"/>
        <v>SPS1</v>
      </c>
      <c r="C1994" s="5" t="str">
        <f t="shared" si="2047"/>
        <v>CH</v>
      </c>
      <c r="D1994" t="s">
        <v>2023</v>
      </c>
      <c r="E1994" t="s">
        <v>1999</v>
      </c>
      <c r="F1994" s="1" cm="1">
        <f t="array" ref="F1994">IF((SUMPRODUCT(("Var_Cap"=[1]OUT_TransportEnergyCons!$B$4:$B$10000)*1,ISNUMBER(SEARCH("T_b_c*ICE*DSL*s2",[1]OUT_TransportEnergyCons!$A$4:$A$10000))*1,[1]OUT_TransportEnergyCons!D$4:D$10000))*1000&lt;0,0,(SUMPRODUCT(("Var_Cap"=[1]OUT_TransportEnergyCons!$B$4:$B$10000)*1,ISNUMBER(SEARCH("T_b_c*ICE*DSL*s2",[1]OUT_TransportEnergyCons!$A$4:$A$10000))*1,[1]OUT_TransportEnergyCons!D$4:D$10000))*1000)</f>
        <v>0.98784375000000002</v>
      </c>
      <c r="G1994" s="1" cm="1">
        <f t="array" ref="G1994">IF((SUMPRODUCT(("Var_Cap"=[1]OUT_TransportEnergyCons!$B$4:$B$10000)*1,ISNUMBER(SEARCH("T_b_c*ICE*DSL*s2",[1]OUT_TransportEnergyCons!$A$4:$A$10000))*1,[1]OUT_TransportEnergyCons!E$4:E$10000))*1000&lt;0,0,(SUMPRODUCT(("Var_Cap"=[1]OUT_TransportEnergyCons!$B$4:$B$10000)*1,ISNUMBER(SEARCH("T_b_c*ICE*DSL*s2",[1]OUT_TransportEnergyCons!$A$4:$A$10000))*1,[1]OUT_TransportEnergyCons!E$4:E$10000))*1000)</f>
        <v>0.76497523261002109</v>
      </c>
      <c r="H1994" s="1" cm="1">
        <f t="array" ref="H1994">IF((SUMPRODUCT(("Var_Cap"=[1]OUT_TransportEnergyCons!$B$4:$B$10000)*1,ISNUMBER(SEARCH("T_b_c*ICE*DSL*s2",[1]OUT_TransportEnergyCons!$A$4:$A$10000))*1,[1]OUT_TransportEnergyCons!F$4:F$10000))*1000&lt;0,0,(SUMPRODUCT(("Var_Cap"=[1]OUT_TransportEnergyCons!$B$4:$B$10000)*1,ISNUMBER(SEARCH("T_b_c*ICE*DSL*s2",[1]OUT_TransportEnergyCons!$A$4:$A$10000))*1,[1]OUT_TransportEnergyCons!F$4:F$10000))*1000)</f>
        <v>0.76540645436017429</v>
      </c>
      <c r="I1994" s="1" cm="1">
        <f t="array" ref="I1994">IF((SUMPRODUCT(("Var_Cap"=[1]OUT_TransportEnergyCons!$B$4:$B$10000)*1,ISNUMBER(SEARCH("T_b_c*ICE*DSL*s2",[1]OUT_TransportEnergyCons!$A$4:$A$10000))*1,[1]OUT_TransportEnergyCons!G$4:G$10000))*1000&lt;0,0,(SUMPRODUCT(("Var_Cap"=[1]OUT_TransportEnergyCons!$B$4:$B$10000)*1,ISNUMBER(SEARCH("T_b_c*ICE*DSL*s2",[1]OUT_TransportEnergyCons!$A$4:$A$10000))*1,[1]OUT_TransportEnergyCons!G$4:G$10000))*1000)</f>
        <v>0</v>
      </c>
      <c r="J1994" s="1" cm="1">
        <f t="array" ref="J1994">IF((SUMPRODUCT(("Var_Cap"=[2]OUT_TransportEnergyCons!$B$4:$B$10000)*1,ISNUMBER(SEARCH("T_b_c*ICE*DSL*s2",[2]OUT_TransportEnergyCons!$A$4:$A$10000))*1,[2]OUT_TransportEnergyCons!H$4:H$10000))*1000&lt;0,0,(SUMPRODUCT(("Var_Cap"=[2]OUT_TransportEnergyCons!$B$4:$B$10000)*1,ISNUMBER(SEARCH("T_b_c*ICE*DSL*s2",[2]OUT_TransportEnergyCons!$A$4:$A$10000))*1,[2]OUT_TransportEnergyCons!H$4:H$10000))*1000)</f>
        <v>1.1600066764449722E-6</v>
      </c>
      <c r="K1994" s="1" cm="1">
        <f t="array" ref="K1994">IF((SUMPRODUCT(("Var_Cap"=[2]OUT_TransportEnergyCons!$B$4:$B$10000)*1,ISNUMBER(SEARCH("T_b_c*ICE*DSL*s2",[2]OUT_TransportEnergyCons!$A$4:$A$10000))*1,[2]OUT_TransportEnergyCons!I$4:I$10000))*1000&lt;0,0,(SUMPRODUCT(("Var_Cap"=[2]OUT_TransportEnergyCons!$B$4:$B$10000)*1,ISNUMBER(SEARCH("T_b_c*ICE*DSL*s2",[2]OUT_TransportEnergyCons!$A$4:$A$10000))*1,[2]OUT_TransportEnergyCons!I$4:I$10000))*1000)</f>
        <v>0</v>
      </c>
      <c r="L1994" s="1" cm="1">
        <f t="array" ref="L1994">IF((SUMPRODUCT(("Var_Cap"=[2]OUT_TransportEnergyCons!$B$4:$B$10000)*1,ISNUMBER(SEARCH("T_b_c*ICE*DSL*s2",[2]OUT_TransportEnergyCons!$A$4:$A$10000))*1,[2]OUT_TransportEnergyCons!J$4:J$10000))*1000&lt;0,0,(SUMPRODUCT(("Var_Cap"=[2]OUT_TransportEnergyCons!$B$4:$B$10000)*1,ISNUMBER(SEARCH("T_b_c*ICE*DSL*s2",[2]OUT_TransportEnergyCons!$A$4:$A$10000))*1,[2]OUT_TransportEnergyCons!J$4:J$10000))*1000)</f>
        <v>0</v>
      </c>
      <c r="N1994" s="1"/>
    </row>
    <row r="1995" spans="2:14" x14ac:dyDescent="0.35">
      <c r="B1995" s="5" t="str">
        <f t="shared" si="2046"/>
        <v>SPS1</v>
      </c>
      <c r="C1995" s="5" t="str">
        <f t="shared" si="2047"/>
        <v>CH</v>
      </c>
      <c r="D1995" t="s">
        <v>2024</v>
      </c>
      <c r="E1995" t="s">
        <v>1999</v>
      </c>
      <c r="F1995" s="1" cm="1">
        <f t="array" ref="F1995">IF((SUMPRODUCT(("Var_Cap"=[1]OUT_TransportEnergyCons!$B$4:$B$10000)*1,ISNUMBER(SEARCH("T_b_c*ICE*DSL*s3",[1]OUT_TransportEnergyCons!$A$4:$A$10000))*1,[1]OUT_TransportEnergyCons!D$4:D$10000))*1000&lt;0,0,(SUMPRODUCT(("Var_Cap"=[1]OUT_TransportEnergyCons!$B$4:$B$10000)*1,ISNUMBER(SEARCH("T_b_c*ICE*DSL*s3",[1]OUT_TransportEnergyCons!$A$4:$A$10000))*1,[1]OUT_TransportEnergyCons!D$4:D$10000))*1000)</f>
        <v>0.19441451339396482</v>
      </c>
      <c r="G1995" s="1" cm="1">
        <f t="array" ref="G1995">IF((SUMPRODUCT(("Var_Cap"=[1]OUT_TransportEnergyCons!$B$4:$B$10000)*1,ISNUMBER(SEARCH("T_b_c*ICE*DSL*s3",[1]OUT_TransportEnergyCons!$A$4:$A$10000))*1,[1]OUT_TransportEnergyCons!E$4:E$10000))*1000&lt;0,0,(SUMPRODUCT(("Var_Cap"=[1]OUT_TransportEnergyCons!$B$4:$B$10000)*1,ISNUMBER(SEARCH("T_b_c*ICE*DSL*s3",[1]OUT_TransportEnergyCons!$A$4:$A$10000))*1,[1]OUT_TransportEnergyCons!E$4:E$10000))*1000)</f>
        <v>0.19188004626563696</v>
      </c>
      <c r="H1995" s="1" cm="1">
        <f t="array" ref="H1995">IF((SUMPRODUCT(("Var_Cap"=[1]OUT_TransportEnergyCons!$B$4:$B$10000)*1,ISNUMBER(SEARCH("T_b_c*ICE*DSL*s3",[1]OUT_TransportEnergyCons!$A$4:$A$10000))*1,[1]OUT_TransportEnergyCons!F$4:F$10000))*1000&lt;0,0,(SUMPRODUCT(("Var_Cap"=[1]OUT_TransportEnergyCons!$B$4:$B$10000)*1,ISNUMBER(SEARCH("T_b_c*ICE*DSL*s3",[1]OUT_TransportEnergyCons!$A$4:$A$10000))*1,[1]OUT_TransportEnergyCons!F$4:F$10000))*1000)</f>
        <v>0.19204307620599703</v>
      </c>
      <c r="I1995" s="1" cm="1">
        <f t="array" ref="I1995">IF((SUMPRODUCT(("Var_Cap"=[1]OUT_TransportEnergyCons!$B$4:$B$10000)*1,ISNUMBER(SEARCH("T_b_c*ICE*DSL*s3",[1]OUT_TransportEnergyCons!$A$4:$A$10000))*1,[1]OUT_TransportEnergyCons!G$4:G$10000))*1000&lt;0,0,(SUMPRODUCT(("Var_Cap"=[1]OUT_TransportEnergyCons!$B$4:$B$10000)*1,ISNUMBER(SEARCH("T_b_c*ICE*DSL*s3",[1]OUT_TransportEnergyCons!$A$4:$A$10000))*1,[1]OUT_TransportEnergyCons!G$4:G$10000))*1000)</f>
        <v>0</v>
      </c>
      <c r="J1995" s="1" cm="1">
        <f t="array" ref="J1995">IF((SUMPRODUCT(("Var_Cap"=[2]OUT_TransportEnergyCons!$B$4:$B$10000)*1,ISNUMBER(SEARCH("T_b_c*ICE*DSL*s3",[2]OUT_TransportEnergyCons!$A$4:$A$10000))*1,[2]OUT_TransportEnergyCons!H$4:H$10000))*1000&lt;0,0,(SUMPRODUCT(("Var_Cap"=[2]OUT_TransportEnergyCons!$B$4:$B$10000)*1,ISNUMBER(SEARCH("T_b_c*ICE*DSL*s3",[2]OUT_TransportEnergyCons!$A$4:$A$10000))*1,[2]OUT_TransportEnergyCons!H$4:H$10000))*1000)</f>
        <v>0</v>
      </c>
      <c r="K1995" s="1" cm="1">
        <f t="array" ref="K1995">IF((SUMPRODUCT(("Var_Cap"=[2]OUT_TransportEnergyCons!$B$4:$B$10000)*1,ISNUMBER(SEARCH("T_b_c*ICE*DSL*s3",[2]OUT_TransportEnergyCons!$A$4:$A$10000))*1,[2]OUT_TransportEnergyCons!I$4:I$10000))*1000&lt;0,0,(SUMPRODUCT(("Var_Cap"=[2]OUT_TransportEnergyCons!$B$4:$B$10000)*1,ISNUMBER(SEARCH("T_b_c*ICE*DSL*s3",[2]OUT_TransportEnergyCons!$A$4:$A$10000))*1,[2]OUT_TransportEnergyCons!I$4:I$10000))*1000)</f>
        <v>0</v>
      </c>
      <c r="L1995" s="1" cm="1">
        <f t="array" ref="L1995">IF((SUMPRODUCT(("Var_Cap"=[2]OUT_TransportEnergyCons!$B$4:$B$10000)*1,ISNUMBER(SEARCH("T_b_c*ICE*DSL*s3",[2]OUT_TransportEnergyCons!$A$4:$A$10000))*1,[2]OUT_TransportEnergyCons!J$4:J$10000))*1000&lt;0,0,(SUMPRODUCT(("Var_Cap"=[2]OUT_TransportEnergyCons!$B$4:$B$10000)*1,ISNUMBER(SEARCH("T_b_c*ICE*DSL*s3",[2]OUT_TransportEnergyCons!$A$4:$A$10000))*1,[2]OUT_TransportEnergyCons!J$4:J$10000))*1000)</f>
        <v>0</v>
      </c>
      <c r="N1995" s="1"/>
    </row>
    <row r="1996" spans="2:14" x14ac:dyDescent="0.35">
      <c r="B1996" s="5" t="str">
        <f t="shared" si="2046"/>
        <v>SPS1</v>
      </c>
      <c r="C1996" s="5" t="str">
        <f t="shared" si="2047"/>
        <v>CH</v>
      </c>
      <c r="D1996" t="s">
        <v>2025</v>
      </c>
      <c r="E1996" t="s">
        <v>1999</v>
      </c>
      <c r="F1996" s="1" cm="1">
        <f t="array" ref="F1996">IF((SUMPRODUCT(("Var_Cap"=[1]OUT_TransportEnergyCons!$B$4:$B$10000)*1,ISNUMBER(SEARCH("T_b_c*ICE*DSL*s4",[1]OUT_TransportEnergyCons!$A$4:$A$10000))*1,[1]OUT_TransportEnergyCons!D$4:D$10000))*1000&lt;0,0,(SUMPRODUCT(("Var_Cap"=[1]OUT_TransportEnergyCons!$B$4:$B$10000)*1,ISNUMBER(SEARCH("T_b_c*ICE*DSL*s4",[1]OUT_TransportEnergyCons!$A$4:$A$10000))*1,[1]OUT_TransportEnergyCons!D$4:D$10000))*1000)</f>
        <v>1.0717708677914802E-2</v>
      </c>
      <c r="G1996" s="1" cm="1">
        <f t="array" ref="G1996">IF((SUMPRODUCT(("Var_Cap"=[1]OUT_TransportEnergyCons!$B$4:$B$10000)*1,ISNUMBER(SEARCH("T_b_c*ICE*DSL*s4",[1]OUT_TransportEnergyCons!$A$4:$A$10000))*1,[1]OUT_TransportEnergyCons!E$4:E$10000))*1000&lt;0,0,(SUMPRODUCT(("Var_Cap"=[1]OUT_TransportEnergyCons!$B$4:$B$10000)*1,ISNUMBER(SEARCH("T_b_c*ICE*DSL*s4",[1]OUT_TransportEnergyCons!$A$4:$A$10000))*1,[1]OUT_TransportEnergyCons!E$4:E$10000))*1000)</f>
        <v>4.6535919780300156E-5</v>
      </c>
      <c r="H1996" s="1" cm="1">
        <f t="array" ref="H1996">IF((SUMPRODUCT(("Var_Cap"=[1]OUT_TransportEnergyCons!$B$4:$B$10000)*1,ISNUMBER(SEARCH("T_b_c*ICE*DSL*s4",[1]OUT_TransportEnergyCons!$A$4:$A$10000))*1,[1]OUT_TransportEnergyCons!F$4:F$10000))*1000&lt;0,0,(SUMPRODUCT(("Var_Cap"=[1]OUT_TransportEnergyCons!$B$4:$B$10000)*1,ISNUMBER(SEARCH("T_b_c*ICE*DSL*s4",[1]OUT_TransportEnergyCons!$A$4:$A$10000))*1,[1]OUT_TransportEnergyCons!F$4:F$10000))*1000)</f>
        <v>6.1708380493801667E-5</v>
      </c>
      <c r="I1996" s="1" cm="1">
        <f t="array" ref="I1996">IF((SUMPRODUCT(("Var_Cap"=[1]OUT_TransportEnergyCons!$B$4:$B$10000)*1,ISNUMBER(SEARCH("T_b_c*ICE*DSL*s4",[1]OUT_TransportEnergyCons!$A$4:$A$10000))*1,[1]OUT_TransportEnergyCons!G$4:G$10000))*1000&lt;0,0,(SUMPRODUCT(("Var_Cap"=[1]OUT_TransportEnergyCons!$B$4:$B$10000)*1,ISNUMBER(SEARCH("T_b_c*ICE*DSL*s4",[1]OUT_TransportEnergyCons!$A$4:$A$10000))*1,[1]OUT_TransportEnergyCons!G$4:G$10000))*1000)</f>
        <v>0</v>
      </c>
      <c r="J1996" s="1" cm="1">
        <f t="array" ref="J1996">IF((SUMPRODUCT(("Var_Cap"=[2]OUT_TransportEnergyCons!$B$4:$B$10000)*1,ISNUMBER(SEARCH("T_b_c*ICE*DSL*s4",[2]OUT_TransportEnergyCons!$A$4:$A$10000))*1,[2]OUT_TransportEnergyCons!H$4:H$10000))*1000&lt;0,0,(SUMPRODUCT(("Var_Cap"=[2]OUT_TransportEnergyCons!$B$4:$B$10000)*1,ISNUMBER(SEARCH("T_b_c*ICE*DSL*s4",[2]OUT_TransportEnergyCons!$A$4:$A$10000))*1,[2]OUT_TransportEnergyCons!H$4:H$10000))*1000)</f>
        <v>0</v>
      </c>
      <c r="K1996" s="1" cm="1">
        <f t="array" ref="K1996">IF((SUMPRODUCT(("Var_Cap"=[2]OUT_TransportEnergyCons!$B$4:$B$10000)*1,ISNUMBER(SEARCH("T_b_c*ICE*DSL*s4",[2]OUT_TransportEnergyCons!$A$4:$A$10000))*1,[2]OUT_TransportEnergyCons!I$4:I$10000))*1000&lt;0,0,(SUMPRODUCT(("Var_Cap"=[2]OUT_TransportEnergyCons!$B$4:$B$10000)*1,ISNUMBER(SEARCH("T_b_c*ICE*DSL*s4",[2]OUT_TransportEnergyCons!$A$4:$A$10000))*1,[2]OUT_TransportEnergyCons!I$4:I$10000))*1000)</f>
        <v>0</v>
      </c>
      <c r="L1996" s="1" cm="1">
        <f t="array" ref="L1996">IF((SUMPRODUCT(("Var_Cap"=[2]OUT_TransportEnergyCons!$B$4:$B$10000)*1,ISNUMBER(SEARCH("T_b_c*ICE*DSL*s4",[2]OUT_TransportEnergyCons!$A$4:$A$10000))*1,[2]OUT_TransportEnergyCons!J$4:J$10000))*1000&lt;0,0,(SUMPRODUCT(("Var_Cap"=[2]OUT_TransportEnergyCons!$B$4:$B$10000)*1,ISNUMBER(SEARCH("T_b_c*ICE*DSL*s4",[2]OUT_TransportEnergyCons!$A$4:$A$10000))*1,[2]OUT_TransportEnergyCons!J$4:J$10000))*1000)</f>
        <v>0</v>
      </c>
      <c r="N1996" s="1"/>
    </row>
    <row r="1997" spans="2:14" x14ac:dyDescent="0.35">
      <c r="B1997" s="5" t="str">
        <f t="shared" si="2046"/>
        <v>SPS1</v>
      </c>
      <c r="C1997" s="5" t="str">
        <f t="shared" si="2047"/>
        <v>CH</v>
      </c>
      <c r="D1997" t="s">
        <v>2026</v>
      </c>
      <c r="E1997" t="s">
        <v>1999</v>
      </c>
      <c r="F1997" s="1" cm="1">
        <f t="array" ref="F1997">(SUMPRODUCT(("Var_Cap"=[1]OUT_TransportEnergyCons!$B$4:$B$10000)*1,ISNUMBER(SEARCH("T_b_c*ICE*nga*ext",[1]OUT_TransportEnergyCons!$A$4:$A$10000))*1,[1]OUT_TransportEnergyCons!D$4:D$10000))*1000</f>
        <v>2.97227926078029E-2</v>
      </c>
      <c r="G1997" s="1" cm="1">
        <f t="array" ref="G1997">(SUMPRODUCT(("Var_Cap"=[1]OUT_TransportEnergyCons!$B$4:$B$10000)*1,ISNUMBER(SEARCH("T_b_c*ICE*nga*ext",[1]OUT_TransportEnergyCons!$A$4:$A$10000))*1,[1]OUT_TransportEnergyCons!E$4:E$10000))*1000</f>
        <v>2.37782340862423E-2</v>
      </c>
      <c r="H1997" s="1" cm="1">
        <f t="array" ref="H1997">(SUMPRODUCT(("Var_Cap"=[1]OUT_TransportEnergyCons!$B$4:$B$10000)*1,ISNUMBER(SEARCH("T_b_c*ICE*nga*ext",[1]OUT_TransportEnergyCons!$A$4:$A$10000))*1,[1]OUT_TransportEnergyCons!F$4:F$10000))*1000</f>
        <v>1.4861396303901497E-2</v>
      </c>
      <c r="I1997" s="1" cm="1">
        <f t="array" ref="I1997">(SUMPRODUCT(("Var_Cap"=[1]OUT_TransportEnergyCons!$B$4:$B$10000)*1,ISNUMBER(SEARCH("T_b_c*ICE*nga*ext",[1]OUT_TransportEnergyCons!$A$4:$A$10000))*1,[1]OUT_TransportEnergyCons!G$4:G$10000))*1000</f>
        <v>0</v>
      </c>
      <c r="J1997" s="1" cm="1">
        <f t="array" ref="J1997">(SUMPRODUCT(("Var_Cap"=[2]OUT_TransportEnergyCons!$B$4:$B$10000)*1,ISNUMBER(SEARCH("T_b_c*ICE*nga*ext",[2]OUT_TransportEnergyCons!$A$4:$A$10000))*1,[2]OUT_TransportEnergyCons!H$4:H$10000))*1000</f>
        <v>0</v>
      </c>
      <c r="K1997" s="1" cm="1">
        <f t="array" ref="K1997">(SUMPRODUCT(("Var_Cap"=[2]OUT_TransportEnergyCons!$B$4:$B$10000)*1,ISNUMBER(SEARCH("T_b_c*ICE*nga*ext",[2]OUT_TransportEnergyCons!$A$4:$A$10000))*1,[2]OUT_TransportEnergyCons!I$4:I$10000))*1000</f>
        <v>0</v>
      </c>
      <c r="L1997" s="1" cm="1">
        <f t="array" ref="L1997">(SUMPRODUCT(("Var_Cap"=[2]OUT_TransportEnergyCons!$B$4:$B$10000)*1,ISNUMBER(SEARCH("T_b_c*ICE*nga*ext",[2]OUT_TransportEnergyCons!$A$4:$A$10000))*1,[2]OUT_TransportEnergyCons!J$4:J$10000))*1000</f>
        <v>0</v>
      </c>
      <c r="N1997" s="1"/>
    </row>
    <row r="1998" spans="2:14" x14ac:dyDescent="0.35">
      <c r="B1998" s="5" t="str">
        <f t="shared" si="2046"/>
        <v>SPS1</v>
      </c>
      <c r="C1998" s="5" t="str">
        <f t="shared" si="2047"/>
        <v>CH</v>
      </c>
      <c r="D1998" t="s">
        <v>2027</v>
      </c>
      <c r="E1998" t="s">
        <v>1999</v>
      </c>
      <c r="F1998" s="1" cm="1">
        <f t="array" ref="F1998">(SUMPRODUCT(("Var_Cap"=[1]OUT_TransportEnergyCons!$B$4:$B$10000)*1,ISNUMBER(SEARCH("T_b_c*ICE*nga*s1",[1]OUT_TransportEnergyCons!$A$4:$A$10000))*1,[1]OUT_TransportEnergyCons!D$4:D$10000))*1000</f>
        <v>0</v>
      </c>
      <c r="G1998" s="1" cm="1">
        <f t="array" ref="G1998">(SUMPRODUCT(("Var_Cap"=[1]OUT_TransportEnergyCons!$B$4:$B$10000)*1,ISNUMBER(SEARCH("T_b_c*ICE*nga*s1",[1]OUT_TransportEnergyCons!$A$4:$A$10000))*1,[1]OUT_TransportEnergyCons!E$4:E$10000))*1000</f>
        <v>1.7999395863691002E-4</v>
      </c>
      <c r="H1998" s="1" cm="1">
        <f t="array" ref="H1998">(SUMPRODUCT(("Var_Cap"=[1]OUT_TransportEnergyCons!$B$4:$B$10000)*1,ISNUMBER(SEARCH("T_b_c*ICE*nga*s1",[1]OUT_TransportEnergyCons!$A$4:$A$10000))*1,[1]OUT_TransportEnergyCons!F$4:F$10000))*1000</f>
        <v>6.9353901352695805E-4</v>
      </c>
      <c r="I1998" s="1" cm="1">
        <f t="array" ref="I1998">(SUMPRODUCT(("Var_Cap"=[1]OUT_TransportEnergyCons!$B$4:$B$10000)*1,ISNUMBER(SEARCH("T_b_c*ICE*nga*s1",[1]OUT_TransportEnergyCons!$A$4:$A$10000))*1,[1]OUT_TransportEnergyCons!G$4:G$10000))*1000</f>
        <v>3.4565885119549886E-6</v>
      </c>
      <c r="J1998" s="1" cm="1">
        <f t="array" ref="J1998">(SUMPRODUCT(("Var_Cap"=[2]OUT_TransportEnergyCons!$B$4:$B$10000)*1,ISNUMBER(SEARCH("T_b_c*ICE*nga*s1",[2]OUT_TransportEnergyCons!$A$4:$A$10000))*1,[2]OUT_TransportEnergyCons!H$4:H$10000))*1000</f>
        <v>2.4300602713899471E-6</v>
      </c>
      <c r="K1998" s="1" cm="1">
        <f t="array" ref="K1998">(SUMPRODUCT(("Var_Cap"=[2]OUT_TransportEnergyCons!$B$4:$B$10000)*1,ISNUMBER(SEARCH("T_b_c*ICE*nga*s1",[2]OUT_TransportEnergyCons!$A$4:$A$10000))*1,[2]OUT_TransportEnergyCons!I$4:I$10000))*1000</f>
        <v>0</v>
      </c>
      <c r="L1998" s="1" cm="1">
        <f t="array" ref="L1998">(SUMPRODUCT(("Var_Cap"=[2]OUT_TransportEnergyCons!$B$4:$B$10000)*1,ISNUMBER(SEARCH("T_b_c*ICE*nga*s1",[2]OUT_TransportEnergyCons!$A$4:$A$10000))*1,[2]OUT_TransportEnergyCons!J$4:J$10000))*1000</f>
        <v>0</v>
      </c>
      <c r="N1998" s="1"/>
    </row>
    <row r="1999" spans="2:14" x14ac:dyDescent="0.35">
      <c r="B1999" s="5" t="str">
        <f t="shared" si="2046"/>
        <v>SPS1</v>
      </c>
      <c r="C1999" s="5" t="str">
        <f t="shared" si="2047"/>
        <v>CH</v>
      </c>
      <c r="D1999" t="s">
        <v>2028</v>
      </c>
      <c r="E1999" t="s">
        <v>1999</v>
      </c>
      <c r="F1999" s="1" cm="1">
        <f t="array" ref="F1999">IF((SUMPRODUCT(("Var_Cap"=[1]OUT_TransportEnergyCons!$B$4:$B$10000)*1,ISNUMBER(SEARCH("T_b_c*ICE*nga*s2",[1]OUT_TransportEnergyCons!$A$4:$A$10000))*1,[1]OUT_TransportEnergyCons!D$4:D$10000))*1000&lt;0,0,(SUMPRODUCT(("Var_Cap"=[1]OUT_TransportEnergyCons!$B$4:$B$10000)*1,ISNUMBER(SEARCH("T_b_c*ICE*nga*s2",[1]OUT_TransportEnergyCons!$A$4:$A$10000))*1,[1]OUT_TransportEnergyCons!D$4:D$10000))*1000)</f>
        <v>0</v>
      </c>
      <c r="G1999" s="1" cm="1">
        <f t="array" ref="G1999">IF((SUMPRODUCT(("Var_Cap"=[1]OUT_TransportEnergyCons!$B$4:$B$10000)*1,ISNUMBER(SEARCH("T_b_c*ICE*nga*s2",[1]OUT_TransportEnergyCons!$A$4:$A$10000))*1,[1]OUT_TransportEnergyCons!E$4:E$10000))*1000&lt;0,0,(SUMPRODUCT(("Var_Cap"=[1]OUT_TransportEnergyCons!$B$4:$B$10000)*1,ISNUMBER(SEARCH("T_b_c*ICE*nga*s2",[1]OUT_TransportEnergyCons!$A$4:$A$10000))*1,[1]OUT_TransportEnergyCons!E$4:E$10000))*1000)</f>
        <v>7.5911905366828612E-5</v>
      </c>
      <c r="H1999" s="1" cm="1">
        <f t="array" ref="H1999">IF((SUMPRODUCT(("Var_Cap"=[1]OUT_TransportEnergyCons!$B$4:$B$10000)*1,ISNUMBER(SEARCH("T_b_c*ICE*nga*s2",[1]OUT_TransportEnergyCons!$A$4:$A$10000))*1,[1]OUT_TransportEnergyCons!F$4:F$10000))*1000&lt;0,0,(SUMPRODUCT(("Var_Cap"=[1]OUT_TransportEnergyCons!$B$4:$B$10000)*1,ISNUMBER(SEARCH("T_b_c*ICE*nga*s2",[1]OUT_TransportEnergyCons!$A$4:$A$10000))*1,[1]OUT_TransportEnergyCons!F$4:F$10000))*1000)</f>
        <v>3.58633350197103E-4</v>
      </c>
      <c r="I1999" s="1" cm="1">
        <f t="array" ref="I1999">IF((SUMPRODUCT(("Var_Cap"=[1]OUT_TransportEnergyCons!$B$4:$B$10000)*1,ISNUMBER(SEARCH("T_b_c*ICE*nga*s2",[1]OUT_TransportEnergyCons!$A$4:$A$10000))*1,[1]OUT_TransportEnergyCons!G$4:G$10000))*1000&lt;0,0,(SUMPRODUCT(("Var_Cap"=[1]OUT_TransportEnergyCons!$B$4:$B$10000)*1,ISNUMBER(SEARCH("T_b_c*ICE*nga*s2",[1]OUT_TransportEnergyCons!$A$4:$A$10000))*1,[1]OUT_TransportEnergyCons!G$4:G$10000))*1000)</f>
        <v>3.4810599776910141E-6</v>
      </c>
      <c r="J1999" s="1" cm="1">
        <f t="array" ref="J1999">IF((SUMPRODUCT(("Var_Cap"=[2]OUT_TransportEnergyCons!$B$4:$B$10000)*1,ISNUMBER(SEARCH("T_b_c*ICE*nga*s2",[2]OUT_TransportEnergyCons!$A$4:$A$10000))*1,[2]OUT_TransportEnergyCons!H$4:H$10000))*1000&lt;0,0,(SUMPRODUCT(("Var_Cap"=[2]OUT_TransportEnergyCons!$B$4:$B$10000)*1,ISNUMBER(SEARCH("T_b_c*ICE*nga*s2",[2]OUT_TransportEnergyCons!$A$4:$A$10000))*1,[2]OUT_TransportEnergyCons!H$4:H$10000))*1000)</f>
        <v>2.1361951424380193E-6</v>
      </c>
      <c r="K1999" s="1" cm="1">
        <f t="array" ref="K1999">IF((SUMPRODUCT(("Var_Cap"=[2]OUT_TransportEnergyCons!$B$4:$B$10000)*1,ISNUMBER(SEARCH("T_b_c*ICE*nga*s2",[2]OUT_TransportEnergyCons!$A$4:$A$10000))*1,[2]OUT_TransportEnergyCons!I$4:I$10000))*1000&lt;0,0,(SUMPRODUCT(("Var_Cap"=[2]OUT_TransportEnergyCons!$B$4:$B$10000)*1,ISNUMBER(SEARCH("T_b_c*ICE*nga*s2",[2]OUT_TransportEnergyCons!$A$4:$A$10000))*1,[2]OUT_TransportEnergyCons!I$4:I$10000))*1000)</f>
        <v>0</v>
      </c>
      <c r="L1999" s="1" cm="1">
        <f t="array" ref="L1999">IF((SUMPRODUCT(("Var_Cap"=[2]OUT_TransportEnergyCons!$B$4:$B$10000)*1,ISNUMBER(SEARCH("T_b_c*ICE*nga*s2",[2]OUT_TransportEnergyCons!$A$4:$A$10000))*1,[2]OUT_TransportEnergyCons!J$4:J$10000))*1000&lt;0,0,(SUMPRODUCT(("Var_Cap"=[2]OUT_TransportEnergyCons!$B$4:$B$10000)*1,ISNUMBER(SEARCH("T_b_c*ICE*nga*s2",[2]OUT_TransportEnergyCons!$A$4:$A$10000))*1,[2]OUT_TransportEnergyCons!J$4:J$10000))*1000)</f>
        <v>0</v>
      </c>
      <c r="N1999" s="1"/>
    </row>
    <row r="2000" spans="2:14" x14ac:dyDescent="0.35">
      <c r="B2000" s="5" t="str">
        <f t="shared" si="2046"/>
        <v>SPS1</v>
      </c>
      <c r="C2000" s="5" t="str">
        <f t="shared" si="2047"/>
        <v>CH</v>
      </c>
      <c r="D2000" t="s">
        <v>2029</v>
      </c>
      <c r="E2000" t="s">
        <v>1999</v>
      </c>
      <c r="F2000" s="1" cm="1">
        <f t="array" ref="F2000">(SUMPRODUCT(("Var_Cap"=[1]OUT_TransportEnergyCons!$B$4:$B$10000)*1,ISNUMBER(SEARCH("T_b_c*ICE*nga*s3",[1]OUT_TransportEnergyCons!$A$4:$A$10000))*1,[1]OUT_TransportEnergyCons!D$4:D$10000))*1000</f>
        <v>0</v>
      </c>
      <c r="G2000" s="1" cm="1">
        <f t="array" ref="G2000">(SUMPRODUCT(("Var_Cap"=[1]OUT_TransportEnergyCons!$B$4:$B$10000)*1,ISNUMBER(SEARCH("T_b_c*ICE*nga*s3",[1]OUT_TransportEnergyCons!$A$4:$A$10000))*1,[1]OUT_TransportEnergyCons!E$4:E$10000))*1000</f>
        <v>4.3222674324862402E-5</v>
      </c>
      <c r="H2000" s="1" cm="1">
        <f t="array" ref="H2000">(SUMPRODUCT(("Var_Cap"=[1]OUT_TransportEnergyCons!$B$4:$B$10000)*1,ISNUMBER(SEARCH("T_b_c*ICE*nga*s3",[1]OUT_TransportEnergyCons!$A$4:$A$10000))*1,[1]OUT_TransportEnergyCons!F$4:F$10000))*1000</f>
        <v>1.7290053595011101E-4</v>
      </c>
      <c r="I2000" s="1" cm="1">
        <f t="array" ref="I2000">(SUMPRODUCT(("Var_Cap"=[1]OUT_TransportEnergyCons!$B$4:$B$10000)*1,ISNUMBER(SEARCH("T_b_c*ICE*nga*s3",[1]OUT_TransportEnergyCons!$A$4:$A$10000))*1,[1]OUT_TransportEnergyCons!G$4:G$10000))*1000</f>
        <v>7.7722999537640189E-6</v>
      </c>
      <c r="J2000" s="1" cm="1">
        <f t="array" ref="J2000">(SUMPRODUCT(("Var_Cap"=[2]OUT_TransportEnergyCons!$B$4:$B$10000)*1,ISNUMBER(SEARCH("T_b_c*ICE*nga*s3",[2]OUT_TransportEnergyCons!$A$4:$A$10000))*1,[2]OUT_TransportEnergyCons!H$4:H$10000))*1000</f>
        <v>0</v>
      </c>
      <c r="K2000" s="1" cm="1">
        <f t="array" ref="K2000">(SUMPRODUCT(("Var_Cap"=[2]OUT_TransportEnergyCons!$B$4:$B$10000)*1,ISNUMBER(SEARCH("T_b_c*ICE*nga*s3",[2]OUT_TransportEnergyCons!$A$4:$A$10000))*1,[2]OUT_TransportEnergyCons!I$4:I$10000))*1000</f>
        <v>0</v>
      </c>
      <c r="L2000" s="1" cm="1">
        <f t="array" ref="L2000">(SUMPRODUCT(("Var_Cap"=[2]OUT_TransportEnergyCons!$B$4:$B$10000)*1,ISNUMBER(SEARCH("T_b_c*ICE*nga*s3",[2]OUT_TransportEnergyCons!$A$4:$A$10000))*1,[2]OUT_TransportEnergyCons!J$4:J$10000))*1000</f>
        <v>0</v>
      </c>
      <c r="N2000" s="1"/>
    </row>
    <row r="2001" spans="2:14" x14ac:dyDescent="0.35">
      <c r="B2001" s="5" t="str">
        <f t="shared" si="2046"/>
        <v>SPS1</v>
      </c>
      <c r="C2001" s="5" t="str">
        <f t="shared" si="2047"/>
        <v>CH</v>
      </c>
      <c r="D2001" t="s">
        <v>2030</v>
      </c>
      <c r="E2001" t="s">
        <v>1999</v>
      </c>
      <c r="F2001" s="1" cm="1">
        <f t="array" ref="F2001">IF((SUMPRODUCT(("Var_Cap"=[1]OUT_TransportEnergyCons!$B$4:$B$10000)*1,ISNUMBER(SEARCH("T_b_c*ICE*nga*s4",[1]OUT_TransportEnergyCons!$A$4:$A$10000))*1,[1]OUT_TransportEnergyCons!D$4:D$10000))*1000&lt;0,0,(SUMPRODUCT(("Var_Cap"=[1]OUT_TransportEnergyCons!$B$4:$B$10000)*1,ISNUMBER(SEARCH("T_b_c*ICE*nga*s4",[1]OUT_TransportEnergyCons!$A$4:$A$10000))*1,[1]OUT_TransportEnergyCons!D$4:D$10000))*1000)</f>
        <v>0</v>
      </c>
      <c r="G2001" s="1" cm="1">
        <f t="array" ref="G2001">IF((SUMPRODUCT(("Var_Cap"=[1]OUT_TransportEnergyCons!$B$4:$B$10000)*1,ISNUMBER(SEARCH("T_b_c*ICE*nga*s4",[1]OUT_TransportEnergyCons!$A$4:$A$10000))*1,[1]OUT_TransportEnergyCons!E$4:E$10000))*1000&lt;0,0,(SUMPRODUCT(("Var_Cap"=[1]OUT_TransportEnergyCons!$B$4:$B$10000)*1,ISNUMBER(SEARCH("T_b_c*ICE*nga*s4",[1]OUT_TransportEnergyCons!$A$4:$A$10000))*1,[1]OUT_TransportEnergyCons!E$4:E$10000))*1000)</f>
        <v>0</v>
      </c>
      <c r="H2001" s="1" cm="1">
        <f t="array" ref="H2001">IF((SUMPRODUCT(("Var_Cap"=[1]OUT_TransportEnergyCons!$B$4:$B$10000)*1,ISNUMBER(SEARCH("T_b_c*ICE*nga*s4",[1]OUT_TransportEnergyCons!$A$4:$A$10000))*1,[1]OUT_TransportEnergyCons!F$4:F$10000))*1000&lt;0,0,(SUMPRODUCT(("Var_Cap"=[1]OUT_TransportEnergyCons!$B$4:$B$10000)*1,ISNUMBER(SEARCH("T_b_c*ICE*nga*s4",[1]OUT_TransportEnergyCons!$A$4:$A$10000))*1,[1]OUT_TransportEnergyCons!F$4:F$10000))*1000)</f>
        <v>1.01729772787622E-5</v>
      </c>
      <c r="I2001" s="1" cm="1">
        <f t="array" ref="I2001">IF((SUMPRODUCT(("Var_Cap"=[1]OUT_TransportEnergyCons!$B$4:$B$10000)*1,ISNUMBER(SEARCH("T_b_c*ICE*nga*s4",[1]OUT_TransportEnergyCons!$A$4:$A$10000))*1,[1]OUT_TransportEnergyCons!G$4:G$10000))*1000&lt;0,0,(SUMPRODUCT(("Var_Cap"=[1]OUT_TransportEnergyCons!$B$4:$B$10000)*1,ISNUMBER(SEARCH("T_b_c*ICE*nga*s4",[1]OUT_TransportEnergyCons!$A$4:$A$10000))*1,[1]OUT_TransportEnergyCons!G$4:G$10000))*1000)</f>
        <v>7.4435344730010105E-6</v>
      </c>
      <c r="J2001" s="1" cm="1">
        <f t="array" ref="J2001">IF((SUMPRODUCT(("Var_Cap"=[2]OUT_TransportEnergyCons!$B$4:$B$10000)*1,ISNUMBER(SEARCH("T_b_c*ICE*nga*s4",[2]OUT_TransportEnergyCons!$A$4:$A$10000))*1,[2]OUT_TransportEnergyCons!H$4:H$10000))*1000&lt;0,0,(SUMPRODUCT(("Var_Cap"=[2]OUT_TransportEnergyCons!$B$4:$B$10000)*1,ISNUMBER(SEARCH("T_b_c*ICE*nga*s4",[2]OUT_TransportEnergyCons!$A$4:$A$10000))*1,[2]OUT_TransportEnergyCons!H$4:H$10000))*1000)</f>
        <v>0</v>
      </c>
      <c r="K2001" s="1" cm="1">
        <f t="array" ref="K2001">IF((SUMPRODUCT(("Var_Cap"=[2]OUT_TransportEnergyCons!$B$4:$B$10000)*1,ISNUMBER(SEARCH("T_b_c*ICE*nga*s4",[2]OUT_TransportEnergyCons!$A$4:$A$10000))*1,[2]OUT_TransportEnergyCons!I$4:I$10000))*1000&lt;0,0,(SUMPRODUCT(("Var_Cap"=[2]OUT_TransportEnergyCons!$B$4:$B$10000)*1,ISNUMBER(SEARCH("T_b_c*ICE*nga*s4",[2]OUT_TransportEnergyCons!$A$4:$A$10000))*1,[2]OUT_TransportEnergyCons!I$4:I$10000))*1000)</f>
        <v>0</v>
      </c>
      <c r="L2001" s="1" cm="1">
        <f t="array" ref="L2001">IF((SUMPRODUCT(("Var_Cap"=[2]OUT_TransportEnergyCons!$B$4:$B$10000)*1,ISNUMBER(SEARCH("T_b_c*ICE*nga*s4",[2]OUT_TransportEnergyCons!$A$4:$A$10000))*1,[2]OUT_TransportEnergyCons!J$4:J$10000))*1000&lt;0,0,(SUMPRODUCT(("Var_Cap"=[2]OUT_TransportEnergyCons!$B$4:$B$10000)*1,ISNUMBER(SEARCH("T_b_c*ICE*nga*s4",[2]OUT_TransportEnergyCons!$A$4:$A$10000))*1,[2]OUT_TransportEnergyCons!J$4:J$10000))*1000)</f>
        <v>0</v>
      </c>
      <c r="N2001" s="1"/>
    </row>
    <row r="2002" spans="2:14" x14ac:dyDescent="0.35">
      <c r="B2002" s="5" t="str">
        <f>B2001</f>
        <v>SPS1</v>
      </c>
      <c r="C2002" s="5" t="str">
        <f>C2001</f>
        <v>CH</v>
      </c>
      <c r="D2002" s="2" t="s">
        <v>2121</v>
      </c>
      <c r="E2002" s="2" t="s">
        <v>1999</v>
      </c>
      <c r="F2002" s="3">
        <f>SUM(F2003:F2011)</f>
        <v>399.86529380170487</v>
      </c>
      <c r="G2002" s="3">
        <f t="shared" ref="G2002:K2002" si="2048">SUM(G2003:G2011)</f>
        <v>399.40175158474835</v>
      </c>
      <c r="H2002" s="3">
        <f t="shared" si="2048"/>
        <v>406.56967899121651</v>
      </c>
      <c r="I2002" s="3">
        <f t="shared" si="2048"/>
        <v>418.51650166520136</v>
      </c>
      <c r="J2002" s="3">
        <f t="shared" si="2048"/>
        <v>441.90331671587194</v>
      </c>
      <c r="K2002" s="3">
        <f t="shared" si="2048"/>
        <v>465.29093720733664</v>
      </c>
      <c r="L2002" s="3">
        <f t="shared" ref="L2002" si="2049">SUM(L2003:L2011)</f>
        <v>504.14911384774894</v>
      </c>
      <c r="N2002" s="1"/>
    </row>
    <row r="2003" spans="2:14" x14ac:dyDescent="0.35">
      <c r="B2003" s="5" t="str">
        <f t="shared" ref="B2003:B2011" si="2050">B2002</f>
        <v>SPS1</v>
      </c>
      <c r="C2003" s="5" t="str">
        <f t="shared" ref="C2003:C2011" si="2051">C2002</f>
        <v>CH</v>
      </c>
      <c r="D2003" t="s">
        <v>2122</v>
      </c>
      <c r="E2003" t="s">
        <v>1999</v>
      </c>
      <c r="F2003" s="1" cm="1">
        <f t="array" ref="F2003">(SUMPRODUCT(("Var_Cap"=[1]OUT_TransportEnergyCons!$B$4:$B$10000)*1,("-"=[1]OUT_TransportEnergyCons!$C$4:$C$10000)*1,ISNUMBER(SEARCH("tfl*bev*ext",[1]OUT_TransportEnergyCons!$A$4:$A$10000))*1,[1]OUT_TransportEnergyCons!D$4:D$10000))*1000</f>
        <v>1.95</v>
      </c>
      <c r="G2003" s="1" cm="1">
        <f t="array" ref="G2003">(SUMPRODUCT(("Var_Cap"=[1]OUT_TransportEnergyCons!$B$4:$B$10000)*1,("-"=[1]OUT_TransportEnergyCons!$C$4:$C$10000)*1,ISNUMBER(SEARCH("tfl*bev*ext",[1]OUT_TransportEnergyCons!$A$4:$A$10000))*1,[1]OUT_TransportEnergyCons!E$4:E$10000))*1000</f>
        <v>1.6900000000000002</v>
      </c>
      <c r="H2003" s="1" cm="1">
        <f t="array" ref="H2003">(SUMPRODUCT(("Var_Cap"=[1]OUT_TransportEnergyCons!$B$4:$B$10000)*1,("-"=[1]OUT_TransportEnergyCons!$C$4:$C$10000)*1,ISNUMBER(SEARCH("tfl*bev*ext",[1]OUT_TransportEnergyCons!$A$4:$A$10000))*1,[1]OUT_TransportEnergyCons!F$4:F$10000))*1000</f>
        <v>1.3</v>
      </c>
      <c r="I2003" s="1" cm="1">
        <f t="array" ref="I2003">(SUMPRODUCT(("Var_Cap"=[1]OUT_TransportEnergyCons!$B$4:$B$10000)*1,("-"=[1]OUT_TransportEnergyCons!$C$4:$C$10000)*1,ISNUMBER(SEARCH("tfl*bev*ext",[1]OUT_TransportEnergyCons!$A$4:$A$10000))*1,[1]OUT_TransportEnergyCons!G$4:G$10000))*1000</f>
        <v>0.65</v>
      </c>
      <c r="J2003" s="1" cm="1">
        <f t="array" ref="J2003">(SUMPRODUCT(("Var_Cap"=[2]OUT_TransportEnergyCons!$B$4:$B$10000)*1,("-"=[2]OUT_TransportEnergyCons!$C$4:$C$10000)*1,ISNUMBER(SEARCH("tfl*bev*ext",[2]OUT_TransportEnergyCons!$A$4:$A$10000))*1,[2]OUT_TransportEnergyCons!H$4:H$10000))*1000</f>
        <v>0</v>
      </c>
      <c r="K2003" s="1" cm="1">
        <f t="array" ref="K2003">(SUMPRODUCT(("Var_Cap"=[2]OUT_TransportEnergyCons!$B$4:$B$10000)*1,("-"=[2]OUT_TransportEnergyCons!$C$4:$C$10000)*1,ISNUMBER(SEARCH("tfl*bev*ext",[2]OUT_TransportEnergyCons!$A$4:$A$10000))*1,[2]OUT_TransportEnergyCons!I$4:I$10000))*1000</f>
        <v>0</v>
      </c>
      <c r="L2003" s="1" cm="1">
        <f t="array" ref="L2003">(SUMPRODUCT(("Var_Cap"=[2]OUT_TransportEnergyCons!$B$4:$B$10000)*1,("-"=[2]OUT_TransportEnergyCons!$C$4:$C$10000)*1,ISNUMBER(SEARCH("tfl*bev*ext",[2]OUT_TransportEnergyCons!$A$4:$A$10000))*1,[2]OUT_TransportEnergyCons!J$4:J$10000))*1000</f>
        <v>0</v>
      </c>
      <c r="N2003" s="1"/>
    </row>
    <row r="2004" spans="2:14" x14ac:dyDescent="0.35">
      <c r="B2004" s="5" t="str">
        <f t="shared" si="2050"/>
        <v>SPS1</v>
      </c>
      <c r="C2004" s="5" t="str">
        <f t="shared" si="2051"/>
        <v>CH</v>
      </c>
      <c r="D2004" t="s">
        <v>2123</v>
      </c>
      <c r="E2004" t="s">
        <v>1999</v>
      </c>
      <c r="F2004" s="1" cm="1">
        <f t="array" ref="F2004">(SUMPRODUCT(("Var_Cap"=[1]OUT_TransportEnergyCons!$B$4:$B$10000)*1,("-"=[1]OUT_TransportEnergyCons!$C$4:$C$10000)*1,ISNUMBER(SEARCH("tfl*bev*",[1]OUT_TransportEnergyCons!$A$4:$A$10000))*1,[1]OUT_TransportEnergyCons!D$4:D$10000))*1000-F2003</f>
        <v>1.6989478871528727</v>
      </c>
      <c r="G2004" s="1" cm="1">
        <f t="array" ref="G2004">(SUMPRODUCT(("Var_Cap"=[1]OUT_TransportEnergyCons!$B$4:$B$10000)*1,("-"=[1]OUT_TransportEnergyCons!$C$4:$C$10000)*1,ISNUMBER(SEARCH("tfl*bev*",[1]OUT_TransportEnergyCons!$A$4:$A$10000))*1,[1]OUT_TransportEnergyCons!E$4:E$10000))*1000-G2003</f>
        <v>3.7475470895387195</v>
      </c>
      <c r="H2004" s="1" cm="1">
        <f t="array" ref="H2004">(SUMPRODUCT(("Var_Cap"=[1]OUT_TransportEnergyCons!$B$4:$B$10000)*1,("-"=[1]OUT_TransportEnergyCons!$C$4:$C$10000)*1,ISNUMBER(SEARCH("tfl*bev*",[1]OUT_TransportEnergyCons!$A$4:$A$10000))*1,[1]OUT_TransportEnergyCons!F$4:F$10000))*1000-H2003</f>
        <v>14.6998802958437</v>
      </c>
      <c r="I2004" s="1" cm="1">
        <f t="array" ref="I2004">(SUMPRODUCT(("Var_Cap"=[1]OUT_TransportEnergyCons!$B$4:$B$10000)*1,("-"=[1]OUT_TransportEnergyCons!$C$4:$C$10000)*1,ISNUMBER(SEARCH("tfl*bev*",[1]OUT_TransportEnergyCons!$A$4:$A$10000))*1,[1]OUT_TransportEnergyCons!G$4:G$10000))*1000-I2003</f>
        <v>59.701933688520668</v>
      </c>
      <c r="J2004" s="1" cm="1">
        <f t="array" ref="J2004">(SUMPRODUCT(("Var_Cap"=[2]OUT_TransportEnergyCons!$B$4:$B$10000)*1,("-"=[2]OUT_TransportEnergyCons!$C$4:$C$10000)*1,ISNUMBER(SEARCH("tfl*bev*",[2]OUT_TransportEnergyCons!$A$4:$A$10000))*1,[2]OUT_TransportEnergyCons!H$4:H$10000))*1000-J2003</f>
        <v>164.50001782076481</v>
      </c>
      <c r="K2004" s="1" cm="1">
        <f t="array" ref="K2004">(SUMPRODUCT(("Var_Cap"=[2]OUT_TransportEnergyCons!$B$4:$B$10000)*1,("-"=[2]OUT_TransportEnergyCons!$C$4:$C$10000)*1,ISNUMBER(SEARCH("tfl*bev*",[2]OUT_TransportEnergyCons!$A$4:$A$10000))*1,[2]OUT_TransportEnergyCons!I$4:I$10000))*1000-K2003</f>
        <v>316.42285228199859</v>
      </c>
      <c r="L2004" s="1" cm="1">
        <f t="array" ref="L2004">(SUMPRODUCT(("Var_Cap"=[2]OUT_TransportEnergyCons!$B$4:$B$10000)*1,("-"=[2]OUT_TransportEnergyCons!$C$4:$C$10000)*1,ISNUMBER(SEARCH("tfl*bev*",[2]OUT_TransportEnergyCons!$A$4:$A$10000))*1,[2]OUT_TransportEnergyCons!J$4:J$10000))*1000-L2003</f>
        <v>339.07237405487842</v>
      </c>
      <c r="N2004" s="1"/>
    </row>
    <row r="2005" spans="2:14" x14ac:dyDescent="0.35">
      <c r="B2005" s="5" t="str">
        <f t="shared" si="2050"/>
        <v>SPS1</v>
      </c>
      <c r="C2005" s="5" t="str">
        <f t="shared" si="2051"/>
        <v>CH</v>
      </c>
      <c r="D2005" t="s">
        <v>2124</v>
      </c>
      <c r="E2005" t="s">
        <v>1999</v>
      </c>
      <c r="F2005" s="1" cm="1">
        <f t="array" ref="F2005">(SUMPRODUCT(("Var_Cap"=[1]OUT_TransportEnergyCons!$B$4:$B$10000)*1,("-"=[1]OUT_TransportEnergyCons!$C$4:$C$10000)*1,ISNUMBER(SEARCH("tfl*h2o*",[1]OUT_TransportEnergyCons!$A$4:$A$10000))*1,[1]OUT_TransportEnergyCons!D$4:D$10000))*1000</f>
        <v>0</v>
      </c>
      <c r="G2005" s="1" cm="1">
        <f t="array" ref="G2005">(SUMPRODUCT(("Var_Cap"=[1]OUT_TransportEnergyCons!$B$4:$B$10000)*1,("-"=[1]OUT_TransportEnergyCons!$C$4:$C$10000)*1,ISNUMBER(SEARCH("tfl*h2o*",[1]OUT_TransportEnergyCons!$A$4:$A$10000))*1,[1]OUT_TransportEnergyCons!E$4:E$10000))*1000</f>
        <v>4.4341685067665403E-4</v>
      </c>
      <c r="H2005" s="1" cm="1">
        <f t="array" ref="H2005">(SUMPRODUCT(("Var_Cap"=[1]OUT_TransportEnergyCons!$B$4:$B$10000)*1,("-"=[1]OUT_TransportEnergyCons!$C$4:$C$10000)*1,ISNUMBER(SEARCH("tfl*h2o*",[1]OUT_TransportEnergyCons!$A$4:$A$10000))*1,[1]OUT_TransportEnergyCons!F$4:F$10000))*1000</f>
        <v>7.4094467171562594E-4</v>
      </c>
      <c r="I2005" s="1" cm="1">
        <f t="array" ref="I2005">(SUMPRODUCT(("Var_Cap"=[1]OUT_TransportEnergyCons!$B$4:$B$10000)*1,("-"=[1]OUT_TransportEnergyCons!$C$4:$C$10000)*1,ISNUMBER(SEARCH("tfl*h2o*",[1]OUT_TransportEnergyCons!$A$4:$A$10000))*1,[1]OUT_TransportEnergyCons!G$4:G$10000))*1000</f>
        <v>3.05218191360139E-4</v>
      </c>
      <c r="J2005" s="1" cm="1">
        <f t="array" ref="J2005">(SUMPRODUCT(("Var_Cap"=[2]OUT_TransportEnergyCons!$B$4:$B$10000)*1,("-"=[2]OUT_TransportEnergyCons!$C$4:$C$10000)*1,ISNUMBER(SEARCH("tfl*h2o*",[2]OUT_TransportEnergyCons!$A$4:$A$10000))*1,[2]OUT_TransportEnergyCons!H$4:H$10000))*1000</f>
        <v>3.2099674875662402E-4</v>
      </c>
      <c r="K2005" s="1" cm="1">
        <f t="array" ref="K2005">(SUMPRODUCT(("Var_Cap"=[2]OUT_TransportEnergyCons!$B$4:$B$10000)*1,("-"=[2]OUT_TransportEnergyCons!$C$4:$C$10000)*1,ISNUMBER(SEARCH("tfl*h2o*",[2]OUT_TransportEnergyCons!$A$4:$A$10000))*1,[2]OUT_TransportEnergyCons!I$4:I$10000))*1000</f>
        <v>2.9718429775880463E-4</v>
      </c>
      <c r="L2005" s="1" cm="1">
        <f t="array" ref="L2005">(SUMPRODUCT(("Var_Cap"=[2]OUT_TransportEnergyCons!$B$4:$B$10000)*1,("-"=[2]OUT_TransportEnergyCons!$C$4:$C$10000)*1,ISNUMBER(SEARCH("tfl*h2o*",[2]OUT_TransportEnergyCons!$A$4:$A$10000))*1,[2]OUT_TransportEnergyCons!J$4:J$10000))*1000</f>
        <v>2.9778995436957801E-4</v>
      </c>
      <c r="N2005" s="1"/>
    </row>
    <row r="2006" spans="2:14" x14ac:dyDescent="0.35">
      <c r="B2006" s="5" t="str">
        <f t="shared" si="2050"/>
        <v>SPS1</v>
      </c>
      <c r="C2006" s="5" t="str">
        <f t="shared" si="2051"/>
        <v>CH</v>
      </c>
      <c r="D2006" t="s">
        <v>2125</v>
      </c>
      <c r="E2006" t="s">
        <v>1999</v>
      </c>
      <c r="F2006" s="1" cm="1">
        <f t="array" ref="F2006">(SUMPRODUCT(("Var_Cap"=[1]OUT_TransportEnergyCons!$B$4:$B$10000)*1,("-"=[1]OUT_TransportEnergyCons!$C$4:$C$10000)*1,ISNUMBER(SEARCH("TfL*ICE*GSL*ext",[1]OUT_TransportEnergyCons!$A$4:$A$10000))*1,[1]OUT_TransportEnergyCons!D$4:D$10000))*1000</f>
        <v>45.951999999999998</v>
      </c>
      <c r="G2006" s="1" cm="1">
        <f t="array" ref="G2006">(SUMPRODUCT(("Var_Cap"=[1]OUT_TransportEnergyCons!$B$4:$B$10000)*1,("-"=[1]OUT_TransportEnergyCons!$C$4:$C$10000)*1,ISNUMBER(SEARCH("TfL*ICE*GSL*ext",[1]OUT_TransportEnergyCons!$A$4:$A$10000))*1,[1]OUT_TransportEnergyCons!E$4:E$10000))*1000</f>
        <v>39.8250666666667</v>
      </c>
      <c r="H2006" s="1" cm="1">
        <f t="array" ref="H2006">(SUMPRODUCT(("Var_Cap"=[1]OUT_TransportEnergyCons!$B$4:$B$10000)*1,("-"=[1]OUT_TransportEnergyCons!$C$4:$C$10000)*1,ISNUMBER(SEARCH("TfL*ICE*GSL*ext",[1]OUT_TransportEnergyCons!$A$4:$A$10000))*1,[1]OUT_TransportEnergyCons!F$4:F$10000))*1000</f>
        <v>30.6346666666667</v>
      </c>
      <c r="I2006" s="1" cm="1">
        <f t="array" ref="I2006">(SUMPRODUCT(("Var_Cap"=[1]OUT_TransportEnergyCons!$B$4:$B$10000)*1,("-"=[1]OUT_TransportEnergyCons!$C$4:$C$10000)*1,ISNUMBER(SEARCH("TfL*ICE*GSL*ext",[1]OUT_TransportEnergyCons!$A$4:$A$10000))*1,[1]OUT_TransportEnergyCons!G$4:G$10000))*1000</f>
        <v>15.317333333333298</v>
      </c>
      <c r="J2006" s="1" cm="1">
        <f t="array" ref="J2006">(SUMPRODUCT(("Var_Cap"=[2]OUT_TransportEnergyCons!$B$4:$B$10000)*1,("-"=[2]OUT_TransportEnergyCons!$C$4:$C$10000)*1,ISNUMBER(SEARCH("TfL*ICE*GSL*ext",[2]OUT_TransportEnergyCons!$A$4:$A$10000))*1,[2]OUT_TransportEnergyCons!H$4:H$10000))*1000</f>
        <v>0</v>
      </c>
      <c r="K2006" s="1" cm="1">
        <f t="array" ref="K2006">(SUMPRODUCT(("Var_Cap"=[2]OUT_TransportEnergyCons!$B$4:$B$10000)*1,("-"=[2]OUT_TransportEnergyCons!$C$4:$C$10000)*1,ISNUMBER(SEARCH("TfL*ICE*GSL*ext",[2]OUT_TransportEnergyCons!$A$4:$A$10000))*1,[2]OUT_TransportEnergyCons!I$4:I$10000))*1000</f>
        <v>0</v>
      </c>
      <c r="L2006" s="1" cm="1">
        <f t="array" ref="L2006">(SUMPRODUCT(("Var_Cap"=[2]OUT_TransportEnergyCons!$B$4:$B$10000)*1,("-"=[2]OUT_TransportEnergyCons!$C$4:$C$10000)*1,ISNUMBER(SEARCH("TfL*ICE*GSL*ext",[2]OUT_TransportEnergyCons!$A$4:$A$10000))*1,[2]OUT_TransportEnergyCons!J$4:J$10000))*1000</f>
        <v>0</v>
      </c>
      <c r="N2006" s="1"/>
    </row>
    <row r="2007" spans="2:14" x14ac:dyDescent="0.35">
      <c r="B2007" s="5" t="str">
        <f t="shared" si="2050"/>
        <v>SPS1</v>
      </c>
      <c r="C2007" s="5" t="str">
        <f t="shared" si="2051"/>
        <v>CH</v>
      </c>
      <c r="D2007" t="s">
        <v>2126</v>
      </c>
      <c r="E2007" t="s">
        <v>1999</v>
      </c>
      <c r="F2007" s="1" cm="1">
        <f t="array" ref="F2007">(SUMPRODUCT(("Var_Cap"=[1]OUT_TransportEnergyCons!$B$4:$B$10000)*1,("-"=[1]OUT_TransportEnergyCons!$C$4:$C$10000)*1,ISNUMBER(SEARCH("TfL*ICE*GSL*",[1]OUT_TransportEnergyCons!$A$4:$A$10000))*1,[1]OUT_TransportEnergyCons!D$4:D$10000))*1000-F2006</f>
        <v>12.434931894382466</v>
      </c>
      <c r="G2007" s="1" cm="1">
        <f t="array" ref="G2007">(SUMPRODUCT(("Var_Cap"=[1]OUT_TransportEnergyCons!$B$4:$B$10000)*1,("-"=[1]OUT_TransportEnergyCons!$C$4:$C$10000)*1,ISNUMBER(SEARCH("TfL*ICE*GSL*",[1]OUT_TransportEnergyCons!$A$4:$A$10000))*1,[1]OUT_TransportEnergyCons!E$4:E$10000))*1000-G2006</f>
        <v>14.158079798744417</v>
      </c>
      <c r="H2007" s="1" cm="1">
        <f t="array" ref="H2007">(SUMPRODUCT(("Var_Cap"=[1]OUT_TransportEnergyCons!$B$4:$B$10000)*1,("-"=[1]OUT_TransportEnergyCons!$C$4:$C$10000)*1,ISNUMBER(SEARCH("TfL*ICE*GSL*",[1]OUT_TransportEnergyCons!$A$4:$A$10000))*1,[1]OUT_TransportEnergyCons!F$4:F$10000))*1000-H2006</f>
        <v>26.539065987467698</v>
      </c>
      <c r="I2007" s="1" cm="1">
        <f t="array" ref="I2007">(SUMPRODUCT(("Var_Cap"=[1]OUT_TransportEnergyCons!$B$4:$B$10000)*1,("-"=[1]OUT_TransportEnergyCons!$C$4:$C$10000)*1,ISNUMBER(SEARCH("TfL*ICE*GSL*",[1]OUT_TransportEnergyCons!$A$4:$A$10000))*1,[1]OUT_TransportEnergyCons!G$4:G$10000))*1000-I2006</f>
        <v>47.59858336271769</v>
      </c>
      <c r="J2007" s="1" cm="1">
        <f t="array" ref="J2007">(SUMPRODUCT(("Var_Cap"=[2]OUT_TransportEnergyCons!$B$4:$B$10000)*1,("-"=[2]OUT_TransportEnergyCons!$C$4:$C$10000)*1,ISNUMBER(SEARCH("TfL*ICE*GSL*",[2]OUT_TransportEnergyCons!$A$4:$A$10000))*1,[2]OUT_TransportEnergyCons!H$4:H$10000))*1000-J2006</f>
        <v>69.348161783024239</v>
      </c>
      <c r="K2007" s="1" cm="1">
        <f t="array" ref="K2007">(SUMPRODUCT(("Var_Cap"=[2]OUT_TransportEnergyCons!$B$4:$B$10000)*1,("-"=[2]OUT_TransportEnergyCons!$C$4:$C$10000)*1,ISNUMBER(SEARCH("TfL*ICE*GSL*",[2]OUT_TransportEnergyCons!$A$4:$A$10000))*1,[2]OUT_TransportEnergyCons!I$4:I$10000))*1000-K2006</f>
        <v>40.402606747161755</v>
      </c>
      <c r="L2007" s="1" cm="1">
        <f t="array" ref="L2007">(SUMPRODUCT(("Var_Cap"=[2]OUT_TransportEnergyCons!$B$4:$B$10000)*1,("-"=[2]OUT_TransportEnergyCons!$C$4:$C$10000)*1,ISNUMBER(SEARCH("TfL*ICE*GSL*",[2]OUT_TransportEnergyCons!$A$4:$A$10000))*1,[2]OUT_TransportEnergyCons!J$4:J$10000))*1000-L2006</f>
        <v>40.494958908143353</v>
      </c>
      <c r="N2007" s="1"/>
    </row>
    <row r="2008" spans="2:14" x14ac:dyDescent="0.35">
      <c r="B2008" s="5" t="str">
        <f t="shared" si="2050"/>
        <v>SPS1</v>
      </c>
      <c r="C2008" s="5" t="str">
        <f t="shared" si="2051"/>
        <v>CH</v>
      </c>
      <c r="D2008" t="s">
        <v>2127</v>
      </c>
      <c r="E2008" t="s">
        <v>1999</v>
      </c>
      <c r="F2008" s="1" cm="1">
        <f t="array" ref="F2008">(SUMPRODUCT(("Var_Cap"=[1]OUT_TransportEnergyCons!$B$4:$B$10000)*1,("-"=[1]OUT_TransportEnergyCons!$C$4:$C$10000)*1,ISNUMBER(SEARCH("tfl*ICE*DSL*ext",[1]OUT_TransportEnergyCons!$A$4:$A$10000))*1,[1]OUT_TransportEnergyCons!D$4:D$10000))*1000</f>
        <v>228.99299999999999</v>
      </c>
      <c r="G2008" s="1" cm="1">
        <f t="array" ref="G2008">(SUMPRODUCT(("Var_Cap"=[1]OUT_TransportEnergyCons!$B$4:$B$10000)*1,("-"=[1]OUT_TransportEnergyCons!$C$4:$C$10000)*1,ISNUMBER(SEARCH("tfl*ICE*DSL*ext",[1]OUT_TransportEnergyCons!$A$4:$A$10000))*1,[1]OUT_TransportEnergyCons!E$4:E$10000))*1000</f>
        <v>198.4606</v>
      </c>
      <c r="H2008" s="1" cm="1">
        <f t="array" ref="H2008">(SUMPRODUCT(("Var_Cap"=[1]OUT_TransportEnergyCons!$B$4:$B$10000)*1,("-"=[1]OUT_TransportEnergyCons!$C$4:$C$10000)*1,ISNUMBER(SEARCH("tfl*ICE*DSL*ext",[1]OUT_TransportEnergyCons!$A$4:$A$10000))*1,[1]OUT_TransportEnergyCons!F$4:F$10000))*1000</f>
        <v>152.66200000000001</v>
      </c>
      <c r="I2008" s="1" cm="1">
        <f t="array" ref="I2008">(SUMPRODUCT(("Var_Cap"=[1]OUT_TransportEnergyCons!$B$4:$B$10000)*1,("-"=[1]OUT_TransportEnergyCons!$C$4:$C$10000)*1,ISNUMBER(SEARCH("tfl*ICE*DSL*ext",[1]OUT_TransportEnergyCons!$A$4:$A$10000))*1,[1]OUT_TransportEnergyCons!G$4:G$10000))*1000</f>
        <v>76.331000000000003</v>
      </c>
      <c r="J2008" s="1" cm="1">
        <f t="array" ref="J2008">(SUMPRODUCT(("Var_Cap"=[2]OUT_TransportEnergyCons!$B$4:$B$10000)*1,("-"=[2]OUT_TransportEnergyCons!$C$4:$C$10000)*1,ISNUMBER(SEARCH("tfl*ICE*DSL*ext",[2]OUT_TransportEnergyCons!$A$4:$A$10000))*1,[2]OUT_TransportEnergyCons!H$4:H$10000))*1000</f>
        <v>0</v>
      </c>
      <c r="K2008" s="1" cm="1">
        <f t="array" ref="K2008">(SUMPRODUCT(("Var_Cap"=[2]OUT_TransportEnergyCons!$B$4:$B$10000)*1,("-"=[2]OUT_TransportEnergyCons!$C$4:$C$10000)*1,ISNUMBER(SEARCH("tfl*ICE*DSL*ext",[2]OUT_TransportEnergyCons!$A$4:$A$10000))*1,[2]OUT_TransportEnergyCons!I$4:I$10000))*1000</f>
        <v>0</v>
      </c>
      <c r="L2008" s="1" cm="1">
        <f t="array" ref="L2008">(SUMPRODUCT(("Var_Cap"=[2]OUT_TransportEnergyCons!$B$4:$B$10000)*1,("-"=[2]OUT_TransportEnergyCons!$C$4:$C$10000)*1,ISNUMBER(SEARCH("tfl*ICE*DSL*ext",[2]OUT_TransportEnergyCons!$A$4:$A$10000))*1,[2]OUT_TransportEnergyCons!J$4:J$10000))*1000</f>
        <v>0</v>
      </c>
      <c r="N2008" s="1"/>
    </row>
    <row r="2009" spans="2:14" x14ac:dyDescent="0.35">
      <c r="B2009" s="5" t="str">
        <f t="shared" si="2050"/>
        <v>SPS1</v>
      </c>
      <c r="C2009" s="5" t="str">
        <f t="shared" si="2051"/>
        <v>CH</v>
      </c>
      <c r="D2009" t="s">
        <v>2128</v>
      </c>
      <c r="E2009" t="s">
        <v>1999</v>
      </c>
      <c r="F2009" s="1" cm="1">
        <f t="array" ref="F2009">(SUMPRODUCT(("Var_Cap"=[1]OUT_TransportEnergyCons!$B$4:$B$10000)*1,("-"=[1]OUT_TransportEnergyCons!$C$4:$C$10000)*1,ISNUMBER(SEARCH("tfl*ICE*DSL*",[1]OUT_TransportEnergyCons!$A$4:$A$10000))*1,[1]OUT_TransportEnergyCons!D$4:D$10000))*1000-F2008</f>
        <v>106.16892279361514</v>
      </c>
      <c r="G2009" s="1" cm="1">
        <f t="array" ref="G2009">(SUMPRODUCT(("Var_Cap"=[1]OUT_TransportEnergyCons!$B$4:$B$10000)*1,("-"=[1]OUT_TransportEnergyCons!$C$4:$C$10000)*1,ISNUMBER(SEARCH("tfl*ICE*DSL*",[1]OUT_TransportEnergyCons!$A$4:$A$10000))*1,[1]OUT_TransportEnergyCons!E$4:E$10000))*1000-G2008</f>
        <v>125.16243932127185</v>
      </c>
      <c r="H2009" s="1" cm="1">
        <f t="array" ref="H2009">(SUMPRODUCT(("Var_Cap"=[1]OUT_TransportEnergyCons!$B$4:$B$10000)*1,("-"=[1]OUT_TransportEnergyCons!$C$4:$C$10000)*1,ISNUMBER(SEARCH("tfl*ICE*DSL*",[1]OUT_TransportEnergyCons!$A$4:$A$10000))*1,[1]OUT_TransportEnergyCons!F$4:F$10000))*1000-H2008</f>
        <v>125.18010074978466</v>
      </c>
      <c r="I2009" s="1" cm="1">
        <f t="array" ref="I2009">(SUMPRODUCT(("Var_Cap"=[1]OUT_TransportEnergyCons!$B$4:$B$10000)*1,("-"=[1]OUT_TransportEnergyCons!$C$4:$C$10000)*1,ISNUMBER(SEARCH("tfl*ICE*DSL*",[1]OUT_TransportEnergyCons!$A$4:$A$10000))*1,[1]OUT_TransportEnergyCons!G$4:G$10000))*1000-I2008</f>
        <v>70.887151187715901</v>
      </c>
      <c r="J2009" s="1" cm="1">
        <f t="array" ref="J2009">(SUMPRODUCT(("Var_Cap"=[2]OUT_TransportEnergyCons!$B$4:$B$10000)*1,("-"=[2]OUT_TransportEnergyCons!$C$4:$C$10000)*1,ISNUMBER(SEARCH("tfl*ICE*DSL*",[2]OUT_TransportEnergyCons!$A$4:$A$10000))*1,[2]OUT_TransportEnergyCons!H$4:H$10000))*1000-J2008</f>
        <v>0.19516779716378371</v>
      </c>
      <c r="K2009" s="1" cm="1">
        <f t="array" ref="K2009">(SUMPRODUCT(("Var_Cap"=[2]OUT_TransportEnergyCons!$B$4:$B$10000)*1,("-"=[2]OUT_TransportEnergyCons!$C$4:$C$10000)*1,ISNUMBER(SEARCH("tfl*ICE*DSL*",[2]OUT_TransportEnergyCons!$A$4:$A$10000))*1,[2]OUT_TransportEnergyCons!I$4:I$10000))*1000-K2008</f>
        <v>0.14423112954280384</v>
      </c>
      <c r="L2009" s="1" cm="1">
        <f t="array" ref="L2009">(SUMPRODUCT(("Var_Cap"=[2]OUT_TransportEnergyCons!$B$4:$B$10000)*1,("-"=[2]OUT_TransportEnergyCons!$C$4:$C$10000)*1,ISNUMBER(SEARCH("tfl*ICE*DSL*",[2]OUT_TransportEnergyCons!$A$4:$A$10000))*1,[2]OUT_TransportEnergyCons!J$4:J$10000))*1000-L2008</f>
        <v>5.1714802526189811E-2</v>
      </c>
      <c r="N2009" s="1"/>
    </row>
    <row r="2010" spans="2:14" x14ac:dyDescent="0.35">
      <c r="B2010" s="5" t="str">
        <f t="shared" si="2050"/>
        <v>SPS1</v>
      </c>
      <c r="C2010" s="5" t="str">
        <f t="shared" si="2051"/>
        <v>CH</v>
      </c>
      <c r="D2010" t="s">
        <v>2129</v>
      </c>
      <c r="E2010" t="s">
        <v>1999</v>
      </c>
      <c r="F2010" s="1" cm="1">
        <f t="array" ref="F2010">(SUMPRODUCT(("Var_Cap"=[1]OUT_TransportEnergyCons!$B$4:$B$10000)*1,("-"=[1]OUT_TransportEnergyCons!$C$4:$C$10000)*1,ISNUMBER(SEARCH("tfl*hyb*DSL*",[1]OUT_TransportEnergyCons!$A$4:$A$10000))*1,[1]OUT_TransportEnergyCons!D$4:D$10000))*1000</f>
        <v>0</v>
      </c>
      <c r="G2010" s="1" cm="1">
        <f t="array" ref="G2010">(SUMPRODUCT(("Var_Cap"=[1]OUT_TransportEnergyCons!$B$4:$B$10000)*1,("-"=[1]OUT_TransportEnergyCons!$C$4:$C$10000)*1,ISNUMBER(SEARCH("tfl*hyb*DSL*",[1]OUT_TransportEnergyCons!$A$4:$A$10000))*1,[1]OUT_TransportEnergyCons!E$4:E$10000))*1000</f>
        <v>13.8414648244266</v>
      </c>
      <c r="H2010" s="1" cm="1">
        <f t="array" ref="H2010">(SUMPRODUCT(("Var_Cap"=[1]OUT_TransportEnergyCons!$B$4:$B$10000)*1,("-"=[1]OUT_TransportEnergyCons!$C$4:$C$10000)*1,ISNUMBER(SEARCH("tfl*hyb*DSL*",[1]OUT_TransportEnergyCons!$A$4:$A$10000))*1,[1]OUT_TransportEnergyCons!F$4:F$10000))*1000</f>
        <v>53.453351324565503</v>
      </c>
      <c r="I2010" s="1" cm="1">
        <f t="array" ref="I2010">(SUMPRODUCT(("Var_Cap"=[1]OUT_TransportEnergyCons!$B$4:$B$10000)*1,("-"=[1]OUT_TransportEnergyCons!$C$4:$C$10000)*1,ISNUMBER(SEARCH("tfl*hyb*DSL*",[1]OUT_TransportEnergyCons!$A$4:$A$10000))*1,[1]OUT_TransportEnergyCons!G$4:G$10000))*1000</f>
        <v>148.02568234340899</v>
      </c>
      <c r="J2010" s="1" cm="1">
        <f t="array" ref="J2010">(SUMPRODUCT(("Var_Cap"=[2]OUT_TransportEnergyCons!$B$4:$B$10000)*1,("-"=[2]OUT_TransportEnergyCons!$C$4:$C$10000)*1,ISNUMBER(SEARCH("tfl*hyb*DSL*",[2]OUT_TransportEnergyCons!$A$4:$A$10000))*1,[2]OUT_TransportEnergyCons!H$4:H$10000))*1000</f>
        <v>207.85586812370451</v>
      </c>
      <c r="K2010" s="1" cm="1">
        <f t="array" ref="K2010">(SUMPRODUCT(("Var_Cap"=[2]OUT_TransportEnergyCons!$B$4:$B$10000)*1,("-"=[2]OUT_TransportEnergyCons!$C$4:$C$10000)*1,ISNUMBER(SEARCH("tfl*hyb*DSL*",[2]OUT_TransportEnergyCons!$A$4:$A$10000))*1,[2]OUT_TransportEnergyCons!I$4:I$10000))*1000</f>
        <v>108.31732452465891</v>
      </c>
      <c r="L2010" s="1" cm="1">
        <f t="array" ref="L2010">(SUMPRODUCT(("Var_Cap"=[2]OUT_TransportEnergyCons!$B$4:$B$10000)*1,("-"=[2]OUT_TransportEnergyCons!$C$4:$C$10000)*1,ISNUMBER(SEARCH("tfl*hyb*DSL*",[2]OUT_TransportEnergyCons!$A$4:$A$10000))*1,[2]OUT_TransportEnergyCons!J$4:J$10000))*1000</f>
        <v>124.52654827556616</v>
      </c>
      <c r="N2010" s="1"/>
    </row>
    <row r="2011" spans="2:14" x14ac:dyDescent="0.35">
      <c r="B2011" s="5" t="str">
        <f t="shared" si="2050"/>
        <v>SPS1</v>
      </c>
      <c r="C2011" s="5" t="str">
        <f t="shared" si="2051"/>
        <v>CH</v>
      </c>
      <c r="D2011" t="s">
        <v>2130</v>
      </c>
      <c r="E2011" t="s">
        <v>1999</v>
      </c>
      <c r="F2011" s="1" cm="1">
        <f t="array" ref="F2011">(SUMPRODUCT(("Var_Cap"=[1]OUT_TransportEnergyCons!$B$4:$B$10000)*1,("-"=[1]OUT_TransportEnergyCons!$C$4:$C$10000)*1,ISNUMBER(SEARCH("tfl*ice*nga*",[1]OUT_TransportEnergyCons!$A$4:$A$10000))*1,[1]OUT_TransportEnergyCons!D$4:D$10000))*1000</f>
        <v>2.6674912265543957</v>
      </c>
      <c r="G2011" s="1" cm="1">
        <f t="array" ref="G2011">(SUMPRODUCT(("Var_Cap"=[1]OUT_TransportEnergyCons!$B$4:$B$10000)*1,("-"=[1]OUT_TransportEnergyCons!$C$4:$C$10000)*1,ISNUMBER(SEARCH("tfl*ice*nga*",[1]OUT_TransportEnergyCons!$A$4:$A$10000))*1,[1]OUT_TransportEnergyCons!E$4:E$10000))*1000</f>
        <v>2.5161104672493697</v>
      </c>
      <c r="H2011" s="1" cm="1">
        <f t="array" ref="H2011">(SUMPRODUCT(("Var_Cap"=[1]OUT_TransportEnergyCons!$B$4:$B$10000)*1,("-"=[1]OUT_TransportEnergyCons!$C$4:$C$10000)*1,ISNUMBER(SEARCH("tfl*ice*nga*",[1]OUT_TransportEnergyCons!$A$4:$A$10000))*1,[1]OUT_TransportEnergyCons!F$4:F$10000))*1000</f>
        <v>2.0998730222165327</v>
      </c>
      <c r="I2011" s="1" cm="1">
        <f t="array" ref="I2011">(SUMPRODUCT(("Var_Cap"=[1]OUT_TransportEnergyCons!$B$4:$B$10000)*1,("-"=[1]OUT_TransportEnergyCons!$C$4:$C$10000)*1,ISNUMBER(SEARCH("tfl*ice*nga*",[1]OUT_TransportEnergyCons!$A$4:$A$10000))*1,[1]OUT_TransportEnergyCons!G$4:G$10000))*1000</f>
        <v>4.512531313408499E-3</v>
      </c>
      <c r="J2011" s="1" cm="1">
        <f t="array" ref="J2011">(SUMPRODUCT(("Var_Cap"=[2]OUT_TransportEnergyCons!$B$4:$B$10000)*1,("-"=[2]OUT_TransportEnergyCons!$C$4:$C$10000)*1,ISNUMBER(SEARCH("tfl*ice*nga*",[2]OUT_TransportEnergyCons!$A$4:$A$10000))*1,[2]OUT_TransportEnergyCons!H$4:H$10000))*1000</f>
        <v>3.7801944658587823E-3</v>
      </c>
      <c r="K2011" s="1" cm="1">
        <f t="array" ref="K2011">(SUMPRODUCT(("Var_Cap"=[2]OUT_TransportEnergyCons!$B$4:$B$10000)*1,("-"=[2]OUT_TransportEnergyCons!$C$4:$C$10000)*1,ISNUMBER(SEARCH("tfl*ice*nga*",[2]OUT_TransportEnergyCons!$A$4:$A$10000))*1,[2]OUT_TransportEnergyCons!I$4:I$10000))*1000</f>
        <v>3.6253396768321693E-3</v>
      </c>
      <c r="L2011" s="1" cm="1">
        <f t="array" ref="L2011">(SUMPRODUCT(("Var_Cap"=[2]OUT_TransportEnergyCons!$B$4:$B$10000)*1,("-"=[2]OUT_TransportEnergyCons!$C$4:$C$10000)*1,ISNUMBER(SEARCH("tfl*ice*nga*",[2]OUT_TransportEnergyCons!$A$4:$A$10000))*1,[2]OUT_TransportEnergyCons!J$4:J$10000))*1000</f>
        <v>3.2200166804458056E-3</v>
      </c>
      <c r="N2011" s="1"/>
    </row>
    <row r="2012" spans="2:14" x14ac:dyDescent="0.35">
      <c r="B2012" s="5" t="str">
        <f>B2011</f>
        <v>SPS1</v>
      </c>
      <c r="C2012" s="5" t="str">
        <f>C2011</f>
        <v>CH</v>
      </c>
      <c r="D2012" s="2" t="s">
        <v>2133</v>
      </c>
      <c r="E2012" s="2" t="s">
        <v>1999</v>
      </c>
      <c r="F2012" s="3">
        <f>SUM(F2013:F2021)</f>
        <v>41.455646665622766</v>
      </c>
      <c r="G2012" s="3">
        <f t="shared" ref="G2012" si="2052">SUM(G2013:G2021)</f>
        <v>43.007447908895003</v>
      </c>
      <c r="H2012" s="3">
        <f t="shared" ref="H2012" si="2053">SUM(H2013:H2021)</f>
        <v>43.440733809413885</v>
      </c>
      <c r="I2012" s="3">
        <f t="shared" ref="I2012" si="2054">SUM(I2013:I2021)</f>
        <v>45.246258490557047</v>
      </c>
      <c r="J2012" s="3">
        <f t="shared" ref="J2012" si="2055">SUM(J2013:J2021)</f>
        <v>47.157263526319035</v>
      </c>
      <c r="K2012" s="3">
        <f t="shared" ref="K2012:L2012" si="2056">SUM(K2013:K2021)</f>
        <v>49.068483950557294</v>
      </c>
      <c r="L2012" s="3">
        <f t="shared" si="2056"/>
        <v>53.056592948736579</v>
      </c>
      <c r="N2012" s="1"/>
    </row>
    <row r="2013" spans="2:14" x14ac:dyDescent="0.35">
      <c r="B2013" s="5" t="str">
        <f t="shared" ref="B2013:B2021" si="2057">B2012</f>
        <v>SPS1</v>
      </c>
      <c r="C2013" s="5" t="str">
        <f t="shared" ref="C2013:C2021" si="2058">C2012</f>
        <v>CH</v>
      </c>
      <c r="D2013" t="s">
        <v>2134</v>
      </c>
      <c r="E2013" t="s">
        <v>1999</v>
      </c>
      <c r="F2013" s="1" cm="1">
        <f t="array" ref="F2013">(SUMPRODUCT(("Var_Cap"=[1]OUT_TransportEnergyCons!$B$4:$B$10000)*1,("-"=[1]OUT_TransportEnergyCons!$C$4:$C$10000)*1,ISNUMBER(SEARCH("tfh*bev*ext",[1]OUT_TransportEnergyCons!$A$4:$A$10000))*1,[1]OUT_TransportEnergyCons!D$4:D$10000))*1000</f>
        <v>0</v>
      </c>
      <c r="G2013" s="1" cm="1">
        <f t="array" ref="G2013">(SUMPRODUCT(("Var_Cap"=[1]OUT_TransportEnergyCons!$B$4:$B$10000)*1,("-"=[1]OUT_TransportEnergyCons!$C$4:$C$10000)*1,ISNUMBER(SEARCH("tfh*bev*ext",[1]OUT_TransportEnergyCons!$A$4:$A$10000))*1,[1]OUT_TransportEnergyCons!E$4:E$10000))*1000</f>
        <v>0</v>
      </c>
      <c r="H2013" s="1" cm="1">
        <f t="array" ref="H2013">(SUMPRODUCT(("Var_Cap"=[1]OUT_TransportEnergyCons!$B$4:$B$10000)*1,("-"=[1]OUT_TransportEnergyCons!$C$4:$C$10000)*1,ISNUMBER(SEARCH("tfh*bev*ext",[1]OUT_TransportEnergyCons!$A$4:$A$10000))*1,[1]OUT_TransportEnergyCons!F$4:F$10000))*1000</f>
        <v>0</v>
      </c>
      <c r="I2013" s="1" cm="1">
        <f t="array" ref="I2013">(SUMPRODUCT(("Var_Cap"=[1]OUT_TransportEnergyCons!$B$4:$B$10000)*1,("-"=[1]OUT_TransportEnergyCons!$C$4:$C$10000)*1,ISNUMBER(SEARCH("tfh*bev*ext",[1]OUT_TransportEnergyCons!$A$4:$A$10000))*1,[1]OUT_TransportEnergyCons!G$4:G$10000))*1000</f>
        <v>0</v>
      </c>
      <c r="J2013" s="1" cm="1">
        <f t="array" ref="J2013">(SUMPRODUCT(("Var_Cap"=[2]OUT_TransportEnergyCons!$B$4:$B$10000)*1,("-"=[2]OUT_TransportEnergyCons!$C$4:$C$10000)*1,ISNUMBER(SEARCH("tfh*bev*ext",[2]OUT_TransportEnergyCons!$A$4:$A$10000))*1,[2]OUT_TransportEnergyCons!H$4:H$10000))*1000</f>
        <v>0</v>
      </c>
      <c r="K2013" s="1" cm="1">
        <f t="array" ref="K2013">(SUMPRODUCT(("Var_Cap"=[2]OUT_TransportEnergyCons!$B$4:$B$10000)*1,("-"=[2]OUT_TransportEnergyCons!$C$4:$C$10000)*1,ISNUMBER(SEARCH("tfh*bev*ext",[2]OUT_TransportEnergyCons!$A$4:$A$10000))*1,[2]OUT_TransportEnergyCons!I$4:I$10000))*1000</f>
        <v>0</v>
      </c>
      <c r="L2013" s="1" cm="1">
        <f t="array" ref="L2013">(SUMPRODUCT(("Var_Cap"=[2]OUT_TransportEnergyCons!$B$4:$B$10000)*1,("-"=[2]OUT_TransportEnergyCons!$C$4:$C$10000)*1,ISNUMBER(SEARCH("tfh*bev*ext",[2]OUT_TransportEnergyCons!$A$4:$A$10000))*1,[2]OUT_TransportEnergyCons!J$4:J$10000))*1000</f>
        <v>0</v>
      </c>
      <c r="N2013" s="1"/>
    </row>
    <row r="2014" spans="2:14" x14ac:dyDescent="0.35">
      <c r="B2014" s="5" t="str">
        <f t="shared" si="2057"/>
        <v>SPS1</v>
      </c>
      <c r="C2014" s="5" t="str">
        <f t="shared" si="2058"/>
        <v>CH</v>
      </c>
      <c r="D2014" t="s">
        <v>2135</v>
      </c>
      <c r="E2014" t="s">
        <v>1999</v>
      </c>
      <c r="F2014" s="1" cm="1">
        <f t="array" ref="F2014">(SUMPRODUCT(("Var_Cap"=[1]OUT_TransportEnergyCons!$B$4:$B$10000)*1,("-"=[1]OUT_TransportEnergyCons!$C$4:$C$10000)*1,ISNUMBER(SEARCH("tfh*bev*",[1]OUT_TransportEnergyCons!$A$4:$A$10000))*1,[1]OUT_TransportEnergyCons!D$4:D$10000))*1000-F2013</f>
        <v>5.1999999999999998E-2</v>
      </c>
      <c r="G2014" s="1" cm="1">
        <f t="array" ref="G2014">(SUMPRODUCT(("Var_Cap"=[1]OUT_TransportEnergyCons!$B$4:$B$10000)*1,("-"=[1]OUT_TransportEnergyCons!$C$4:$C$10000)*1,ISNUMBER(SEARCH("tfh*bev*",[1]OUT_TransportEnergyCons!$A$4:$A$10000))*1,[1]OUT_TransportEnergyCons!E$4:E$10000))*1000-G2013</f>
        <v>0.12600922027655731</v>
      </c>
      <c r="H2014" s="1" cm="1">
        <f t="array" ref="H2014">(SUMPRODUCT(("Var_Cap"=[1]OUT_TransportEnergyCons!$B$4:$B$10000)*1,("-"=[1]OUT_TransportEnergyCons!$C$4:$C$10000)*1,ISNUMBER(SEARCH("tfh*bev*",[1]OUT_TransportEnergyCons!$A$4:$A$10000))*1,[1]OUT_TransportEnergyCons!F$4:F$10000))*1000-H2013</f>
        <v>0.1212204188182948</v>
      </c>
      <c r="I2014" s="1" cm="1">
        <f t="array" ref="I2014">(SUMPRODUCT(("Var_Cap"=[1]OUT_TransportEnergyCons!$B$4:$B$10000)*1,("-"=[1]OUT_TransportEnergyCons!$C$4:$C$10000)*1,ISNUMBER(SEARCH("tfh*bev*",[1]OUT_TransportEnergyCons!$A$4:$A$10000))*1,[1]OUT_TransportEnergyCons!G$4:G$10000))*1000-I2013</f>
        <v>3.1619947487766503E-2</v>
      </c>
      <c r="J2014" s="1" cm="1">
        <f t="array" ref="J2014">(SUMPRODUCT(("Var_Cap"=[2]OUT_TransportEnergyCons!$B$4:$B$10000)*1,("-"=[2]OUT_TransportEnergyCons!$C$4:$C$10000)*1,ISNUMBER(SEARCH("tfh*bev*",[2]OUT_TransportEnergyCons!$A$4:$A$10000))*1,[2]OUT_TransportEnergyCons!H$4:H$10000))*1000-J2013</f>
        <v>5.4162660273081196E-3</v>
      </c>
      <c r="K2014" s="1" cm="1">
        <f t="array" ref="K2014">(SUMPRODUCT(("Var_Cap"=[2]OUT_TransportEnergyCons!$B$4:$B$10000)*1,("-"=[2]OUT_TransportEnergyCons!$C$4:$C$10000)*1,ISNUMBER(SEARCH("tfh*bev*",[2]OUT_TransportEnergyCons!$A$4:$A$10000))*1,[2]OUT_TransportEnergyCons!I$4:I$10000))*1000-K2013</f>
        <v>8.2905982311296499E-3</v>
      </c>
      <c r="L2014" s="1" cm="1">
        <f t="array" ref="L2014">(SUMPRODUCT(("Var_Cap"=[2]OUT_TransportEnergyCons!$B$4:$B$10000)*1,("-"=[2]OUT_TransportEnergyCons!$C$4:$C$10000)*1,ISNUMBER(SEARCH("tfh*bev*",[2]OUT_TransportEnergyCons!$A$4:$A$10000))*1,[2]OUT_TransportEnergyCons!J$4:J$10000))*1000-L2013</f>
        <v>4.4440296394027802E-3</v>
      </c>
      <c r="N2014" s="1"/>
    </row>
    <row r="2015" spans="2:14" x14ac:dyDescent="0.35">
      <c r="B2015" s="5" t="str">
        <f t="shared" si="2057"/>
        <v>SPS1</v>
      </c>
      <c r="C2015" s="5" t="str">
        <f t="shared" si="2058"/>
        <v>CH</v>
      </c>
      <c r="D2015" t="s">
        <v>2136</v>
      </c>
      <c r="E2015" t="s">
        <v>1999</v>
      </c>
      <c r="F2015" s="1" cm="1">
        <f t="array" ref="F2015">IF((SUMPRODUCT(("Var_Cap"=[1]OUT_TransportEnergyCons!$B$4:$B$10000)*1,("-"=[1]OUT_TransportEnergyCons!$C$4:$C$10000)*1,ISNUMBER(SEARCH("tfh*h2o*",[1]OUT_TransportEnergyCons!$A$4:$A$10000))*1,[1]OUT_TransportEnergyCons!D$4:D$10000))*1000&lt;0,0,(SUMPRODUCT(("Var_Cap"=[1]OUT_TransportEnergyCons!$B$4:$B$10000)*1,("-"=[1]OUT_TransportEnergyCons!$C$4:$C$10000)*1,ISNUMBER(SEARCH("tfh*h2o*",[1]OUT_TransportEnergyCons!$A$4:$A$10000))*1,[1]OUT_TransportEnergyCons!D$4:D$10000))*1000)</f>
        <v>1.0029667552528959E-2</v>
      </c>
      <c r="G2015" s="1" cm="1">
        <f t="array" ref="G2015">IF((SUMPRODUCT(("Var_Cap"=[1]OUT_TransportEnergyCons!$B$4:$B$10000)*1,("-"=[1]OUT_TransportEnergyCons!$C$4:$C$10000)*1,ISNUMBER(SEARCH("tfh*h2o*",[1]OUT_TransportEnergyCons!$A$4:$A$10000))*1,[1]OUT_TransportEnergyCons!E$4:E$10000))*1000&lt;0,0,(SUMPRODUCT(("Var_Cap"=[1]OUT_TransportEnergyCons!$B$4:$B$10000)*1,("-"=[1]OUT_TransportEnergyCons!$C$4:$C$10000)*1,ISNUMBER(SEARCH("tfh*h2o*",[1]OUT_TransportEnergyCons!$A$4:$A$10000))*1,[1]OUT_TransportEnergyCons!E$4:E$10000))*1000)</f>
        <v>6.5080999701431521E-4</v>
      </c>
      <c r="H2015" s="1" cm="1">
        <f t="array" ref="H2015">IF((SUMPRODUCT(("Var_Cap"=[1]OUT_TransportEnergyCons!$B$4:$B$10000)*1,("-"=[1]OUT_TransportEnergyCons!$C$4:$C$10000)*1,ISNUMBER(SEARCH("tfh*h2o*",[1]OUT_TransportEnergyCons!$A$4:$A$10000))*1,[1]OUT_TransportEnergyCons!F$4:F$10000))*1000&lt;0,0,(SUMPRODUCT(("Var_Cap"=[1]OUT_TransportEnergyCons!$B$4:$B$10000)*1,("-"=[1]OUT_TransportEnergyCons!$C$4:$C$10000)*1,ISNUMBER(SEARCH("tfh*h2o*",[1]OUT_TransportEnergyCons!$A$4:$A$10000))*1,[1]OUT_TransportEnergyCons!F$4:F$10000))*1000)</f>
        <v>7.3369592609526929E-4</v>
      </c>
      <c r="I2015" s="1" cm="1">
        <f t="array" ref="I2015">IF((SUMPRODUCT(("Var_Cap"=[1]OUT_TransportEnergyCons!$B$4:$B$10000)*1,("-"=[1]OUT_TransportEnergyCons!$C$4:$C$10000)*1,ISNUMBER(SEARCH("tfh*h2o*",[1]OUT_TransportEnergyCons!$A$4:$A$10000))*1,[1]OUT_TransportEnergyCons!G$4:G$10000))*1000&lt;0,0,(SUMPRODUCT(("Var_Cap"=[1]OUT_TransportEnergyCons!$B$4:$B$10000)*1,("-"=[1]OUT_TransportEnergyCons!$C$4:$C$10000)*1,ISNUMBER(SEARCH("tfh*h2o*",[1]OUT_TransportEnergyCons!$A$4:$A$10000))*1,[1]OUT_TransportEnergyCons!G$4:G$10000))*1000)</f>
        <v>3.8822324458933244E-4</v>
      </c>
      <c r="J2015" s="1" cm="1">
        <f t="array" ref="J2015">IF((SUMPRODUCT(("Var_Cap"=[2]OUT_TransportEnergyCons!$B$4:$B$10000)*1,("-"=[2]OUT_TransportEnergyCons!$C$4:$C$10000)*1,ISNUMBER(SEARCH("tfh*h2o*",[2]OUT_TransportEnergyCons!$A$4:$A$10000))*1,[2]OUT_TransportEnergyCons!H$4:H$10000))*1000&lt;0,0,(SUMPRODUCT(("Var_Cap"=[2]OUT_TransportEnergyCons!$B$4:$B$10000)*1,("-"=[2]OUT_TransportEnergyCons!$C$4:$C$10000)*1,ISNUMBER(SEARCH("tfh*h2o*",[2]OUT_TransportEnergyCons!$A$4:$A$10000))*1,[2]OUT_TransportEnergyCons!H$4:H$10000))*1000)</f>
        <v>4.2657645225532598E-4</v>
      </c>
      <c r="K2015" s="1" cm="1">
        <f t="array" ref="K2015">IF((SUMPRODUCT(("Var_Cap"=[2]OUT_TransportEnergyCons!$B$4:$B$10000)*1,("-"=[2]OUT_TransportEnergyCons!$C$4:$C$10000)*1,ISNUMBER(SEARCH("tfh*h2o*",[2]OUT_TransportEnergyCons!$A$4:$A$10000))*1,[2]OUT_TransportEnergyCons!I$4:I$10000))*1000&lt;0,0,(SUMPRODUCT(("Var_Cap"=[2]OUT_TransportEnergyCons!$B$4:$B$10000)*1,("-"=[2]OUT_TransportEnergyCons!$C$4:$C$10000)*1,ISNUMBER(SEARCH("tfh*h2o*",[2]OUT_TransportEnergyCons!$A$4:$A$10000))*1,[2]OUT_TransportEnergyCons!I$4:I$10000))*1000)</f>
        <v>4.1655909476509908E-4</v>
      </c>
      <c r="L2015" s="1" cm="1">
        <f t="array" ref="L2015">IF((SUMPRODUCT(("Var_Cap"=[2]OUT_TransportEnergyCons!$B$4:$B$10000)*1,("-"=[2]OUT_TransportEnergyCons!$C$4:$C$10000)*1,ISNUMBER(SEARCH("tfh*h2o*",[2]OUT_TransportEnergyCons!$A$4:$A$10000))*1,[2]OUT_TransportEnergyCons!J$4:J$10000))*1000&lt;0,0,(SUMPRODUCT(("Var_Cap"=[2]OUT_TransportEnergyCons!$B$4:$B$10000)*1,("-"=[2]OUT_TransportEnergyCons!$C$4:$C$10000)*1,ISNUMBER(SEARCH("tfh*h2o*",[2]OUT_TransportEnergyCons!$A$4:$A$10000))*1,[2]OUT_TransportEnergyCons!J$4:J$10000))*1000)</f>
        <v>4.0656152943675702E-4</v>
      </c>
      <c r="N2015" s="1"/>
    </row>
    <row r="2016" spans="2:14" x14ac:dyDescent="0.35">
      <c r="B2016" s="5" t="str">
        <f t="shared" si="2057"/>
        <v>SPS1</v>
      </c>
      <c r="C2016" s="5" t="str">
        <f t="shared" si="2058"/>
        <v>CH</v>
      </c>
      <c r="D2016" t="s">
        <v>2137</v>
      </c>
      <c r="E2016" t="s">
        <v>1999</v>
      </c>
      <c r="F2016" s="1" cm="1">
        <f t="array" ref="F2016">(SUMPRODUCT(("Var_Cap"=[1]OUT_TransportEnergyCons!$B$4:$B$10000)*1,("-"=[1]OUT_TransportEnergyCons!$C$4:$C$10000)*1,ISNUMBER(SEARCH("tfh*ICE*GSL*ext",[1]OUT_TransportEnergyCons!$A$4:$A$10000))*1,[1]OUT_TransportEnergyCons!D$4:D$10000))*1000</f>
        <v>0</v>
      </c>
      <c r="G2016" s="1" cm="1">
        <f t="array" ref="G2016">(SUMPRODUCT(("Var_Cap"=[1]OUT_TransportEnergyCons!$B$4:$B$10000)*1,("-"=[1]OUT_TransportEnergyCons!$C$4:$C$10000)*1,ISNUMBER(SEARCH("tfh*ICE*GSL*ext",[1]OUT_TransportEnergyCons!$A$4:$A$10000))*1,[1]OUT_TransportEnergyCons!E$4:E$10000))*1000</f>
        <v>0</v>
      </c>
      <c r="H2016" s="1" cm="1">
        <f t="array" ref="H2016">(SUMPRODUCT(("Var_Cap"=[1]OUT_TransportEnergyCons!$B$4:$B$10000)*1,("-"=[1]OUT_TransportEnergyCons!$C$4:$C$10000)*1,ISNUMBER(SEARCH("tfh*ICE*GSL*ext",[1]OUT_TransportEnergyCons!$A$4:$A$10000))*1,[1]OUT_TransportEnergyCons!F$4:F$10000))*1000</f>
        <v>0</v>
      </c>
      <c r="I2016" s="1" cm="1">
        <f t="array" ref="I2016">(SUMPRODUCT(("Var_Cap"=[1]OUT_TransportEnergyCons!$B$4:$B$10000)*1,("-"=[1]OUT_TransportEnergyCons!$C$4:$C$10000)*1,ISNUMBER(SEARCH("tfh*ICE*GSL*ext",[1]OUT_TransportEnergyCons!$A$4:$A$10000))*1,[1]OUT_TransportEnergyCons!G$4:G$10000))*1000</f>
        <v>0</v>
      </c>
      <c r="J2016" s="1" cm="1">
        <f t="array" ref="J2016">(SUMPRODUCT(("Var_Cap"=[2]OUT_TransportEnergyCons!$B$4:$B$10000)*1,("-"=[2]OUT_TransportEnergyCons!$C$4:$C$10000)*1,ISNUMBER(SEARCH("tfh*ICE*GSL*ext",[2]OUT_TransportEnergyCons!$A$4:$A$10000))*1,[2]OUT_TransportEnergyCons!H$4:H$10000))*1000</f>
        <v>0</v>
      </c>
      <c r="K2016" s="1" cm="1">
        <f t="array" ref="K2016">(SUMPRODUCT(("Var_Cap"=[2]OUT_TransportEnergyCons!$B$4:$B$10000)*1,("-"=[2]OUT_TransportEnergyCons!$C$4:$C$10000)*1,ISNUMBER(SEARCH("tfh*ICE*GSL*ext",[2]OUT_TransportEnergyCons!$A$4:$A$10000))*1,[2]OUT_TransportEnergyCons!I$4:I$10000))*1000</f>
        <v>0</v>
      </c>
      <c r="L2016" s="1" cm="1">
        <f t="array" ref="L2016">(SUMPRODUCT(("Var_Cap"=[2]OUT_TransportEnergyCons!$B$4:$B$10000)*1,("-"=[2]OUT_TransportEnergyCons!$C$4:$C$10000)*1,ISNUMBER(SEARCH("tfh*ICE*GSL*ext",[2]OUT_TransportEnergyCons!$A$4:$A$10000))*1,[2]OUT_TransportEnergyCons!J$4:J$10000))*1000</f>
        <v>0</v>
      </c>
      <c r="N2016" s="1"/>
    </row>
    <row r="2017" spans="2:14" x14ac:dyDescent="0.35">
      <c r="B2017" s="5" t="str">
        <f t="shared" si="2057"/>
        <v>SPS1</v>
      </c>
      <c r="C2017" s="5" t="str">
        <f t="shared" si="2058"/>
        <v>CH</v>
      </c>
      <c r="D2017" t="s">
        <v>2138</v>
      </c>
      <c r="E2017" t="s">
        <v>1999</v>
      </c>
      <c r="F2017" s="1" cm="1">
        <f t="array" ref="F2017">(SUMPRODUCT(("Var_Cap"=[1]OUT_TransportEnergyCons!$B$4:$B$10000)*1,("-"=[1]OUT_TransportEnergyCons!$C$4:$C$10000)*1,ISNUMBER(SEARCH("tfh*ICE*GSL*",[1]OUT_TransportEnergyCons!$A$4:$A$10000))*1,[1]OUT_TransportEnergyCons!D$4:D$10000))*1000-F2016</f>
        <v>0</v>
      </c>
      <c r="G2017" s="1" cm="1">
        <f t="array" ref="G2017">(SUMPRODUCT(("Var_Cap"=[1]OUT_TransportEnergyCons!$B$4:$B$10000)*1,("-"=[1]OUT_TransportEnergyCons!$C$4:$C$10000)*1,ISNUMBER(SEARCH("tfh*ICE*GSL*",[1]OUT_TransportEnergyCons!$A$4:$A$10000))*1,[1]OUT_TransportEnergyCons!E$4:E$10000))*1000-G2016</f>
        <v>0</v>
      </c>
      <c r="H2017" s="1" cm="1">
        <f t="array" ref="H2017">(SUMPRODUCT(("Var_Cap"=[1]OUT_TransportEnergyCons!$B$4:$B$10000)*1,("-"=[1]OUT_TransportEnergyCons!$C$4:$C$10000)*1,ISNUMBER(SEARCH("tfh*ICE*GSL*",[1]OUT_TransportEnergyCons!$A$4:$A$10000))*1,[1]OUT_TransportEnergyCons!F$4:F$10000))*1000-H2016</f>
        <v>0</v>
      </c>
      <c r="I2017" s="1" cm="1">
        <f t="array" ref="I2017">(SUMPRODUCT(("Var_Cap"=[1]OUT_TransportEnergyCons!$B$4:$B$10000)*1,("-"=[1]OUT_TransportEnergyCons!$C$4:$C$10000)*1,ISNUMBER(SEARCH("tfh*ICE*GSL*",[1]OUT_TransportEnergyCons!$A$4:$A$10000))*1,[1]OUT_TransportEnergyCons!G$4:G$10000))*1000-I2016</f>
        <v>0</v>
      </c>
      <c r="J2017" s="1" cm="1">
        <f t="array" ref="J2017">(SUMPRODUCT(("Var_Cap"=[2]OUT_TransportEnergyCons!$B$4:$B$10000)*1,("-"=[2]OUT_TransportEnergyCons!$C$4:$C$10000)*1,ISNUMBER(SEARCH("tfh*ICE*GSL*",[2]OUT_TransportEnergyCons!$A$4:$A$10000))*1,[2]OUT_TransportEnergyCons!H$4:H$10000))*1000-J2016</f>
        <v>0</v>
      </c>
      <c r="K2017" s="1" cm="1">
        <f t="array" ref="K2017">(SUMPRODUCT(("Var_Cap"=[2]OUT_TransportEnergyCons!$B$4:$B$10000)*1,("-"=[2]OUT_TransportEnergyCons!$C$4:$C$10000)*1,ISNUMBER(SEARCH("tfh*ICE*GSL*",[2]OUT_TransportEnergyCons!$A$4:$A$10000))*1,[2]OUT_TransportEnergyCons!I$4:I$10000))*1000-K2016</f>
        <v>0</v>
      </c>
      <c r="L2017" s="1" cm="1">
        <f t="array" ref="L2017">(SUMPRODUCT(("Var_Cap"=[2]OUT_TransportEnergyCons!$B$4:$B$10000)*1,("-"=[2]OUT_TransportEnergyCons!$C$4:$C$10000)*1,ISNUMBER(SEARCH("tfh*ICE*GSL*",[2]OUT_TransportEnergyCons!$A$4:$A$10000))*1,[2]OUT_TransportEnergyCons!J$4:J$10000))*1000-L2016</f>
        <v>0</v>
      </c>
      <c r="N2017" s="1"/>
    </row>
    <row r="2018" spans="2:14" x14ac:dyDescent="0.35">
      <c r="B2018" s="5" t="str">
        <f t="shared" si="2057"/>
        <v>SPS1</v>
      </c>
      <c r="C2018" s="5" t="str">
        <f t="shared" si="2058"/>
        <v>CH</v>
      </c>
      <c r="D2018" t="s">
        <v>2139</v>
      </c>
      <c r="E2018" t="s">
        <v>1999</v>
      </c>
      <c r="F2018" s="1" cm="1">
        <f t="array" ref="F2018">(SUMPRODUCT(("Var_Cap"=[1]OUT_TransportEnergyCons!$B$4:$B$10000)*1,("-"=[1]OUT_TransportEnergyCons!$C$4:$C$10000)*1,ISNUMBER(SEARCH("tfh*ICE*DSL*ext",[1]OUT_TransportEnergyCons!$A$4:$A$10000))*1,[1]OUT_TransportEnergyCons!D$4:D$10000))*1000</f>
        <v>29.662000000000003</v>
      </c>
      <c r="G2018" s="1" cm="1">
        <f t="array" ref="G2018">(SUMPRODUCT(("Var_Cap"=[1]OUT_TransportEnergyCons!$B$4:$B$10000)*1,("-"=[1]OUT_TransportEnergyCons!$C$4:$C$10000)*1,ISNUMBER(SEARCH("tfh*ICE*DSL*ext",[1]OUT_TransportEnergyCons!$A$4:$A$10000))*1,[1]OUT_TransportEnergyCons!E$4:E$10000))*1000</f>
        <v>25.707066666666702</v>
      </c>
      <c r="H2018" s="1" cm="1">
        <f t="array" ref="H2018">(SUMPRODUCT(("Var_Cap"=[1]OUT_TransportEnergyCons!$B$4:$B$10000)*1,("-"=[1]OUT_TransportEnergyCons!$C$4:$C$10000)*1,ISNUMBER(SEARCH("tfh*ICE*DSL*ext",[1]OUT_TransportEnergyCons!$A$4:$A$10000))*1,[1]OUT_TransportEnergyCons!F$4:F$10000))*1000</f>
        <v>19.7746666666667</v>
      </c>
      <c r="I2018" s="1" cm="1">
        <f t="array" ref="I2018">(SUMPRODUCT(("Var_Cap"=[1]OUT_TransportEnergyCons!$B$4:$B$10000)*1,("-"=[1]OUT_TransportEnergyCons!$C$4:$C$10000)*1,ISNUMBER(SEARCH("tfh*ICE*DSL*ext",[1]OUT_TransportEnergyCons!$A$4:$A$10000))*1,[1]OUT_TransportEnergyCons!G$4:G$10000))*1000</f>
        <v>9.8873333333333289</v>
      </c>
      <c r="J2018" s="1" cm="1">
        <f t="array" ref="J2018">(SUMPRODUCT(("Var_Cap"=[2]OUT_TransportEnergyCons!$B$4:$B$10000)*1,("-"=[2]OUT_TransportEnergyCons!$C$4:$C$10000)*1,ISNUMBER(SEARCH("tfh*ICE*DSL*ext",[2]OUT_TransportEnergyCons!$A$4:$A$10000))*1,[2]OUT_TransportEnergyCons!H$4:H$10000))*1000</f>
        <v>0</v>
      </c>
      <c r="K2018" s="1" cm="1">
        <f t="array" ref="K2018">(SUMPRODUCT(("Var_Cap"=[2]OUT_TransportEnergyCons!$B$4:$B$10000)*1,("-"=[2]OUT_TransportEnergyCons!$C$4:$C$10000)*1,ISNUMBER(SEARCH("tfh*ICE*DSL*ext",[2]OUT_TransportEnergyCons!$A$4:$A$10000))*1,[2]OUT_TransportEnergyCons!I$4:I$10000))*1000</f>
        <v>0</v>
      </c>
      <c r="L2018" s="1" cm="1">
        <f t="array" ref="L2018">(SUMPRODUCT(("Var_Cap"=[2]OUT_TransportEnergyCons!$B$4:$B$10000)*1,("-"=[2]OUT_TransportEnergyCons!$C$4:$C$10000)*1,ISNUMBER(SEARCH("tfh*ICE*DSL*ext",[2]OUT_TransportEnergyCons!$A$4:$A$10000))*1,[2]OUT_TransportEnergyCons!J$4:J$10000))*1000</f>
        <v>0</v>
      </c>
      <c r="N2018" s="1"/>
    </row>
    <row r="2019" spans="2:14" x14ac:dyDescent="0.35">
      <c r="B2019" s="5" t="str">
        <f t="shared" si="2057"/>
        <v>SPS1</v>
      </c>
      <c r="C2019" s="5" t="str">
        <f t="shared" si="2058"/>
        <v>CH</v>
      </c>
      <c r="D2019" t="s">
        <v>2140</v>
      </c>
      <c r="E2019" t="s">
        <v>1999</v>
      </c>
      <c r="F2019" s="1" cm="1">
        <f t="array" ref="F2019">(SUMPRODUCT(("Var_Cap"=[1]OUT_TransportEnergyCons!$B$4:$B$10000)*1,("-"=[1]OUT_TransportEnergyCons!$C$4:$C$10000)*1,ISNUMBER(SEARCH("tfh*ICE*DSL*",[1]OUT_TransportEnergyCons!$A$4:$A$10000))*1,[1]OUT_TransportEnergyCons!D$4:D$10000))*1000-F2018</f>
        <v>11.609616998070234</v>
      </c>
      <c r="G2019" s="1" cm="1">
        <f t="array" ref="G2019">(SUMPRODUCT(("Var_Cap"=[1]OUT_TransportEnergyCons!$B$4:$B$10000)*1,("-"=[1]OUT_TransportEnergyCons!$C$4:$C$10000)*1,ISNUMBER(SEARCH("tfh*ICE*DSL*",[1]OUT_TransportEnergyCons!$A$4:$A$10000))*1,[1]OUT_TransportEnergyCons!E$4:E$10000))*1000-G2018</f>
        <v>10.729235724586882</v>
      </c>
      <c r="H2019" s="1" cm="1">
        <f t="array" ref="H2019">(SUMPRODUCT(("Var_Cap"=[1]OUT_TransportEnergyCons!$B$4:$B$10000)*1,("-"=[1]OUT_TransportEnergyCons!$C$4:$C$10000)*1,ISNUMBER(SEARCH("tfh*ICE*DSL*",[1]OUT_TransportEnergyCons!$A$4:$A$10000))*1,[1]OUT_TransportEnergyCons!F$4:F$10000))*1000-H2018</f>
        <v>9.6966868444705234</v>
      </c>
      <c r="I2019" s="1" cm="1">
        <f t="array" ref="I2019">(SUMPRODUCT(("Var_Cap"=[1]OUT_TransportEnergyCons!$B$4:$B$10000)*1,("-"=[1]OUT_TransportEnergyCons!$C$4:$C$10000)*1,ISNUMBER(SEARCH("tfh*ICE*DSL*",[1]OUT_TransportEnergyCons!$A$4:$A$10000))*1,[1]OUT_TransportEnergyCons!G$4:G$10000))*1000-I2018</f>
        <v>0.98129986467042762</v>
      </c>
      <c r="J2019" s="1" cm="1">
        <f t="array" ref="J2019">(SUMPRODUCT(("Var_Cap"=[2]OUT_TransportEnergyCons!$B$4:$B$10000)*1,("-"=[2]OUT_TransportEnergyCons!$C$4:$C$10000)*1,ISNUMBER(SEARCH("tfh*ICE*DSL*",[2]OUT_TransportEnergyCons!$A$4:$A$10000))*1,[2]OUT_TransportEnergyCons!H$4:H$10000))*1000-J2018</f>
        <v>3.8922214164703105E-3</v>
      </c>
      <c r="K2019" s="1" cm="1">
        <f t="array" ref="K2019">(SUMPRODUCT(("Var_Cap"=[2]OUT_TransportEnergyCons!$B$4:$B$10000)*1,("-"=[2]OUT_TransportEnergyCons!$C$4:$C$10000)*1,ISNUMBER(SEARCH("tfh*ICE*DSL*",[2]OUT_TransportEnergyCons!$A$4:$A$10000))*1,[2]OUT_TransportEnergyCons!I$4:I$10000))*1000-K2018</f>
        <v>5.6947465712665103E-3</v>
      </c>
      <c r="L2019" s="1" cm="1">
        <f t="array" ref="L2019">(SUMPRODUCT(("Var_Cap"=[2]OUT_TransportEnergyCons!$B$4:$B$10000)*1,("-"=[2]OUT_TransportEnergyCons!$C$4:$C$10000)*1,ISNUMBER(SEARCH("tfh*ICE*DSL*",[2]OUT_TransportEnergyCons!$A$4:$A$10000))*1,[2]OUT_TransportEnergyCons!J$4:J$10000))*1000-L2018</f>
        <v>1.8045549988327499E-3</v>
      </c>
      <c r="N2019" s="1"/>
    </row>
    <row r="2020" spans="2:14" x14ac:dyDescent="0.35">
      <c r="B2020" s="5" t="str">
        <f t="shared" si="2057"/>
        <v>SPS1</v>
      </c>
      <c r="C2020" s="5" t="str">
        <f t="shared" si="2058"/>
        <v>CH</v>
      </c>
      <c r="D2020" t="s">
        <v>2141</v>
      </c>
      <c r="E2020" t="s">
        <v>1999</v>
      </c>
      <c r="F2020" s="1" cm="1">
        <f t="array" ref="F2020">(SUMPRODUCT(("Var_Cap"=[1]OUT_TransportEnergyCons!$B$4:$B$10000)*1,("-"=[1]OUT_TransportEnergyCons!$C$4:$C$10000)*1,ISNUMBER(SEARCH("tfh*hyb*DSL*",[1]OUT_TransportEnergyCons!$A$4:$A$10000))*1,[1]OUT_TransportEnergyCons!D$4:D$10000))*1000</f>
        <v>0</v>
      </c>
      <c r="G2020" s="1" cm="1">
        <f t="array" ref="G2020">(SUMPRODUCT(("Var_Cap"=[1]OUT_TransportEnergyCons!$B$4:$B$10000)*1,("-"=[1]OUT_TransportEnergyCons!$C$4:$C$10000)*1,ISNUMBER(SEARCH("tfh*hyb*DSL*",[1]OUT_TransportEnergyCons!$A$4:$A$10000))*1,[1]OUT_TransportEnergyCons!E$4:E$10000))*1000</f>
        <v>6.4332558358561203</v>
      </c>
      <c r="H2020" s="1" cm="1">
        <f t="array" ref="H2020">(SUMPRODUCT(("Var_Cap"=[1]OUT_TransportEnergyCons!$B$4:$B$10000)*1,("-"=[1]OUT_TransportEnergyCons!$C$4:$C$10000)*1,ISNUMBER(SEARCH("tfh*hyb*DSL*",[1]OUT_TransportEnergyCons!$A$4:$A$10000))*1,[1]OUT_TransportEnergyCons!F$4:F$10000))*1000</f>
        <v>13.836190885958001</v>
      </c>
      <c r="I2020" s="1" cm="1">
        <f t="array" ref="I2020">(SUMPRODUCT(("Var_Cap"=[1]OUT_TransportEnergyCons!$B$4:$B$10000)*1,("-"=[1]OUT_TransportEnergyCons!$C$4:$C$10000)*1,ISNUMBER(SEARCH("tfh*hyb*DSL*",[1]OUT_TransportEnergyCons!$A$4:$A$10000))*1,[1]OUT_TransportEnergyCons!G$4:G$10000))*1000</f>
        <v>34.334376477480298</v>
      </c>
      <c r="J2020" s="1" cm="1">
        <f t="array" ref="J2020">(SUMPRODUCT(("Var_Cap"=[2]OUT_TransportEnergyCons!$B$4:$B$10000)*1,("-"=[2]OUT_TransportEnergyCons!$C$4:$C$10000)*1,ISNUMBER(SEARCH("tfh*hyb*DSL*",[2]OUT_TransportEnergyCons!$A$4:$A$10000))*1,[2]OUT_TransportEnergyCons!H$4:H$10000))*1000</f>
        <v>47.140990164058699</v>
      </c>
      <c r="K2020" s="1" cm="1">
        <f t="array" ref="K2020">(SUMPRODUCT(("Var_Cap"=[2]OUT_TransportEnergyCons!$B$4:$B$10000)*1,("-"=[2]OUT_TransportEnergyCons!$C$4:$C$10000)*1,ISNUMBER(SEARCH("tfh*hyb*DSL*",[2]OUT_TransportEnergyCons!$A$4:$A$10000))*1,[2]OUT_TransportEnergyCons!I$4:I$10000))*1000</f>
        <v>49.0475361380145</v>
      </c>
      <c r="L2020" s="1" cm="1">
        <f t="array" ref="L2020">(SUMPRODUCT(("Var_Cap"=[2]OUT_TransportEnergyCons!$B$4:$B$10000)*1,("-"=[2]OUT_TransportEnergyCons!$C$4:$C$10000)*1,ISNUMBER(SEARCH("tfh*hyb*DSL*",[2]OUT_TransportEnergyCons!$A$4:$A$10000))*1,[2]OUT_TransportEnergyCons!J$4:J$10000))*1000</f>
        <v>53.043395003637094</v>
      </c>
      <c r="N2020" s="1"/>
    </row>
    <row r="2021" spans="2:14" x14ac:dyDescent="0.35">
      <c r="B2021" s="5" t="str">
        <f t="shared" si="2057"/>
        <v>SPS1</v>
      </c>
      <c r="C2021" s="5" t="str">
        <f t="shared" si="2058"/>
        <v>CH</v>
      </c>
      <c r="D2021" t="s">
        <v>2142</v>
      </c>
      <c r="E2021" t="s">
        <v>1999</v>
      </c>
      <c r="F2021" s="1" cm="1">
        <f t="array" ref="F2021">(SUMPRODUCT(("Var_Cap"=[1]OUT_TransportEnergyCons!$B$4:$B$10000)*1,("-"=[1]OUT_TransportEnergyCons!$C$4:$C$10000)*1,ISNUMBER(SEARCH("tfh*ice*nga*",[1]OUT_TransportEnergyCons!$A$4:$A$10000))*1,[1]OUT_TransportEnergyCons!D$4:D$10000))*1000</f>
        <v>0.122</v>
      </c>
      <c r="G2021" s="1" cm="1">
        <f t="array" ref="G2021">(SUMPRODUCT(("Var_Cap"=[1]OUT_TransportEnergyCons!$B$4:$B$10000)*1,("-"=[1]OUT_TransportEnergyCons!$C$4:$C$10000)*1,ISNUMBER(SEARCH("tfh*ice*nga*",[1]OUT_TransportEnergyCons!$A$4:$A$10000))*1,[1]OUT_TransportEnergyCons!E$4:E$10000))*1000</f>
        <v>1.1229651511720411E-2</v>
      </c>
      <c r="H2021" s="1" cm="1">
        <f t="array" ref="H2021">(SUMPRODUCT(("Var_Cap"=[1]OUT_TransportEnergyCons!$B$4:$B$10000)*1,("-"=[1]OUT_TransportEnergyCons!$C$4:$C$10000)*1,ISNUMBER(SEARCH("tfh*ice*nga*",[1]OUT_TransportEnergyCons!$A$4:$A$10000))*1,[1]OUT_TransportEnergyCons!F$4:F$10000))*1000</f>
        <v>1.1235297574274708E-2</v>
      </c>
      <c r="I2021" s="1" cm="1">
        <f t="array" ref="I2021">(SUMPRODUCT(("Var_Cap"=[1]OUT_TransportEnergyCons!$B$4:$B$10000)*1,("-"=[1]OUT_TransportEnergyCons!$C$4:$C$10000)*1,ISNUMBER(SEARCH("tfh*ice*nga*",[1]OUT_TransportEnergyCons!$A$4:$A$10000))*1,[1]OUT_TransportEnergyCons!G$4:G$10000))*1000</f>
        <v>1.1240644340637101E-2</v>
      </c>
      <c r="J2021" s="1" cm="1">
        <f t="array" ref="J2021">(SUMPRODUCT(("Var_Cap"=[2]OUT_TransportEnergyCons!$B$4:$B$10000)*1,("-"=[2]OUT_TransportEnergyCons!$C$4:$C$10000)*1,ISNUMBER(SEARCH("tfh*ice*nga*",[2]OUT_TransportEnergyCons!$A$4:$A$10000))*1,[2]OUT_TransportEnergyCons!H$4:H$10000))*1000</f>
        <v>6.5382983643032999E-3</v>
      </c>
      <c r="K2021" s="1" cm="1">
        <f t="array" ref="K2021">(SUMPRODUCT(("Var_Cap"=[2]OUT_TransportEnergyCons!$B$4:$B$10000)*1,("-"=[2]OUT_TransportEnergyCons!$C$4:$C$10000)*1,ISNUMBER(SEARCH("tfh*ice*nga*",[2]OUT_TransportEnergyCons!$A$4:$A$10000))*1,[2]OUT_TransportEnergyCons!I$4:I$10000))*1000</f>
        <v>6.5459086456361101E-3</v>
      </c>
      <c r="L2021" s="1" cm="1">
        <f t="array" ref="L2021">(SUMPRODUCT(("Var_Cap"=[2]OUT_TransportEnergyCons!$B$4:$B$10000)*1,("-"=[2]OUT_TransportEnergyCons!$C$4:$C$10000)*1,ISNUMBER(SEARCH("tfh*ice*nga*",[2]OUT_TransportEnergyCons!$A$4:$A$10000))*1,[2]OUT_TransportEnergyCons!J$4:J$10000))*1000</f>
        <v>6.5427989318117405E-3</v>
      </c>
      <c r="N2021" s="1"/>
    </row>
    <row r="2022" spans="2:14" x14ac:dyDescent="0.35">
      <c r="B2022" s="5" t="str">
        <f>B2021</f>
        <v>SPS1</v>
      </c>
      <c r="C2022" s="5" t="str">
        <f>C2021</f>
        <v>CH</v>
      </c>
      <c r="D2022" s="2" t="s">
        <v>2143</v>
      </c>
      <c r="E2022" s="2" t="s">
        <v>2154</v>
      </c>
      <c r="F2022" s="3">
        <f t="shared" ref="F2022" si="2059">SUM(F2023,F2027,F2030)</f>
        <v>1.5806548997101099E-4</v>
      </c>
      <c r="G2022" s="3">
        <f t="shared" ref="G2022" si="2060">SUM(G2023,G2027,G2030)</f>
        <v>1.5872155008966548E-4</v>
      </c>
      <c r="H2022" s="3">
        <f t="shared" ref="H2022" si="2061">SUM(H2023,H2027,H2030)</f>
        <v>1.6022122984022061E-4</v>
      </c>
      <c r="I2022" s="3">
        <f t="shared" ref="I2022" si="2062">SUM(I2023,I2027,I2030)</f>
        <v>3.955440907544517E-4</v>
      </c>
      <c r="J2022" s="3">
        <f t="shared" ref="J2022" si="2063">SUM(J2023,J2027,J2030)</f>
        <v>8.1412374609691096E-4</v>
      </c>
      <c r="K2022" s="3">
        <f t="shared" ref="K2022:L2022" si="2064">SUM(K2023,K2027,K2030)</f>
        <v>1.4769422903351175E-3</v>
      </c>
      <c r="L2022" s="3">
        <f t="shared" si="2064"/>
        <v>1.7712836380124466E-2</v>
      </c>
      <c r="N2022" s="1"/>
    </row>
    <row r="2023" spans="2:14" x14ac:dyDescent="0.35">
      <c r="B2023" s="5" t="str">
        <f t="shared" ref="B2023:B2032" si="2065">B2022</f>
        <v>SPS1</v>
      </c>
      <c r="C2023" s="5" t="str">
        <f t="shared" ref="C2023:C2032" si="2066">C2022</f>
        <v>CH</v>
      </c>
      <c r="D2023" t="s">
        <v>2144</v>
      </c>
      <c r="E2023" t="s">
        <v>2154</v>
      </c>
      <c r="F2023" s="1" cm="1">
        <f t="array" ref="F2023">SUMPRODUCT(ISNUMBER(SEARCH("SUP_ELCH2*",[1]OUT_SyntheticFuels!$C$4:$C$1000))*1,("Var_cap"=[1]OUT_SyntheticFuels!$B$4:$B$1000)*1,[1]OUT_SyntheticFuels!E$4:E$1000)</f>
        <v>1.5806548997101099E-4</v>
      </c>
      <c r="G2023" s="1" cm="1">
        <f t="array" ref="G2023">SUMPRODUCT(ISNUMBER(SEARCH("SUP_ELCH2*",[1]OUT_SyntheticFuels!$C$4:$C$1000))*1,("Var_cap"=[1]OUT_SyntheticFuels!$B$4:$B$1000)*1,[1]OUT_SyntheticFuels!F$4:F$1000)</f>
        <v>1.5872155008966548E-4</v>
      </c>
      <c r="H2023" s="1" cm="1">
        <f t="array" ref="H2023">SUMPRODUCT(ISNUMBER(SEARCH("SUP_ELCH2*",[1]OUT_SyntheticFuels!$C$4:$C$1000))*1,("Var_cap"=[1]OUT_SyntheticFuels!$B$4:$B$1000)*1,[1]OUT_SyntheticFuels!G$4:G$1000)</f>
        <v>1.6022122984022061E-4</v>
      </c>
      <c r="I2023" s="1" cm="1">
        <f t="array" ref="I2023">SUMPRODUCT(ISNUMBER(SEARCH("SUP_ELCH2*",[1]OUT_SyntheticFuels!$C$4:$C$1000))*1,("Var_cap"=[1]OUT_SyntheticFuels!$B$4:$B$1000)*1,[1]OUT_SyntheticFuels!H$4:H$1000)</f>
        <v>3.9544177360865105E-4</v>
      </c>
      <c r="J2023" s="1" cm="1">
        <f t="array" ref="J2023">SUMPRODUCT(ISNUMBER(SEARCH("SUP_ELCH2*",[2]OUT_SyntheticFuels!$C$4:$C$1000))*1,("Var_cap"=[2]OUT_SyntheticFuels!$B$4:$B$1000)*1,[2]OUT_SyntheticFuels!I$4:I$1000)</f>
        <v>8.1323605010732373E-4</v>
      </c>
      <c r="K2023" s="1" cm="1">
        <f t="array" ref="K2023">SUMPRODUCT(ISNUMBER(SEARCH("SUP_ELCH2*",[2]OUT_SyntheticFuels!$C$4:$C$1000))*1,("Var_cap"=[2]OUT_SyntheticFuels!$B$4:$B$1000)*1,[2]OUT_SyntheticFuels!J$4:J$1000)</f>
        <v>1.4757200204251039E-3</v>
      </c>
      <c r="L2023" s="1" cm="1">
        <f t="array" ref="L2023">SUMPRODUCT(ISNUMBER(SEARCH("SUP_ELCH2*",[2]OUT_SyntheticFuels!$C$4:$C$1000))*1,("Var_cap"=[2]OUT_SyntheticFuels!$B$4:$B$1000)*1,[2]OUT_SyntheticFuels!K$4:K$1000)</f>
        <v>1.7626185427939322E-2</v>
      </c>
      <c r="N2023" s="1"/>
    </row>
    <row r="2024" spans="2:14" x14ac:dyDescent="0.35">
      <c r="B2024" s="5" t="str">
        <f t="shared" si="2065"/>
        <v>SPS1</v>
      </c>
      <c r="C2024" s="5" t="str">
        <f t="shared" si="2066"/>
        <v>CH</v>
      </c>
      <c r="D2024" t="s">
        <v>2145</v>
      </c>
      <c r="E2024" t="s">
        <v>2154</v>
      </c>
      <c r="F2024" s="1">
        <f t="shared" ref="F2024" si="2067">F2023-F2025-F2026</f>
        <v>1.5806548997101099E-4</v>
      </c>
      <c r="G2024" s="1">
        <f t="shared" ref="G2024" si="2068">G2023-G2025-G2026</f>
        <v>1.5872155008966548E-4</v>
      </c>
      <c r="H2024" s="1">
        <f t="shared" ref="H2024" si="2069">H2023-H2025-H2026</f>
        <v>1.6022122984022061E-4</v>
      </c>
      <c r="I2024" s="1">
        <f t="shared" ref="I2024" si="2070">I2023-I2025-I2026</f>
        <v>3.9322020502506692E-4</v>
      </c>
      <c r="J2024" s="1">
        <f t="shared" ref="J2024" si="2071">J2023-J2025-J2026</f>
        <v>8.0049006718999592E-4</v>
      </c>
      <c r="K2024" s="1">
        <f t="shared" ref="K2024:L2024" si="2072">K2023-K2025-K2026</f>
        <v>1.1656348732929909E-3</v>
      </c>
      <c r="L2024" s="1">
        <f t="shared" si="2072"/>
        <v>1.7333393329574887E-2</v>
      </c>
      <c r="N2024" s="1"/>
    </row>
    <row r="2025" spans="2:14" x14ac:dyDescent="0.35">
      <c r="B2025" s="5" t="str">
        <f t="shared" si="2065"/>
        <v>SPS1</v>
      </c>
      <c r="C2025" s="5" t="str">
        <f t="shared" si="2066"/>
        <v>CH</v>
      </c>
      <c r="D2025" t="s">
        <v>2146</v>
      </c>
      <c r="E2025" t="s">
        <v>2154</v>
      </c>
      <c r="F2025" s="1" cm="1">
        <f t="array" ref="F2025">SUMPRODUCT(ISNUMBER(SEARCH("SUP_ELCH2*D",[1]OUT_SyntheticFuels!$C$4:$C$1000))*1,("Var_cap"=[1]OUT_SyntheticFuels!$B$4:$B$1000)*1,[1]OUT_SyntheticFuels!E$4:E$1000)</f>
        <v>0</v>
      </c>
      <c r="G2025" s="1" cm="1">
        <f t="array" ref="G2025">SUMPRODUCT(ISNUMBER(SEARCH("SUP_ELCH2*D",[1]OUT_SyntheticFuels!$C$4:$C$1000))*1,("Var_cap"=[1]OUT_SyntheticFuels!$B$4:$B$1000)*1,[1]OUT_SyntheticFuels!F$4:F$1000)</f>
        <v>0</v>
      </c>
      <c r="H2025" s="1" cm="1">
        <f t="array" ref="H2025">SUMPRODUCT(ISNUMBER(SEARCH("SUP_ELCH2*D",[1]OUT_SyntheticFuels!$C$4:$C$1000))*1,("Var_cap"=[1]OUT_SyntheticFuels!$B$4:$B$1000)*1,[1]OUT_SyntheticFuels!G$4:G$1000)</f>
        <v>0</v>
      </c>
      <c r="I2025" s="1" cm="1">
        <f t="array" ref="I2025">SUMPRODUCT(ISNUMBER(SEARCH("SUP_ELCH2*D",[1]OUT_SyntheticFuels!$C$4:$C$1000))*1,("Var_cap"=[1]OUT_SyntheticFuels!$B$4:$B$1000)*1,[1]OUT_SyntheticFuels!H$4:H$1000)</f>
        <v>2.2215685835841602E-6</v>
      </c>
      <c r="J2025" s="1" cm="1">
        <f t="array" ref="J2025">SUMPRODUCT(ISNUMBER(SEARCH("SUP_ELCH2*D",[2]OUT_SyntheticFuels!$C$4:$C$1000))*1,("Var_cap"=[2]OUT_SyntheticFuels!$B$4:$B$1000)*1,[2]OUT_SyntheticFuels!I$4:I$1000)</f>
        <v>1.27459829173278E-5</v>
      </c>
      <c r="K2025" s="1" cm="1">
        <f t="array" ref="K2025">SUMPRODUCT(ISNUMBER(SEARCH("SUP_ELCH2*D",[2]OUT_SyntheticFuels!$C$4:$C$1000))*1,("Var_cap"=[2]OUT_SyntheticFuels!$B$4:$B$1000)*1,[2]OUT_SyntheticFuels!J$4:J$1000)</f>
        <v>1.1286559275591699E-4</v>
      </c>
      <c r="L2025" s="1" cm="1">
        <f t="array" ref="L2025">SUMPRODUCT(ISNUMBER(SEARCH("SUP_ELCH2*D",[2]OUT_SyntheticFuels!$C$4:$C$1000))*1,("Var_cap"=[2]OUT_SyntheticFuels!$B$4:$B$1000)*1,[2]OUT_SyntheticFuels!K$4:K$1000)</f>
        <v>1.18243806272949E-4</v>
      </c>
      <c r="N2025" s="1"/>
    </row>
    <row r="2026" spans="2:14" x14ac:dyDescent="0.35">
      <c r="B2026" s="5" t="str">
        <f t="shared" si="2065"/>
        <v>SPS1</v>
      </c>
      <c r="C2026" s="5" t="str">
        <f t="shared" si="2066"/>
        <v>CH</v>
      </c>
      <c r="D2026" t="s">
        <v>2147</v>
      </c>
      <c r="E2026" t="s">
        <v>2154</v>
      </c>
      <c r="F2026" s="1" cm="1">
        <f t="array" ref="F2026">SUMPRODUCT(ISNUMBER(SEARCH("SUP_ELCH2*SOEC*",[1]OUT_SyntheticFuels!$C$4:$C$1000))*1,("Var_cap"=[1]OUT_SyntheticFuels!$B$4:$B$1000)*1,[1]OUT_SyntheticFuels!E$4:E$1000)</f>
        <v>0</v>
      </c>
      <c r="G2026" s="1" cm="1">
        <f t="array" ref="G2026">SUMPRODUCT(ISNUMBER(SEARCH("SUP_ELCH2*SOEC*",[1]OUT_SyntheticFuels!$C$4:$C$1000))*1,("Var_cap"=[1]OUT_SyntheticFuels!$B$4:$B$1000)*1,[1]OUT_SyntheticFuels!F$4:F$1000)</f>
        <v>0</v>
      </c>
      <c r="H2026" s="1" cm="1">
        <f t="array" ref="H2026">SUMPRODUCT(ISNUMBER(SEARCH("SUP_ELCH2*SOEC*",[1]OUT_SyntheticFuels!$C$4:$C$1000))*1,("Var_cap"=[1]OUT_SyntheticFuels!$B$4:$B$1000)*1,[1]OUT_SyntheticFuels!G$4:G$1000)</f>
        <v>0</v>
      </c>
      <c r="I2026" s="1" cm="1">
        <f t="array" ref="I2026">SUMPRODUCT(ISNUMBER(SEARCH("SUP_ELCH2*SOEC*",[1]OUT_SyntheticFuels!$C$4:$C$1000))*1,("Var_cap"=[1]OUT_SyntheticFuels!$B$4:$B$1000)*1,[1]OUT_SyntheticFuels!H$4:H$1000)</f>
        <v>0</v>
      </c>
      <c r="J2026" s="1" cm="1">
        <f t="array" ref="J2026">SUMPRODUCT(ISNUMBER(SEARCH("SUP_ELCH2*SOEC*",[2]OUT_SyntheticFuels!$C$4:$C$1000))*1,("Var_cap"=[2]OUT_SyntheticFuels!$B$4:$B$1000)*1,[2]OUT_SyntheticFuels!I$4:I$1000)</f>
        <v>0</v>
      </c>
      <c r="K2026" s="1" cm="1">
        <f t="array" ref="K2026">SUMPRODUCT(ISNUMBER(SEARCH("SUP_ELCH2*SOEC*",[2]OUT_SyntheticFuels!$C$4:$C$1000))*1,("Var_cap"=[2]OUT_SyntheticFuels!$B$4:$B$1000)*1,[2]OUT_SyntheticFuels!J$4:J$1000)</f>
        <v>1.9721955437619599E-4</v>
      </c>
      <c r="L2026" s="1" cm="1">
        <f t="array" ref="L2026">SUMPRODUCT(ISNUMBER(SEARCH("SUP_ELCH2*SOEC*",[2]OUT_SyntheticFuels!$C$4:$C$1000))*1,("Var_cap"=[2]OUT_SyntheticFuels!$B$4:$B$1000)*1,[2]OUT_SyntheticFuels!K$4:K$1000)</f>
        <v>1.7454829209148794E-4</v>
      </c>
      <c r="N2026" s="1"/>
    </row>
    <row r="2027" spans="2:14" x14ac:dyDescent="0.35">
      <c r="B2027" s="5" t="str">
        <f t="shared" si="2065"/>
        <v>SPS1</v>
      </c>
      <c r="C2027" s="5" t="str">
        <f t="shared" si="2066"/>
        <v>CH</v>
      </c>
      <c r="D2027" t="s">
        <v>2148</v>
      </c>
      <c r="E2027" t="s">
        <v>2154</v>
      </c>
      <c r="F2027" s="1">
        <f t="shared" ref="F2027" si="2073">SUM(F2028:F2029)</f>
        <v>0</v>
      </c>
      <c r="G2027" s="1">
        <f t="shared" ref="G2027" si="2074">SUM(G2028:G2029)</f>
        <v>0</v>
      </c>
      <c r="H2027" s="1">
        <f t="shared" ref="H2027" si="2075">SUM(H2028:H2029)</f>
        <v>0</v>
      </c>
      <c r="I2027" s="1">
        <f t="shared" ref="I2027" si="2076">SUM(I2028:I2029)</f>
        <v>1.02317145800669E-7</v>
      </c>
      <c r="J2027" s="1">
        <f t="shared" ref="J2027" si="2077">SUM(J2028:J2029)</f>
        <v>8.8769598958725498E-7</v>
      </c>
      <c r="K2027" s="1">
        <f t="shared" ref="K2027:L2027" si="2078">SUM(K2028:K2029)</f>
        <v>1.2222699100135132E-6</v>
      </c>
      <c r="L2027" s="1">
        <f t="shared" si="2078"/>
        <v>8.6650952185144065E-5</v>
      </c>
      <c r="N2027" s="1"/>
    </row>
    <row r="2028" spans="2:14" x14ac:dyDescent="0.35">
      <c r="B2028" s="5" t="str">
        <f t="shared" si="2065"/>
        <v>SPS1</v>
      </c>
      <c r="C2028" s="5" t="str">
        <f t="shared" si="2066"/>
        <v>CH</v>
      </c>
      <c r="D2028" t="s">
        <v>2149</v>
      </c>
      <c r="E2028" t="s">
        <v>2154</v>
      </c>
      <c r="F2028" s="1" cm="1">
        <f t="array" ref="F2028">SUMPRODUCT(ISNUMBER(SEARCH("SUP_NGAH2",[1]OUT_SyntheticFuels!$C$4:$C$1000))*1,("Var_cap"=[1]OUT_SyntheticFuels!$B$4:$B$1000)*1,[1]OUT_SyntheticFuels!E$4:E$1000)-F2029</f>
        <v>0</v>
      </c>
      <c r="G2028" s="1" cm="1">
        <f t="array" ref="G2028">SUMPRODUCT(ISNUMBER(SEARCH("SUP_NGAH2",[1]OUT_SyntheticFuels!$C$4:$C$1000))*1,("Var_cap"=[1]OUT_SyntheticFuels!$B$4:$B$1000)*1,[1]OUT_SyntheticFuels!F$4:F$1000)-G2029</f>
        <v>0</v>
      </c>
      <c r="H2028" s="1" cm="1">
        <f t="array" ref="H2028">SUMPRODUCT(ISNUMBER(SEARCH("SUP_NGAH2",[1]OUT_SyntheticFuels!$C$4:$C$1000))*1,("Var_cap"=[1]OUT_SyntheticFuels!$B$4:$B$1000)*1,[1]OUT_SyntheticFuels!G$4:G$1000)-H2029</f>
        <v>0</v>
      </c>
      <c r="I2028" s="1" cm="1">
        <f t="array" ref="I2028">SUMPRODUCT(ISNUMBER(SEARCH("SUP_NGAH2",[1]OUT_SyntheticFuels!$C$4:$C$1000))*1,("Var_cap"=[1]OUT_SyntheticFuels!$B$4:$B$1000)*1,[1]OUT_SyntheticFuels!H$4:H$1000)-I2029</f>
        <v>1.02317145800669E-7</v>
      </c>
      <c r="J2028" s="1" cm="1">
        <f t="array" ref="J2028">SUMPRODUCT(ISNUMBER(SEARCH("SUP_NGAH2",[2]OUT_SyntheticFuels!$C$4:$C$1000))*1,("Var_cap"=[2]OUT_SyntheticFuels!$B$4:$B$1000)*1,[2]OUT_SyntheticFuels!I$4:I$1000)-J2029</f>
        <v>8.8769598958725498E-7</v>
      </c>
      <c r="K2028" s="1" cm="1">
        <f t="array" ref="K2028">SUMPRODUCT(ISNUMBER(SEARCH("SUP_NGAH2",[2]OUT_SyntheticFuels!$C$4:$C$1000))*1,("Var_cap"=[2]OUT_SyntheticFuels!$B$4:$B$1000)*1,[2]OUT_SyntheticFuels!J$4:J$1000)-K2029</f>
        <v>1.2222699100135132E-6</v>
      </c>
      <c r="L2028" s="1" cm="1">
        <f t="array" ref="L2028">SUMPRODUCT(ISNUMBER(SEARCH("SUP_NGAH2",[2]OUT_SyntheticFuels!$C$4:$C$1000))*1,("Var_cap"=[2]OUT_SyntheticFuels!$B$4:$B$1000)*1,[2]OUT_SyntheticFuels!K$4:K$1000)-L2029</f>
        <v>8.6650952185144065E-5</v>
      </c>
      <c r="N2028" s="1"/>
    </row>
    <row r="2029" spans="2:14" x14ac:dyDescent="0.35">
      <c r="B2029" s="5" t="str">
        <f t="shared" si="2065"/>
        <v>SPS1</v>
      </c>
      <c r="C2029" s="5" t="str">
        <f t="shared" si="2066"/>
        <v>CH</v>
      </c>
      <c r="D2029" t="s">
        <v>2150</v>
      </c>
      <c r="E2029" t="s">
        <v>2154</v>
      </c>
      <c r="F2029" s="1" cm="1">
        <f t="array" ref="F2029">SUMPRODUCT(ISNUMBER(SEARCH("SUP_NGAH2CCS",[1]OUT_SyntheticFuels!$C$4:$C$1000))*1,("Var_cap"=[1]OUT_SyntheticFuels!$B$4:$B$1000)*1,[1]OUT_SyntheticFuels!E$4:E$1000)</f>
        <v>0</v>
      </c>
      <c r="G2029" s="1" cm="1">
        <f t="array" ref="G2029">SUMPRODUCT(ISNUMBER(SEARCH("SUP_NGAH2CCS",[1]OUT_SyntheticFuels!$C$4:$C$1000))*1,("Var_cap"=[1]OUT_SyntheticFuels!$B$4:$B$1000)*1,[1]OUT_SyntheticFuels!F$4:F$1000)</f>
        <v>0</v>
      </c>
      <c r="H2029" s="1" cm="1">
        <f t="array" ref="H2029">SUMPRODUCT(ISNUMBER(SEARCH("SUP_NGAH2CCS",[1]OUT_SyntheticFuels!$C$4:$C$1000))*1,("Var_cap"=[1]OUT_SyntheticFuels!$B$4:$B$1000)*1,[1]OUT_SyntheticFuels!G$4:G$1000)</f>
        <v>0</v>
      </c>
      <c r="I2029" s="1" cm="1">
        <f t="array" ref="I2029">SUMPRODUCT(ISNUMBER(SEARCH("SUP_NGAH2CCS",[1]OUT_SyntheticFuels!$C$4:$C$1000))*1,("Var_cap"=[1]OUT_SyntheticFuels!$B$4:$B$1000)*1,[1]OUT_SyntheticFuels!H$4:H$1000)</f>
        <v>0</v>
      </c>
      <c r="J2029" s="1" cm="1">
        <f t="array" ref="J2029">SUMPRODUCT(ISNUMBER(SEARCH("SUP_NGAH2CCS",[2]OUT_SyntheticFuels!$C$4:$C$1000))*1,("Var_cap"=[2]OUT_SyntheticFuels!$B$4:$B$1000)*1,[2]OUT_SyntheticFuels!I$4:I$1000)</f>
        <v>0</v>
      </c>
      <c r="K2029" s="1" cm="1">
        <f t="array" ref="K2029">SUMPRODUCT(ISNUMBER(SEARCH("SUP_NGAH2CCS",[2]OUT_SyntheticFuels!$C$4:$C$1000))*1,("Var_cap"=[2]OUT_SyntheticFuels!$B$4:$B$1000)*1,[2]OUT_SyntheticFuels!J$4:J$1000)</f>
        <v>0</v>
      </c>
      <c r="L2029" s="1" cm="1">
        <f t="array" ref="L2029">SUMPRODUCT(ISNUMBER(SEARCH("SUP_NGAH2CCS",[2]OUT_SyntheticFuels!$C$4:$C$1000))*1,("Var_cap"=[2]OUT_SyntheticFuels!$B$4:$B$1000)*1,[2]OUT_SyntheticFuels!K$4:K$1000)</f>
        <v>0</v>
      </c>
      <c r="N2029" s="1"/>
    </row>
    <row r="2030" spans="2:14" x14ac:dyDescent="0.35">
      <c r="B2030" s="5" t="str">
        <f t="shared" si="2065"/>
        <v>SPS1</v>
      </c>
      <c r="C2030" s="5" t="str">
        <f t="shared" si="2066"/>
        <v>CH</v>
      </c>
      <c r="D2030" t="s">
        <v>2151</v>
      </c>
      <c r="E2030" t="s">
        <v>2154</v>
      </c>
      <c r="F2030" s="1">
        <f t="shared" ref="F2030" si="2079">SUM(F2031:F2032)</f>
        <v>0</v>
      </c>
      <c r="G2030" s="1">
        <f t="shared" ref="G2030" si="2080">SUM(G2031:G2032)</f>
        <v>0</v>
      </c>
      <c r="H2030" s="1">
        <f t="shared" ref="H2030" si="2081">SUM(H2031:H2032)</f>
        <v>0</v>
      </c>
      <c r="I2030" s="1">
        <f t="shared" ref="I2030" si="2082">SUM(I2031:I2032)</f>
        <v>0</v>
      </c>
      <c r="J2030" s="1">
        <f t="shared" ref="J2030" si="2083">SUM(J2031:J2032)</f>
        <v>0</v>
      </c>
      <c r="K2030" s="1">
        <f t="shared" ref="K2030:L2030" si="2084">SUM(K2031:K2032)</f>
        <v>0</v>
      </c>
      <c r="L2030" s="1">
        <f t="shared" si="2084"/>
        <v>0</v>
      </c>
      <c r="N2030" s="1"/>
    </row>
    <row r="2031" spans="2:14" x14ac:dyDescent="0.35">
      <c r="B2031" s="5" t="str">
        <f t="shared" si="2065"/>
        <v>SPS1</v>
      </c>
      <c r="C2031" s="5" t="str">
        <f t="shared" si="2066"/>
        <v>CH</v>
      </c>
      <c r="D2031" t="s">
        <v>2152</v>
      </c>
      <c r="E2031" t="s">
        <v>2154</v>
      </c>
      <c r="F2031" s="1" cm="1">
        <f t="array" ref="F2031">SUMPRODUCT(ISNUMBER(SEARCH("SUP_WODH2",[1]OUT_SyntheticFuels!$C$4:$C$1000))*1,("Var_cap"=[1]OUT_SyntheticFuels!$B$4:$B$1000)*1,[1]OUT_SyntheticFuels!E$4:E$1000)-F2032</f>
        <v>0</v>
      </c>
      <c r="G2031" s="1" cm="1">
        <f t="array" ref="G2031">SUMPRODUCT(ISNUMBER(SEARCH("SUP_WODH2",[1]OUT_SyntheticFuels!$C$4:$C$1000))*1,("Var_cap"=[1]OUT_SyntheticFuels!$B$4:$B$1000)*1,[1]OUT_SyntheticFuels!F$4:F$1000)-G2032</f>
        <v>0</v>
      </c>
      <c r="H2031" s="1" cm="1">
        <f t="array" ref="H2031">SUMPRODUCT(ISNUMBER(SEARCH("SUP_WODH2",[1]OUT_SyntheticFuels!$C$4:$C$1000))*1,("Var_cap"=[1]OUT_SyntheticFuels!$B$4:$B$1000)*1,[1]OUT_SyntheticFuels!G$4:G$1000)-H2032</f>
        <v>0</v>
      </c>
      <c r="I2031" s="1" cm="1">
        <f t="array" ref="I2031">SUMPRODUCT(ISNUMBER(SEARCH("SUP_WODH2",[1]OUT_SyntheticFuels!$C$4:$C$1000))*1,("Var_cap"=[1]OUT_SyntheticFuels!$B$4:$B$1000)*1,[1]OUT_SyntheticFuels!H$4:H$1000)-I2032</f>
        <v>0</v>
      </c>
      <c r="J2031" s="1" cm="1">
        <f t="array" ref="J2031">SUMPRODUCT(ISNUMBER(SEARCH("SUP_WODH2",[2]OUT_SyntheticFuels!$C$4:$C$1000))*1,("Var_cap"=[2]OUT_SyntheticFuels!$B$4:$B$1000)*1,[2]OUT_SyntheticFuels!I$4:I$1000)-J2032</f>
        <v>0</v>
      </c>
      <c r="K2031" s="1" cm="1">
        <f t="array" ref="K2031">SUMPRODUCT(ISNUMBER(SEARCH("SUP_WODH2",[2]OUT_SyntheticFuels!$C$4:$C$1000))*1,("Var_cap"=[2]OUT_SyntheticFuels!$B$4:$B$1000)*1,[2]OUT_SyntheticFuels!J$4:J$1000)-K2032</f>
        <v>0</v>
      </c>
      <c r="L2031" s="1" cm="1">
        <f t="array" ref="L2031">SUMPRODUCT(ISNUMBER(SEARCH("SUP_WODH2",[2]OUT_SyntheticFuels!$C$4:$C$1000))*1,("Var_cap"=[2]OUT_SyntheticFuels!$B$4:$B$1000)*1,[2]OUT_SyntheticFuels!K$4:K$1000)-L2032</f>
        <v>0</v>
      </c>
      <c r="N2031" s="1"/>
    </row>
    <row r="2032" spans="2:14" x14ac:dyDescent="0.35">
      <c r="B2032" s="5" t="str">
        <f t="shared" si="2065"/>
        <v>SPS1</v>
      </c>
      <c r="C2032" s="5" t="str">
        <f t="shared" si="2066"/>
        <v>CH</v>
      </c>
      <c r="D2032" t="s">
        <v>2153</v>
      </c>
      <c r="E2032" t="s">
        <v>2154</v>
      </c>
      <c r="F2032" s="1" cm="1">
        <f t="array" ref="F2032">SUMPRODUCT(ISNUMBER(SEARCH("SUP_WODH2CCS",[1]OUT_SyntheticFuels!$C$4:$C$1000))*1,("Var_cap"=[1]OUT_SyntheticFuels!$B$4:$B$1000)*1,[1]OUT_SyntheticFuels!E$4:E$1000)</f>
        <v>0</v>
      </c>
      <c r="G2032" s="1" cm="1">
        <f t="array" ref="G2032">SUMPRODUCT(ISNUMBER(SEARCH("SUP_WODH2CCS",[1]OUT_SyntheticFuels!$C$4:$C$1000))*1,("Var_cap"=[1]OUT_SyntheticFuels!$B$4:$B$1000)*1,[1]OUT_SyntheticFuels!F$4:F$1000)</f>
        <v>0</v>
      </c>
      <c r="H2032" s="1" cm="1">
        <f t="array" ref="H2032">SUMPRODUCT(ISNUMBER(SEARCH("SUP_WODH2CCS",[1]OUT_SyntheticFuels!$C$4:$C$1000))*1,("Var_cap"=[1]OUT_SyntheticFuels!$B$4:$B$1000)*1,[1]OUT_SyntheticFuels!G$4:G$1000)</f>
        <v>0</v>
      </c>
      <c r="I2032" s="1" cm="1">
        <f t="array" ref="I2032">SUMPRODUCT(ISNUMBER(SEARCH("SUP_WODH2CCS",[1]OUT_SyntheticFuels!$C$4:$C$1000))*1,("Var_cap"=[1]OUT_SyntheticFuels!$B$4:$B$1000)*1,[1]OUT_SyntheticFuels!H$4:H$1000)</f>
        <v>0</v>
      </c>
      <c r="J2032" s="1" cm="1">
        <f t="array" ref="J2032">SUMPRODUCT(ISNUMBER(SEARCH("SUP_WODH2CCS",[2]OUT_SyntheticFuels!$C$4:$C$1000))*1,("Var_cap"=[2]OUT_SyntheticFuels!$B$4:$B$1000)*1,[2]OUT_SyntheticFuels!I$4:I$1000)</f>
        <v>0</v>
      </c>
      <c r="K2032" s="1" cm="1">
        <f t="array" ref="K2032">SUMPRODUCT(ISNUMBER(SEARCH("SUP_WODH2CCS",[2]OUT_SyntheticFuels!$C$4:$C$1000))*1,("Var_cap"=[2]OUT_SyntheticFuels!$B$4:$B$1000)*1,[2]OUT_SyntheticFuels!J$4:J$1000)</f>
        <v>0</v>
      </c>
      <c r="L2032" s="1" cm="1">
        <f t="array" ref="L2032">SUMPRODUCT(ISNUMBER(SEARCH("SUP_WODH2CCS",[2]OUT_SyntheticFuels!$C$4:$C$1000))*1,("Var_cap"=[2]OUT_SyntheticFuels!$B$4:$B$1000)*1,[2]OUT_SyntheticFuels!K$4:K$1000)</f>
        <v>0</v>
      </c>
      <c r="N2032" s="1"/>
    </row>
    <row r="2033" spans="2:14" x14ac:dyDescent="0.35">
      <c r="B2033" s="5" t="str">
        <f>B2032</f>
        <v>SPS1</v>
      </c>
      <c r="C2033" s="5" t="str">
        <f>C2032</f>
        <v>CH</v>
      </c>
      <c r="D2033" s="2" t="s">
        <v>2158</v>
      </c>
      <c r="E2033" s="2" t="s">
        <v>2156</v>
      </c>
      <c r="F2033" s="26"/>
      <c r="G2033" s="26"/>
      <c r="H2033" s="26"/>
      <c r="I2033" s="26"/>
      <c r="J2033" s="26"/>
      <c r="K2033" s="26"/>
      <c r="L2033" s="26"/>
      <c r="N2033" s="1"/>
    </row>
    <row r="2034" spans="2:14" x14ac:dyDescent="0.35">
      <c r="B2034" s="5" t="str">
        <f t="shared" ref="B2034:B2049" si="2085">B2033</f>
        <v>SPS1</v>
      </c>
      <c r="C2034" s="5" t="str">
        <f t="shared" ref="C2034:C2049" si="2086">C2033</f>
        <v>CH</v>
      </c>
      <c r="D2034" t="s">
        <v>2162</v>
      </c>
      <c r="E2034" t="s">
        <v>2156</v>
      </c>
      <c r="F2034" s="7" cm="1">
        <f t="array" ref="F2034">SUMPRODUCT(("CT_CWODBDS"=[1]OUT_SyntheticFuels!$C$4:$C$1000)*1,("Var_cap"=[1]OUT_SyntheticFuels!$B$4:$B$1000)*1,[1]OUT_SyntheticFuels!E$4:E$1000)</f>
        <v>6.2412360827987817E-2</v>
      </c>
      <c r="G2034" s="7" cm="1">
        <f t="array" ref="G2034">SUMPRODUCT(("CT_CWODBDS"=[1]OUT_SyntheticFuels!$C$4:$C$1000)*1,("Var_cap"=[1]OUT_SyntheticFuels!$B$4:$B$1000)*1,[1]OUT_SyntheticFuels!F$4:F$1000)</f>
        <v>6.2412466331608733E-2</v>
      </c>
      <c r="H2034" s="7" cm="1">
        <f t="array" ref="H2034">SUMPRODUCT(("CT_CWODBDS"=[1]OUT_SyntheticFuels!$C$4:$C$1000)*1,("Var_cap"=[1]OUT_SyntheticFuels!$B$4:$B$1000)*1,[1]OUT_SyntheticFuels!G$4:G$1000)</f>
        <v>6.2424026286440948E-2</v>
      </c>
      <c r="I2034" s="7" cm="1">
        <f t="array" ref="I2034">SUMPRODUCT(("CT_CWODBDS"=[1]OUT_SyntheticFuels!$C$4:$C$1000)*1,("Var_cap"=[1]OUT_SyntheticFuels!$B$4:$B$1000)*1,[1]OUT_SyntheticFuels!H$4:H$1000)</f>
        <v>1.4085897002517889E-5</v>
      </c>
      <c r="J2034" s="7" cm="1">
        <f t="array" ref="J2034">SUMPRODUCT(("CT_CWODBDS"=[2]OUT_SyntheticFuels!$C$4:$C$1000)*1,("Var_cap"=[2]OUT_SyntheticFuels!$B$4:$B$1000)*1,[2]OUT_SyntheticFuels!I$4:I$1000)</f>
        <v>3.2301276854211636E-5</v>
      </c>
      <c r="K2034" s="7" cm="1">
        <f t="array" ref="K2034">SUMPRODUCT(("CT_CWODBDS"=[2]OUT_SyntheticFuels!$C$4:$C$1000)*1,("Var_cap"=[2]OUT_SyntheticFuels!$B$4:$B$1000)*1,[2]OUT_SyntheticFuels!J$4:J$1000)</f>
        <v>3.0798042838811355E-5</v>
      </c>
      <c r="L2034" s="7" cm="1">
        <f t="array" ref="L2034">SUMPRODUCT(("CT_CWODBDS"=[2]OUT_SyntheticFuels!$C$4:$C$1000)*1,("Var_cap"=[2]OUT_SyntheticFuels!$B$4:$B$1000)*1,[2]OUT_SyntheticFuels!K$4:K$1000)</f>
        <v>1.4211722946873966E-5</v>
      </c>
      <c r="N2034" s="1"/>
    </row>
    <row r="2035" spans="2:14" x14ac:dyDescent="0.35">
      <c r="B2035" s="5" t="str">
        <f t="shared" si="2085"/>
        <v>SPS1</v>
      </c>
      <c r="C2035" s="5" t="str">
        <f t="shared" si="2086"/>
        <v>CH</v>
      </c>
      <c r="D2035" t="s">
        <v>2163</v>
      </c>
      <c r="E2035" t="s">
        <v>2156</v>
      </c>
      <c r="F2035" s="7" cm="1">
        <f t="array" ref="F2035">SUMPRODUCT(("CT_CWODBDSCCS"=[1]OUT_SyntheticFuels!$C$4:$C$1000)*1,("Var_cap"=[1]OUT_SyntheticFuels!$B$4:$B$1000)*1,[1]OUT_SyntheticFuels!E$4:E$1000)</f>
        <v>0</v>
      </c>
      <c r="G2035" s="7" cm="1">
        <f t="array" ref="G2035">SUMPRODUCT(("CT_CWODBDSCCS"=[1]OUT_SyntheticFuels!$C$4:$C$1000)*1,("Var_cap"=[1]OUT_SyntheticFuels!$B$4:$B$1000)*1,[1]OUT_SyntheticFuels!F$4:F$1000)</f>
        <v>0</v>
      </c>
      <c r="H2035" s="7" cm="1">
        <f t="array" ref="H2035">SUMPRODUCT(("CT_CWODBDSCCS"=[1]OUT_SyntheticFuels!$C$4:$C$1000)*1,("Var_cap"=[1]OUT_SyntheticFuels!$B$4:$B$1000)*1,[1]OUT_SyntheticFuels!G$4:G$1000)</f>
        <v>0</v>
      </c>
      <c r="I2035" s="7" cm="1">
        <f t="array" ref="I2035">SUMPRODUCT(("CT_CWODBDSCCS"=[1]OUT_SyntheticFuels!$C$4:$C$1000)*1,("Var_cap"=[1]OUT_SyntheticFuels!$B$4:$B$1000)*1,[1]OUT_SyntheticFuels!H$4:H$1000)</f>
        <v>0</v>
      </c>
      <c r="J2035" s="7" cm="1">
        <f t="array" ref="J2035">SUMPRODUCT(("CT_CWODBDSCCS"=[2]OUT_SyntheticFuels!$C$4:$C$1000)*1,("Var_cap"=[2]OUT_SyntheticFuels!$B$4:$B$1000)*1,[2]OUT_SyntheticFuels!I$4:I$1000)</f>
        <v>0</v>
      </c>
      <c r="K2035" s="7" cm="1">
        <f t="array" ref="K2035">SUMPRODUCT(("CT_CWODBDSCCS"=[2]OUT_SyntheticFuels!$C$4:$C$1000)*1,("Var_cap"=[2]OUT_SyntheticFuels!$B$4:$B$1000)*1,[2]OUT_SyntheticFuels!J$4:J$1000)</f>
        <v>0</v>
      </c>
      <c r="L2035" s="7" cm="1">
        <f t="array" ref="L2035">SUMPRODUCT(("CT_CWODBDSCCS"=[2]OUT_SyntheticFuels!$C$4:$C$1000)*1,("Var_cap"=[2]OUT_SyntheticFuels!$B$4:$B$1000)*1,[2]OUT_SyntheticFuels!K$4:K$1000)</f>
        <v>0</v>
      </c>
      <c r="N2035" s="1"/>
    </row>
    <row r="2036" spans="2:14" x14ac:dyDescent="0.35">
      <c r="B2036" s="5" t="str">
        <f t="shared" si="2085"/>
        <v>SPS1</v>
      </c>
      <c r="C2036" s="5" t="str">
        <f t="shared" si="2086"/>
        <v>CH</v>
      </c>
      <c r="D2036" t="s">
        <v>2167</v>
      </c>
      <c r="E2036" t="s">
        <v>2156</v>
      </c>
      <c r="F2036" s="7" cm="1">
        <f t="array" ref="F2036">SUMPRODUCT(("CT_CWODETH"=[1]OUT_SyntheticFuels!$C$4:$C$1000)*1,("Var_cap"=[1]OUT_SyntheticFuels!$B$4:$B$1000)*1,[1]OUT_SyntheticFuels!E$4:E$1000)</f>
        <v>8.5749600343982199E-3</v>
      </c>
      <c r="G2036" s="7" cm="1">
        <f t="array" ref="G2036">SUMPRODUCT(("CT_CWODETH"=[1]OUT_SyntheticFuels!$C$4:$C$1000)*1,("Var_cap"=[1]OUT_SyntheticFuels!$B$4:$B$1000)*1,[1]OUT_SyntheticFuels!F$4:F$1000)</f>
        <v>8.5749329210816159E-3</v>
      </c>
      <c r="H2036" s="7" cm="1">
        <f t="array" ref="H2036">SUMPRODUCT(("CT_CWODETH"=[1]OUT_SyntheticFuels!$C$4:$C$1000)*1,("Var_cap"=[1]OUT_SyntheticFuels!$B$4:$B$1000)*1,[1]OUT_SyntheticFuels!G$4:G$1000)</f>
        <v>8.5750499983268703E-3</v>
      </c>
      <c r="I2036" s="7" cm="1">
        <f t="array" ref="I2036">SUMPRODUCT(("CT_CWODETH"=[1]OUT_SyntheticFuels!$C$4:$C$1000)*1,("Var_cap"=[1]OUT_SyntheticFuels!$B$4:$B$1000)*1,[1]OUT_SyntheticFuels!H$4:H$1000)</f>
        <v>1.0005956951480294E-5</v>
      </c>
      <c r="J2036" s="7" cm="1">
        <f t="array" ref="J2036">SUMPRODUCT(("CT_CWODETH"=[2]OUT_SyntheticFuels!$C$4:$C$1000)*1,("Var_cap"=[2]OUT_SyntheticFuels!$B$4:$B$1000)*1,[2]OUT_SyntheticFuels!I$4:I$1000)</f>
        <v>2.631408583789966E-5</v>
      </c>
      <c r="K2036" s="7" cm="1">
        <f t="array" ref="K2036">SUMPRODUCT(("CT_CWODETH"=[2]OUT_SyntheticFuels!$C$4:$C$1000)*1,("Var_cap"=[2]OUT_SyntheticFuels!$B$4:$B$1000)*1,[2]OUT_SyntheticFuels!J$4:J$1000)</f>
        <v>1.4388145267660041E-5</v>
      </c>
      <c r="L2036" s="7" cm="1">
        <f t="array" ref="L2036">SUMPRODUCT(("CT_CWODETH"=[2]OUT_SyntheticFuels!$C$4:$C$1000)*1,("Var_cap"=[2]OUT_SyntheticFuels!$B$4:$B$1000)*1,[2]OUT_SyntheticFuels!K$4:K$1000)</f>
        <v>1.0708540962826878E-5</v>
      </c>
      <c r="N2036" s="1"/>
    </row>
    <row r="2037" spans="2:14" x14ac:dyDescent="0.35">
      <c r="B2037" s="5" t="str">
        <f t="shared" si="2085"/>
        <v>SPS1</v>
      </c>
      <c r="C2037" s="5" t="str">
        <f t="shared" si="2086"/>
        <v>CH</v>
      </c>
      <c r="D2037" t="s">
        <v>2168</v>
      </c>
      <c r="E2037" t="s">
        <v>2156</v>
      </c>
      <c r="F2037" s="7" cm="1">
        <f t="array" ref="F2037">SUMPRODUCT(("CT_CWODETHCCS"=[1]OUT_SyntheticFuels!$C$4:$C$1000)*1,("Var_cap"=[1]OUT_SyntheticFuels!$B$4:$B$1000)*1,[1]OUT_SyntheticFuels!E$4:E$1000)</f>
        <v>0</v>
      </c>
      <c r="G2037" s="7" cm="1">
        <f t="array" ref="G2037">SUMPRODUCT(("CT_CWODETHCCS"=[1]OUT_SyntheticFuels!$C$4:$C$1000)*1,("Var_cap"=[1]OUT_SyntheticFuels!$B$4:$B$1000)*1,[1]OUT_SyntheticFuels!F$4:F$1000)</f>
        <v>0</v>
      </c>
      <c r="H2037" s="7" cm="1">
        <f t="array" ref="H2037">SUMPRODUCT(("CT_CWODETHCCS"=[1]OUT_SyntheticFuels!$C$4:$C$1000)*1,("Var_cap"=[1]OUT_SyntheticFuels!$B$4:$B$1000)*1,[1]OUT_SyntheticFuels!G$4:G$1000)</f>
        <v>0</v>
      </c>
      <c r="I2037" s="7" cm="1">
        <f t="array" ref="I2037">SUMPRODUCT(("CT_CWODETHCCS"=[1]OUT_SyntheticFuels!$C$4:$C$1000)*1,("Var_cap"=[1]OUT_SyntheticFuels!$B$4:$B$1000)*1,[1]OUT_SyntheticFuels!H$4:H$1000)</f>
        <v>0</v>
      </c>
      <c r="J2037" s="7" cm="1">
        <f t="array" ref="J2037">SUMPRODUCT(("CT_CWODETHCCS"=[2]OUT_SyntheticFuels!$C$4:$C$1000)*1,("Var_cap"=[2]OUT_SyntheticFuels!$B$4:$B$1000)*1,[2]OUT_SyntheticFuels!I$4:I$1000)</f>
        <v>0</v>
      </c>
      <c r="K2037" s="7" cm="1">
        <f t="array" ref="K2037">SUMPRODUCT(("CT_CWODETHCCS"=[2]OUT_SyntheticFuels!$C$4:$C$1000)*1,("Var_cap"=[2]OUT_SyntheticFuels!$B$4:$B$1000)*1,[2]OUT_SyntheticFuels!J$4:J$1000)</f>
        <v>0</v>
      </c>
      <c r="L2037" s="7" cm="1">
        <f t="array" ref="L2037">SUMPRODUCT(("CT_CWODETHCCS"=[2]OUT_SyntheticFuels!$C$4:$C$1000)*1,("Var_cap"=[2]OUT_SyntheticFuels!$B$4:$B$1000)*1,[2]OUT_SyntheticFuels!K$4:K$1000)</f>
        <v>0</v>
      </c>
      <c r="N2037" s="1"/>
    </row>
    <row r="2038" spans="2:14" x14ac:dyDescent="0.35">
      <c r="B2038" s="5" t="str">
        <f t="shared" si="2085"/>
        <v>SPS1</v>
      </c>
      <c r="C2038" s="5" t="str">
        <f t="shared" si="2086"/>
        <v>CH</v>
      </c>
      <c r="D2038" t="s">
        <v>2161</v>
      </c>
      <c r="E2038" t="s">
        <v>2156</v>
      </c>
      <c r="F2038" s="7" cm="1">
        <f t="array" ref="F2038">SUMPRODUCT(("SUP_MNRBIO"=[1]OUT_SyntheticFuels!$C$4:$C$1000)*1,("Var_cap"=[1]OUT_SyntheticFuels!$B$4:$B$1000)*1,[1]OUT_SyntheticFuels!E$4:E$1000)</f>
        <v>4.9292721705983103E-2</v>
      </c>
      <c r="G2038" s="7" cm="1">
        <f t="array" ref="G2038">SUMPRODUCT(("SUP_MNRBIO"=[1]OUT_SyntheticFuels!$C$4:$C$1000)*1,("Var_cap"=[1]OUT_SyntheticFuels!$B$4:$B$1000)*1,[1]OUT_SyntheticFuels!F$4:F$1000)</f>
        <v>0.1568973617117721</v>
      </c>
      <c r="H2038" s="7" cm="1">
        <f t="array" ref="H2038">SUMPRODUCT(("SUP_MNRBIO"=[1]OUT_SyntheticFuels!$C$4:$C$1000)*1,("Var_cap"=[1]OUT_SyntheticFuels!$B$4:$B$1000)*1,[1]OUT_SyntheticFuels!G$4:G$1000)</f>
        <v>0.16239771527616775</v>
      </c>
      <c r="I2038" s="7" cm="1">
        <f t="array" ref="I2038">SUMPRODUCT(("SUP_MNRBIO"=[1]OUT_SyntheticFuels!$C$4:$C$1000)*1,("Var_cap"=[1]OUT_SyntheticFuels!$B$4:$B$1000)*1,[1]OUT_SyntheticFuels!H$4:H$1000)</f>
        <v>0.16239895810788377</v>
      </c>
      <c r="J2038" s="7" cm="1">
        <f t="array" ref="J2038">SUMPRODUCT(("SUP_MNRBIO"=[2]OUT_SyntheticFuels!$C$4:$C$1000)*1,("Var_cap"=[2]OUT_SyntheticFuels!$B$4:$B$1000)*1,[2]OUT_SyntheticFuels!I$4:I$1000)</f>
        <v>0.16240190990067177</v>
      </c>
      <c r="K2038" s="7" cm="1">
        <f t="array" ref="K2038">SUMPRODUCT(("SUP_MNRBIO"=[2]OUT_SyntheticFuels!$C$4:$C$1000)*1,("Var_cap"=[2]OUT_SyntheticFuels!$B$4:$B$1000)*1,[2]OUT_SyntheticFuels!J$4:J$1000)</f>
        <v>0.16371094020941029</v>
      </c>
      <c r="L2038" s="7" cm="1">
        <f t="array" ref="L2038">SUMPRODUCT(("SUP_MNRBIO"=[2]OUT_SyntheticFuels!$C$4:$C$1000)*1,("Var_cap"=[2]OUT_SyntheticFuels!$B$4:$B$1000)*1,[2]OUT_SyntheticFuels!K$4:K$1000)</f>
        <v>0.22839591390813155</v>
      </c>
      <c r="N2038" s="1"/>
    </row>
    <row r="2039" spans="2:14" x14ac:dyDescent="0.35">
      <c r="B2039" s="5" t="str">
        <f t="shared" si="2085"/>
        <v>SPS1</v>
      </c>
      <c r="C2039" s="5" t="str">
        <f t="shared" si="2086"/>
        <v>CH</v>
      </c>
      <c r="D2039" t="s">
        <v>2157</v>
      </c>
      <c r="E2039" t="s">
        <v>2156</v>
      </c>
      <c r="F2039" s="7" cm="1">
        <f t="array" ref="F2039">SUMPRODUCT(("SUP_WSTBIO"=[1]OUT_SyntheticFuels!$C$4:$C$1000)*1,("Var_cap"=[1]OUT_SyntheticFuels!$B$4:$B$1000)*1,[1]OUT_SyntheticFuels!E$4:E$1000)</f>
        <v>0.21266698410449497</v>
      </c>
      <c r="G2039" s="7" cm="1">
        <f t="array" ref="G2039">SUMPRODUCT(("SUP_WSTBIO"=[1]OUT_SyntheticFuels!$C$4:$C$1000)*1,("Var_cap"=[1]OUT_SyntheticFuels!$B$4:$B$1000)*1,[1]OUT_SyntheticFuels!F$4:F$1000)</f>
        <v>0.23566663943184035</v>
      </c>
      <c r="H2039" s="7" cm="1">
        <f t="array" ref="H2039">SUMPRODUCT(("SUP_WSTBIO"=[1]OUT_SyntheticFuels!$C$4:$C$1000)*1,("Var_cap"=[1]OUT_SyntheticFuels!$B$4:$B$1000)*1,[1]OUT_SyntheticFuels!G$4:G$1000)</f>
        <v>0.23566563443243968</v>
      </c>
      <c r="I2039" s="7" cm="1">
        <f t="array" ref="I2039">SUMPRODUCT(("SUP_WSTBIO"=[1]OUT_SyntheticFuels!$C$4:$C$1000)*1,("Var_cap"=[1]OUT_SyntheticFuels!$B$4:$B$1000)*1,[1]OUT_SyntheticFuels!H$4:H$1000)</f>
        <v>0.23493092197010979</v>
      </c>
      <c r="J2039" s="7" cm="1">
        <f t="array" ref="J2039">SUMPRODUCT(("SUP_WSTBIO"=[2]OUT_SyntheticFuels!$C$4:$C$1000)*1,("Var_cap"=[2]OUT_SyntheticFuels!$B$4:$B$1000)*1,[2]OUT_SyntheticFuels!I$4:I$1000)</f>
        <v>0.23446887480544226</v>
      </c>
      <c r="K2039" s="7" cm="1">
        <f t="array" ref="K2039">SUMPRODUCT(("SUP_WSTBIO"=[2]OUT_SyntheticFuels!$C$4:$C$1000)*1,("Var_cap"=[2]OUT_SyntheticFuels!$B$4:$B$1000)*1,[2]OUT_SyntheticFuels!J$4:J$1000)</f>
        <v>0.22838749041565193</v>
      </c>
      <c r="L2039" s="7" cm="1">
        <f t="array" ref="L2039">SUMPRODUCT(("SUP_WSTBIO"=[2]OUT_SyntheticFuels!$C$4:$C$1000)*1,("Var_cap"=[2]OUT_SyntheticFuels!$B$4:$B$1000)*1,[2]OUT_SyntheticFuels!K$4:K$1000)</f>
        <v>0.21624323061363199</v>
      </c>
      <c r="N2039" s="1"/>
    </row>
    <row r="2040" spans="2:14" x14ac:dyDescent="0.35">
      <c r="B2040" s="5" t="str">
        <f t="shared" si="2085"/>
        <v>SPS1</v>
      </c>
      <c r="C2040" s="5" t="str">
        <f t="shared" si="2086"/>
        <v>CH</v>
      </c>
      <c r="D2040" t="s">
        <v>2169</v>
      </c>
      <c r="E2040" t="s">
        <v>2156</v>
      </c>
      <c r="F2040" s="7" cm="1">
        <f t="array" ref="F2040">SUMPRODUCT(("SUP_WSTBIOCCS"=[1]OUT_SyntheticFuels!$C$4:$C$1000)*1,("Var_cap"=[1]OUT_SyntheticFuels!$B$4:$B$1000)*1,[1]OUT_SyntheticFuels!E$4:E$1000)</f>
        <v>0</v>
      </c>
      <c r="G2040" s="7" cm="1">
        <f t="array" ref="G2040">SUMPRODUCT(("SUP_WSTBIOCCS"=[1]OUT_SyntheticFuels!$C$4:$C$1000)*1,("Var_cap"=[1]OUT_SyntheticFuels!$B$4:$B$1000)*1,[1]OUT_SyntheticFuels!F$4:F$1000)</f>
        <v>0</v>
      </c>
      <c r="H2040" s="7" cm="1">
        <f t="array" ref="H2040">SUMPRODUCT(("SUP_WSTBIOCCS"=[1]OUT_SyntheticFuels!$C$4:$C$1000)*1,("Var_cap"=[1]OUT_SyntheticFuels!$B$4:$B$1000)*1,[1]OUT_SyntheticFuels!G$4:G$1000)</f>
        <v>0</v>
      </c>
      <c r="I2040" s="7" cm="1">
        <f t="array" ref="I2040">SUMPRODUCT(("SUP_WSTBIOCCS"=[1]OUT_SyntheticFuels!$C$4:$C$1000)*1,("Var_cap"=[1]OUT_SyntheticFuels!$B$4:$B$1000)*1,[1]OUT_SyntheticFuels!H$4:H$1000)</f>
        <v>0</v>
      </c>
      <c r="J2040" s="7" cm="1">
        <f t="array" ref="J2040">SUMPRODUCT(("SUP_WSTBIOCCS"=[2]OUT_SyntheticFuels!$C$4:$C$1000)*1,("Var_cap"=[2]OUT_SyntheticFuels!$B$4:$B$1000)*1,[2]OUT_SyntheticFuels!I$4:I$1000)</f>
        <v>0</v>
      </c>
      <c r="K2040" s="7" cm="1">
        <f t="array" ref="K2040">SUMPRODUCT(("SUP_WSTBIOCCS"=[2]OUT_SyntheticFuels!$C$4:$C$1000)*1,("Var_cap"=[2]OUT_SyntheticFuels!$B$4:$B$1000)*1,[2]OUT_SyntheticFuels!J$4:J$1000)</f>
        <v>0</v>
      </c>
      <c r="L2040" s="7" cm="1">
        <f t="array" ref="L2040">SUMPRODUCT(("SUP_WSTBIOCCS"=[2]OUT_SyntheticFuels!$C$4:$C$1000)*1,("Var_cap"=[2]OUT_SyntheticFuels!$B$4:$B$1000)*1,[2]OUT_SyntheticFuels!K$4:K$1000)</f>
        <v>0</v>
      </c>
      <c r="N2040" s="1"/>
    </row>
    <row r="2041" spans="2:14" x14ac:dyDescent="0.35">
      <c r="B2041" s="5" t="str">
        <f t="shared" si="2085"/>
        <v>SPS1</v>
      </c>
      <c r="C2041" s="5" t="str">
        <f t="shared" si="2086"/>
        <v>CH</v>
      </c>
      <c r="D2041" t="s">
        <v>2170</v>
      </c>
      <c r="E2041" t="s">
        <v>2156</v>
      </c>
      <c r="F2041" s="7" cm="1">
        <f t="array" ref="F2041">SUMPRODUCT(("SUP_WSTHTGBIO"=[1]OUT_SyntheticFuels!$C$4:$C$1000)*1,("Var_cap"=[1]OUT_SyntheticFuels!$B$4:$B$1000)*1,[1]OUT_SyntheticFuels!E$4:E$1000)</f>
        <v>0</v>
      </c>
      <c r="G2041" s="7" cm="1">
        <f t="array" ref="G2041">SUMPRODUCT(("SUP_WSTHTGBIO"=[1]OUT_SyntheticFuels!$C$4:$C$1000)*1,("Var_cap"=[1]OUT_SyntheticFuels!$B$4:$B$1000)*1,[1]OUT_SyntheticFuels!F$4:F$1000)</f>
        <v>0</v>
      </c>
      <c r="H2041" s="7" cm="1">
        <f t="array" ref="H2041">SUMPRODUCT(("SUP_WSTHTGBIO"=[1]OUT_SyntheticFuels!$C$4:$C$1000)*1,("Var_cap"=[1]OUT_SyntheticFuels!$B$4:$B$1000)*1,[1]OUT_SyntheticFuels!G$4:G$1000)</f>
        <v>0</v>
      </c>
      <c r="I2041" s="7" cm="1">
        <f t="array" ref="I2041">SUMPRODUCT(("SUP_WSTHTGBIO"=[1]OUT_SyntheticFuels!$C$4:$C$1000)*1,("Var_cap"=[1]OUT_SyntheticFuels!$B$4:$B$1000)*1,[1]OUT_SyntheticFuels!H$4:H$1000)</f>
        <v>0</v>
      </c>
      <c r="J2041" s="7" cm="1">
        <f t="array" ref="J2041">SUMPRODUCT(("SUP_WSTHTGBIO"=[2]OUT_SyntheticFuels!$C$4:$C$1000)*1,("Var_cap"=[2]OUT_SyntheticFuels!$B$4:$B$1000)*1,[2]OUT_SyntheticFuels!I$4:I$1000)</f>
        <v>0</v>
      </c>
      <c r="K2041" s="7" cm="1">
        <f t="array" ref="K2041">SUMPRODUCT(("SUP_WSTHTGBIO"=[2]OUT_SyntheticFuels!$C$4:$C$1000)*1,("Var_cap"=[2]OUT_SyntheticFuels!$B$4:$B$1000)*1,[2]OUT_SyntheticFuels!J$4:J$1000)</f>
        <v>1.5076658944081199E-5</v>
      </c>
      <c r="L2041" s="7" cm="1">
        <f t="array" ref="L2041">SUMPRODUCT(("SUP_WSTHTGBIO"=[2]OUT_SyntheticFuels!$C$4:$C$1000)*1,("Var_cap"=[2]OUT_SyntheticFuels!$B$4:$B$1000)*1,[2]OUT_SyntheticFuels!K$4:K$1000)</f>
        <v>1.5134271282938614E-5</v>
      </c>
      <c r="N2041" s="1"/>
    </row>
    <row r="2042" spans="2:14" x14ac:dyDescent="0.35">
      <c r="B2042" s="5" t="str">
        <f t="shared" si="2085"/>
        <v>SPS1</v>
      </c>
      <c r="C2042" s="5" t="str">
        <f t="shared" si="2086"/>
        <v>CH</v>
      </c>
      <c r="D2042" t="s">
        <v>2171</v>
      </c>
      <c r="E2042" t="s">
        <v>2156</v>
      </c>
      <c r="F2042" s="7" cm="1">
        <f t="array" ref="F2042">SUMPRODUCT(("SUP_WSTHTGBIOCCS"=[1]OUT_SyntheticFuels!$C$4:$C$1000)*1,("Var_cap"=[1]OUT_SyntheticFuels!$B$4:$B$1000)*1,[1]OUT_SyntheticFuels!E$4:E$1000)</f>
        <v>0</v>
      </c>
      <c r="G2042" s="7" cm="1">
        <f t="array" ref="G2042">SUMPRODUCT(("SUP_WSTHTGBIOCCS"=[1]OUT_SyntheticFuels!$C$4:$C$1000)*1,("Var_cap"=[1]OUT_SyntheticFuels!$B$4:$B$1000)*1,[1]OUT_SyntheticFuels!F$4:F$1000)</f>
        <v>0</v>
      </c>
      <c r="H2042" s="7" cm="1">
        <f t="array" ref="H2042">SUMPRODUCT(("SUP_WSTHTGBIOCCS"=[1]OUT_SyntheticFuels!$C$4:$C$1000)*1,("Var_cap"=[1]OUT_SyntheticFuels!$B$4:$B$1000)*1,[1]OUT_SyntheticFuels!G$4:G$1000)</f>
        <v>0</v>
      </c>
      <c r="I2042" s="7" cm="1">
        <f t="array" ref="I2042">SUMPRODUCT(("SUP_WSTHTGBIOCCS"=[1]OUT_SyntheticFuels!$C$4:$C$1000)*1,("Var_cap"=[1]OUT_SyntheticFuels!$B$4:$B$1000)*1,[1]OUT_SyntheticFuels!H$4:H$1000)</f>
        <v>0</v>
      </c>
      <c r="J2042" s="7" cm="1">
        <f t="array" ref="J2042">SUMPRODUCT(("SUP_WSTHTGBIOCCS"=[2]OUT_SyntheticFuels!$C$4:$C$1000)*1,("Var_cap"=[2]OUT_SyntheticFuels!$B$4:$B$1000)*1,[2]OUT_SyntheticFuels!I$4:I$1000)</f>
        <v>0</v>
      </c>
      <c r="K2042" s="7" cm="1">
        <f t="array" ref="K2042">SUMPRODUCT(("SUP_WSTHTGBIOCCS"=[2]OUT_SyntheticFuels!$C$4:$C$1000)*1,("Var_cap"=[2]OUT_SyntheticFuels!$B$4:$B$1000)*1,[2]OUT_SyntheticFuels!J$4:J$1000)</f>
        <v>0</v>
      </c>
      <c r="L2042" s="7" cm="1">
        <f t="array" ref="L2042">SUMPRODUCT(("SUP_WSTHTGBIOCCS"=[2]OUT_SyntheticFuels!$C$4:$C$1000)*1,("Var_cap"=[2]OUT_SyntheticFuels!$B$4:$B$1000)*1,[2]OUT_SyntheticFuels!K$4:K$1000)</f>
        <v>0</v>
      </c>
      <c r="N2042" s="1"/>
    </row>
    <row r="2043" spans="2:14" x14ac:dyDescent="0.35">
      <c r="B2043" s="5" t="str">
        <f t="shared" si="2085"/>
        <v>SPS1</v>
      </c>
      <c r="C2043" s="5" t="str">
        <f t="shared" si="2086"/>
        <v>CH</v>
      </c>
      <c r="D2043" t="s">
        <v>2172</v>
      </c>
      <c r="E2043" t="s">
        <v>2156</v>
      </c>
      <c r="F2043" s="7" cm="1">
        <f t="array" ref="F2043">SUMPRODUCT(("SUP_WODBIO"=[1]OUT_SyntheticFuels!$C$4:$C$1000)*1,("Var_cap"=[1]OUT_SyntheticFuels!$B$4:$B$1000)*1,[1]OUT_SyntheticFuels!E$4:E$1000)</f>
        <v>1.6515617230208301E-7</v>
      </c>
      <c r="G2043" s="7" cm="1">
        <f t="array" ref="G2043">SUMPRODUCT(("SUP_WODBIO"=[1]OUT_SyntheticFuels!$C$4:$C$1000)*1,("Var_cap"=[1]OUT_SyntheticFuels!$B$4:$B$1000)*1,[1]OUT_SyntheticFuels!F$4:F$1000)</f>
        <v>7.8620719559958749E-6</v>
      </c>
      <c r="H2043" s="7" cm="1">
        <f t="array" ref="H2043">SUMPRODUCT(("SUP_WODBIO"=[1]OUT_SyntheticFuels!$C$4:$C$1000)*1,("Var_cap"=[1]OUT_SyntheticFuels!$B$4:$B$1000)*1,[1]OUT_SyntheticFuels!G$4:G$1000)</f>
        <v>8.2172281192520185E-6</v>
      </c>
      <c r="I2043" s="7" cm="1">
        <f t="array" ref="I2043">SUMPRODUCT(("SUP_WODBIO"=[1]OUT_SyntheticFuels!$C$4:$C$1000)*1,("Var_cap"=[1]OUT_SyntheticFuels!$B$4:$B$1000)*1,[1]OUT_SyntheticFuels!H$4:H$1000)</f>
        <v>8.2274337796552596E-6</v>
      </c>
      <c r="J2043" s="7" cm="1">
        <f t="array" ref="J2043">SUMPRODUCT(("SUP_WODBIO"=[2]OUT_SyntheticFuels!$C$4:$C$1000)*1,("Var_cap"=[2]OUT_SyntheticFuels!$B$4:$B$1000)*1,[2]OUT_SyntheticFuels!I$4:I$1000)</f>
        <v>2.9956702712554347E-5</v>
      </c>
      <c r="K2043" s="7" cm="1">
        <f t="array" ref="K2043">SUMPRODUCT(("SUP_WODBIO"=[2]OUT_SyntheticFuels!$C$4:$C$1000)*1,("Var_cap"=[2]OUT_SyntheticFuels!$B$4:$B$1000)*1,[2]OUT_SyntheticFuels!J$4:J$1000)</f>
        <v>2.4987000739870628E-5</v>
      </c>
      <c r="L2043" s="7" cm="1">
        <f t="array" ref="L2043">SUMPRODUCT(("SUP_WODBIO"=[2]OUT_SyntheticFuels!$C$4:$C$1000)*1,("Var_cap"=[2]OUT_SyntheticFuels!$B$4:$B$1000)*1,[2]OUT_SyntheticFuels!K$4:K$1000)</f>
        <v>1.7126773576232119E-5</v>
      </c>
      <c r="N2043" s="1"/>
    </row>
    <row r="2044" spans="2:14" x14ac:dyDescent="0.35">
      <c r="B2044" s="5" t="str">
        <f t="shared" si="2085"/>
        <v>SPS1</v>
      </c>
      <c r="C2044" s="5" t="str">
        <f t="shared" si="2086"/>
        <v>CH</v>
      </c>
      <c r="D2044" t="s">
        <v>2173</v>
      </c>
      <c r="E2044" t="s">
        <v>2156</v>
      </c>
      <c r="F2044" s="7" cm="1">
        <f t="array" ref="F2044">SUMPRODUCT(("SUP_WODBIOCCS"=[1]OUT_SyntheticFuels!$C$4:$C$1000)*1,("Var_cap"=[1]OUT_SyntheticFuels!$B$4:$B$1000)*1,[1]OUT_SyntheticFuels!E$4:E$1000)</f>
        <v>0</v>
      </c>
      <c r="G2044" s="7" cm="1">
        <f t="array" ref="G2044">SUMPRODUCT(("SUP_WODBIOCCS"=[1]OUT_SyntheticFuels!$C$4:$C$1000)*1,("Var_cap"=[1]OUT_SyntheticFuels!$B$4:$B$1000)*1,[1]OUT_SyntheticFuels!F$4:F$1000)</f>
        <v>0</v>
      </c>
      <c r="H2044" s="7" cm="1">
        <f t="array" ref="H2044">SUMPRODUCT(("SUP_WODBIOCCS"=[1]OUT_SyntheticFuels!$C$4:$C$1000)*1,("Var_cap"=[1]OUT_SyntheticFuels!$B$4:$B$1000)*1,[1]OUT_SyntheticFuels!G$4:G$1000)</f>
        <v>0</v>
      </c>
      <c r="I2044" s="7" cm="1">
        <f t="array" ref="I2044">SUMPRODUCT(("SUP_WODBIOCCS"=[1]OUT_SyntheticFuels!$C$4:$C$1000)*1,("Var_cap"=[1]OUT_SyntheticFuels!$B$4:$B$1000)*1,[1]OUT_SyntheticFuels!H$4:H$1000)</f>
        <v>0</v>
      </c>
      <c r="J2044" s="7" cm="1">
        <f t="array" ref="J2044">SUMPRODUCT(("SUP_WODBIOCCS"=[2]OUT_SyntheticFuels!$C$4:$C$1000)*1,("Var_cap"=[2]OUT_SyntheticFuels!$B$4:$B$1000)*1,[2]OUT_SyntheticFuels!I$4:I$1000)</f>
        <v>0</v>
      </c>
      <c r="K2044" s="7" cm="1">
        <f t="array" ref="K2044">SUMPRODUCT(("SUP_WODBIOCCS"=[2]OUT_SyntheticFuels!$C$4:$C$1000)*1,("Var_cap"=[2]OUT_SyntheticFuels!$B$4:$B$1000)*1,[2]OUT_SyntheticFuels!J$4:J$1000)</f>
        <v>0</v>
      </c>
      <c r="L2044" s="7" cm="1">
        <f t="array" ref="L2044">SUMPRODUCT(("SUP_WODBIOCCS"=[2]OUT_SyntheticFuels!$C$4:$C$1000)*1,("Var_cap"=[2]OUT_SyntheticFuels!$B$4:$B$1000)*1,[2]OUT_SyntheticFuels!K$4:K$1000)</f>
        <v>0</v>
      </c>
      <c r="N2044" s="1"/>
    </row>
    <row r="2045" spans="2:14" x14ac:dyDescent="0.35">
      <c r="B2045" s="5" t="str">
        <f t="shared" si="2085"/>
        <v>SPS1</v>
      </c>
      <c r="C2045" s="5" t="str">
        <f t="shared" si="2086"/>
        <v>CH</v>
      </c>
      <c r="D2045" t="s">
        <v>2174</v>
      </c>
      <c r="E2045" t="s">
        <v>2156</v>
      </c>
      <c r="F2045" s="7" cm="1">
        <f t="array" ref="F2045">SUMPRODUCT(("SUP_BIONGA"=[1]OUT_SyntheticFuels!$C$4:$C$1000)*1,("Var_cap"=[1]OUT_SyntheticFuels!$B$4:$B$1000)*1,[1]OUT_SyntheticFuels!E$4:E$1000)</f>
        <v>4.2352076827635025E-2</v>
      </c>
      <c r="G2045" s="7" cm="1">
        <f t="array" ref="G2045">SUMPRODUCT(("SUP_BIONGA"=[1]OUT_SyntheticFuels!$C$4:$C$1000)*1,("Var_cap"=[1]OUT_SyntheticFuels!$B$4:$B$1000)*1,[1]OUT_SyntheticFuels!F$4:F$1000)</f>
        <v>0.13933393409159084</v>
      </c>
      <c r="H2045" s="7" cm="1">
        <f t="array" ref="H2045">SUMPRODUCT(("SUP_BIONGA"=[1]OUT_SyntheticFuels!$C$4:$C$1000)*1,("Var_cap"=[1]OUT_SyntheticFuels!$B$4:$B$1000)*1,[1]OUT_SyntheticFuels!G$4:G$1000)</f>
        <v>0.13933287326057262</v>
      </c>
      <c r="I2045" s="7" cm="1">
        <f t="array" ref="I2045">SUMPRODUCT(("SUP_BIONGA"=[1]OUT_SyntheticFuels!$C$4:$C$1000)*1,("Var_cap"=[1]OUT_SyntheticFuels!$B$4:$B$1000)*1,[1]OUT_SyntheticFuels!H$4:H$1000)</f>
        <v>0.13447909596238639</v>
      </c>
      <c r="J2045" s="7" cm="1">
        <f t="array" ref="J2045">SUMPRODUCT(("SUP_BIONGA"=[2]OUT_SyntheticFuels!$C$4:$C$1000)*1,("Var_cap"=[2]OUT_SyntheticFuels!$B$4:$B$1000)*1,[2]OUT_SyntheticFuels!I$4:I$1000)</f>
        <v>0.10485889408908344</v>
      </c>
      <c r="K2045" s="7" cm="1">
        <f t="array" ref="K2045">SUMPRODUCT(("SUP_BIONGA"=[2]OUT_SyntheticFuels!$C$4:$C$1000)*1,("Var_cap"=[2]OUT_SyntheticFuels!$B$4:$B$1000)*1,[2]OUT_SyntheticFuels!J$4:J$1000)</f>
        <v>0.10369491707880066</v>
      </c>
      <c r="L2045" s="7" cm="1">
        <f t="array" ref="L2045">SUMPRODUCT(("SUP_BIONGA"=[2]OUT_SyntheticFuels!$C$4:$C$1000)*1,("Var_cap"=[2]OUT_SyntheticFuels!$B$4:$B$1000)*1,[2]OUT_SyntheticFuels!K$4:K$1000)</f>
        <v>0.10373394252011635</v>
      </c>
      <c r="N2045" s="1"/>
    </row>
    <row r="2046" spans="2:14" x14ac:dyDescent="0.35">
      <c r="B2046" s="5" t="str">
        <f t="shared" si="2085"/>
        <v>SPS1</v>
      </c>
      <c r="C2046" s="5" t="str">
        <f t="shared" si="2086"/>
        <v>CH</v>
      </c>
      <c r="D2046" t="s">
        <v>2175</v>
      </c>
      <c r="E2046" t="s">
        <v>2156</v>
      </c>
      <c r="F2046" s="7" cm="1">
        <f t="array" ref="F2046">SUMPRODUCT(("CT_CWODPLT"=[1]OUT_SyntheticFuels!$C$4:$C$1000)*1,("Var_cap"=[1]OUT_SyntheticFuels!$B$4:$B$1000)*1,[1]OUT_SyntheticFuels!E$4:E$1000)</f>
        <v>0.35499975552912671</v>
      </c>
      <c r="G2046" s="7" cm="1">
        <f t="array" ref="G2046">SUMPRODUCT(("CT_CWODPLT"=[1]OUT_SyntheticFuels!$C$4:$C$1000)*1,("Var_cap"=[1]OUT_SyntheticFuels!$B$4:$B$1000)*1,[1]OUT_SyntheticFuels!F$4:F$1000)</f>
        <v>0.40994991267417558</v>
      </c>
      <c r="H2046" s="7" cm="1">
        <f t="array" ref="H2046">SUMPRODUCT(("CT_CWODPLT"=[1]OUT_SyntheticFuels!$C$4:$C$1000)*1,("Var_cap"=[1]OUT_SyntheticFuels!$B$4:$B$1000)*1,[1]OUT_SyntheticFuels!G$4:G$1000)</f>
        <v>0.16920267406230699</v>
      </c>
      <c r="I2046" s="7" cm="1">
        <f t="array" ref="I2046">SUMPRODUCT(("CT_CWODPLT"=[1]OUT_SyntheticFuels!$C$4:$C$1000)*1,("Var_cap"=[1]OUT_SyntheticFuels!$B$4:$B$1000)*1,[1]OUT_SyntheticFuels!H$4:H$1000)</f>
        <v>0.16919959716947897</v>
      </c>
      <c r="J2046" s="7" cm="1">
        <f t="array" ref="J2046">SUMPRODUCT(("CT_CWODPLT"=[2]OUT_SyntheticFuels!$C$4:$C$1000)*1,("Var_cap"=[2]OUT_SyntheticFuels!$B$4:$B$1000)*1,[2]OUT_SyntheticFuels!I$4:I$1000)</f>
        <v>0.18363574317888059</v>
      </c>
      <c r="K2046" s="7" cm="1">
        <f t="array" ref="K2046">SUMPRODUCT(("CT_CWODPLT"=[2]OUT_SyntheticFuels!$C$4:$C$1000)*1,("Var_cap"=[2]OUT_SyntheticFuels!$B$4:$B$1000)*1,[2]OUT_SyntheticFuels!J$4:J$1000)</f>
        <v>0.20412245674264917</v>
      </c>
      <c r="L2046" s="7" cm="1">
        <f t="array" ref="L2046">SUMPRODUCT(("CT_CWODPLT"=[2]OUT_SyntheticFuels!$C$4:$C$1000)*1,("Var_cap"=[2]OUT_SyntheticFuels!$B$4:$B$1000)*1,[2]OUT_SyntheticFuels!K$4:K$1000)</f>
        <v>0.24956064287275487</v>
      </c>
      <c r="N2046" s="1"/>
    </row>
    <row r="2047" spans="2:14" x14ac:dyDescent="0.35">
      <c r="B2047" s="5" t="str">
        <f t="shared" si="2085"/>
        <v>SPS1</v>
      </c>
      <c r="C2047" s="5" t="str">
        <f t="shared" si="2086"/>
        <v>CH</v>
      </c>
      <c r="D2047" t="s">
        <v>2176</v>
      </c>
      <c r="E2047" t="s">
        <v>2156</v>
      </c>
      <c r="F2047" s="7" cm="1">
        <f t="array" ref="F2047">SUMPRODUCT(("SUP_H2NGA"=[1]OUT_SyntheticFuels!$C$4:$C$1000)*1,("Var_cap"=[1]OUT_SyntheticFuels!$B$4:$B$1000)*1,[1]OUT_SyntheticFuels!E$4:E$1000)</f>
        <v>0</v>
      </c>
      <c r="G2047" s="7" cm="1">
        <f t="array" ref="G2047">SUMPRODUCT(("SUP_H2NGA"=[1]OUT_SyntheticFuels!$C$4:$C$1000)*1,("Var_cap"=[1]OUT_SyntheticFuels!$B$4:$B$1000)*1,[1]OUT_SyntheticFuels!F$4:F$1000)</f>
        <v>0</v>
      </c>
      <c r="H2047" s="7" cm="1">
        <f t="array" ref="H2047">SUMPRODUCT(("SUP_H2NGA"=[1]OUT_SyntheticFuels!$C$4:$C$1000)*1,("Var_cap"=[1]OUT_SyntheticFuels!$B$4:$B$1000)*1,[1]OUT_SyntheticFuels!G$4:G$1000)</f>
        <v>0</v>
      </c>
      <c r="I2047" s="7" cm="1">
        <f t="array" ref="I2047">SUMPRODUCT(("SUP_H2NGA"=[1]OUT_SyntheticFuels!$C$4:$C$1000)*1,("Var_cap"=[1]OUT_SyntheticFuels!$B$4:$B$1000)*1,[1]OUT_SyntheticFuels!H$4:H$1000)</f>
        <v>2.47139804778945E-7</v>
      </c>
      <c r="J2047" s="7" cm="1">
        <f t="array" ref="J2047">SUMPRODUCT(("SUP_H2NGA"=[2]OUT_SyntheticFuels!$C$4:$C$1000)*1,("Var_cap"=[2]OUT_SyntheticFuels!$B$4:$B$1000)*1,[2]OUT_SyntheticFuels!I$4:I$1000)</f>
        <v>8.9914138321361195E-7</v>
      </c>
      <c r="K2047" s="7" cm="1">
        <f t="array" ref="K2047">SUMPRODUCT(("SUP_H2NGA"=[2]OUT_SyntheticFuels!$C$4:$C$1000)*1,("Var_cap"=[2]OUT_SyntheticFuels!$B$4:$B$1000)*1,[2]OUT_SyntheticFuels!J$4:J$1000)</f>
        <v>8.4936307595760904E-7</v>
      </c>
      <c r="L2047" s="7" cm="1">
        <f t="array" ref="L2047">SUMPRODUCT(("SUP_H2NGA"=[2]OUT_SyntheticFuels!$C$4:$C$1000)*1,("Var_cap"=[2]OUT_SyntheticFuels!$B$4:$B$1000)*1,[2]OUT_SyntheticFuels!K$4:K$1000)</f>
        <v>6.3122680793014015E-7</v>
      </c>
      <c r="N2047" s="1"/>
    </row>
    <row r="2048" spans="2:14" x14ac:dyDescent="0.35">
      <c r="B2048" s="5" t="str">
        <f t="shared" si="2085"/>
        <v>SPS1</v>
      </c>
      <c r="C2048" s="5" t="str">
        <f t="shared" si="2086"/>
        <v>CH</v>
      </c>
      <c r="D2048" t="s">
        <v>2177</v>
      </c>
      <c r="E2048" t="s">
        <v>2156</v>
      </c>
      <c r="F2048" s="7" cm="1">
        <f t="array" ref="F2048">SUMPRODUCT(("SUP_H2DSL"=[1]OUT_SyntheticFuels!$C$4:$C$1000)*1,("Var_cap"=[1]OUT_SyntheticFuels!$B$4:$B$1000)*1,[1]OUT_SyntheticFuels!E$4:E$1000)</f>
        <v>0</v>
      </c>
      <c r="G2048" s="7" cm="1">
        <f t="array" ref="G2048">SUMPRODUCT(("SUP_H2DSL"=[1]OUT_SyntheticFuels!$C$4:$C$1000)*1,("Var_cap"=[1]OUT_SyntheticFuels!$B$4:$B$1000)*1,[1]OUT_SyntheticFuels!F$4:F$1000)</f>
        <v>0</v>
      </c>
      <c r="H2048" s="7" cm="1">
        <f t="array" ref="H2048">SUMPRODUCT(("SUP_H2DSL"=[1]OUT_SyntheticFuels!$C$4:$C$1000)*1,("Var_cap"=[1]OUT_SyntheticFuels!$B$4:$B$1000)*1,[1]OUT_SyntheticFuels!G$4:G$1000)</f>
        <v>0</v>
      </c>
      <c r="I2048" s="7" cm="1">
        <f t="array" ref="I2048">SUMPRODUCT(("SUP_H2DSL"=[1]OUT_SyntheticFuels!$C$4:$C$1000)*1,("Var_cap"=[1]OUT_SyntheticFuels!$B$4:$B$1000)*1,[1]OUT_SyntheticFuels!H$4:H$1000)</f>
        <v>1.39743624246969E-7</v>
      </c>
      <c r="J2048" s="7" cm="1">
        <f t="array" ref="J2048">SUMPRODUCT(("SUP_H2DSL"=[2]OUT_SyntheticFuels!$C$4:$C$1000)*1,("Var_cap"=[2]OUT_SyntheticFuels!$B$4:$B$1000)*1,[2]OUT_SyntheticFuels!I$4:I$1000)</f>
        <v>1.3435068902594631E-6</v>
      </c>
      <c r="K2048" s="7" cm="1">
        <f t="array" ref="K2048">SUMPRODUCT(("SUP_H2DSL"=[2]OUT_SyntheticFuels!$C$4:$C$1000)*1,("Var_cap"=[2]OUT_SyntheticFuels!$B$4:$B$1000)*1,[2]OUT_SyntheticFuels!J$4:J$1000)</f>
        <v>1.2111329531008401E-6</v>
      </c>
      <c r="L2048" s="7" cm="1">
        <f t="array" ref="L2048">SUMPRODUCT(("SUP_H2DSL"=[2]OUT_SyntheticFuels!$C$4:$C$1000)*1,("Var_cap"=[2]OUT_SyntheticFuels!$B$4:$B$1000)*1,[2]OUT_SyntheticFuels!K$4:K$1000)</f>
        <v>9.8057198585977984E-7</v>
      </c>
      <c r="N2048" s="1"/>
    </row>
    <row r="2049" spans="2:14" x14ac:dyDescent="0.35">
      <c r="B2049" s="5" t="str">
        <f t="shared" si="2085"/>
        <v>SPS1</v>
      </c>
      <c r="C2049" s="5" t="str">
        <f t="shared" si="2086"/>
        <v>CH</v>
      </c>
      <c r="D2049" t="s">
        <v>2160</v>
      </c>
      <c r="E2049" t="s">
        <v>2156</v>
      </c>
      <c r="F2049" s="7" cm="1">
        <f t="array" ref="F2049">SUMPRODUCT(("SUP_H2GSL"=[1]OUT_SyntheticFuels!$C$4:$C$1000)*1,("Var_cap"=[1]OUT_SyntheticFuels!$B$4:$B$1000)*1,[1]OUT_SyntheticFuels!E$4:E$1000)</f>
        <v>0</v>
      </c>
      <c r="G2049" s="7" cm="1">
        <f t="array" ref="G2049">SUMPRODUCT(("SUP_H2GSL"=[1]OUT_SyntheticFuels!$C$4:$C$1000)*1,("Var_cap"=[1]OUT_SyntheticFuels!$B$4:$B$1000)*1,[1]OUT_SyntheticFuels!F$4:F$1000)</f>
        <v>0</v>
      </c>
      <c r="H2049" s="7" cm="1">
        <f t="array" ref="H2049">SUMPRODUCT(("SUP_H2GSL"=[1]OUT_SyntheticFuels!$C$4:$C$1000)*1,("Var_cap"=[1]OUT_SyntheticFuels!$B$4:$B$1000)*1,[1]OUT_SyntheticFuels!G$4:G$1000)</f>
        <v>0</v>
      </c>
      <c r="I2049" s="7" cm="1">
        <f t="array" ref="I2049">SUMPRODUCT(("SUP_H2GSL"=[1]OUT_SyntheticFuels!$C$4:$C$1000)*1,("Var_cap"=[1]OUT_SyntheticFuels!$B$4:$B$1000)*1,[1]OUT_SyntheticFuels!H$4:H$1000)</f>
        <v>1.7441374784926599E-7</v>
      </c>
      <c r="J2049" s="7" cm="1">
        <f t="array" ref="J2049">SUMPRODUCT(("SUP_H2GSL"=[2]OUT_SyntheticFuels!$C$4:$C$1000)*1,("Var_cap"=[2]OUT_SyntheticFuels!$B$4:$B$1000)*1,[2]OUT_SyntheticFuels!I$4:I$1000)</f>
        <v>1.4270694960550251E-6</v>
      </c>
      <c r="K2049" s="7" cm="1">
        <f t="array" ref="K2049">SUMPRODUCT(("SUP_H2GSL"=[2]OUT_SyntheticFuels!$C$4:$C$1000)*1,("Var_cap"=[2]OUT_SyntheticFuels!$B$4:$B$1000)*1,[2]OUT_SyntheticFuels!J$4:J$1000)</f>
        <v>1.5528811409422642E-6</v>
      </c>
      <c r="L2049" s="7" cm="1">
        <f t="array" ref="L2049">SUMPRODUCT(("SUP_H2GSL"=[2]OUT_SyntheticFuels!$C$4:$C$1000)*1,("Var_cap"=[2]OUT_SyntheticFuels!$B$4:$B$1000)*1,[2]OUT_SyntheticFuels!K$4:K$1000)</f>
        <v>1.0626291105351399E-6</v>
      </c>
      <c r="N2049" s="1"/>
    </row>
    <row r="2050" spans="2:14" x14ac:dyDescent="0.35">
      <c r="B2050" s="9" t="str">
        <f>B2049</f>
        <v>SPS1</v>
      </c>
      <c r="C2050" s="2" t="str">
        <f>C2049</f>
        <v>CH</v>
      </c>
      <c r="D2050" s="2" t="s">
        <v>2178</v>
      </c>
      <c r="E2050" s="2" t="s">
        <v>1857</v>
      </c>
      <c r="F2050" s="3">
        <f t="shared" ref="F2050:K2050" si="2087">SUM(F2051,F2053,F2057,F2061,F2077,F2084,F2092,F2094,F2102,F2106,F2100)</f>
        <v>1.334027432296546E-3</v>
      </c>
      <c r="G2050" s="3">
        <f t="shared" si="2087"/>
        <v>8.2982779095938597E-2</v>
      </c>
      <c r="H2050" s="3">
        <f t="shared" si="2087"/>
        <v>5.3468541970323189</v>
      </c>
      <c r="I2050" s="3">
        <f t="shared" si="2087"/>
        <v>2.7190991834226437</v>
      </c>
      <c r="J2050" s="3">
        <f t="shared" si="2087"/>
        <v>2.6366307606217929</v>
      </c>
      <c r="K2050" s="3">
        <f t="shared" si="2087"/>
        <v>5.6157483585005421</v>
      </c>
      <c r="L2050" s="3">
        <f t="shared" ref="L2050" si="2088">SUM(L2051,L2053,L2057,L2061,L2077,L2084,L2092,L2094,L2102,L2106,L2100)</f>
        <v>16.129536302965636</v>
      </c>
      <c r="N2050" s="1"/>
    </row>
    <row r="2051" spans="2:14" x14ac:dyDescent="0.35">
      <c r="B2051" s="5" t="str">
        <f>B2050</f>
        <v>SPS1</v>
      </c>
      <c r="C2051" s="5" t="str">
        <f t="shared" ref="C2051:C2113" si="2089">C2050</f>
        <v>CH</v>
      </c>
      <c r="D2051" t="s">
        <v>2180</v>
      </c>
      <c r="E2051" t="str">
        <f t="shared" ref="E2051:E2082" si="2090">E2050</f>
        <v>GWe/yr.</v>
      </c>
      <c r="F2051" s="1">
        <f t="shared" ref="F2051:L2051" si="2091">+F2052</f>
        <v>0</v>
      </c>
      <c r="G2051" s="1">
        <f t="shared" si="2091"/>
        <v>0</v>
      </c>
      <c r="H2051" s="1">
        <f t="shared" si="2091"/>
        <v>0</v>
      </c>
      <c r="I2051" s="1">
        <f t="shared" si="2091"/>
        <v>0</v>
      </c>
      <c r="J2051" s="1">
        <f t="shared" si="2091"/>
        <v>0</v>
      </c>
      <c r="K2051" s="1">
        <f t="shared" si="2091"/>
        <v>0</v>
      </c>
      <c r="L2051" s="1">
        <f t="shared" si="2091"/>
        <v>0</v>
      </c>
      <c r="N2051" s="1"/>
    </row>
    <row r="2052" spans="2:14" x14ac:dyDescent="0.35">
      <c r="B2052" s="5" t="str">
        <f t="shared" ref="B2052:B2113" si="2092">B2051</f>
        <v>SPS1</v>
      </c>
      <c r="C2052" s="5" t="str">
        <f t="shared" si="2089"/>
        <v>CH</v>
      </c>
      <c r="D2052" t="s">
        <v>2181</v>
      </c>
      <c r="E2052" t="str">
        <f t="shared" si="2090"/>
        <v>GWe/yr.</v>
      </c>
      <c r="F2052" s="1">
        <f>'[1]Electricity and CHPs_NCAP'!B$14</f>
        <v>0</v>
      </c>
      <c r="G2052" s="1">
        <f>'[1]Electricity and CHPs_NCAP'!C$14</f>
        <v>0</v>
      </c>
      <c r="H2052" s="1">
        <f>'[1]Electricity and CHPs_NCAP'!D$14</f>
        <v>0</v>
      </c>
      <c r="I2052" s="1">
        <f>'[1]Electricity and CHPs_NCAP'!E$14</f>
        <v>0</v>
      </c>
      <c r="J2052" s="1">
        <f>'[2]Electricity and CHPs_NCAP'!F$14</f>
        <v>0</v>
      </c>
      <c r="K2052" s="1">
        <f>'[2]Electricity and CHPs_NCAP'!G$14</f>
        <v>0</v>
      </c>
      <c r="L2052" s="1">
        <f>'[2]Electricity and CHPs_NCAP'!H$14</f>
        <v>0</v>
      </c>
      <c r="N2052" s="1"/>
    </row>
    <row r="2053" spans="2:14" x14ac:dyDescent="0.35">
      <c r="B2053" s="5" t="str">
        <f t="shared" si="2092"/>
        <v>SPS1</v>
      </c>
      <c r="C2053" s="5" t="str">
        <f t="shared" si="2089"/>
        <v>CH</v>
      </c>
      <c r="D2053" t="s">
        <v>2182</v>
      </c>
      <c r="E2053" t="str">
        <f t="shared" si="2090"/>
        <v>GWe/yr.</v>
      </c>
      <c r="F2053" s="1">
        <f t="shared" ref="F2053:K2053" si="2093">SUM(F2054:F2056)</f>
        <v>0</v>
      </c>
      <c r="G2053" s="1">
        <f t="shared" si="2093"/>
        <v>9.243646816646607E-4</v>
      </c>
      <c r="H2053" s="1">
        <f t="shared" si="2093"/>
        <v>4.3948286595739006E-3</v>
      </c>
      <c r="I2053" s="1">
        <f t="shared" si="2093"/>
        <v>0.27952600111262338</v>
      </c>
      <c r="J2053" s="1">
        <f t="shared" si="2093"/>
        <v>3.0766697296852525E-3</v>
      </c>
      <c r="K2053" s="1">
        <f t="shared" si="2093"/>
        <v>2.3635616394294199E-6</v>
      </c>
      <c r="L2053" s="1">
        <f t="shared" ref="L2053" si="2094">SUM(L2054:L2056)</f>
        <v>1.3154571937204136</v>
      </c>
      <c r="N2053" s="1"/>
    </row>
    <row r="2054" spans="2:14" x14ac:dyDescent="0.35">
      <c r="B2054" s="5" t="str">
        <f t="shared" si="2092"/>
        <v>SPS1</v>
      </c>
      <c r="C2054" s="5" t="str">
        <f t="shared" si="2089"/>
        <v>CH</v>
      </c>
      <c r="D2054" t="s">
        <v>2183</v>
      </c>
      <c r="E2054" t="str">
        <f t="shared" si="2090"/>
        <v>GWe/yr.</v>
      </c>
      <c r="F2054" s="1">
        <f>'[1]Electricity and CHPs_NCAP'!B$15</f>
        <v>0</v>
      </c>
      <c r="G2054" s="1">
        <f>'[1]Electricity and CHPs_NCAP'!C$15</f>
        <v>6.9951975453304499E-4</v>
      </c>
      <c r="H2054" s="1">
        <f>'[1]Electricity and CHPs_NCAP'!D$15</f>
        <v>3.1775907876245495E-3</v>
      </c>
      <c r="I2054" s="1">
        <f>'[1]Electricity and CHPs_NCAP'!E$15</f>
        <v>0.2795250626809509</v>
      </c>
      <c r="J2054" s="1">
        <f>'[2]Electricity and CHPs_NCAP'!F$15</f>
        <v>7.4039063870040293E-7</v>
      </c>
      <c r="K2054" s="1">
        <f>'[2]Electricity and CHPs_NCAP'!G$15</f>
        <v>1.5386508872235729E-6</v>
      </c>
      <c r="L2054" s="1">
        <f>'[2]Electricity and CHPs_NCAP'!H$15</f>
        <v>1.3154536095932923</v>
      </c>
      <c r="N2054" s="1"/>
    </row>
    <row r="2055" spans="2:14" x14ac:dyDescent="0.35">
      <c r="B2055" s="5" t="str">
        <f t="shared" si="2092"/>
        <v>SPS1</v>
      </c>
      <c r="C2055" s="5" t="str">
        <f t="shared" si="2089"/>
        <v>CH</v>
      </c>
      <c r="D2055" t="s">
        <v>2184</v>
      </c>
      <c r="E2055" t="str">
        <f t="shared" si="2090"/>
        <v>GWe/yr.</v>
      </c>
      <c r="F2055" s="1">
        <f>'[1]Electricity and CHPs_NCAP'!B$16</f>
        <v>0</v>
      </c>
      <c r="G2055" s="1">
        <f>'[1]Electricity and CHPs_NCAP'!C$16</f>
        <v>1.5801416680534888E-4</v>
      </c>
      <c r="H2055" s="1">
        <f>'[1]Electricity and CHPs_NCAP'!D$16</f>
        <v>1.2171909605957307E-3</v>
      </c>
      <c r="I2055" s="1">
        <f>'[1]Electricity and CHPs_NCAP'!E$16</f>
        <v>8.9075758296030463E-7</v>
      </c>
      <c r="J2055" s="1">
        <f>'[2]Electricity and CHPs_NCAP'!F$16</f>
        <v>3.0758734728234694E-3</v>
      </c>
      <c r="K2055" s="1">
        <f>'[2]Electricity and CHPs_NCAP'!G$16</f>
        <v>7.2841947427129365E-7</v>
      </c>
      <c r="L2055" s="1">
        <f>'[2]Electricity and CHPs_NCAP'!H$16</f>
        <v>3.2225198221111546E-6</v>
      </c>
      <c r="N2055" s="1"/>
    </row>
    <row r="2056" spans="2:14" x14ac:dyDescent="0.35">
      <c r="B2056" s="5" t="str">
        <f t="shared" si="2092"/>
        <v>SPS1</v>
      </c>
      <c r="C2056" s="5" t="str">
        <f t="shared" si="2089"/>
        <v>CH</v>
      </c>
      <c r="D2056" t="s">
        <v>2185</v>
      </c>
      <c r="E2056" t="str">
        <f t="shared" si="2090"/>
        <v>GWe/yr.</v>
      </c>
      <c r="F2056" s="1">
        <f>'[1]Electricity and CHPs_NCAP'!B$17</f>
        <v>0</v>
      </c>
      <c r="G2056" s="1">
        <f>'[1]Electricity and CHPs_NCAP'!C$17</f>
        <v>6.6830760326266799E-5</v>
      </c>
      <c r="H2056" s="1">
        <f>'[1]Electricity and CHPs_NCAP'!D$17</f>
        <v>4.69113536203915E-8</v>
      </c>
      <c r="I2056" s="1">
        <f>'[1]Electricity and CHPs_NCAP'!E$17</f>
        <v>4.7674089535733098E-8</v>
      </c>
      <c r="J2056" s="1">
        <f>'[2]Electricity and CHPs_NCAP'!F$17</f>
        <v>5.5866223082628402E-8</v>
      </c>
      <c r="K2056" s="1">
        <f>'[2]Electricity and CHPs_NCAP'!G$17</f>
        <v>9.6491277934553195E-8</v>
      </c>
      <c r="L2056" s="1">
        <f>'[2]Electricity and CHPs_NCAP'!H$17</f>
        <v>3.6160729930118E-7</v>
      </c>
      <c r="N2056" s="1"/>
    </row>
    <row r="2057" spans="2:14" x14ac:dyDescent="0.35">
      <c r="B2057" s="5" t="str">
        <f t="shared" si="2092"/>
        <v>SPS1</v>
      </c>
      <c r="C2057" s="5" t="str">
        <f t="shared" si="2089"/>
        <v>CH</v>
      </c>
      <c r="D2057" t="s">
        <v>2186</v>
      </c>
      <c r="E2057" t="str">
        <f t="shared" si="2090"/>
        <v>GWe/yr.</v>
      </c>
      <c r="F2057" s="1">
        <f t="shared" ref="F2057:K2057" si="2095">SUM(F2058:F2060)</f>
        <v>0</v>
      </c>
      <c r="G2057" s="1">
        <f t="shared" si="2095"/>
        <v>6.1441915336117861E-3</v>
      </c>
      <c r="H2057" s="1">
        <f t="shared" si="2095"/>
        <v>2.4331716806272248E-3</v>
      </c>
      <c r="I2057" s="1">
        <f t="shared" si="2095"/>
        <v>2.2758830285100146E-2</v>
      </c>
      <c r="J2057" s="1">
        <f t="shared" si="2095"/>
        <v>2.6112612963796068E-2</v>
      </c>
      <c r="K2057" s="1">
        <f t="shared" si="2095"/>
        <v>2.0443241930493464E-2</v>
      </c>
      <c r="L2057" s="1">
        <f t="shared" ref="L2057" si="2096">SUM(L2058:L2060)</f>
        <v>5.0545763689891728E-2</v>
      </c>
      <c r="N2057" s="1"/>
    </row>
    <row r="2058" spans="2:14" x14ac:dyDescent="0.35">
      <c r="B2058" s="5" t="str">
        <f t="shared" si="2092"/>
        <v>SPS1</v>
      </c>
      <c r="C2058" s="5" t="str">
        <f t="shared" si="2089"/>
        <v>CH</v>
      </c>
      <c r="D2058" t="s">
        <v>2187</v>
      </c>
      <c r="E2058" t="str">
        <f t="shared" si="2090"/>
        <v>GWe/yr.</v>
      </c>
      <c r="F2058" s="1">
        <f>'[1]Electricity and CHPs_NCAP'!B$18</f>
        <v>0</v>
      </c>
      <c r="G2058" s="1">
        <f>'[1]Electricity and CHPs_NCAP'!C$18</f>
        <v>2.1604719164306202E-6</v>
      </c>
      <c r="H2058" s="1">
        <f>'[1]Electricity and CHPs_NCAP'!D$18</f>
        <v>4.1756510618392801E-5</v>
      </c>
      <c r="I2058" s="1">
        <f>'[1]Electricity and CHPs_NCAP'!E$18</f>
        <v>8.0179569884006908E-3</v>
      </c>
      <c r="J2058" s="1">
        <f>'[2]Electricity and CHPs_NCAP'!F$18</f>
        <v>1.5710590998806999E-2</v>
      </c>
      <c r="K2058" s="1">
        <f>'[2]Electricity and CHPs_NCAP'!G$18</f>
        <v>1.9901466148308098E-6</v>
      </c>
      <c r="L2058" s="1">
        <f>'[2]Electricity and CHPs_NCAP'!H$18</f>
        <v>2.2577434448167901E-6</v>
      </c>
      <c r="N2058" s="1"/>
    </row>
    <row r="2059" spans="2:14" x14ac:dyDescent="0.35">
      <c r="B2059" s="5" t="str">
        <f t="shared" si="2092"/>
        <v>SPS1</v>
      </c>
      <c r="C2059" s="5" t="str">
        <f t="shared" si="2089"/>
        <v>CH</v>
      </c>
      <c r="D2059" t="s">
        <v>2188</v>
      </c>
      <c r="E2059" t="str">
        <f t="shared" si="2090"/>
        <v>GWe/yr.</v>
      </c>
      <c r="F2059" s="1">
        <f>'[1]Electricity and CHPs_NCAP'!B$28</f>
        <v>0</v>
      </c>
      <c r="G2059" s="1">
        <f>'[1]Electricity and CHPs_NCAP'!C$28</f>
        <v>4.01678452575365E-7</v>
      </c>
      <c r="H2059" s="1">
        <f>'[1]Electricity and CHPs_NCAP'!D$28</f>
        <v>4.3055743559194101E-7</v>
      </c>
      <c r="I2059" s="1">
        <f>'[1]Electricity and CHPs_NCAP'!E$28</f>
        <v>5.0150988235647799E-7</v>
      </c>
      <c r="J2059" s="1">
        <f>'[2]Electricity and CHPs_NCAP'!F$28</f>
        <v>6.90602356136877E-6</v>
      </c>
      <c r="K2059" s="1">
        <f>'[2]Electricity and CHPs_NCAP'!G$28</f>
        <v>3.09541596811336E-5</v>
      </c>
      <c r="L2059" s="1">
        <f>'[2]Electricity and CHPs_NCAP'!H$28</f>
        <v>7.3723049328715604E-5</v>
      </c>
      <c r="N2059" s="1"/>
    </row>
    <row r="2060" spans="2:14" x14ac:dyDescent="0.35">
      <c r="B2060" s="5" t="str">
        <f t="shared" si="2092"/>
        <v>SPS1</v>
      </c>
      <c r="C2060" s="5" t="str">
        <f t="shared" si="2089"/>
        <v>CH</v>
      </c>
      <c r="D2060" t="s">
        <v>2189</v>
      </c>
      <c r="E2060" t="str">
        <f t="shared" si="2090"/>
        <v>GWe/yr.</v>
      </c>
      <c r="F2060" s="1">
        <f>'[1]Electricity and CHPs_NCAP'!B$41</f>
        <v>0</v>
      </c>
      <c r="G2060" s="1">
        <f>'[1]Electricity and CHPs_NCAP'!C$41</f>
        <v>6.1416293832427804E-3</v>
      </c>
      <c r="H2060" s="1">
        <f>'[1]Electricity and CHPs_NCAP'!D$41</f>
        <v>2.39098461257324E-3</v>
      </c>
      <c r="I2060" s="1">
        <f>'[1]Electricity and CHPs_NCAP'!E$41</f>
        <v>1.47403717868171E-2</v>
      </c>
      <c r="J2060" s="1">
        <f>'[2]Electricity and CHPs_NCAP'!F$41</f>
        <v>1.03951159414277E-2</v>
      </c>
      <c r="K2060" s="1">
        <f>'[2]Electricity and CHPs_NCAP'!G$41</f>
        <v>2.04102976241975E-2</v>
      </c>
      <c r="L2060" s="1">
        <f>'[2]Electricity and CHPs_NCAP'!H$41</f>
        <v>5.0469782897118197E-2</v>
      </c>
      <c r="N2060" s="1"/>
    </row>
    <row r="2061" spans="2:14" x14ac:dyDescent="0.35">
      <c r="B2061" s="5" t="str">
        <f t="shared" si="2092"/>
        <v>SPS1</v>
      </c>
      <c r="C2061" s="5" t="str">
        <f t="shared" si="2089"/>
        <v>CH</v>
      </c>
      <c r="D2061" t="s">
        <v>2190</v>
      </c>
      <c r="E2061" t="str">
        <f t="shared" si="2090"/>
        <v>GWe/yr.</v>
      </c>
      <c r="F2061" s="1">
        <f t="shared" ref="F2061:K2061" si="2097">SUM(F2062:F2076)</f>
        <v>0</v>
      </c>
      <c r="G2061" s="1">
        <f t="shared" si="2097"/>
        <v>5.3498972466902397E-2</v>
      </c>
      <c r="H2061" s="1">
        <f t="shared" si="2097"/>
        <v>1.5754042319458043E-2</v>
      </c>
      <c r="I2061" s="1">
        <f t="shared" si="2097"/>
        <v>4.9280514255085887E-2</v>
      </c>
      <c r="J2061" s="1">
        <f t="shared" si="2097"/>
        <v>0.35216322756845064</v>
      </c>
      <c r="K2061" s="1">
        <f t="shared" si="2097"/>
        <v>0.35825058006772531</v>
      </c>
      <c r="L2061" s="1">
        <f t="shared" ref="L2061" si="2098">SUM(L2062:L2076)</f>
        <v>1.2345598077403275</v>
      </c>
      <c r="N2061" s="1"/>
    </row>
    <row r="2062" spans="2:14" x14ac:dyDescent="0.35">
      <c r="B2062" s="5" t="str">
        <f t="shared" si="2092"/>
        <v>SPS1</v>
      </c>
      <c r="C2062" s="5" t="str">
        <f t="shared" si="2089"/>
        <v>CH</v>
      </c>
      <c r="D2062" t="s">
        <v>2191</v>
      </c>
      <c r="E2062" t="str">
        <f t="shared" si="2090"/>
        <v>GWe/yr.</v>
      </c>
      <c r="F2062" s="1">
        <f>'[1]Electricity and CHPs_NCAP'!B$21</f>
        <v>0</v>
      </c>
      <c r="G2062" s="1">
        <f>'[1]Electricity and CHPs_NCAP'!C$21</f>
        <v>0</v>
      </c>
      <c r="H2062" s="1">
        <f>'[1]Electricity and CHPs_NCAP'!D$21</f>
        <v>0</v>
      </c>
      <c r="I2062" s="1">
        <f>'[1]Electricity and CHPs_NCAP'!E$21</f>
        <v>0</v>
      </c>
      <c r="J2062" s="1">
        <f>'[2]Electricity and CHPs_NCAP'!F$21</f>
        <v>0</v>
      </c>
      <c r="K2062" s="1">
        <f>'[2]Electricity and CHPs_NCAP'!G$21</f>
        <v>9.8315024547205102E-2</v>
      </c>
      <c r="L2062" s="1">
        <f>'[2]Electricity and CHPs_NCAP'!H$21</f>
        <v>0.57919656025352695</v>
      </c>
      <c r="N2062" s="1"/>
    </row>
    <row r="2063" spans="2:14" x14ac:dyDescent="0.35">
      <c r="B2063" s="5" t="str">
        <f t="shared" si="2092"/>
        <v>SPS1</v>
      </c>
      <c r="C2063" s="5" t="str">
        <f t="shared" si="2089"/>
        <v>CH</v>
      </c>
      <c r="D2063" t="s">
        <v>2192</v>
      </c>
      <c r="E2063" t="str">
        <f t="shared" si="2090"/>
        <v>GWe/yr.</v>
      </c>
      <c r="F2063" s="1">
        <f>'[1]Electricity and CHPs_NCAP'!B$22</f>
        <v>0</v>
      </c>
      <c r="G2063" s="1">
        <f>'[1]Electricity and CHPs_NCAP'!C$22</f>
        <v>0</v>
      </c>
      <c r="H2063" s="1">
        <f>'[1]Electricity and CHPs_NCAP'!D$22</f>
        <v>0</v>
      </c>
      <c r="I2063" s="1">
        <f>'[1]Electricity and CHPs_NCAP'!E$22</f>
        <v>0</v>
      </c>
      <c r="J2063" s="1">
        <f>'[2]Electricity and CHPs_NCAP'!F$22</f>
        <v>1.4267472940956299E-3</v>
      </c>
      <c r="K2063" s="1">
        <f>'[2]Electricity and CHPs_NCAP'!G$22</f>
        <v>8.1102193836823498E-7</v>
      </c>
      <c r="L2063" s="1">
        <f>'[2]Electricity and CHPs_NCAP'!H$22</f>
        <v>3.8844585532723399E-7</v>
      </c>
      <c r="N2063" s="1"/>
    </row>
    <row r="2064" spans="2:14" x14ac:dyDescent="0.35">
      <c r="B2064" s="5" t="str">
        <f t="shared" si="2092"/>
        <v>SPS1</v>
      </c>
      <c r="C2064" s="5" t="str">
        <f t="shared" si="2089"/>
        <v>CH</v>
      </c>
      <c r="D2064" t="s">
        <v>2193</v>
      </c>
      <c r="E2064" t="str">
        <f t="shared" si="2090"/>
        <v>GWe/yr.</v>
      </c>
      <c r="F2064" s="1">
        <f>'[1]Electricity and CHPs_NCAP'!B$23</f>
        <v>0</v>
      </c>
      <c r="G2064" s="1">
        <f>'[1]Electricity and CHPs_NCAP'!C$23</f>
        <v>0</v>
      </c>
      <c r="H2064" s="1">
        <f>'[1]Electricity and CHPs_NCAP'!D$23</f>
        <v>0</v>
      </c>
      <c r="I2064" s="1">
        <f>'[1]Electricity and CHPs_NCAP'!E$23</f>
        <v>0</v>
      </c>
      <c r="J2064" s="1">
        <f>'[2]Electricity and CHPs_NCAP'!F$23</f>
        <v>0</v>
      </c>
      <c r="K2064" s="1">
        <f>'[2]Electricity and CHPs_NCAP'!G$23</f>
        <v>0</v>
      </c>
      <c r="L2064" s="1">
        <f>'[2]Electricity and CHPs_NCAP'!H$23</f>
        <v>0</v>
      </c>
      <c r="N2064" s="1"/>
    </row>
    <row r="2065" spans="2:14" x14ac:dyDescent="0.35">
      <c r="B2065" s="5" t="str">
        <f t="shared" si="2092"/>
        <v>SPS1</v>
      </c>
      <c r="C2065" s="5" t="str">
        <f t="shared" si="2089"/>
        <v>CH</v>
      </c>
      <c r="D2065" t="s">
        <v>2194</v>
      </c>
      <c r="E2065" t="str">
        <f t="shared" si="2090"/>
        <v>GWe/yr.</v>
      </c>
      <c r="F2065" s="1">
        <f>'[1]Electricity and CHPs_NCAP'!B$24</f>
        <v>0</v>
      </c>
      <c r="G2065" s="1">
        <f>'[1]Electricity and CHPs_NCAP'!C$24</f>
        <v>9.6381445964454604E-8</v>
      </c>
      <c r="H2065" s="1">
        <f>'[1]Electricity and CHPs_NCAP'!D$24</f>
        <v>2.7115324089321199E-3</v>
      </c>
      <c r="I2065" s="1">
        <f>'[1]Electricity and CHPs_NCAP'!E$24</f>
        <v>5.5185581081762498E-7</v>
      </c>
      <c r="J2065" s="1">
        <f>'[2]Electricity and CHPs_NCAP'!F$24</f>
        <v>1.3008360937084099E-5</v>
      </c>
      <c r="K2065" s="1">
        <f>'[2]Electricity and CHPs_NCAP'!G$24</f>
        <v>1.6319315484175999E-2</v>
      </c>
      <c r="L2065" s="1">
        <f>'[2]Electricity and CHPs_NCAP'!H$24</f>
        <v>5.2493839347401402E-3</v>
      </c>
      <c r="N2065" s="1"/>
    </row>
    <row r="2066" spans="2:14" x14ac:dyDescent="0.35">
      <c r="B2066" s="5" t="str">
        <f t="shared" si="2092"/>
        <v>SPS1</v>
      </c>
      <c r="C2066" s="5" t="str">
        <f t="shared" si="2089"/>
        <v>CH</v>
      </c>
      <c r="D2066" t="s">
        <v>2195</v>
      </c>
      <c r="E2066" t="str">
        <f t="shared" si="2090"/>
        <v>GWe/yr.</v>
      </c>
      <c r="F2066" s="1">
        <f>'[1]Electricity and CHPs_NCAP'!B$29</f>
        <v>0</v>
      </c>
      <c r="G2066" s="1">
        <f>'[1]Electricity and CHPs_NCAP'!C$29</f>
        <v>0</v>
      </c>
      <c r="H2066" s="1">
        <f>'[1]Electricity and CHPs_NCAP'!D$29</f>
        <v>0</v>
      </c>
      <c r="I2066" s="1">
        <f>'[1]Electricity and CHPs_NCAP'!E$29</f>
        <v>0</v>
      </c>
      <c r="J2066" s="1">
        <f>'[2]Electricity and CHPs_NCAP'!F$29</f>
        <v>0</v>
      </c>
      <c r="K2066" s="1">
        <f>'[2]Electricity and CHPs_NCAP'!G$29</f>
        <v>1.2248656702802001E-2</v>
      </c>
      <c r="L2066" s="1">
        <f>'[2]Electricity and CHPs_NCAP'!H$29</f>
        <v>5.3086970367963698E-2</v>
      </c>
      <c r="N2066" s="1"/>
    </row>
    <row r="2067" spans="2:14" x14ac:dyDescent="0.35">
      <c r="B2067" s="5" t="str">
        <f t="shared" si="2092"/>
        <v>SPS1</v>
      </c>
      <c r="C2067" s="5" t="str">
        <f t="shared" si="2089"/>
        <v>CH</v>
      </c>
      <c r="D2067" t="s">
        <v>2196</v>
      </c>
      <c r="E2067" t="str">
        <f t="shared" si="2090"/>
        <v>GWe/yr.</v>
      </c>
      <c r="F2067" s="1">
        <f>'[1]Electricity and CHPs_NCAP'!B$39</f>
        <v>0</v>
      </c>
      <c r="G2067" s="1">
        <f>'[1]Electricity and CHPs_NCAP'!C$39</f>
        <v>1.6531589830338499E-7</v>
      </c>
      <c r="H2067" s="1">
        <f>'[1]Electricity and CHPs_NCAP'!D$39</f>
        <v>6.4758760470310199E-3</v>
      </c>
      <c r="I2067" s="1">
        <f>'[1]Electricity and CHPs_NCAP'!E$39</f>
        <v>3.7022233279364401E-2</v>
      </c>
      <c r="J2067" s="1">
        <f>'[2]Electricity and CHPs_NCAP'!F$39</f>
        <v>2.5489900745667602E-6</v>
      </c>
      <c r="K2067" s="1">
        <f>'[2]Electricity and CHPs_NCAP'!G$39</f>
        <v>2.3103903196586902E-6</v>
      </c>
      <c r="L2067" s="1">
        <f>'[2]Electricity and CHPs_NCAP'!H$39</f>
        <v>1.4566008557096E-5</v>
      </c>
      <c r="N2067" s="1"/>
    </row>
    <row r="2068" spans="2:14" x14ac:dyDescent="0.35">
      <c r="B2068" s="5" t="str">
        <f t="shared" si="2092"/>
        <v>SPS1</v>
      </c>
      <c r="C2068" s="5" t="str">
        <f t="shared" si="2089"/>
        <v>CH</v>
      </c>
      <c r="D2068" t="s">
        <v>2197</v>
      </c>
      <c r="E2068" t="str">
        <f t="shared" si="2090"/>
        <v>GWe/yr.</v>
      </c>
      <c r="F2068" s="1">
        <f>'[1]Electricity and CHPs_NCAP'!B$40</f>
        <v>0</v>
      </c>
      <c r="G2068" s="1">
        <f>'[1]Electricity and CHPs_NCAP'!C$40</f>
        <v>0</v>
      </c>
      <c r="H2068" s="1">
        <f>'[1]Electricity and CHPs_NCAP'!D$40</f>
        <v>0</v>
      </c>
      <c r="I2068" s="1">
        <f>'[1]Electricity and CHPs_NCAP'!E$40</f>
        <v>0</v>
      </c>
      <c r="J2068" s="1">
        <f>'[2]Electricity and CHPs_NCAP'!F$40</f>
        <v>0</v>
      </c>
      <c r="K2068" s="1">
        <f>'[2]Electricity and CHPs_NCAP'!G$40</f>
        <v>0</v>
      </c>
      <c r="L2068" s="1">
        <f>'[2]Electricity and CHPs_NCAP'!H$40</f>
        <v>0</v>
      </c>
      <c r="N2068" s="1"/>
    </row>
    <row r="2069" spans="2:14" x14ac:dyDescent="0.35">
      <c r="B2069" s="5" t="str">
        <f t="shared" si="2092"/>
        <v>SPS1</v>
      </c>
      <c r="C2069" s="5" t="str">
        <f t="shared" si="2089"/>
        <v>CH</v>
      </c>
      <c r="D2069" t="s">
        <v>2198</v>
      </c>
      <c r="E2069" t="str">
        <f t="shared" si="2090"/>
        <v>GWe/yr.</v>
      </c>
      <c r="F2069" s="1">
        <f>'[1]Electricity and CHPs_NCAP'!B$47</f>
        <v>0</v>
      </c>
      <c r="G2069" s="1">
        <f>'[1]Electricity and CHPs_NCAP'!C$47</f>
        <v>0</v>
      </c>
      <c r="H2069" s="1">
        <f>'[1]Electricity and CHPs_NCAP'!D$47</f>
        <v>0</v>
      </c>
      <c r="I2069" s="1">
        <f>'[1]Electricity and CHPs_NCAP'!E$47</f>
        <v>3.1801650507618999E-5</v>
      </c>
      <c r="J2069" s="1">
        <f>'[2]Electricity and CHPs_NCAP'!F$47</f>
        <v>7.1804498016377695E-5</v>
      </c>
      <c r="K2069" s="1">
        <f>'[2]Electricity and CHPs_NCAP'!G$47</f>
        <v>4.7267296807049702E-5</v>
      </c>
      <c r="L2069" s="1">
        <f>'[2]Electricity and CHPs_NCAP'!H$47</f>
        <v>4.56216590021196E-5</v>
      </c>
      <c r="N2069" s="1"/>
    </row>
    <row r="2070" spans="2:14" x14ac:dyDescent="0.35">
      <c r="B2070" s="5" t="str">
        <f t="shared" si="2092"/>
        <v>SPS1</v>
      </c>
      <c r="C2070" s="5" t="str">
        <f t="shared" si="2089"/>
        <v>CH</v>
      </c>
      <c r="D2070" t="s">
        <v>2199</v>
      </c>
      <c r="E2070" t="str">
        <f t="shared" si="2090"/>
        <v>GWe/yr.</v>
      </c>
      <c r="F2070" s="1">
        <f>'[1]Electricity and CHPs_NCAP'!B$48</f>
        <v>0</v>
      </c>
      <c r="G2070" s="1">
        <f>'[1]Electricity and CHPs_NCAP'!C$48</f>
        <v>3.6151709307951818E-5</v>
      </c>
      <c r="H2070" s="1">
        <f>'[1]Electricity and CHPs_NCAP'!D$48</f>
        <v>9.4368435150526997E-8</v>
      </c>
      <c r="I2070" s="1">
        <f>'[1]Electricity and CHPs_NCAP'!E$48</f>
        <v>0</v>
      </c>
      <c r="J2070" s="1">
        <f>'[2]Electricity and CHPs_NCAP'!F$48</f>
        <v>9.9070604449321594E-5</v>
      </c>
      <c r="K2070" s="1">
        <f>'[2]Electricity and CHPs_NCAP'!G$48</f>
        <v>2.8785040890898303E-5</v>
      </c>
      <c r="L2070" s="1">
        <f>'[2]Electricity and CHPs_NCAP'!H$48</f>
        <v>6.7559597773619105E-5</v>
      </c>
      <c r="N2070" s="1"/>
    </row>
    <row r="2071" spans="2:14" x14ac:dyDescent="0.35">
      <c r="B2071" s="5" t="str">
        <f t="shared" si="2092"/>
        <v>SPS1</v>
      </c>
      <c r="C2071" s="5" t="str">
        <f t="shared" si="2089"/>
        <v>CH</v>
      </c>
      <c r="D2071" t="s">
        <v>2200</v>
      </c>
      <c r="E2071" t="str">
        <f t="shared" si="2090"/>
        <v>GWe/yr.</v>
      </c>
      <c r="F2071" s="1">
        <f>'[1]Electricity and CHPs_NCAP'!B$49</f>
        <v>0</v>
      </c>
      <c r="G2071" s="1">
        <f>'[1]Electricity and CHPs_NCAP'!C$49</f>
        <v>0</v>
      </c>
      <c r="H2071" s="1">
        <f>'[1]Electricity and CHPs_NCAP'!D$49</f>
        <v>0</v>
      </c>
      <c r="I2071" s="1">
        <f>'[1]Electricity and CHPs_NCAP'!E$49</f>
        <v>7.701321675011561E-7</v>
      </c>
      <c r="J2071" s="1">
        <f>'[2]Electricity and CHPs_NCAP'!F$49</f>
        <v>3.8930813653640599E-5</v>
      </c>
      <c r="K2071" s="1">
        <f>'[2]Electricity and CHPs_NCAP'!G$49</f>
        <v>5.3383118772078801E-7</v>
      </c>
      <c r="L2071" s="1">
        <f>'[2]Electricity and CHPs_NCAP'!H$49</f>
        <v>2.0441774606177299E-5</v>
      </c>
      <c r="N2071" s="1"/>
    </row>
    <row r="2072" spans="2:14" x14ac:dyDescent="0.35">
      <c r="B2072" s="5" t="str">
        <f t="shared" si="2092"/>
        <v>SPS1</v>
      </c>
      <c r="C2072" s="5" t="str">
        <f t="shared" si="2089"/>
        <v>CH</v>
      </c>
      <c r="D2072" t="s">
        <v>2201</v>
      </c>
      <c r="E2072" t="str">
        <f t="shared" si="2090"/>
        <v>GWe/yr.</v>
      </c>
      <c r="F2072" s="1">
        <f>'[1]Electricity and CHPs_NCAP'!B$51</f>
        <v>0</v>
      </c>
      <c r="G2072" s="1">
        <f>'[1]Electricity and CHPs_NCAP'!C$51</f>
        <v>1.04636750250073E-4</v>
      </c>
      <c r="H2072" s="1">
        <f>'[1]Electricity and CHPs_NCAP'!D$51</f>
        <v>4.2282536963265729E-7</v>
      </c>
      <c r="I2072" s="1">
        <f>'[1]Electricity and CHPs_NCAP'!E$51</f>
        <v>3.45164196397029E-8</v>
      </c>
      <c r="J2072" s="1">
        <f>'[2]Electricity and CHPs_NCAP'!F$51</f>
        <v>1.042117483330224E-2</v>
      </c>
      <c r="K2072" s="1">
        <f>'[2]Electricity and CHPs_NCAP'!G$51</f>
        <v>0.19968828109273709</v>
      </c>
      <c r="L2072" s="1">
        <f>'[2]Electricity and CHPs_NCAP'!H$51</f>
        <v>7.2526887182804797E-6</v>
      </c>
      <c r="N2072" s="1"/>
    </row>
    <row r="2073" spans="2:14" x14ac:dyDescent="0.35">
      <c r="B2073" s="5" t="str">
        <f t="shared" si="2092"/>
        <v>SPS1</v>
      </c>
      <c r="C2073" s="5" t="str">
        <f t="shared" si="2089"/>
        <v>CH</v>
      </c>
      <c r="D2073" t="s">
        <v>2202</v>
      </c>
      <c r="E2073" t="str">
        <f t="shared" si="2090"/>
        <v>GWe/yr.</v>
      </c>
      <c r="F2073" s="1">
        <f>'[1]Electricity and CHPs_NCAP'!B$52</f>
        <v>0</v>
      </c>
      <c r="G2073" s="1">
        <f>'[1]Electricity and CHPs_NCAP'!C$52</f>
        <v>0</v>
      </c>
      <c r="H2073" s="1">
        <f>'[1]Electricity and CHPs_NCAP'!D$52</f>
        <v>0</v>
      </c>
      <c r="I2073" s="1">
        <f>'[1]Electricity and CHPs_NCAP'!E$52</f>
        <v>2.7153873415405197E-6</v>
      </c>
      <c r="J2073" s="1">
        <f>'[2]Electricity and CHPs_NCAP'!F$52</f>
        <v>2.5707364980805103E-4</v>
      </c>
      <c r="K2073" s="1">
        <f>'[2]Electricity and CHPs_NCAP'!G$52</f>
        <v>1.453987236519976E-4</v>
      </c>
      <c r="L2073" s="1">
        <f>'[2]Electricity and CHPs_NCAP'!H$52</f>
        <v>0.1171114662178967</v>
      </c>
      <c r="N2073" s="1"/>
    </row>
    <row r="2074" spans="2:14" x14ac:dyDescent="0.35">
      <c r="B2074" s="5" t="str">
        <f t="shared" si="2092"/>
        <v>SPS1</v>
      </c>
      <c r="C2074" s="5" t="str">
        <f t="shared" si="2089"/>
        <v>CH</v>
      </c>
      <c r="D2074" t="s">
        <v>2203</v>
      </c>
      <c r="E2074" t="str">
        <f t="shared" si="2090"/>
        <v>GWe/yr.</v>
      </c>
      <c r="F2074" s="1">
        <f>'[1]Electricity and CHPs_NCAP'!B$54</f>
        <v>0</v>
      </c>
      <c r="G2074" s="1">
        <f>'[1]Electricity and CHPs_NCAP'!C$54</f>
        <v>2.6187181431673302E-2</v>
      </c>
      <c r="H2074" s="1">
        <f>'[1]Electricity and CHPs_NCAP'!D$54</f>
        <v>6.5661032912017201E-3</v>
      </c>
      <c r="I2074" s="1">
        <f>'[1]Electricity and CHPs_NCAP'!E$54</f>
        <v>1.22210139226939E-2</v>
      </c>
      <c r="J2074" s="1">
        <f>'[2]Electricity and CHPs_NCAP'!F$54</f>
        <v>4.4082381529360497E-2</v>
      </c>
      <c r="K2074" s="1">
        <f>'[2]Electricity and CHPs_NCAP'!G$54</f>
        <v>3.1153235198179099E-2</v>
      </c>
      <c r="L2074" s="1">
        <f>'[2]Electricity and CHPs_NCAP'!H$54</f>
        <v>4.34905110321092E-2</v>
      </c>
      <c r="N2074" s="1"/>
    </row>
    <row r="2075" spans="2:14" x14ac:dyDescent="0.35">
      <c r="B2075" s="5" t="str">
        <f t="shared" si="2092"/>
        <v>SPS1</v>
      </c>
      <c r="C2075" s="5" t="str">
        <f t="shared" si="2089"/>
        <v>CH</v>
      </c>
      <c r="D2075" t="s">
        <v>2204</v>
      </c>
      <c r="E2075" t="str">
        <f t="shared" si="2090"/>
        <v>GWe/yr.</v>
      </c>
      <c r="F2075" s="1">
        <f>'[1]Electricity and CHPs_NCAP'!B$55</f>
        <v>0</v>
      </c>
      <c r="G2075" s="1">
        <f>'[1]Electricity and CHPs_NCAP'!C$55</f>
        <v>2.7170740878326799E-2</v>
      </c>
      <c r="H2075" s="1">
        <f>'[1]Electricity and CHPs_NCAP'!D$55</f>
        <v>1.33784884002385E-8</v>
      </c>
      <c r="I2075" s="1">
        <f>'[1]Electricity and CHPs_NCAP'!E$55</f>
        <v>2.1006864876620199E-8</v>
      </c>
      <c r="J2075" s="1">
        <f>'[2]Electricity and CHPs_NCAP'!F$55</f>
        <v>0.29568141675354898</v>
      </c>
      <c r="K2075" s="1">
        <f>'[2]Electricity and CHPs_NCAP'!G$55</f>
        <v>2.1576055265311301E-6</v>
      </c>
      <c r="L2075" s="1">
        <f>'[2]Electricity and CHPs_NCAP'!H$55</f>
        <v>1.03465720094751E-7</v>
      </c>
      <c r="N2075" s="1"/>
    </row>
    <row r="2076" spans="2:14" x14ac:dyDescent="0.35">
      <c r="B2076" s="5" t="str">
        <f t="shared" si="2092"/>
        <v>SPS1</v>
      </c>
      <c r="C2076" s="5" t="str">
        <f t="shared" si="2089"/>
        <v>CH</v>
      </c>
      <c r="D2076" t="s">
        <v>2205</v>
      </c>
      <c r="E2076" t="str">
        <f t="shared" si="2090"/>
        <v>GWe/yr.</v>
      </c>
      <c r="F2076" s="1">
        <f>'[1]Electricity and CHPs_NCAP'!B$58</f>
        <v>0</v>
      </c>
      <c r="G2076" s="1">
        <f>'[1]Electricity and CHPs_NCAP'!C$58</f>
        <v>0</v>
      </c>
      <c r="H2076" s="1">
        <f>'[1]Electricity and CHPs_NCAP'!D$58</f>
        <v>0</v>
      </c>
      <c r="I2076" s="1">
        <f>'[1]Electricity and CHPs_NCAP'!E$58</f>
        <v>1.37250391558667E-6</v>
      </c>
      <c r="J2076" s="1">
        <f>'[2]Electricity and CHPs_NCAP'!F$58</f>
        <v>6.9070241204306705E-5</v>
      </c>
      <c r="K2076" s="1">
        <f>'[2]Electricity and CHPs_NCAP'!G$58</f>
        <v>2.9880313230379698E-4</v>
      </c>
      <c r="L2076" s="1">
        <f>'[2]Electricity and CHPs_NCAP'!H$58</f>
        <v>0.43626898229385802</v>
      </c>
      <c r="N2076" s="1"/>
    </row>
    <row r="2077" spans="2:14" x14ac:dyDescent="0.35">
      <c r="B2077" s="5" t="str">
        <f t="shared" si="2092"/>
        <v>SPS1</v>
      </c>
      <c r="C2077" s="5" t="str">
        <f t="shared" si="2089"/>
        <v>CH</v>
      </c>
      <c r="D2077" t="s">
        <v>2206</v>
      </c>
      <c r="E2077" t="str">
        <f t="shared" si="2090"/>
        <v>GWe/yr.</v>
      </c>
      <c r="F2077" s="1">
        <f t="shared" ref="F2077:K2077" si="2099">SUM(F2078:F2083)</f>
        <v>0</v>
      </c>
      <c r="G2077" s="1">
        <f t="shared" si="2099"/>
        <v>8.5005546860355394E-8</v>
      </c>
      <c r="H2077" s="1">
        <f t="shared" si="2099"/>
        <v>1.328735756290632E-7</v>
      </c>
      <c r="I2077" s="1">
        <f t="shared" si="2099"/>
        <v>5.4108079359334364E-2</v>
      </c>
      <c r="J2077" s="1">
        <f t="shared" si="2099"/>
        <v>0.11014054965071844</v>
      </c>
      <c r="K2077" s="1">
        <f t="shared" si="2099"/>
        <v>7.4120755927235715E-2</v>
      </c>
      <c r="L2077" s="1">
        <f t="shared" ref="L2077" si="2100">SUM(L2078:L2083)</f>
        <v>0.12215983162729711</v>
      </c>
      <c r="N2077" s="1"/>
    </row>
    <row r="2078" spans="2:14" x14ac:dyDescent="0.35">
      <c r="B2078" s="5" t="str">
        <f t="shared" si="2092"/>
        <v>SPS1</v>
      </c>
      <c r="C2078" s="5" t="str">
        <f t="shared" si="2089"/>
        <v>CH</v>
      </c>
      <c r="D2078" t="s">
        <v>2207</v>
      </c>
      <c r="E2078" t="str">
        <f t="shared" si="2090"/>
        <v>GWe/yr.</v>
      </c>
      <c r="F2078" s="1">
        <f>'[1]Electricity and CHPs_NCAP'!B$19</f>
        <v>0</v>
      </c>
      <c r="G2078" s="1">
        <f>'[1]Electricity and CHPs_NCAP'!C$19</f>
        <v>4.1905992957292102E-8</v>
      </c>
      <c r="H2078" s="1">
        <f>'[1]Electricity and CHPs_NCAP'!D$19</f>
        <v>9.4402605497841098E-8</v>
      </c>
      <c r="I2078" s="1">
        <f>'[1]Electricity and CHPs_NCAP'!E$19</f>
        <v>5.4107989895066502E-2</v>
      </c>
      <c r="J2078" s="1">
        <f>'[2]Electricity and CHPs_NCAP'!F$19</f>
        <v>0.10448042309530001</v>
      </c>
      <c r="K2078" s="1">
        <f>'[2]Electricity and CHPs_NCAP'!G$19</f>
        <v>5.4512087389017201E-2</v>
      </c>
      <c r="L2078" s="1">
        <f>'[2]Electricity and CHPs_NCAP'!H$19</f>
        <v>9.3702424594078002E-2</v>
      </c>
      <c r="N2078" s="1"/>
    </row>
    <row r="2079" spans="2:14" x14ac:dyDescent="0.35">
      <c r="B2079" s="5" t="str">
        <f t="shared" si="2092"/>
        <v>SPS1</v>
      </c>
      <c r="C2079" s="5" t="str">
        <f t="shared" si="2089"/>
        <v>CH</v>
      </c>
      <c r="D2079" t="s">
        <v>2208</v>
      </c>
      <c r="E2079" t="str">
        <f t="shared" si="2090"/>
        <v>GWe/yr.</v>
      </c>
      <c r="F2079" s="1">
        <f>'[1]Electricity and CHPs_NCAP'!B$20</f>
        <v>0</v>
      </c>
      <c r="G2079" s="1">
        <f>'[1]Electricity and CHPs_NCAP'!C$20</f>
        <v>0</v>
      </c>
      <c r="H2079" s="1">
        <f>'[1]Electricity and CHPs_NCAP'!D$20</f>
        <v>0</v>
      </c>
      <c r="I2079" s="1">
        <f>'[1]Electricity and CHPs_NCAP'!E$20</f>
        <v>0</v>
      </c>
      <c r="J2079" s="1">
        <f>'[2]Electricity and CHPs_NCAP'!F$20</f>
        <v>0</v>
      </c>
      <c r="K2079" s="1">
        <f>'[2]Electricity and CHPs_NCAP'!G$20</f>
        <v>0</v>
      </c>
      <c r="L2079" s="1">
        <f>'[2]Electricity and CHPs_NCAP'!H$20</f>
        <v>0</v>
      </c>
      <c r="N2079" s="1"/>
    </row>
    <row r="2080" spans="2:14" x14ac:dyDescent="0.35">
      <c r="B2080" s="5" t="str">
        <f t="shared" si="2092"/>
        <v>SPS1</v>
      </c>
      <c r="C2080" s="5" t="str">
        <f t="shared" si="2089"/>
        <v>CH</v>
      </c>
      <c r="D2080" t="s">
        <v>2209</v>
      </c>
      <c r="E2080" t="str">
        <f t="shared" si="2090"/>
        <v>GWe/yr.</v>
      </c>
      <c r="F2080" s="1">
        <f>'[1]Electricity and CHPs_NCAP'!B$26</f>
        <v>0</v>
      </c>
      <c r="G2080" s="1">
        <f>'[1]Electricity and CHPs_NCAP'!C$26</f>
        <v>2.6400649049387E-8</v>
      </c>
      <c r="H2080" s="1">
        <f>'[1]Electricity and CHPs_NCAP'!D$26</f>
        <v>2.63322594213968E-8</v>
      </c>
      <c r="I2080" s="1">
        <f>'[1]Electricity and CHPs_NCAP'!E$26</f>
        <v>6.5415622175895802E-8</v>
      </c>
      <c r="J2080" s="1">
        <f>'[2]Electricity and CHPs_NCAP'!F$26</f>
        <v>5.6598175995063397E-3</v>
      </c>
      <c r="K2080" s="1">
        <f>'[2]Electricity and CHPs_NCAP'!G$26</f>
        <v>1.96085801139122E-2</v>
      </c>
      <c r="L2080" s="1">
        <f>'[2]Electricity and CHPs_NCAP'!H$26</f>
        <v>2.84573075498471E-2</v>
      </c>
      <c r="N2080" s="1"/>
    </row>
    <row r="2081" spans="2:14" x14ac:dyDescent="0.35">
      <c r="B2081" s="5" t="str">
        <f t="shared" si="2092"/>
        <v>SPS1</v>
      </c>
      <c r="C2081" s="5" t="str">
        <f t="shared" si="2089"/>
        <v>CH</v>
      </c>
      <c r="D2081" t="s">
        <v>2210</v>
      </c>
      <c r="E2081" t="str">
        <f t="shared" si="2090"/>
        <v>GWe/yr.</v>
      </c>
      <c r="F2081" s="1">
        <f>'[1]Electricity and CHPs_NCAP'!B$27</f>
        <v>0</v>
      </c>
      <c r="G2081" s="1">
        <f>'[1]Electricity and CHPs_NCAP'!C$27</f>
        <v>0</v>
      </c>
      <c r="H2081" s="1">
        <f>'[1]Electricity and CHPs_NCAP'!D$27</f>
        <v>0</v>
      </c>
      <c r="I2081" s="1">
        <f>'[1]Electricity and CHPs_NCAP'!E$27</f>
        <v>0</v>
      </c>
      <c r="J2081" s="1">
        <f>'[2]Electricity and CHPs_NCAP'!F$27</f>
        <v>0</v>
      </c>
      <c r="K2081" s="1">
        <f>'[2]Electricity and CHPs_NCAP'!G$27</f>
        <v>0</v>
      </c>
      <c r="L2081" s="1">
        <f>'[2]Electricity and CHPs_NCAP'!H$27</f>
        <v>0</v>
      </c>
      <c r="N2081" s="1"/>
    </row>
    <row r="2082" spans="2:14" x14ac:dyDescent="0.35">
      <c r="B2082" s="5" t="str">
        <f t="shared" si="2092"/>
        <v>SPS1</v>
      </c>
      <c r="C2082" s="5" t="str">
        <f t="shared" si="2089"/>
        <v>CH</v>
      </c>
      <c r="D2082" t="s">
        <v>2211</v>
      </c>
      <c r="E2082" t="str">
        <f t="shared" si="2090"/>
        <v>GWe/yr.</v>
      </c>
      <c r="F2082" s="1">
        <f>'[1]Electricity and CHPs_NCAP'!B$44</f>
        <v>0</v>
      </c>
      <c r="G2082" s="1">
        <f>'[1]Electricity and CHPs_NCAP'!C$44</f>
        <v>1.6698904853676301E-8</v>
      </c>
      <c r="H2082" s="1">
        <f>'[1]Electricity and CHPs_NCAP'!D$44</f>
        <v>1.21387107098253E-8</v>
      </c>
      <c r="I2082" s="1">
        <f>'[1]Electricity and CHPs_NCAP'!E$44</f>
        <v>2.4048645689022301E-8</v>
      </c>
      <c r="J2082" s="1">
        <f>'[2]Electricity and CHPs_NCAP'!F$44</f>
        <v>3.08955912094925E-7</v>
      </c>
      <c r="K2082" s="1">
        <f>'[2]Electricity and CHPs_NCAP'!G$44</f>
        <v>8.8424306323614506E-8</v>
      </c>
      <c r="L2082" s="1">
        <f>'[2]Electricity and CHPs_NCAP'!H$44</f>
        <v>9.9483372010952604E-8</v>
      </c>
      <c r="N2082" s="1"/>
    </row>
    <row r="2083" spans="2:14" x14ac:dyDescent="0.35">
      <c r="B2083" s="5" t="str">
        <f t="shared" si="2092"/>
        <v>SPS1</v>
      </c>
      <c r="C2083" s="5" t="str">
        <f t="shared" si="2089"/>
        <v>CH</v>
      </c>
      <c r="D2083" t="s">
        <v>2212</v>
      </c>
      <c r="E2083" t="str">
        <f t="shared" ref="E2083:E2113" si="2101">E2082</f>
        <v>GWe/yr.</v>
      </c>
      <c r="F2083" s="1">
        <f>'[1]Electricity and CHPs_NCAP'!B$45</f>
        <v>0</v>
      </c>
      <c r="G2083" s="1">
        <f>'[1]Electricity and CHPs_NCAP'!C$45</f>
        <v>0</v>
      </c>
      <c r="H2083" s="1">
        <f>'[1]Electricity and CHPs_NCAP'!D$45</f>
        <v>0</v>
      </c>
      <c r="I2083" s="1">
        <f>'[1]Electricity and CHPs_NCAP'!E$45</f>
        <v>0</v>
      </c>
      <c r="J2083" s="1">
        <f>'[2]Electricity and CHPs_NCAP'!F$45</f>
        <v>0</v>
      </c>
      <c r="K2083" s="1">
        <f>'[2]Electricity and CHPs_NCAP'!G$45</f>
        <v>0</v>
      </c>
      <c r="L2083" s="1">
        <f>'[2]Electricity and CHPs_NCAP'!H$45</f>
        <v>0</v>
      </c>
      <c r="N2083" s="1"/>
    </row>
    <row r="2084" spans="2:14" x14ac:dyDescent="0.35">
      <c r="B2084" s="5" t="str">
        <f t="shared" si="2092"/>
        <v>SPS1</v>
      </c>
      <c r="C2084" s="5" t="str">
        <f t="shared" si="2089"/>
        <v>CH</v>
      </c>
      <c r="D2084" t="s">
        <v>2213</v>
      </c>
      <c r="E2084" t="str">
        <f t="shared" si="2101"/>
        <v>GWe/yr.</v>
      </c>
      <c r="F2084" s="1">
        <f t="shared" ref="F2084:K2084" si="2102">SUM(F2085:F2091)</f>
        <v>0</v>
      </c>
      <c r="G2084" s="1">
        <f t="shared" si="2102"/>
        <v>1.527223414355908E-2</v>
      </c>
      <c r="H2084" s="1">
        <f t="shared" si="2102"/>
        <v>2.9494184779964631E-2</v>
      </c>
      <c r="I2084" s="1">
        <f t="shared" si="2102"/>
        <v>4.9942890613909677E-2</v>
      </c>
      <c r="J2084" s="1">
        <f t="shared" si="2102"/>
        <v>3.3546256485506382E-2</v>
      </c>
      <c r="K2084" s="1">
        <f t="shared" si="2102"/>
        <v>9.2998785598526659E-2</v>
      </c>
      <c r="L2084" s="1">
        <f t="shared" ref="L2084" si="2103">SUM(L2085:L2091)</f>
        <v>0.13445172654888035</v>
      </c>
      <c r="N2084" s="1"/>
    </row>
    <row r="2085" spans="2:14" x14ac:dyDescent="0.35">
      <c r="B2085" s="5" t="str">
        <f t="shared" si="2092"/>
        <v>SPS1</v>
      </c>
      <c r="C2085" s="5" t="str">
        <f t="shared" si="2089"/>
        <v>CH</v>
      </c>
      <c r="D2085" t="s">
        <v>2214</v>
      </c>
      <c r="E2085" t="str">
        <f t="shared" si="2101"/>
        <v>GWe/yr.</v>
      </c>
      <c r="F2085" s="1">
        <f>'[1]Electricity and CHPs_NCAP'!B$25</f>
        <v>0</v>
      </c>
      <c r="G2085" s="1">
        <f>'[1]Electricity and CHPs_NCAP'!C$25</f>
        <v>3.53339480790937E-8</v>
      </c>
      <c r="H2085" s="1">
        <f>'[1]Electricity and CHPs_NCAP'!D$25</f>
        <v>3.0943961463134699E-7</v>
      </c>
      <c r="I2085" s="1">
        <f>'[1]Electricity and CHPs_NCAP'!E$25</f>
        <v>3.70711202822653E-2</v>
      </c>
      <c r="J2085" s="1">
        <f>'[2]Electricity and CHPs_NCAP'!F$25</f>
        <v>6.5327338420834504E-6</v>
      </c>
      <c r="K2085" s="1">
        <f>'[2]Electricity and CHPs_NCAP'!G$25</f>
        <v>5.0365074371520298E-3</v>
      </c>
      <c r="L2085" s="1">
        <f>'[2]Electricity and CHPs_NCAP'!H$25</f>
        <v>6.7366669658162903E-2</v>
      </c>
      <c r="N2085" s="1"/>
    </row>
    <row r="2086" spans="2:14" x14ac:dyDescent="0.35">
      <c r="B2086" s="5" t="str">
        <f t="shared" si="2092"/>
        <v>SPS1</v>
      </c>
      <c r="C2086" s="5" t="str">
        <f t="shared" si="2089"/>
        <v>CH</v>
      </c>
      <c r="D2086" t="s">
        <v>2215</v>
      </c>
      <c r="E2086" t="str">
        <f t="shared" si="2101"/>
        <v>GWe/yr.</v>
      </c>
      <c r="F2086" s="1">
        <f>'[1]Electricity and CHPs_NCAP'!B$31</f>
        <v>0</v>
      </c>
      <c r="G2086" s="1">
        <f>'[1]Electricity and CHPs_NCAP'!C$31</f>
        <v>0</v>
      </c>
      <c r="H2086" s="1">
        <f>'[1]Electricity and CHPs_NCAP'!D$31</f>
        <v>0</v>
      </c>
      <c r="I2086" s="1">
        <f>'[1]Electricity and CHPs_NCAP'!E$31</f>
        <v>0</v>
      </c>
      <c r="J2086" s="1">
        <f>'[2]Electricity and CHPs_NCAP'!F$31</f>
        <v>0</v>
      </c>
      <c r="K2086" s="1">
        <f>'[2]Electricity and CHPs_NCAP'!G$31</f>
        <v>0</v>
      </c>
      <c r="L2086" s="1">
        <f>'[2]Electricity and CHPs_NCAP'!H$31</f>
        <v>0</v>
      </c>
      <c r="N2086" s="1"/>
    </row>
    <row r="2087" spans="2:14" x14ac:dyDescent="0.35">
      <c r="B2087" s="5" t="str">
        <f t="shared" si="2092"/>
        <v>SPS1</v>
      </c>
      <c r="C2087" s="5" t="str">
        <f t="shared" si="2089"/>
        <v>CH</v>
      </c>
      <c r="D2087" t="s">
        <v>2216</v>
      </c>
      <c r="E2087" t="str">
        <f t="shared" si="2101"/>
        <v>GWe/yr.</v>
      </c>
      <c r="F2087" s="1">
        <f>'[1]Electricity and CHPs_NCAP'!B$42</f>
        <v>0</v>
      </c>
      <c r="G2087" s="1">
        <f>'[1]Electricity and CHPs_NCAP'!C$42</f>
        <v>1.5272198809611E-2</v>
      </c>
      <c r="H2087" s="1">
        <f>'[1]Electricity and CHPs_NCAP'!D$42</f>
        <v>2.9493875340350001E-2</v>
      </c>
      <c r="I2087" s="1">
        <f>'[1]Electricity and CHPs_NCAP'!E$42</f>
        <v>1.28633152077642E-2</v>
      </c>
      <c r="J2087" s="1">
        <f>'[2]Electricity and CHPs_NCAP'!F$42</f>
        <v>3.34126412177344E-2</v>
      </c>
      <c r="K2087" s="1">
        <f>'[2]Electricity and CHPs_NCAP'!G$42</f>
        <v>8.7958956693527698E-2</v>
      </c>
      <c r="L2087" s="1">
        <f>'[2]Electricity and CHPs_NCAP'!H$42</f>
        <v>6.6968554666819599E-2</v>
      </c>
      <c r="N2087" s="1"/>
    </row>
    <row r="2088" spans="2:14" x14ac:dyDescent="0.35">
      <c r="B2088" s="5" t="str">
        <f t="shared" si="2092"/>
        <v>SPS1</v>
      </c>
      <c r="C2088" s="5" t="str">
        <f t="shared" si="2089"/>
        <v>CH</v>
      </c>
      <c r="D2088" t="s">
        <v>2217</v>
      </c>
      <c r="E2088" t="str">
        <f t="shared" si="2101"/>
        <v>GWe/yr.</v>
      </c>
      <c r="F2088" s="1">
        <f>'[1]Electricity and CHPs_NCAP'!B$43</f>
        <v>0</v>
      </c>
      <c r="G2088" s="1">
        <f>'[1]Electricity and CHPs_NCAP'!C$43</f>
        <v>0</v>
      </c>
      <c r="H2088" s="1">
        <f>'[1]Electricity and CHPs_NCAP'!D$43</f>
        <v>0</v>
      </c>
      <c r="I2088" s="1">
        <f>'[1]Electricity and CHPs_NCAP'!E$43</f>
        <v>0</v>
      </c>
      <c r="J2088" s="1">
        <f>'[2]Electricity and CHPs_NCAP'!F$43</f>
        <v>0</v>
      </c>
      <c r="K2088" s="1">
        <f>'[2]Electricity and CHPs_NCAP'!G$43</f>
        <v>0</v>
      </c>
      <c r="L2088" s="1">
        <f>'[2]Electricity and CHPs_NCAP'!H$43</f>
        <v>0</v>
      </c>
      <c r="N2088" s="1"/>
    </row>
    <row r="2089" spans="2:14" x14ac:dyDescent="0.35">
      <c r="B2089" s="5" t="str">
        <f t="shared" si="2092"/>
        <v>SPS1</v>
      </c>
      <c r="C2089" s="5" t="str">
        <f t="shared" si="2089"/>
        <v>CH</v>
      </c>
      <c r="D2089" t="s">
        <v>2218</v>
      </c>
      <c r="E2089" t="str">
        <f t="shared" si="2101"/>
        <v>GWe/yr.</v>
      </c>
      <c r="F2089" s="1">
        <f>'[1]Electricity and CHPs_NCAP'!B$50</f>
        <v>0</v>
      </c>
      <c r="G2089" s="1">
        <f>'[1]Electricity and CHPs_NCAP'!C$50</f>
        <v>0</v>
      </c>
      <c r="H2089" s="1">
        <f>'[1]Electricity and CHPs_NCAP'!D$50</f>
        <v>0</v>
      </c>
      <c r="I2089" s="1">
        <f>'[1]Electricity and CHPs_NCAP'!E$50</f>
        <v>1.796585766999992E-6</v>
      </c>
      <c r="J2089" s="1">
        <f>'[2]Electricity and CHPs_NCAP'!F$50</f>
        <v>3.6934216082742203E-5</v>
      </c>
      <c r="K2089" s="1">
        <f>'[2]Electricity and CHPs_NCAP'!G$50</f>
        <v>6.8655596906146502E-7</v>
      </c>
      <c r="L2089" s="1">
        <f>'[2]Electricity and CHPs_NCAP'!H$50</f>
        <v>3.5343966665356597E-5</v>
      </c>
      <c r="N2089" s="1"/>
    </row>
    <row r="2090" spans="2:14" x14ac:dyDescent="0.35">
      <c r="B2090" s="5" t="str">
        <f t="shared" si="2092"/>
        <v>SPS1</v>
      </c>
      <c r="C2090" s="5" t="str">
        <f t="shared" si="2089"/>
        <v>CH</v>
      </c>
      <c r="D2090" t="s">
        <v>2219</v>
      </c>
      <c r="E2090" t="str">
        <f t="shared" si="2101"/>
        <v>GWe/yr.</v>
      </c>
      <c r="F2090" s="1">
        <f>'[1]Electricity and CHPs_NCAP'!B$53</f>
        <v>0</v>
      </c>
      <c r="G2090" s="1">
        <f>'[1]Electricity and CHPs_NCAP'!C$53</f>
        <v>0</v>
      </c>
      <c r="H2090" s="1">
        <f>'[1]Electricity and CHPs_NCAP'!D$53</f>
        <v>0</v>
      </c>
      <c r="I2090" s="1">
        <f>'[1]Electricity and CHPs_NCAP'!E$53</f>
        <v>3.22523526235424E-6</v>
      </c>
      <c r="J2090" s="1">
        <f>'[2]Electricity and CHPs_NCAP'!F$53</f>
        <v>5.2980110573819602E-5</v>
      </c>
      <c r="K2090" s="1">
        <f>'[2]Electricity and CHPs_NCAP'!G$53</f>
        <v>1.4024824632261171E-6</v>
      </c>
      <c r="L2090" s="1">
        <f>'[2]Electricity and CHPs_NCAP'!H$53</f>
        <v>5.6730824779455596E-5</v>
      </c>
      <c r="N2090" s="1"/>
    </row>
    <row r="2091" spans="2:14" x14ac:dyDescent="0.35">
      <c r="B2091" s="5" t="str">
        <f t="shared" si="2092"/>
        <v>SPS1</v>
      </c>
      <c r="C2091" s="5" t="str">
        <f t="shared" si="2089"/>
        <v>CH</v>
      </c>
      <c r="D2091" t="s">
        <v>2220</v>
      </c>
      <c r="E2091" t="str">
        <f t="shared" si="2101"/>
        <v>GWe/yr.</v>
      </c>
      <c r="F2091" s="1">
        <f>'[1]Electricity and CHPs_NCAP'!B$56</f>
        <v>0</v>
      </c>
      <c r="G2091" s="1">
        <f>'[1]Electricity and CHPs_NCAP'!C$56</f>
        <v>0</v>
      </c>
      <c r="H2091" s="1">
        <f>'[1]Electricity and CHPs_NCAP'!D$56</f>
        <v>0</v>
      </c>
      <c r="I2091" s="1">
        <f>'[1]Electricity and CHPs_NCAP'!E$56</f>
        <v>3.4333028508195999E-6</v>
      </c>
      <c r="J2091" s="1">
        <f>'[2]Electricity and CHPs_NCAP'!F$56</f>
        <v>3.7168207273334503E-5</v>
      </c>
      <c r="K2091" s="1">
        <f>'[2]Electricity and CHPs_NCAP'!G$56</f>
        <v>1.23242941464941E-6</v>
      </c>
      <c r="L2091" s="1">
        <f>'[2]Electricity and CHPs_NCAP'!H$56</f>
        <v>2.4427432453035399E-5</v>
      </c>
      <c r="N2091" s="1"/>
    </row>
    <row r="2092" spans="2:14" x14ac:dyDescent="0.35">
      <c r="B2092" s="5" t="str">
        <f t="shared" si="2092"/>
        <v>SPS1</v>
      </c>
      <c r="C2092" s="5" t="str">
        <f t="shared" si="2089"/>
        <v>CH</v>
      </c>
      <c r="D2092" t="s">
        <v>2221</v>
      </c>
      <c r="E2092" t="str">
        <f t="shared" si="2101"/>
        <v>GWe/yr.</v>
      </c>
      <c r="F2092" s="1">
        <f t="shared" ref="F2092:L2092" si="2104">F2093</f>
        <v>0</v>
      </c>
      <c r="G2092" s="1">
        <f t="shared" si="2104"/>
        <v>7.1321272539257904E-3</v>
      </c>
      <c r="H2092" s="1">
        <f t="shared" si="2104"/>
        <v>0.402134121651257</v>
      </c>
      <c r="I2092" s="1">
        <f t="shared" si="2104"/>
        <v>2.75956300363124E-5</v>
      </c>
      <c r="J2092" s="1">
        <f t="shared" si="2104"/>
        <v>2.2849496529740099E-2</v>
      </c>
      <c r="K2092" s="1">
        <f t="shared" si="2104"/>
        <v>2.3717853605606398E-6</v>
      </c>
      <c r="L2092" s="1">
        <f t="shared" si="2104"/>
        <v>0.136001237826432</v>
      </c>
      <c r="N2092" s="1"/>
    </row>
    <row r="2093" spans="2:14" x14ac:dyDescent="0.35">
      <c r="B2093" s="5" t="str">
        <f t="shared" si="2092"/>
        <v>SPS1</v>
      </c>
      <c r="C2093" s="5" t="str">
        <f t="shared" si="2089"/>
        <v>CH</v>
      </c>
      <c r="D2093" t="s">
        <v>2222</v>
      </c>
      <c r="E2093" t="str">
        <f t="shared" si="2101"/>
        <v>GWe/yr.</v>
      </c>
      <c r="F2093" s="1">
        <f>'[1]Electricity and CHPs_NCAP'!B$33</f>
        <v>0</v>
      </c>
      <c r="G2093" s="1">
        <f>'[1]Electricity and CHPs_NCAP'!C$33</f>
        <v>7.1321272539257904E-3</v>
      </c>
      <c r="H2093" s="1">
        <f>'[1]Electricity and CHPs_NCAP'!D$33</f>
        <v>0.402134121651257</v>
      </c>
      <c r="I2093" s="1">
        <f>'[1]Electricity and CHPs_NCAP'!E$33</f>
        <v>2.75956300363124E-5</v>
      </c>
      <c r="J2093" s="1">
        <f>'[2]Electricity and CHPs_NCAP'!F$33</f>
        <v>2.2849496529740099E-2</v>
      </c>
      <c r="K2093" s="1">
        <f>'[2]Electricity and CHPs_NCAP'!G$33</f>
        <v>2.3717853605606398E-6</v>
      </c>
      <c r="L2093" s="1">
        <f>'[2]Electricity and CHPs_NCAP'!H$33</f>
        <v>0.136001237826432</v>
      </c>
      <c r="N2093" s="1"/>
    </row>
    <row r="2094" spans="2:14" x14ac:dyDescent="0.35">
      <c r="B2094" s="5" t="str">
        <f t="shared" si="2092"/>
        <v>SPS1</v>
      </c>
      <c r="C2094" s="5" t="str">
        <f t="shared" si="2089"/>
        <v>CH</v>
      </c>
      <c r="D2094" t="s">
        <v>2223</v>
      </c>
      <c r="E2094" t="str">
        <f t="shared" si="2101"/>
        <v>GWe/yr.</v>
      </c>
      <c r="F2094" s="1">
        <f t="shared" ref="F2094:K2094" si="2105">SUM(F2095:F2099)</f>
        <v>0</v>
      </c>
      <c r="G2094" s="1">
        <f t="shared" si="2105"/>
        <v>8.669471074306031E-6</v>
      </c>
      <c r="H2094" s="1">
        <f t="shared" si="2105"/>
        <v>4.5239070022416445</v>
      </c>
      <c r="I2094" s="1">
        <f t="shared" si="2105"/>
        <v>2.1461156711181175</v>
      </c>
      <c r="J2094" s="1">
        <f t="shared" si="2105"/>
        <v>1.8671411797682267</v>
      </c>
      <c r="K2094" s="1">
        <f t="shared" si="2105"/>
        <v>4.6747336228300336</v>
      </c>
      <c r="L2094" s="1">
        <f t="shared" ref="L2094" si="2106">SUM(L2095:L2099)</f>
        <v>12.46768510180112</v>
      </c>
      <c r="N2094" s="1"/>
    </row>
    <row r="2095" spans="2:14" x14ac:dyDescent="0.35">
      <c r="B2095" s="5" t="str">
        <f t="shared" si="2092"/>
        <v>SPS1</v>
      </c>
      <c r="C2095" s="5" t="str">
        <f t="shared" si="2089"/>
        <v>CH</v>
      </c>
      <c r="D2095" t="s">
        <v>2224</v>
      </c>
      <c r="E2095" t="str">
        <f t="shared" si="2101"/>
        <v>GWe/yr.</v>
      </c>
      <c r="F2095" s="1">
        <f>'[1]Electricity and CHPs_NCAP'!B$34</f>
        <v>0</v>
      </c>
      <c r="G2095" s="1">
        <f>'[1]Electricity and CHPs_NCAP'!C$34</f>
        <v>0</v>
      </c>
      <c r="H2095" s="1">
        <f>'[1]Electricity and CHPs_NCAP'!D$34</f>
        <v>0.12066642319246701</v>
      </c>
      <c r="I2095" s="1">
        <f>'[1]Electricity and CHPs_NCAP'!E$34</f>
        <v>2.3701566231692586E-2</v>
      </c>
      <c r="J2095" s="1">
        <f>'[2]Electricity and CHPs_NCAP'!F$34</f>
        <v>4.5532909307498242E-3</v>
      </c>
      <c r="K2095" s="1">
        <f>'[2]Electricity and CHPs_NCAP'!G$34</f>
        <v>0.33683339702972742</v>
      </c>
      <c r="L2095" s="1">
        <f>'[2]Electricity and CHPs_NCAP'!H$34</f>
        <v>3.3848147453355741</v>
      </c>
      <c r="N2095" s="1"/>
    </row>
    <row r="2096" spans="2:14" x14ac:dyDescent="0.35">
      <c r="B2096" s="5" t="str">
        <f t="shared" si="2092"/>
        <v>SPS1</v>
      </c>
      <c r="C2096" s="5" t="str">
        <f t="shared" si="2089"/>
        <v>CH</v>
      </c>
      <c r="D2096" t="s">
        <v>2225</v>
      </c>
      <c r="E2096" t="str">
        <f t="shared" si="2101"/>
        <v>GWe/yr.</v>
      </c>
      <c r="F2096" s="1">
        <f>'[1]Electricity and CHPs_NCAP'!B$35</f>
        <v>0</v>
      </c>
      <c r="G2096" s="1">
        <f>'[1]Electricity and CHPs_NCAP'!C$35</f>
        <v>1.78587344204381E-8</v>
      </c>
      <c r="H2096" s="1">
        <f>'[1]Electricity and CHPs_NCAP'!D$35</f>
        <v>1.7679648698347199</v>
      </c>
      <c r="I2096" s="1">
        <f>'[1]Electricity and CHPs_NCAP'!E$35</f>
        <v>2.1224130459936799</v>
      </c>
      <c r="J2096" s="1">
        <f>'[2]Electricity and CHPs_NCAP'!F$35</f>
        <v>0.79335651657739503</v>
      </c>
      <c r="K2096" s="1">
        <f>'[2]Electricity and CHPs_NCAP'!G$35</f>
        <v>2.8156198659506302</v>
      </c>
      <c r="L2096" s="1">
        <f>'[2]Electricity and CHPs_NCAP'!H$35</f>
        <v>4.74590372807039</v>
      </c>
      <c r="N2096" s="1"/>
    </row>
    <row r="2097" spans="2:14" x14ac:dyDescent="0.35">
      <c r="B2097" s="5" t="str">
        <f t="shared" si="2092"/>
        <v>SPS1</v>
      </c>
      <c r="C2097" s="5" t="str">
        <f t="shared" si="2089"/>
        <v>CH</v>
      </c>
      <c r="D2097" t="s">
        <v>2226</v>
      </c>
      <c r="E2097" t="str">
        <f t="shared" si="2101"/>
        <v>GWe/yr.</v>
      </c>
      <c r="F2097" s="1">
        <f>'[1]Electricity and CHPs_NCAP'!B$36</f>
        <v>0</v>
      </c>
      <c r="G2097" s="1">
        <f>'[1]Electricity and CHPs_NCAP'!C$36</f>
        <v>4.0488232233393173E-6</v>
      </c>
      <c r="H2097" s="1">
        <f>'[1]Electricity and CHPs_NCAP'!D$36</f>
        <v>1.5136345124583671E-4</v>
      </c>
      <c r="I2097" s="1">
        <f>'[1]Electricity and CHPs_NCAP'!E$36</f>
        <v>2.2558270568979002E-7</v>
      </c>
      <c r="J2097" s="1">
        <f>'[2]Electricity and CHPs_NCAP'!F$36</f>
        <v>0.29986557164668148</v>
      </c>
      <c r="K2097" s="1">
        <f>'[2]Electricity and CHPs_NCAP'!G$36</f>
        <v>0.66482535319808844</v>
      </c>
      <c r="L2097" s="1">
        <f>'[2]Electricity and CHPs_NCAP'!H$36</f>
        <v>0.68638626107519951</v>
      </c>
      <c r="N2097" s="1"/>
    </row>
    <row r="2098" spans="2:14" x14ac:dyDescent="0.35">
      <c r="B2098" s="5" t="str">
        <f t="shared" si="2092"/>
        <v>SPS1</v>
      </c>
      <c r="C2098" s="5" t="str">
        <f t="shared" si="2089"/>
        <v>CH</v>
      </c>
      <c r="D2098" t="s">
        <v>2227</v>
      </c>
      <c r="E2098" t="str">
        <f t="shared" si="2101"/>
        <v>GWe/yr.</v>
      </c>
      <c r="F2098" s="1">
        <f>'[1]Electricity and CHPs_NCAP'!B$37</f>
        <v>0</v>
      </c>
      <c r="G2098" s="1">
        <f>'[1]Electricity and CHPs_NCAP'!C$37</f>
        <v>4.5860799951374544E-6</v>
      </c>
      <c r="H2098" s="1">
        <f>'[1]Electricity and CHPs_NCAP'!D$37</f>
        <v>0.63040802695467102</v>
      </c>
      <c r="I2098" s="1">
        <f>'[1]Electricity and CHPs_NCAP'!E$37</f>
        <v>2.7163743878570002E-7</v>
      </c>
      <c r="J2098" s="1">
        <f>'[2]Electricity and CHPs_NCAP'!F$37</f>
        <v>0.14464121164750632</v>
      </c>
      <c r="K2098" s="1">
        <f>'[2]Electricity and CHPs_NCAP'!G$37</f>
        <v>0.28405399973156187</v>
      </c>
      <c r="L2098" s="1">
        <f>'[2]Electricity and CHPs_NCAP'!H$37</f>
        <v>0.94485094058501606</v>
      </c>
      <c r="N2098" s="1"/>
    </row>
    <row r="2099" spans="2:14" x14ac:dyDescent="0.35">
      <c r="B2099" s="5" t="str">
        <f t="shared" si="2092"/>
        <v>SPS1</v>
      </c>
      <c r="C2099" s="5" t="str">
        <f t="shared" si="2089"/>
        <v>CH</v>
      </c>
      <c r="D2099" t="s">
        <v>2228</v>
      </c>
      <c r="E2099" t="str">
        <f t="shared" si="2101"/>
        <v>GWe/yr.</v>
      </c>
      <c r="F2099" s="1">
        <f>'[1]Electricity and CHPs_NCAP'!B$38</f>
        <v>0</v>
      </c>
      <c r="G2099" s="1">
        <f>'[1]Electricity and CHPs_NCAP'!C$38</f>
        <v>1.6709121408821401E-8</v>
      </c>
      <c r="H2099" s="1">
        <f>'[1]Electricity and CHPs_NCAP'!D$38</f>
        <v>2.0047163188085402</v>
      </c>
      <c r="I2099" s="1">
        <f>'[1]Electricity and CHPs_NCAP'!E$38</f>
        <v>5.6167260048787296E-7</v>
      </c>
      <c r="J2099" s="1">
        <f>'[2]Electricity and CHPs_NCAP'!F$38</f>
        <v>0.624724588965894</v>
      </c>
      <c r="K2099" s="1">
        <f>'[2]Electricity and CHPs_NCAP'!G$38</f>
        <v>0.57340100692002605</v>
      </c>
      <c r="L2099" s="1">
        <f>'[2]Electricity and CHPs_NCAP'!H$38</f>
        <v>2.7057294267349401</v>
      </c>
      <c r="N2099" s="1"/>
    </row>
    <row r="2100" spans="2:14" x14ac:dyDescent="0.35">
      <c r="B2100" s="5" t="str">
        <f t="shared" si="2092"/>
        <v>SPS1</v>
      </c>
      <c r="C2100" s="5" t="str">
        <f t="shared" si="2089"/>
        <v>CH</v>
      </c>
      <c r="D2100" t="s">
        <v>2229</v>
      </c>
      <c r="E2100" t="str">
        <f t="shared" si="2101"/>
        <v>GWe/yr.</v>
      </c>
      <c r="F2100" s="1">
        <f>'[1]Electricity and CHPs_NCAP'!B$32</f>
        <v>0</v>
      </c>
      <c r="G2100" s="1">
        <f>'[1]Electricity and CHPs_NCAP'!C$32</f>
        <v>0</v>
      </c>
      <c r="H2100" s="1">
        <f>'[1]Electricity and CHPs_NCAP'!D$32</f>
        <v>0</v>
      </c>
      <c r="I2100" s="1">
        <f>'[1]Electricity and CHPs_NCAP'!E$32</f>
        <v>0</v>
      </c>
      <c r="J2100" s="1">
        <f>'[2]Electricity and CHPs_NCAP'!F$32</f>
        <v>0</v>
      </c>
      <c r="K2100" s="1">
        <f>'[2]Electricity and CHPs_NCAP'!G$32</f>
        <v>6.3373794832899096E-4</v>
      </c>
      <c r="L2100" s="1">
        <f>'[2]Electricity and CHPs_NCAP'!H$32</f>
        <v>6.1358131510627503E-7</v>
      </c>
      <c r="N2100" s="1"/>
    </row>
    <row r="2101" spans="2:14" x14ac:dyDescent="0.35">
      <c r="B2101" s="5" t="str">
        <f t="shared" si="2092"/>
        <v>SPS1</v>
      </c>
      <c r="C2101" s="5" t="str">
        <f t="shared" si="2089"/>
        <v>CH</v>
      </c>
      <c r="D2101" t="s">
        <v>2230</v>
      </c>
      <c r="E2101" t="str">
        <f t="shared" si="2101"/>
        <v>GWe/yr.</v>
      </c>
      <c r="F2101" s="1">
        <f t="shared" ref="F2101:K2101" si="2107">F2100</f>
        <v>0</v>
      </c>
      <c r="G2101" s="1">
        <f t="shared" si="2107"/>
        <v>0</v>
      </c>
      <c r="H2101" s="1">
        <f t="shared" si="2107"/>
        <v>0</v>
      </c>
      <c r="I2101" s="1">
        <f t="shared" si="2107"/>
        <v>0</v>
      </c>
      <c r="J2101" s="1">
        <f t="shared" si="2107"/>
        <v>0</v>
      </c>
      <c r="K2101" s="1">
        <f t="shared" si="2107"/>
        <v>6.3373794832899096E-4</v>
      </c>
      <c r="L2101" s="1">
        <f t="shared" ref="L2101" si="2108">L2100</f>
        <v>6.1358131510627503E-7</v>
      </c>
      <c r="N2101" s="1"/>
    </row>
    <row r="2102" spans="2:14" x14ac:dyDescent="0.35">
      <c r="B2102" s="5" t="str">
        <f t="shared" si="2092"/>
        <v>SPS1</v>
      </c>
      <c r="C2102" s="5" t="str">
        <f t="shared" si="2089"/>
        <v>CH</v>
      </c>
      <c r="D2102" t="s">
        <v>2231</v>
      </c>
      <c r="E2102" t="str">
        <f t="shared" si="2101"/>
        <v>GWe/yr.</v>
      </c>
      <c r="F2102" s="1">
        <f t="shared" ref="F2102:K2102" si="2109">SUM(F2103:F2105)</f>
        <v>0</v>
      </c>
      <c r="G2102" s="1">
        <f t="shared" si="2109"/>
        <v>0</v>
      </c>
      <c r="H2102" s="1">
        <f t="shared" si="2109"/>
        <v>0</v>
      </c>
      <c r="I2102" s="1">
        <f t="shared" si="2109"/>
        <v>0</v>
      </c>
      <c r="J2102" s="1">
        <f t="shared" si="2109"/>
        <v>0</v>
      </c>
      <c r="K2102" s="1">
        <f t="shared" si="2109"/>
        <v>0</v>
      </c>
      <c r="L2102" s="1">
        <f t="shared" ref="L2102" si="2110">SUM(L2103:L2105)</f>
        <v>0</v>
      </c>
      <c r="N2102" s="1"/>
    </row>
    <row r="2103" spans="2:14" x14ac:dyDescent="0.35">
      <c r="B2103" s="5" t="str">
        <f t="shared" si="2092"/>
        <v>SPS1</v>
      </c>
      <c r="C2103" s="5" t="str">
        <f t="shared" si="2089"/>
        <v>CH</v>
      </c>
      <c r="D2103" t="s">
        <v>2232</v>
      </c>
      <c r="E2103" t="str">
        <f t="shared" si="2101"/>
        <v>GWe/yr.</v>
      </c>
      <c r="F2103" s="1">
        <f>'[1]Electricity and CHPs_NCAP'!B$30</f>
        <v>0</v>
      </c>
      <c r="G2103" s="1">
        <f>'[1]Electricity and CHPs_NCAP'!C$30</f>
        <v>0</v>
      </c>
      <c r="H2103" s="1">
        <f>'[1]Electricity and CHPs_NCAP'!D$30</f>
        <v>0</v>
      </c>
      <c r="I2103" s="1">
        <f>'[1]Electricity and CHPs_NCAP'!E$30</f>
        <v>0</v>
      </c>
      <c r="J2103" s="1">
        <f>'[2]Electricity and CHPs_NCAP'!F$30</f>
        <v>0</v>
      </c>
      <c r="K2103" s="1">
        <f>'[2]Electricity and CHPs_NCAP'!G$30</f>
        <v>0</v>
      </c>
      <c r="L2103" s="1">
        <f>'[2]Electricity and CHPs_NCAP'!H$30</f>
        <v>0</v>
      </c>
      <c r="N2103" s="1"/>
    </row>
    <row r="2104" spans="2:14" x14ac:dyDescent="0.35">
      <c r="B2104" s="5" t="str">
        <f t="shared" si="2092"/>
        <v>SPS1</v>
      </c>
      <c r="C2104" s="5" t="str">
        <f t="shared" si="2089"/>
        <v>CH</v>
      </c>
      <c r="D2104" t="s">
        <v>2233</v>
      </c>
      <c r="E2104" t="str">
        <f t="shared" si="2101"/>
        <v>GWe/yr.</v>
      </c>
      <c r="F2104" s="1">
        <f>'[1]Electricity and CHPs_NCAP'!B$46</f>
        <v>0</v>
      </c>
      <c r="G2104" s="1">
        <f>'[1]Electricity and CHPs_NCAP'!C$46</f>
        <v>0</v>
      </c>
      <c r="H2104" s="1">
        <f>'[1]Electricity and CHPs_NCAP'!D$46</f>
        <v>0</v>
      </c>
      <c r="I2104" s="1">
        <f>'[1]Electricity and CHPs_NCAP'!E$46</f>
        <v>0</v>
      </c>
      <c r="J2104" s="1">
        <f>'[2]Electricity and CHPs_NCAP'!F$46</f>
        <v>0</v>
      </c>
      <c r="K2104" s="1">
        <f>'[2]Electricity and CHPs_NCAP'!G$46</f>
        <v>0</v>
      </c>
      <c r="L2104" s="1">
        <f>'[2]Electricity and CHPs_NCAP'!H$46</f>
        <v>0</v>
      </c>
      <c r="N2104" s="1"/>
    </row>
    <row r="2105" spans="2:14" x14ac:dyDescent="0.35">
      <c r="B2105" s="5" t="str">
        <f t="shared" si="2092"/>
        <v>SPS1</v>
      </c>
      <c r="C2105" s="5" t="str">
        <f t="shared" si="2089"/>
        <v>CH</v>
      </c>
      <c r="D2105" t="s">
        <v>2234</v>
      </c>
      <c r="E2105" t="str">
        <f t="shared" si="2101"/>
        <v>GWe/yr.</v>
      </c>
      <c r="F2105" s="1">
        <f>'[1]Electricity and CHPs_NCAP'!B$57</f>
        <v>0</v>
      </c>
      <c r="G2105" s="1">
        <f>'[1]Electricity and CHPs_NCAP'!C$57</f>
        <v>0</v>
      </c>
      <c r="H2105" s="1">
        <f>'[1]Electricity and CHPs_NCAP'!D$57</f>
        <v>0</v>
      </c>
      <c r="I2105" s="1">
        <f>'[1]Electricity and CHPs_NCAP'!E$57</f>
        <v>0</v>
      </c>
      <c r="J2105" s="1">
        <f>'[2]Electricity and CHPs_NCAP'!F$57</f>
        <v>0</v>
      </c>
      <c r="K2105" s="1">
        <f>'[2]Electricity and CHPs_NCAP'!G$57</f>
        <v>0</v>
      </c>
      <c r="L2105" s="1">
        <f>'[2]Electricity and CHPs_NCAP'!H$57</f>
        <v>0</v>
      </c>
      <c r="N2105" s="1"/>
    </row>
    <row r="2106" spans="2:14" x14ac:dyDescent="0.35">
      <c r="B2106" s="5" t="str">
        <f t="shared" si="2092"/>
        <v>SPS1</v>
      </c>
      <c r="C2106" s="5" t="str">
        <f t="shared" si="2089"/>
        <v>CH</v>
      </c>
      <c r="D2106" t="s">
        <v>2235</v>
      </c>
      <c r="E2106" t="str">
        <f t="shared" si="2101"/>
        <v>GWe/yr.</v>
      </c>
      <c r="F2106" s="1">
        <f t="shared" ref="F2106:K2106" si="2111">SUM(F2107:F2113)</f>
        <v>1.334027432296546E-3</v>
      </c>
      <c r="G2106" s="1">
        <f t="shared" si="2111"/>
        <v>2.1345396537297708E-6</v>
      </c>
      <c r="H2106" s="1">
        <f t="shared" si="2111"/>
        <v>0.36873671282621756</v>
      </c>
      <c r="I2106" s="1">
        <f t="shared" si="2111"/>
        <v>0.11733960104843622</v>
      </c>
      <c r="J2106" s="1">
        <f t="shared" si="2111"/>
        <v>0.22160076792566924</v>
      </c>
      <c r="K2106" s="1">
        <f t="shared" si="2111"/>
        <v>0.3945628988511985</v>
      </c>
      <c r="L2106" s="1">
        <f t="shared" ref="L2106" si="2112">SUM(L2107:L2113)</f>
        <v>0.66867502642996102</v>
      </c>
      <c r="N2106" s="1"/>
    </row>
    <row r="2107" spans="2:14" x14ac:dyDescent="0.35">
      <c r="B2107" s="5" t="str">
        <f t="shared" si="2092"/>
        <v>SPS1</v>
      </c>
      <c r="C2107" s="5" t="str">
        <f t="shared" si="2089"/>
        <v>CH</v>
      </c>
      <c r="D2107" t="s">
        <v>2236</v>
      </c>
      <c r="E2107" t="str">
        <f t="shared" si="2101"/>
        <v>GWe/yr.</v>
      </c>
      <c r="F2107" s="1">
        <f>'[1]Electricity and CHPs_NCAP'!B$63</f>
        <v>0</v>
      </c>
      <c r="G2107" s="1">
        <f>'[1]Electricity and CHPs_NCAP'!C$63</f>
        <v>8.4795812707926096E-8</v>
      </c>
      <c r="H2107" s="1">
        <f>'[1]Electricity and CHPs_NCAP'!D$63</f>
        <v>8.6838575934311005E-8</v>
      </c>
      <c r="I2107" s="1">
        <f>'[1]Electricity and CHPs_NCAP'!E$63</f>
        <v>8.4290698011414404E-8</v>
      </c>
      <c r="J2107" s="1">
        <f>'[2]Electricity and CHPs_NCAP'!F$63</f>
        <v>3.2471156071516098E-7</v>
      </c>
      <c r="K2107" s="1">
        <f>'[2]Electricity and CHPs_NCAP'!G$63</f>
        <v>4.67000146568496E-7</v>
      </c>
      <c r="L2107" s="1">
        <f>'[2]Electricity and CHPs_NCAP'!H$63</f>
        <v>6.6075610467561899E-7</v>
      </c>
      <c r="N2107" s="1"/>
    </row>
    <row r="2108" spans="2:14" x14ac:dyDescent="0.35">
      <c r="B2108" s="5" t="str">
        <f t="shared" si="2092"/>
        <v>SPS1</v>
      </c>
      <c r="C2108" s="5" t="str">
        <f t="shared" si="2089"/>
        <v>CH</v>
      </c>
      <c r="D2108" t="s">
        <v>2237</v>
      </c>
      <c r="E2108" t="str">
        <f t="shared" si="2101"/>
        <v>GWe/yr.</v>
      </c>
      <c r="F2108" s="1">
        <f>'[1]Electricity and CHPs_NCAP'!B$64</f>
        <v>2.27130938849804E-4</v>
      </c>
      <c r="G2108" s="1">
        <f>'[1]Electricity and CHPs_NCAP'!C$64</f>
        <v>2.86598755482789E-7</v>
      </c>
      <c r="H2108" s="1">
        <f>'[1]Electricity and CHPs_NCAP'!D$64</f>
        <v>6.0743992761981298E-3</v>
      </c>
      <c r="I2108" s="1">
        <f>'[1]Electricity and CHPs_NCAP'!E$64</f>
        <v>2.0257101790822098E-2</v>
      </c>
      <c r="J2108" s="1">
        <f>'[2]Electricity and CHPs_NCAP'!F$64</f>
        <v>4.02635478266186E-3</v>
      </c>
      <c r="K2108" s="1">
        <f>'[2]Electricity and CHPs_NCAP'!G$64</f>
        <v>7.9324317443993705E-3</v>
      </c>
      <c r="L2108" s="1">
        <f>'[2]Electricity and CHPs_NCAP'!H$64</f>
        <v>7.1284444362004803E-2</v>
      </c>
      <c r="N2108" s="1"/>
    </row>
    <row r="2109" spans="2:14" x14ac:dyDescent="0.35">
      <c r="B2109" s="5" t="str">
        <f t="shared" si="2092"/>
        <v>SPS1</v>
      </c>
      <c r="C2109" s="5" t="str">
        <f t="shared" si="2089"/>
        <v>CH</v>
      </c>
      <c r="D2109" t="s">
        <v>2238</v>
      </c>
      <c r="E2109" t="str">
        <f t="shared" si="2101"/>
        <v>GWe/yr.</v>
      </c>
      <c r="F2109" s="1">
        <f>'[1]Electricity and CHPs_NCAP'!B$65</f>
        <v>1.6545657109003699E-4</v>
      </c>
      <c r="G2109" s="1">
        <f>'[1]Electricity and CHPs_NCAP'!C$65</f>
        <v>2.1387204600278399E-7</v>
      </c>
      <c r="H2109" s="1">
        <f>'[1]Electricity and CHPs_NCAP'!D$65</f>
        <v>3.7181924230773101E-3</v>
      </c>
      <c r="I2109" s="1">
        <f>'[1]Electricity and CHPs_NCAP'!E$65</f>
        <v>1.05546537276884E-2</v>
      </c>
      <c r="J2109" s="1">
        <f>'[2]Electricity and CHPs_NCAP'!F$65</f>
        <v>3.3761796050669002E-3</v>
      </c>
      <c r="K2109" s="1">
        <f>'[2]Electricity and CHPs_NCAP'!G$65</f>
        <v>1.70774168083586E-2</v>
      </c>
      <c r="L2109" s="1">
        <f>'[2]Electricity and CHPs_NCAP'!H$65</f>
        <v>9.1766851287806095E-2</v>
      </c>
      <c r="N2109" s="1"/>
    </row>
    <row r="2110" spans="2:14" x14ac:dyDescent="0.35">
      <c r="B2110" s="5" t="str">
        <f t="shared" si="2092"/>
        <v>SPS1</v>
      </c>
      <c r="C2110" s="5" t="str">
        <f t="shared" si="2089"/>
        <v>CH</v>
      </c>
      <c r="D2110" t="s">
        <v>2239</v>
      </c>
      <c r="E2110" t="str">
        <f t="shared" si="2101"/>
        <v>GWe/yr.</v>
      </c>
      <c r="F2110" s="1">
        <f>'[1]Electricity and CHPs_NCAP'!B$66</f>
        <v>1.5873746779717E-4</v>
      </c>
      <c r="G2110" s="1">
        <f>'[1]Electricity and CHPs_NCAP'!C$66</f>
        <v>2.6147105143463598E-7</v>
      </c>
      <c r="H2110" s="1">
        <f>'[1]Electricity and CHPs_NCAP'!D$66</f>
        <v>6.9322770828444E-2</v>
      </c>
      <c r="I2110" s="1">
        <f>'[1]Electricity and CHPs_NCAP'!E$66</f>
        <v>8.3760384804503901E-2</v>
      </c>
      <c r="J2110" s="1">
        <f>'[2]Electricity and CHPs_NCAP'!F$66</f>
        <v>4.6605214565616698E-2</v>
      </c>
      <c r="K2110" s="1">
        <f>'[2]Electricity and CHPs_NCAP'!G$66</f>
        <v>0.189329627516892</v>
      </c>
      <c r="L2110" s="1">
        <f>'[2]Electricity and CHPs_NCAP'!H$66</f>
        <v>0.19621980483990401</v>
      </c>
      <c r="N2110" s="1"/>
    </row>
    <row r="2111" spans="2:14" x14ac:dyDescent="0.35">
      <c r="B2111" s="5" t="str">
        <f t="shared" si="2092"/>
        <v>SPS1</v>
      </c>
      <c r="C2111" s="5" t="str">
        <f t="shared" si="2089"/>
        <v>CH</v>
      </c>
      <c r="D2111" t="s">
        <v>2240</v>
      </c>
      <c r="E2111" t="str">
        <f t="shared" si="2101"/>
        <v>GWe/yr.</v>
      </c>
      <c r="F2111" s="1">
        <f>'[1]Electricity and CHPs_NCAP'!B$67</f>
        <v>3.1479725580527303E-4</v>
      </c>
      <c r="G2111" s="1">
        <f>'[1]Electricity and CHPs_NCAP'!C$67</f>
        <v>5.1691208332084695E-7</v>
      </c>
      <c r="H2111" s="1">
        <f>'[1]Electricity and CHPs_NCAP'!D$67</f>
        <v>0.12776561605488129</v>
      </c>
      <c r="I2111" s="1">
        <f>'[1]Electricity and CHPs_NCAP'!E$67</f>
        <v>6.9803953939970103E-4</v>
      </c>
      <c r="J2111" s="1">
        <f>'[2]Electricity and CHPs_NCAP'!F$67</f>
        <v>7.9096257377973295E-2</v>
      </c>
      <c r="K2111" s="1">
        <f>'[2]Electricity and CHPs_NCAP'!G$67</f>
        <v>7.4295663392245498E-2</v>
      </c>
      <c r="L2111" s="1">
        <f>'[2]Electricity and CHPs_NCAP'!H$67</f>
        <v>0.14005920109658071</v>
      </c>
      <c r="N2111" s="1"/>
    </row>
    <row r="2112" spans="2:14" x14ac:dyDescent="0.35">
      <c r="B2112" s="5" t="str">
        <f t="shared" si="2092"/>
        <v>SPS1</v>
      </c>
      <c r="C2112" s="5" t="str">
        <f t="shared" si="2089"/>
        <v>CH</v>
      </c>
      <c r="D2112" t="s">
        <v>2241</v>
      </c>
      <c r="E2112" t="str">
        <f t="shared" si="2101"/>
        <v>GWe/yr.</v>
      </c>
      <c r="F2112" s="1">
        <f>'[1]Electricity and CHPs_NCAP'!B$68</f>
        <v>3.0864747361540297E-4</v>
      </c>
      <c r="G2112" s="1">
        <f>'[1]Electricity and CHPs_NCAP'!C$68</f>
        <v>5.08797203939092E-7</v>
      </c>
      <c r="H2112" s="1">
        <f>'[1]Electricity and CHPs_NCAP'!D$68</f>
        <v>3.7927368718747898E-2</v>
      </c>
      <c r="I2112" s="1">
        <f>'[1]Electricity and CHPs_NCAP'!E$68</f>
        <v>1.2060377406137549E-3</v>
      </c>
      <c r="J2112" s="1">
        <f>'[2]Electricity and CHPs_NCAP'!F$68</f>
        <v>2.0711557170700098E-2</v>
      </c>
      <c r="K2112" s="1">
        <f>'[2]Electricity and CHPs_NCAP'!G$68</f>
        <v>2.84639480163149E-2</v>
      </c>
      <c r="L2112" s="1">
        <f>'[2]Electricity and CHPs_NCAP'!H$68</f>
        <v>4.1696848289252603E-2</v>
      </c>
      <c r="N2112" s="1"/>
    </row>
    <row r="2113" spans="2:14" x14ac:dyDescent="0.35">
      <c r="B2113" s="5" t="str">
        <f t="shared" si="2092"/>
        <v>SPS1</v>
      </c>
      <c r="C2113" s="5" t="str">
        <f t="shared" si="2089"/>
        <v>CH</v>
      </c>
      <c r="D2113" t="s">
        <v>2242</v>
      </c>
      <c r="E2113" t="str">
        <f t="shared" si="2101"/>
        <v>GWe/yr.</v>
      </c>
      <c r="F2113" s="1">
        <f>'[1]Electricity and CHPs_NCAP'!B$69</f>
        <v>1.59257725138859E-4</v>
      </c>
      <c r="G2113" s="1">
        <f>'[1]Electricity and CHPs_NCAP'!C$69</f>
        <v>2.62092700841697E-7</v>
      </c>
      <c r="H2113" s="1">
        <f>'[1]Electricity and CHPs_NCAP'!D$69</f>
        <v>0.123928278686293</v>
      </c>
      <c r="I2113" s="1">
        <f>'[1]Electricity and CHPs_NCAP'!E$69</f>
        <v>8.6329915471033795E-4</v>
      </c>
      <c r="J2113" s="1">
        <f>'[2]Electricity and CHPs_NCAP'!F$69</f>
        <v>6.7784879712089699E-2</v>
      </c>
      <c r="K2113" s="1">
        <f>'[2]Electricity and CHPs_NCAP'!G$69</f>
        <v>7.7463344372841594E-2</v>
      </c>
      <c r="L2113" s="1">
        <f>'[2]Electricity and CHPs_NCAP'!H$69</f>
        <v>0.12764721579830801</v>
      </c>
      <c r="N2113" s="1"/>
    </row>
    <row r="2114" spans="2:14" x14ac:dyDescent="0.35">
      <c r="B2114" s="5" t="str">
        <f>SPS4_FIN_Low!B1902</f>
        <v>SPS1</v>
      </c>
      <c r="C2114" s="5" t="str">
        <f>SPS4_FIN_Low!C1902</f>
        <v>CH</v>
      </c>
      <c r="D2114" s="2" t="s">
        <v>2243</v>
      </c>
      <c r="E2114" s="2" t="s">
        <v>1972</v>
      </c>
      <c r="F2114" s="3">
        <f t="shared" ref="F2114:K2114" si="2113">SUM(F2115:F2164)</f>
        <v>3.0042704622782531E-4</v>
      </c>
      <c r="G2114" s="3">
        <f t="shared" si="2113"/>
        <v>0.48773993507981106</v>
      </c>
      <c r="H2114" s="3">
        <f t="shared" si="2113"/>
        <v>0.86011789819979723</v>
      </c>
      <c r="I2114" s="3">
        <f t="shared" si="2113"/>
        <v>2.1201535023455111</v>
      </c>
      <c r="J2114" s="3">
        <f t="shared" si="2113"/>
        <v>3.1450294317632195</v>
      </c>
      <c r="K2114" s="3">
        <f t="shared" si="2113"/>
        <v>2.1238979717402997</v>
      </c>
      <c r="L2114" s="3">
        <f t="shared" ref="L2114" si="2114">SUM(L2115:L2164)</f>
        <v>4.6350720204114637</v>
      </c>
      <c r="N2114" s="1"/>
    </row>
    <row r="2115" spans="2:14" x14ac:dyDescent="0.35">
      <c r="B2115" s="5" t="str">
        <f t="shared" ref="B2115:B2146" si="2115">B2114</f>
        <v>SPS1</v>
      </c>
      <c r="C2115" s="5" t="str">
        <f t="shared" ref="C2115:C2146" si="2116">C2114</f>
        <v>CH</v>
      </c>
      <c r="D2115" t="s">
        <v>2244</v>
      </c>
      <c r="E2115" t="str">
        <f t="shared" ref="E2115:E2146" si="2117">E2114</f>
        <v>Million</v>
      </c>
      <c r="F2115" s="1" cm="1">
        <f t="array" ref="F2115">SUMPRODUCT(("var_ncap"=[1]OUT_TransportEnergyCons!$B$4:$B$10000)*1,("-"=[1]OUT_TransportEnergyCons!$C$4:$C$10000)*1,ISNUMBER(SEARCH("T_C*bat*ext",[1]OUT_TransportEnergyCons!$A$4:$A$10000))*1,[1]OUT_TransportEnergyCons!D$4:D$10000)</f>
        <v>0</v>
      </c>
      <c r="G2115" s="1" cm="1">
        <f t="array" ref="G2115">SUMPRODUCT(("var_ncap"=[1]OUT_TransportEnergyCons!$B$4:$B$10000)*1,("-"=[1]OUT_TransportEnergyCons!$C$4:$C$10000)*1,ISNUMBER(SEARCH("T_C*bat*ext",[1]OUT_TransportEnergyCons!$A$4:$A$10000))*1,[1]OUT_TransportEnergyCons!E$4:E$10000)</f>
        <v>0</v>
      </c>
      <c r="H2115" s="1" cm="1">
        <f t="array" ref="H2115">SUMPRODUCT(("var_ncap"=[1]OUT_TransportEnergyCons!$B$4:$B$10000)*1,("-"=[1]OUT_TransportEnergyCons!$C$4:$C$10000)*1,ISNUMBER(SEARCH("T_C*bat*ext",[1]OUT_TransportEnergyCons!$A$4:$A$10000))*1,[1]OUT_TransportEnergyCons!F$4:F$10000)</f>
        <v>0</v>
      </c>
      <c r="I2115" s="1" cm="1">
        <f t="array" ref="I2115">SUMPRODUCT(("var_ncap"=[1]OUT_TransportEnergyCons!$B$4:$B$10000)*1,("-"=[1]OUT_TransportEnergyCons!$C$4:$C$10000)*1,ISNUMBER(SEARCH("T_C*bat*ext",[1]OUT_TransportEnergyCons!$A$4:$A$10000))*1,[1]OUT_TransportEnergyCons!G$4:G$10000)</f>
        <v>0</v>
      </c>
      <c r="J2115" s="1" cm="1">
        <f t="array" ref="J2115">SUMPRODUCT(("var_ncap"=[2]OUT_TransportEnergyCons!$B$4:$B$10000)*1,("-"=[2]OUT_TransportEnergyCons!$C$4:$C$10000)*1,ISNUMBER(SEARCH("T_C*bat*ext",[2]OUT_TransportEnergyCons!$A$4:$A$10000))*1,[2]OUT_TransportEnergyCons!H$4:H$10000)</f>
        <v>0</v>
      </c>
      <c r="K2115" s="1" cm="1">
        <f t="array" ref="K2115">SUMPRODUCT(("var_ncap"=[2]OUT_TransportEnergyCons!$B$4:$B$10000)*1,("-"=[2]OUT_TransportEnergyCons!$C$4:$C$10000)*1,ISNUMBER(SEARCH("T_C*bat*ext",[2]OUT_TransportEnergyCons!$A$4:$A$10000))*1,[2]OUT_TransportEnergyCons!I$4:I$10000)</f>
        <v>0</v>
      </c>
      <c r="L2115" s="1" cm="1">
        <f t="array" ref="L2115">SUMPRODUCT(("var_ncap"=[2]OUT_TransportEnergyCons!$B$4:$B$10000)*1,("-"=[2]OUT_TransportEnergyCons!$C$4:$C$10000)*1,ISNUMBER(SEARCH("T_C*bat*ext",[2]OUT_TransportEnergyCons!$A$4:$A$10000))*1,[2]OUT_TransportEnergyCons!J$4:J$10000)</f>
        <v>0</v>
      </c>
      <c r="N2115" s="1"/>
    </row>
    <row r="2116" spans="2:14" x14ac:dyDescent="0.35">
      <c r="B2116" s="5" t="str">
        <f t="shared" si="2115"/>
        <v>SPS1</v>
      </c>
      <c r="C2116" s="5" t="str">
        <f t="shared" si="2116"/>
        <v>CH</v>
      </c>
      <c r="D2116" t="s">
        <v>2245</v>
      </c>
      <c r="E2116" t="str">
        <f t="shared" si="2117"/>
        <v>Million</v>
      </c>
      <c r="F2116" s="1" cm="1">
        <f t="array" ref="F2116">SUMPRODUCT(("var_ncap"=[1]OUT_TransportEnergyCons!$B$4:$B$10000)*1,("-"=[1]OUT_TransportEnergyCons!$C$4:$C$10000)*1,ISNUMBER(SEARCH("T_C*bat*s1",[1]OUT_TransportEnergyCons!$A$4:$A$10000))*1,[1]OUT_TransportEnergyCons!D$4:D$10000)</f>
        <v>3.42633244576003E-5</v>
      </c>
      <c r="G2116" s="1" cm="1">
        <f t="array" ref="G2116">SUMPRODUCT(("var_ncap"=[1]OUT_TransportEnergyCons!$B$4:$B$10000)*1,("-"=[1]OUT_TransportEnergyCons!$C$4:$C$10000)*1,ISNUMBER(SEARCH("T_C*bat*s1",[1]OUT_TransportEnergyCons!$A$4:$A$10000))*1,[1]OUT_TransportEnergyCons!E$4:E$10000)</f>
        <v>2.15768367252292E-4</v>
      </c>
      <c r="H2116" s="1" cm="1">
        <f t="array" ref="H2116">SUMPRODUCT(("var_ncap"=[1]OUT_TransportEnergyCons!$B$4:$B$10000)*1,("-"=[1]OUT_TransportEnergyCons!$C$4:$C$10000)*1,ISNUMBER(SEARCH("T_C*bat*s1",[1]OUT_TransportEnergyCons!$A$4:$A$10000))*1,[1]OUT_TransportEnergyCons!F$4:F$10000)</f>
        <v>1.14560930391782E-4</v>
      </c>
      <c r="I2116" s="1" cm="1">
        <f t="array" ref="I2116">SUMPRODUCT(("var_ncap"=[1]OUT_TransportEnergyCons!$B$4:$B$10000)*1,("-"=[1]OUT_TransportEnergyCons!$C$4:$C$10000)*1,ISNUMBER(SEARCH("T_C*bat*s1",[1]OUT_TransportEnergyCons!$A$4:$A$10000))*1,[1]OUT_TransportEnergyCons!G$4:G$10000)</f>
        <v>2.4525124376905999E-4</v>
      </c>
      <c r="J2116" s="1" cm="1">
        <f t="array" ref="J2116">SUMPRODUCT(("var_ncap"=[2]OUT_TransportEnergyCons!$B$4:$B$10000)*1,("-"=[2]OUT_TransportEnergyCons!$C$4:$C$10000)*1,ISNUMBER(SEARCH("T_C*bat*s1",[2]OUT_TransportEnergyCons!$A$4:$A$10000))*1,[2]OUT_TransportEnergyCons!H$4:H$10000)</f>
        <v>6.4252243936790097E-4</v>
      </c>
      <c r="K2116" s="1" cm="1">
        <f t="array" ref="K2116">SUMPRODUCT(("var_ncap"=[2]OUT_TransportEnergyCons!$B$4:$B$10000)*1,("-"=[2]OUT_TransportEnergyCons!$C$4:$C$10000)*1,ISNUMBER(SEARCH("T_C*bat*s1",[2]OUT_TransportEnergyCons!$A$4:$A$10000))*1,[2]OUT_TransportEnergyCons!I$4:I$10000)</f>
        <v>1.54158102821953E-2</v>
      </c>
      <c r="L2116" s="1" cm="1">
        <f t="array" ref="L2116">SUMPRODUCT(("var_ncap"=[2]OUT_TransportEnergyCons!$B$4:$B$10000)*1,("-"=[2]OUT_TransportEnergyCons!$C$4:$C$10000)*1,ISNUMBER(SEARCH("T_C*bat*s1",[2]OUT_TransportEnergyCons!$A$4:$A$10000))*1,[2]OUT_TransportEnergyCons!J$4:J$10000)</f>
        <v>0.29552386273653702</v>
      </c>
      <c r="N2116" s="1"/>
    </row>
    <row r="2117" spans="2:14" x14ac:dyDescent="0.35">
      <c r="B2117" s="5" t="str">
        <f t="shared" si="2115"/>
        <v>SPS1</v>
      </c>
      <c r="C2117" s="5" t="str">
        <f t="shared" si="2116"/>
        <v>CH</v>
      </c>
      <c r="D2117" t="s">
        <v>2246</v>
      </c>
      <c r="E2117" t="str">
        <f t="shared" si="2117"/>
        <v>Million</v>
      </c>
      <c r="F2117" s="1" cm="1">
        <f t="array" ref="F2117">SUMPRODUCT(("var_ncap"=[1]OUT_TransportEnergyCons!$B$4:$B$10000)*1,("-"=[1]OUT_TransportEnergyCons!$C$4:$C$10000)*1,ISNUMBER(SEARCH("T_C*bat*s2",[1]OUT_TransportEnergyCons!$A$4:$A$10000))*1,[1]OUT_TransportEnergyCons!D$4:D$10000)</f>
        <v>6.7085088226995004E-5</v>
      </c>
      <c r="G2117" s="1" cm="1">
        <f t="array" ref="G2117">SUMPRODUCT(("var_ncap"=[1]OUT_TransportEnergyCons!$B$4:$B$10000)*1,("-"=[1]OUT_TransportEnergyCons!$C$4:$C$10000)*1,ISNUMBER(SEARCH("T_C*bat*s2",[1]OUT_TransportEnergyCons!$A$4:$A$10000))*1,[1]OUT_TransportEnergyCons!E$4:E$10000)</f>
        <v>1.2164697062221699E-4</v>
      </c>
      <c r="H2117" s="1" cm="1">
        <f t="array" ref="H2117">SUMPRODUCT(("var_ncap"=[1]OUT_TransportEnergyCons!$B$4:$B$10000)*1,("-"=[1]OUT_TransportEnergyCons!$C$4:$C$10000)*1,ISNUMBER(SEARCH("T_C*bat*s2",[1]OUT_TransportEnergyCons!$A$4:$A$10000))*1,[1]OUT_TransportEnergyCons!F$4:F$10000)</f>
        <v>3.26022592852319E-3</v>
      </c>
      <c r="I2117" s="1" cm="1">
        <f t="array" ref="I2117">SUMPRODUCT(("var_ncap"=[1]OUT_TransportEnergyCons!$B$4:$B$10000)*1,("-"=[1]OUT_TransportEnergyCons!$C$4:$C$10000)*1,ISNUMBER(SEARCH("T_C*bat*s2",[1]OUT_TransportEnergyCons!$A$4:$A$10000))*1,[1]OUT_TransportEnergyCons!G$4:G$10000)</f>
        <v>0.59799211212910097</v>
      </c>
      <c r="J2117" s="1" cm="1">
        <f t="array" ref="J2117">SUMPRODUCT(("var_ncap"=[2]OUT_TransportEnergyCons!$B$4:$B$10000)*1,("-"=[2]OUT_TransportEnergyCons!$C$4:$C$10000)*1,ISNUMBER(SEARCH("T_C*bat*s2",[2]OUT_TransportEnergyCons!$A$4:$A$10000))*1,[2]OUT_TransportEnergyCons!H$4:H$10000)</f>
        <v>0.95860916674935504</v>
      </c>
      <c r="K2117" s="1" cm="1">
        <f t="array" ref="K2117">SUMPRODUCT(("var_ncap"=[2]OUT_TransportEnergyCons!$B$4:$B$10000)*1,("-"=[2]OUT_TransportEnergyCons!$C$4:$C$10000)*1,ISNUMBER(SEARCH("T_C*bat*s2",[2]OUT_TransportEnergyCons!$A$4:$A$10000))*1,[2]OUT_TransportEnergyCons!I$4:I$10000)</f>
        <v>0.71292438880660003</v>
      </c>
      <c r="L2117" s="1" cm="1">
        <f t="array" ref="L2117">SUMPRODUCT(("var_ncap"=[2]OUT_TransportEnergyCons!$B$4:$B$10000)*1,("-"=[2]OUT_TransportEnergyCons!$C$4:$C$10000)*1,ISNUMBER(SEARCH("T_C*bat*s2",[2]OUT_TransportEnergyCons!$A$4:$A$10000))*1,[2]OUT_TransportEnergyCons!J$4:J$10000)</f>
        <v>1.1333021799324301</v>
      </c>
      <c r="N2117" s="1"/>
    </row>
    <row r="2118" spans="2:14" x14ac:dyDescent="0.35">
      <c r="B2118" s="5" t="str">
        <f t="shared" si="2115"/>
        <v>SPS1</v>
      </c>
      <c r="C2118" s="5" t="str">
        <f t="shared" si="2116"/>
        <v>CH</v>
      </c>
      <c r="D2118" t="s">
        <v>2247</v>
      </c>
      <c r="E2118" t="str">
        <f t="shared" si="2117"/>
        <v>Million</v>
      </c>
      <c r="F2118" s="1" cm="1">
        <f t="array" ref="F2118">SUMPRODUCT(("var_ncap"=[1]OUT_TransportEnergyCons!$B$4:$B$10000)*1,("-"=[1]OUT_TransportEnergyCons!$C$4:$C$10000)*1,ISNUMBER(SEARCH("T_C*bat*s3",[1]OUT_TransportEnergyCons!$A$4:$A$10000))*1,[1]OUT_TransportEnergyCons!D$4:D$10000)</f>
        <v>5.013110440148E-5</v>
      </c>
      <c r="G2118" s="1" cm="1">
        <f t="array" ref="G2118">SUMPRODUCT(("var_ncap"=[1]OUT_TransportEnergyCons!$B$4:$B$10000)*1,("-"=[1]OUT_TransportEnergyCons!$C$4:$C$10000)*1,ISNUMBER(SEARCH("T_C*bat*s3",[1]OUT_TransportEnergyCons!$A$4:$A$10000))*1,[1]OUT_TransportEnergyCons!E$4:E$10000)</f>
        <v>4.6667405770797104E-3</v>
      </c>
      <c r="H2118" s="1" cm="1">
        <f t="array" ref="H2118">SUMPRODUCT(("var_ncap"=[1]OUT_TransportEnergyCons!$B$4:$B$10000)*1,("-"=[1]OUT_TransportEnergyCons!$C$4:$C$10000)*1,ISNUMBER(SEARCH("T_C*bat*s3",[1]OUT_TransportEnergyCons!$A$4:$A$10000))*1,[1]OUT_TransportEnergyCons!F$4:F$10000)</f>
        <v>1.0918189391432799E-3</v>
      </c>
      <c r="I2118" s="1" cm="1">
        <f t="array" ref="I2118">SUMPRODUCT(("var_ncap"=[1]OUT_TransportEnergyCons!$B$4:$B$10000)*1,("-"=[1]OUT_TransportEnergyCons!$C$4:$C$10000)*1,ISNUMBER(SEARCH("T_C*bat*s3",[1]OUT_TransportEnergyCons!$A$4:$A$10000))*1,[1]OUT_TransportEnergyCons!G$4:G$10000)</f>
        <v>2.41298576156974E-2</v>
      </c>
      <c r="J2118" s="1" cm="1">
        <f t="array" ref="J2118">SUMPRODUCT(("var_ncap"=[2]OUT_TransportEnergyCons!$B$4:$B$10000)*1,("-"=[2]OUT_TransportEnergyCons!$C$4:$C$10000)*1,ISNUMBER(SEARCH("T_C*bat*s3",[2]OUT_TransportEnergyCons!$A$4:$A$10000))*1,[2]OUT_TransportEnergyCons!H$4:H$10000)</f>
        <v>0.26881995582366702</v>
      </c>
      <c r="K2118" s="1" cm="1">
        <f t="array" ref="K2118">SUMPRODUCT(("var_ncap"=[2]OUT_TransportEnergyCons!$B$4:$B$10000)*1,("-"=[2]OUT_TransportEnergyCons!$C$4:$C$10000)*1,ISNUMBER(SEARCH("T_C*bat*s3",[2]OUT_TransportEnergyCons!$A$4:$A$10000))*1,[2]OUT_TransportEnergyCons!I$4:I$10000)</f>
        <v>9.5512297369009999E-2</v>
      </c>
      <c r="L2118" s="1" cm="1">
        <f t="array" ref="L2118">SUMPRODUCT(("var_ncap"=[2]OUT_TransportEnergyCons!$B$4:$B$10000)*1,("-"=[2]OUT_TransportEnergyCons!$C$4:$C$10000)*1,ISNUMBER(SEARCH("T_C*bat*s3",[2]OUT_TransportEnergyCons!$A$4:$A$10000))*1,[2]OUT_TransportEnergyCons!J$4:J$10000)</f>
        <v>0.243330317285926</v>
      </c>
      <c r="N2118" s="1"/>
    </row>
    <row r="2119" spans="2:14" x14ac:dyDescent="0.35">
      <c r="B2119" s="5" t="str">
        <f t="shared" si="2115"/>
        <v>SPS1</v>
      </c>
      <c r="C2119" s="5" t="str">
        <f t="shared" si="2116"/>
        <v>CH</v>
      </c>
      <c r="D2119" t="s">
        <v>2248</v>
      </c>
      <c r="E2119" t="str">
        <f t="shared" si="2117"/>
        <v>Million</v>
      </c>
      <c r="F2119" s="1" cm="1">
        <f t="array" ref="F2119">SUMPRODUCT(("var_ncap"=[1]OUT_TransportEnergyCons!$B$4:$B$10000)*1,("-"=[1]OUT_TransportEnergyCons!$C$4:$C$10000)*1,ISNUMBER(SEARCH("T_C*bat*s4",[1]OUT_TransportEnergyCons!$A$4:$A$10000))*1,[1]OUT_TransportEnergyCons!D$4:D$10000)</f>
        <v>1.4894752914175E-4</v>
      </c>
      <c r="G2119" s="1" cm="1">
        <f t="array" ref="G2119">SUMPRODUCT(("var_ncap"=[1]OUT_TransportEnergyCons!$B$4:$B$10000)*1,("-"=[1]OUT_TransportEnergyCons!$C$4:$C$10000)*1,ISNUMBER(SEARCH("T_C*bat*s4",[1]OUT_TransportEnergyCons!$A$4:$A$10000))*1,[1]OUT_TransportEnergyCons!E$4:E$10000)</f>
        <v>8.2139194923694397E-2</v>
      </c>
      <c r="H2119" s="1" cm="1">
        <f t="array" ref="H2119">SUMPRODUCT(("var_ncap"=[1]OUT_TransportEnergyCons!$B$4:$B$10000)*1,("-"=[1]OUT_TransportEnergyCons!$C$4:$C$10000)*1,ISNUMBER(SEARCH("T_C*bat*s4",[1]OUT_TransportEnergyCons!$A$4:$A$10000))*1,[1]OUT_TransportEnergyCons!F$4:F$10000)</f>
        <v>0.26535226436057602</v>
      </c>
      <c r="I2119" s="1" cm="1">
        <f t="array" ref="I2119">SUMPRODUCT(("var_ncap"=[1]OUT_TransportEnergyCons!$B$4:$B$10000)*1,("-"=[1]OUT_TransportEnergyCons!$C$4:$C$10000)*1,ISNUMBER(SEARCH("T_C*bat*s4",[1]OUT_TransportEnergyCons!$A$4:$A$10000))*1,[1]OUT_TransportEnergyCons!G$4:G$10000)</f>
        <v>0.81017892991337404</v>
      </c>
      <c r="J2119" s="1" cm="1">
        <f t="array" ref="J2119">SUMPRODUCT(("var_ncap"=[2]OUT_TransportEnergyCons!$B$4:$B$10000)*1,("-"=[2]OUT_TransportEnergyCons!$C$4:$C$10000)*1,ISNUMBER(SEARCH("T_C*bat*s4",[2]OUT_TransportEnergyCons!$A$4:$A$10000))*1,[2]OUT_TransportEnergyCons!H$4:H$10000)</f>
        <v>0.48747072069500502</v>
      </c>
      <c r="K2119" s="1" cm="1">
        <f t="array" ref="K2119">SUMPRODUCT(("var_ncap"=[2]OUT_TransportEnergyCons!$B$4:$B$10000)*1,("-"=[2]OUT_TransportEnergyCons!$C$4:$C$10000)*1,ISNUMBER(SEARCH("T_C*bat*s4",[2]OUT_TransportEnergyCons!$A$4:$A$10000))*1,[2]OUT_TransportEnergyCons!I$4:I$10000)</f>
        <v>0.39346747305749302</v>
      </c>
      <c r="L2119" s="1" cm="1">
        <f t="array" ref="L2119">SUMPRODUCT(("var_ncap"=[2]OUT_TransportEnergyCons!$B$4:$B$10000)*1,("-"=[2]OUT_TransportEnergyCons!$C$4:$C$10000)*1,ISNUMBER(SEARCH("T_C*bat*s4",[2]OUT_TransportEnergyCons!$A$4:$A$10000))*1,[2]OUT_TransportEnergyCons!J$4:J$10000)</f>
        <v>1.2145776655999401</v>
      </c>
      <c r="N2119" s="1"/>
    </row>
    <row r="2120" spans="2:14" x14ac:dyDescent="0.35">
      <c r="B2120" s="5" t="str">
        <f t="shared" si="2115"/>
        <v>SPS1</v>
      </c>
      <c r="C2120" s="5" t="str">
        <f t="shared" si="2116"/>
        <v>CH</v>
      </c>
      <c r="D2120" t="s">
        <v>2249</v>
      </c>
      <c r="E2120" t="str">
        <f t="shared" si="2117"/>
        <v>Million</v>
      </c>
      <c r="F2120" s="1" cm="1">
        <f t="array" ref="F2120">SUMPRODUCT(("var_ncap"=[1]OUT_TransportEnergyCons!$B$4:$B$10000)*1,("-"=[1]OUT_TransportEnergyCons!$C$4:$C$10000)*1,ISNUMBER(SEARCH("T_C*pev*GSL*s1",[1]OUT_TransportEnergyCons!$A$4:$A$10000))*1,[1]OUT_TransportEnergyCons!D$4:D$10000)</f>
        <v>0</v>
      </c>
      <c r="G2120" s="1" cm="1">
        <f t="array" ref="G2120">SUMPRODUCT(("var_ncap"=[1]OUT_TransportEnergyCons!$B$4:$B$10000)*1,("-"=[1]OUT_TransportEnergyCons!$C$4:$C$10000)*1,ISNUMBER(SEARCH("T_C*pev*GSL*s1",[1]OUT_TransportEnergyCons!$A$4:$A$10000))*1,[1]OUT_TransportEnergyCons!E$4:E$10000)</f>
        <v>2.7355704315176098E-5</v>
      </c>
      <c r="H2120" s="1" cm="1">
        <f t="array" ref="H2120">SUMPRODUCT(("var_ncap"=[1]OUT_TransportEnergyCons!$B$4:$B$10000)*1,("-"=[1]OUT_TransportEnergyCons!$C$4:$C$10000)*1,ISNUMBER(SEARCH("T_C*pev*GSL*s1",[1]OUT_TransportEnergyCons!$A$4:$A$10000))*1,[1]OUT_TransportEnergyCons!F$4:F$10000)</f>
        <v>1.9891121305505801E-5</v>
      </c>
      <c r="I2120" s="1" cm="1">
        <f t="array" ref="I2120">SUMPRODUCT(("var_ncap"=[1]OUT_TransportEnergyCons!$B$4:$B$10000)*1,("-"=[1]OUT_TransportEnergyCons!$C$4:$C$10000)*1,ISNUMBER(SEARCH("T_C*pev*GSL*s1",[1]OUT_TransportEnergyCons!$A$4:$A$10000))*1,[1]OUT_TransportEnergyCons!G$4:G$10000)</f>
        <v>2.03150501720048E-5</v>
      </c>
      <c r="J2120" s="1" cm="1">
        <f t="array" ref="J2120">SUMPRODUCT(("var_ncap"=[2]OUT_TransportEnergyCons!$B$4:$B$10000)*1,("-"=[2]OUT_TransportEnergyCons!$C$4:$C$10000)*1,ISNUMBER(SEARCH("T_C*pev*GSL*s1",[2]OUT_TransportEnergyCons!$A$4:$A$10000))*1,[2]OUT_TransportEnergyCons!H$4:H$10000)</f>
        <v>6.6362927223151001E-5</v>
      </c>
      <c r="K2120" s="1" cm="1">
        <f t="array" ref="K2120">SUMPRODUCT(("var_ncap"=[2]OUT_TransportEnergyCons!$B$4:$B$10000)*1,("-"=[2]OUT_TransportEnergyCons!$C$4:$C$10000)*1,ISNUMBER(SEARCH("T_C*pev*GSL*s1",[2]OUT_TransportEnergyCons!$A$4:$A$10000))*1,[2]OUT_TransportEnergyCons!I$4:I$10000)</f>
        <v>5.9144715061046997E-5</v>
      </c>
      <c r="L2120" s="1" cm="1">
        <f t="array" ref="L2120">SUMPRODUCT(("var_ncap"=[2]OUT_TransportEnergyCons!$B$4:$B$10000)*1,("-"=[2]OUT_TransportEnergyCons!$C$4:$C$10000)*1,ISNUMBER(SEARCH("T_C*pev*GSL*s1",[2]OUT_TransportEnergyCons!$A$4:$A$10000))*1,[2]OUT_TransportEnergyCons!J$4:J$10000)</f>
        <v>4.6055072254379799E-5</v>
      </c>
      <c r="N2120" s="1"/>
    </row>
    <row r="2121" spans="2:14" x14ac:dyDescent="0.35">
      <c r="B2121" s="5" t="str">
        <f t="shared" si="2115"/>
        <v>SPS1</v>
      </c>
      <c r="C2121" s="5" t="str">
        <f t="shared" si="2116"/>
        <v>CH</v>
      </c>
      <c r="D2121" t="s">
        <v>2250</v>
      </c>
      <c r="E2121" t="str">
        <f t="shared" si="2117"/>
        <v>Million</v>
      </c>
      <c r="F2121" s="1" cm="1">
        <f t="array" ref="F2121">SUMPRODUCT(("var_ncap"=[1]OUT_TransportEnergyCons!$B$4:$B$10000)*1,("-"=[1]OUT_TransportEnergyCons!$C$4:$C$10000)*1,ISNUMBER(SEARCH("T_C*pev*GSL*s2",[1]OUT_TransportEnergyCons!$A$4:$A$10000))*1,[1]OUT_TransportEnergyCons!D$4:D$10000)</f>
        <v>0</v>
      </c>
      <c r="G2121" s="1" cm="1">
        <f t="array" ref="G2121">SUMPRODUCT(("var_ncap"=[1]OUT_TransportEnergyCons!$B$4:$B$10000)*1,("-"=[1]OUT_TransportEnergyCons!$C$4:$C$10000)*1,ISNUMBER(SEARCH("T_C*pev*GSL*s2",[1]OUT_TransportEnergyCons!$A$4:$A$10000))*1,[1]OUT_TransportEnergyCons!E$4:E$10000)</f>
        <v>1.02856912284019E-5</v>
      </c>
      <c r="H2121" s="1" cm="1">
        <f t="array" ref="H2121">SUMPRODUCT(("var_ncap"=[1]OUT_TransportEnergyCons!$B$4:$B$10000)*1,("-"=[1]OUT_TransportEnergyCons!$C$4:$C$10000)*1,ISNUMBER(SEARCH("T_C*pev*GSL*s2",[1]OUT_TransportEnergyCons!$A$4:$A$10000))*1,[1]OUT_TransportEnergyCons!F$4:F$10000)</f>
        <v>2.72595851980816E-5</v>
      </c>
      <c r="I2121" s="1" cm="1">
        <f t="array" ref="I2121">SUMPRODUCT(("var_ncap"=[1]OUT_TransportEnergyCons!$B$4:$B$10000)*1,("-"=[1]OUT_TransportEnergyCons!$C$4:$C$10000)*1,ISNUMBER(SEARCH("T_C*pev*GSL*s2",[1]OUT_TransportEnergyCons!$A$4:$A$10000))*1,[1]OUT_TransportEnergyCons!G$4:G$10000)</f>
        <v>3.16098096613007E-5</v>
      </c>
      <c r="J2121" s="1" cm="1">
        <f t="array" ref="J2121">SUMPRODUCT(("var_ncap"=[2]OUT_TransportEnergyCons!$B$4:$B$10000)*1,("-"=[2]OUT_TransportEnergyCons!$C$4:$C$10000)*1,ISNUMBER(SEARCH("T_C*pev*GSL*s2",[2]OUT_TransportEnergyCons!$A$4:$A$10000))*1,[2]OUT_TransportEnergyCons!H$4:H$10000)</f>
        <v>2.0323744483101701E-4</v>
      </c>
      <c r="K2121" s="1" cm="1">
        <f t="array" ref="K2121">SUMPRODUCT(("var_ncap"=[2]OUT_TransportEnergyCons!$B$4:$B$10000)*1,("-"=[2]OUT_TransportEnergyCons!$C$4:$C$10000)*1,ISNUMBER(SEARCH("T_C*pev*GSL*s2",[2]OUT_TransportEnergyCons!$A$4:$A$10000))*1,[2]OUT_TransportEnergyCons!I$4:I$10000)</f>
        <v>1.5431969620671301E-4</v>
      </c>
      <c r="L2121" s="1" cm="1">
        <f t="array" ref="L2121">SUMPRODUCT(("var_ncap"=[2]OUT_TransportEnergyCons!$B$4:$B$10000)*1,("-"=[2]OUT_TransportEnergyCons!$C$4:$C$10000)*1,ISNUMBER(SEARCH("T_C*pev*GSL*s2",[2]OUT_TransportEnergyCons!$A$4:$A$10000))*1,[2]OUT_TransportEnergyCons!J$4:J$10000)</f>
        <v>1.15596846971697E-4</v>
      </c>
      <c r="N2121" s="1"/>
    </row>
    <row r="2122" spans="2:14" x14ac:dyDescent="0.35">
      <c r="B2122" s="5" t="str">
        <f t="shared" si="2115"/>
        <v>SPS1</v>
      </c>
      <c r="C2122" s="5" t="str">
        <f t="shared" si="2116"/>
        <v>CH</v>
      </c>
      <c r="D2122" t="s">
        <v>2251</v>
      </c>
      <c r="E2122" t="str">
        <f t="shared" si="2117"/>
        <v>Million</v>
      </c>
      <c r="F2122" s="1" cm="1">
        <f t="array" ref="F2122">SUMPRODUCT(("var_ncap"=[1]OUT_TransportEnergyCons!$B$4:$B$10000)*1,("-"=[1]OUT_TransportEnergyCons!$C$4:$C$10000)*1,ISNUMBER(SEARCH("T_C*pev*GSL*s3",[1]OUT_TransportEnergyCons!$A$4:$A$10000))*1,[1]OUT_TransportEnergyCons!D$4:D$10000)</f>
        <v>0</v>
      </c>
      <c r="G2122" s="1" cm="1">
        <f t="array" ref="G2122">SUMPRODUCT(("var_ncap"=[1]OUT_TransportEnergyCons!$B$4:$B$10000)*1,("-"=[1]OUT_TransportEnergyCons!$C$4:$C$10000)*1,ISNUMBER(SEARCH("T_C*pev*GSL*s3",[1]OUT_TransportEnergyCons!$A$4:$A$10000))*1,[1]OUT_TransportEnergyCons!E$4:E$10000)</f>
        <v>3.1706714954035597E-2</v>
      </c>
      <c r="H2122" s="1" cm="1">
        <f t="array" ref="H2122">SUMPRODUCT(("var_ncap"=[1]OUT_TransportEnergyCons!$B$4:$B$10000)*1,("-"=[1]OUT_TransportEnergyCons!$C$4:$C$10000)*1,ISNUMBER(SEARCH("T_C*pev*GSL*s3",[1]OUT_TransportEnergyCons!$A$4:$A$10000))*1,[1]OUT_TransportEnergyCons!F$4:F$10000)</f>
        <v>4.3331659067877101E-2</v>
      </c>
      <c r="I2122" s="1" cm="1">
        <f t="array" ref="I2122">SUMPRODUCT(("var_ncap"=[1]OUT_TransportEnergyCons!$B$4:$B$10000)*1,("-"=[1]OUT_TransportEnergyCons!$C$4:$C$10000)*1,ISNUMBER(SEARCH("T_C*pev*GSL*s3",[1]OUT_TransportEnergyCons!$A$4:$A$10000))*1,[1]OUT_TransportEnergyCons!G$4:G$10000)</f>
        <v>0.28988664841887402</v>
      </c>
      <c r="J2122" s="1" cm="1">
        <f t="array" ref="J2122">SUMPRODUCT(("var_ncap"=[2]OUT_TransportEnergyCons!$B$4:$B$10000)*1,("-"=[2]OUT_TransportEnergyCons!$C$4:$C$10000)*1,ISNUMBER(SEARCH("T_C*pev*GSL*s3",[2]OUT_TransportEnergyCons!$A$4:$A$10000))*1,[2]OUT_TransportEnergyCons!H$4:H$10000)</f>
        <v>9.4124205337870595E-2</v>
      </c>
      <c r="K2122" s="1" cm="1">
        <f t="array" ref="K2122">SUMPRODUCT(("var_ncap"=[2]OUT_TransportEnergyCons!$B$4:$B$10000)*1,("-"=[2]OUT_TransportEnergyCons!$C$4:$C$10000)*1,ISNUMBER(SEARCH("T_C*pev*GSL*s3",[2]OUT_TransportEnergyCons!$A$4:$A$10000))*1,[2]OUT_TransportEnergyCons!I$4:I$10000)</f>
        <v>0.12313479161332</v>
      </c>
      <c r="L2122" s="1" cm="1">
        <f t="array" ref="L2122">SUMPRODUCT(("var_ncap"=[2]OUT_TransportEnergyCons!$B$4:$B$10000)*1,("-"=[2]OUT_TransportEnergyCons!$C$4:$C$10000)*1,ISNUMBER(SEARCH("T_C*pev*GSL*s3",[2]OUT_TransportEnergyCons!$A$4:$A$10000))*1,[2]OUT_TransportEnergyCons!J$4:J$10000)</f>
        <v>0.20838116271688201</v>
      </c>
      <c r="N2122" s="1"/>
    </row>
    <row r="2123" spans="2:14" x14ac:dyDescent="0.35">
      <c r="B2123" s="5" t="str">
        <f t="shared" si="2115"/>
        <v>SPS1</v>
      </c>
      <c r="C2123" s="5" t="str">
        <f t="shared" si="2116"/>
        <v>CH</v>
      </c>
      <c r="D2123" t="s">
        <v>2252</v>
      </c>
      <c r="E2123" t="str">
        <f t="shared" si="2117"/>
        <v>Million</v>
      </c>
      <c r="F2123" s="1" cm="1">
        <f t="array" ref="F2123">SUMPRODUCT(("var_ncap"=[1]OUT_TransportEnergyCons!$B$4:$B$10000)*1,("-"=[1]OUT_TransportEnergyCons!$C$4:$C$10000)*1,ISNUMBER(SEARCH("T_C*pev*GSL*s4",[1]OUT_TransportEnergyCons!$A$4:$A$10000))*1,[1]OUT_TransportEnergyCons!D$4:D$10000)</f>
        <v>0</v>
      </c>
      <c r="G2123" s="1" cm="1">
        <f t="array" ref="G2123">SUMPRODUCT(("var_ncap"=[1]OUT_TransportEnergyCons!$B$4:$B$10000)*1,("-"=[1]OUT_TransportEnergyCons!$C$4:$C$10000)*1,ISNUMBER(SEARCH("T_C*pev*GSL*s4",[1]OUT_TransportEnergyCons!$A$4:$A$10000))*1,[1]OUT_TransportEnergyCons!E$4:E$10000)</f>
        <v>6.1343690126034402E-5</v>
      </c>
      <c r="H2123" s="1" cm="1">
        <f t="array" ref="H2123">SUMPRODUCT(("var_ncap"=[1]OUT_TransportEnergyCons!$B$4:$B$10000)*1,("-"=[1]OUT_TransportEnergyCons!$C$4:$C$10000)*1,ISNUMBER(SEARCH("T_C*pev*GSL*s4",[1]OUT_TransportEnergyCons!$A$4:$A$10000))*1,[1]OUT_TransportEnergyCons!F$4:F$10000)</f>
        <v>6.5527307843675096E-5</v>
      </c>
      <c r="I2123" s="1" cm="1">
        <f t="array" ref="I2123">SUMPRODUCT(("var_ncap"=[1]OUT_TransportEnergyCons!$B$4:$B$10000)*1,("-"=[1]OUT_TransportEnergyCons!$C$4:$C$10000)*1,ISNUMBER(SEARCH("T_C*pev*GSL*s4",[1]OUT_TransportEnergyCons!$A$4:$A$10000))*1,[1]OUT_TransportEnergyCons!G$4:G$10000)</f>
        <v>6.4110519429088305E-5</v>
      </c>
      <c r="J2123" s="1" cm="1">
        <f t="array" ref="J2123">SUMPRODUCT(("var_ncap"=[2]OUT_TransportEnergyCons!$B$4:$B$10000)*1,("-"=[2]OUT_TransportEnergyCons!$C$4:$C$10000)*1,ISNUMBER(SEARCH("T_C*pev*GSL*s4",[2]OUT_TransportEnergyCons!$A$4:$A$10000))*1,[2]OUT_TransportEnergyCons!H$4:H$10000)</f>
        <v>1.70617826428598E-4</v>
      </c>
      <c r="K2123" s="1" cm="1">
        <f t="array" ref="K2123">SUMPRODUCT(("var_ncap"=[2]OUT_TransportEnergyCons!$B$4:$B$10000)*1,("-"=[2]OUT_TransportEnergyCons!$C$4:$C$10000)*1,ISNUMBER(SEARCH("T_C*pev*GSL*s4",[2]OUT_TransportEnergyCons!$A$4:$A$10000))*1,[2]OUT_TransportEnergyCons!I$4:I$10000)</f>
        <v>1.4515258977582099E-4</v>
      </c>
      <c r="L2123" s="1" cm="1">
        <f t="array" ref="L2123">SUMPRODUCT(("var_ncap"=[2]OUT_TransportEnergyCons!$B$4:$B$10000)*1,("-"=[2]OUT_TransportEnergyCons!$C$4:$C$10000)*1,ISNUMBER(SEARCH("T_C*pev*GSL*s4",[2]OUT_TransportEnergyCons!$A$4:$A$10000))*1,[2]OUT_TransportEnergyCons!J$4:J$10000)</f>
        <v>1.33959710467115E-4</v>
      </c>
      <c r="N2123" s="1"/>
    </row>
    <row r="2124" spans="2:14" x14ac:dyDescent="0.35">
      <c r="B2124" s="5" t="str">
        <f t="shared" si="2115"/>
        <v>SPS1</v>
      </c>
      <c r="C2124" s="5" t="str">
        <f t="shared" si="2116"/>
        <v>CH</v>
      </c>
      <c r="D2124" t="s">
        <v>2253</v>
      </c>
      <c r="E2124" t="str">
        <f t="shared" si="2117"/>
        <v>Million</v>
      </c>
      <c r="F2124" s="1" cm="1">
        <f t="array" ref="F2124">SUMPRODUCT(("var_ncap"=[1]OUT_TransportEnergyCons!$B$4:$B$10000)*1,("-"=[1]OUT_TransportEnergyCons!$C$4:$C$10000)*1,ISNUMBER(SEARCH("T_C*pev*dsl*s1",[1]OUT_TransportEnergyCons!$A$4:$A$10000))*1,[1]OUT_TransportEnergyCons!D$4:D$10000)</f>
        <v>0</v>
      </c>
      <c r="G2124" s="1" cm="1">
        <f t="array" ref="G2124">SUMPRODUCT(("var_ncap"=[1]OUT_TransportEnergyCons!$B$4:$B$10000)*1,("-"=[1]OUT_TransportEnergyCons!$C$4:$C$10000)*1,ISNUMBER(SEARCH("T_C*pev*dsl*s1",[1]OUT_TransportEnergyCons!$A$4:$A$10000))*1,[1]OUT_TransportEnergyCons!E$4:E$10000)</f>
        <v>3.1717633294114098E-5</v>
      </c>
      <c r="H2124" s="1" cm="1">
        <f t="array" ref="H2124">SUMPRODUCT(("var_ncap"=[1]OUT_TransportEnergyCons!$B$4:$B$10000)*1,("-"=[1]OUT_TransportEnergyCons!$C$4:$C$10000)*1,ISNUMBER(SEARCH("T_C*pev*dsl*s1",[1]OUT_TransportEnergyCons!$A$4:$A$10000))*1,[1]OUT_TransportEnergyCons!F$4:F$10000)</f>
        <v>2.0980256415893502E-5</v>
      </c>
      <c r="I2124" s="1" cm="1">
        <f t="array" ref="I2124">SUMPRODUCT(("var_ncap"=[1]OUT_TransportEnergyCons!$B$4:$B$10000)*1,("-"=[1]OUT_TransportEnergyCons!$C$4:$C$10000)*1,ISNUMBER(SEARCH("T_C*pev*dsl*s1",[1]OUT_TransportEnergyCons!$A$4:$A$10000))*1,[1]OUT_TransportEnergyCons!G$4:G$10000)</f>
        <v>2.11557939796258E-5</v>
      </c>
      <c r="J2124" s="1" cm="1">
        <f t="array" ref="J2124">SUMPRODUCT(("var_ncap"=[2]OUT_TransportEnergyCons!$B$4:$B$10000)*1,("-"=[2]OUT_TransportEnergyCons!$C$4:$C$10000)*1,ISNUMBER(SEARCH("T_C*pev*dsl*s1",[2]OUT_TransportEnergyCons!$A$4:$A$10000))*1,[2]OUT_TransportEnergyCons!H$4:H$10000)</f>
        <v>6.91777465803032E-5</v>
      </c>
      <c r="K2124" s="1" cm="1">
        <f t="array" ref="K2124">SUMPRODUCT(("var_ncap"=[2]OUT_TransportEnergyCons!$B$4:$B$10000)*1,("-"=[2]OUT_TransportEnergyCons!$C$4:$C$10000)*1,ISNUMBER(SEARCH("T_C*pev*dsl*s1",[2]OUT_TransportEnergyCons!$A$4:$A$10000))*1,[2]OUT_TransportEnergyCons!I$4:I$10000)</f>
        <v>5.6387064726075303E-5</v>
      </c>
      <c r="L2124" s="1" cm="1">
        <f t="array" ref="L2124">SUMPRODUCT(("var_ncap"=[2]OUT_TransportEnergyCons!$B$4:$B$10000)*1,("-"=[2]OUT_TransportEnergyCons!$C$4:$C$10000)*1,ISNUMBER(SEARCH("T_C*pev*dsl*s1",[2]OUT_TransportEnergyCons!$A$4:$A$10000))*1,[2]OUT_TransportEnergyCons!J$4:J$10000)</f>
        <v>4.5052159281592698E-5</v>
      </c>
      <c r="N2124" s="1"/>
    </row>
    <row r="2125" spans="2:14" x14ac:dyDescent="0.35">
      <c r="B2125" s="5" t="str">
        <f t="shared" si="2115"/>
        <v>SPS1</v>
      </c>
      <c r="C2125" s="5" t="str">
        <f t="shared" si="2116"/>
        <v>CH</v>
      </c>
      <c r="D2125" t="s">
        <v>2254</v>
      </c>
      <c r="E2125" t="str">
        <f t="shared" si="2117"/>
        <v>Million</v>
      </c>
      <c r="F2125" s="1" cm="1">
        <f t="array" ref="F2125">SUMPRODUCT(("var_ncap"=[1]OUT_TransportEnergyCons!$B$4:$B$10000)*1,("-"=[1]OUT_TransportEnergyCons!$C$4:$C$10000)*1,ISNUMBER(SEARCH("T_C*pev*dsl*s2",[1]OUT_TransportEnergyCons!$A$4:$A$10000))*1,[1]OUT_TransportEnergyCons!D$4:D$10000)</f>
        <v>0</v>
      </c>
      <c r="G2125" s="1" cm="1">
        <f t="array" ref="G2125">SUMPRODUCT(("var_ncap"=[1]OUT_TransportEnergyCons!$B$4:$B$10000)*1,("-"=[1]OUT_TransportEnergyCons!$C$4:$C$10000)*1,ISNUMBER(SEARCH("T_C*pev*dsl*s2",[1]OUT_TransportEnergyCons!$A$4:$A$10000))*1,[1]OUT_TransportEnergyCons!E$4:E$10000)</f>
        <v>1.4273073511832E-5</v>
      </c>
      <c r="H2125" s="1" cm="1">
        <f t="array" ref="H2125">SUMPRODUCT(("var_ncap"=[1]OUT_TransportEnergyCons!$B$4:$B$10000)*1,("-"=[1]OUT_TransportEnergyCons!$C$4:$C$10000)*1,ISNUMBER(SEARCH("T_C*pev*dsl*s2",[1]OUT_TransportEnergyCons!$A$4:$A$10000))*1,[1]OUT_TransportEnergyCons!F$4:F$10000)</f>
        <v>3.5683927767659902E-5</v>
      </c>
      <c r="I2125" s="1" cm="1">
        <f t="array" ref="I2125">SUMPRODUCT(("var_ncap"=[1]OUT_TransportEnergyCons!$B$4:$B$10000)*1,("-"=[1]OUT_TransportEnergyCons!$C$4:$C$10000)*1,ISNUMBER(SEARCH("T_C*pev*dsl*s2",[1]OUT_TransportEnergyCons!$A$4:$A$10000))*1,[1]OUT_TransportEnergyCons!G$4:G$10000)</f>
        <v>3.7144317870447597E-5</v>
      </c>
      <c r="J2125" s="1" cm="1">
        <f t="array" ref="J2125">SUMPRODUCT(("var_ncap"=[2]OUT_TransportEnergyCons!$B$4:$B$10000)*1,("-"=[2]OUT_TransportEnergyCons!$C$4:$C$10000)*1,ISNUMBER(SEARCH("T_C*pev*dsl*s2",[2]OUT_TransportEnergyCons!$A$4:$A$10000))*1,[2]OUT_TransportEnergyCons!H$4:H$10000)</f>
        <v>2.5257409073065903E-4</v>
      </c>
      <c r="K2125" s="1" cm="1">
        <f t="array" ref="K2125">SUMPRODUCT(("var_ncap"=[2]OUT_TransportEnergyCons!$B$4:$B$10000)*1,("-"=[2]OUT_TransportEnergyCons!$C$4:$C$10000)*1,ISNUMBER(SEARCH("T_C*pev*dsl*s2",[2]OUT_TransportEnergyCons!$A$4:$A$10000))*1,[2]OUT_TransportEnergyCons!I$4:I$10000)</f>
        <v>1.4271951263099801E-4</v>
      </c>
      <c r="L2125" s="1" cm="1">
        <f t="array" ref="L2125">SUMPRODUCT(("var_ncap"=[2]OUT_TransportEnergyCons!$B$4:$B$10000)*1,("-"=[2]OUT_TransportEnergyCons!$C$4:$C$10000)*1,ISNUMBER(SEARCH("T_C*pev*dsl*s2",[2]OUT_TransportEnergyCons!$A$4:$A$10000))*1,[2]OUT_TransportEnergyCons!J$4:J$10000)</f>
        <v>1.1179224537982899E-4</v>
      </c>
      <c r="N2125" s="1"/>
    </row>
    <row r="2126" spans="2:14" x14ac:dyDescent="0.35">
      <c r="B2126" s="5" t="str">
        <f t="shared" si="2115"/>
        <v>SPS1</v>
      </c>
      <c r="C2126" s="5" t="str">
        <f t="shared" si="2116"/>
        <v>CH</v>
      </c>
      <c r="D2126" t="s">
        <v>2255</v>
      </c>
      <c r="E2126" t="str">
        <f t="shared" si="2117"/>
        <v>Million</v>
      </c>
      <c r="F2126" s="1" cm="1">
        <f t="array" ref="F2126">SUMPRODUCT(("var_ncap"=[1]OUT_TransportEnergyCons!$B$4:$B$10000)*1,("-"=[1]OUT_TransportEnergyCons!$C$4:$C$10000)*1,ISNUMBER(SEARCH("T_C*pev*dsl*s3",[1]OUT_TransportEnergyCons!$A$4:$A$10000))*1,[1]OUT_TransportEnergyCons!D$4:D$10000)</f>
        <v>0</v>
      </c>
      <c r="G2126" s="1" cm="1">
        <f t="array" ref="G2126">SUMPRODUCT(("var_ncap"=[1]OUT_TransportEnergyCons!$B$4:$B$10000)*1,("-"=[1]OUT_TransportEnergyCons!$C$4:$C$10000)*1,ISNUMBER(SEARCH("T_C*pev*dsl*s3",[1]OUT_TransportEnergyCons!$A$4:$A$10000))*1,[1]OUT_TransportEnergyCons!E$4:E$10000)</f>
        <v>6.3757420382205597E-3</v>
      </c>
      <c r="H2126" s="1" cm="1">
        <f t="array" ref="H2126">SUMPRODUCT(("var_ncap"=[1]OUT_TransportEnergyCons!$B$4:$B$10000)*1,("-"=[1]OUT_TransportEnergyCons!$C$4:$C$10000)*1,ISNUMBER(SEARCH("T_C*pev*dsl*s3",[1]OUT_TransportEnergyCons!$A$4:$A$10000))*1,[1]OUT_TransportEnergyCons!F$4:F$10000)</f>
        <v>6.3534660744775998E-2</v>
      </c>
      <c r="I2126" s="1" cm="1">
        <f t="array" ref="I2126">SUMPRODUCT(("var_ncap"=[1]OUT_TransportEnergyCons!$B$4:$B$10000)*1,("-"=[1]OUT_TransportEnergyCons!$C$4:$C$10000)*1,ISNUMBER(SEARCH("T_C*pev*dsl*s3",[1]OUT_TransportEnergyCons!$A$4:$A$10000))*1,[1]OUT_TransportEnergyCons!G$4:G$10000)</f>
        <v>0.19956563432108401</v>
      </c>
      <c r="J2126" s="1" cm="1">
        <f t="array" ref="J2126">SUMPRODUCT(("var_ncap"=[2]OUT_TransportEnergyCons!$B$4:$B$10000)*1,("-"=[2]OUT_TransportEnergyCons!$C$4:$C$10000)*1,ISNUMBER(SEARCH("T_C*pev*dsl*s3",[2]OUT_TransportEnergyCons!$A$4:$A$10000))*1,[2]OUT_TransportEnergyCons!H$4:H$10000)</f>
        <v>0.41983841220651502</v>
      </c>
      <c r="K2126" s="1" cm="1">
        <f t="array" ref="K2126">SUMPRODUCT(("var_ncap"=[2]OUT_TransportEnergyCons!$B$4:$B$10000)*1,("-"=[2]OUT_TransportEnergyCons!$C$4:$C$10000)*1,ISNUMBER(SEARCH("T_C*pev*dsl*s3",[2]OUT_TransportEnergyCons!$A$4:$A$10000))*1,[2]OUT_TransportEnergyCons!I$4:I$10000)</f>
        <v>0.201832181248052</v>
      </c>
      <c r="L2126" s="1" cm="1">
        <f t="array" ref="L2126">SUMPRODUCT(("var_ncap"=[2]OUT_TransportEnergyCons!$B$4:$B$10000)*1,("-"=[2]OUT_TransportEnergyCons!$C$4:$C$10000)*1,ISNUMBER(SEARCH("T_C*pev*dsl*s3",[2]OUT_TransportEnergyCons!$A$4:$A$10000))*1,[2]OUT_TransportEnergyCons!J$4:J$10000)</f>
        <v>0.42540622105027898</v>
      </c>
      <c r="N2126" s="1"/>
    </row>
    <row r="2127" spans="2:14" x14ac:dyDescent="0.35">
      <c r="B2127" s="5" t="str">
        <f t="shared" si="2115"/>
        <v>SPS1</v>
      </c>
      <c r="C2127" s="5" t="str">
        <f t="shared" si="2116"/>
        <v>CH</v>
      </c>
      <c r="D2127" t="s">
        <v>2256</v>
      </c>
      <c r="E2127" t="str">
        <f t="shared" si="2117"/>
        <v>Million</v>
      </c>
      <c r="F2127" s="1" cm="1">
        <f t="array" ref="F2127">SUMPRODUCT(("var_ncap"=[1]OUT_TransportEnergyCons!$B$4:$B$10000)*1,("-"=[1]OUT_TransportEnergyCons!$C$4:$C$10000)*1,ISNUMBER(SEARCH("T_C*pev*dsl*s4",[1]OUT_TransportEnergyCons!$A$4:$A$10000))*1,[1]OUT_TransportEnergyCons!D$4:D$10000)</f>
        <v>0</v>
      </c>
      <c r="G2127" s="1" cm="1">
        <f t="array" ref="G2127">SUMPRODUCT(("var_ncap"=[1]OUT_TransportEnergyCons!$B$4:$B$10000)*1,("-"=[1]OUT_TransportEnergyCons!$C$4:$C$10000)*1,ISNUMBER(SEARCH("T_C*pev*dsl*s4",[1]OUT_TransportEnergyCons!$A$4:$A$10000))*1,[1]OUT_TransportEnergyCons!E$4:E$10000)</f>
        <v>7.2657349092792399E-5</v>
      </c>
      <c r="H2127" s="1" cm="1">
        <f t="array" ref="H2127">SUMPRODUCT(("var_ncap"=[1]OUT_TransportEnergyCons!$B$4:$B$10000)*1,("-"=[1]OUT_TransportEnergyCons!$C$4:$C$10000)*1,ISNUMBER(SEARCH("T_C*pev*dsl*s4",[1]OUT_TransportEnergyCons!$A$4:$A$10000))*1,[1]OUT_TransportEnergyCons!F$4:F$10000)</f>
        <v>7.5299166933028393E-5</v>
      </c>
      <c r="I2127" s="1" cm="1">
        <f t="array" ref="I2127">SUMPRODUCT(("var_ncap"=[1]OUT_TransportEnergyCons!$B$4:$B$10000)*1,("-"=[1]OUT_TransportEnergyCons!$C$4:$C$10000)*1,ISNUMBER(SEARCH("T_C*pev*dsl*s4",[1]OUT_TransportEnergyCons!$A$4:$A$10000))*1,[1]OUT_TransportEnergyCons!G$4:G$10000)</f>
        <v>7.2329527108636895E-5</v>
      </c>
      <c r="J2127" s="1" cm="1">
        <f t="array" ref="J2127">SUMPRODUCT(("var_ncap"=[2]OUT_TransportEnergyCons!$B$4:$B$10000)*1,("-"=[2]OUT_TransportEnergyCons!$C$4:$C$10000)*1,ISNUMBER(SEARCH("T_C*pev*dsl*s4",[2]OUT_TransportEnergyCons!$A$4:$A$10000))*1,[2]OUT_TransportEnergyCons!H$4:H$10000)</f>
        <v>1.9644463557706699E-4</v>
      </c>
      <c r="K2127" s="1" cm="1">
        <f t="array" ref="K2127">SUMPRODUCT(("var_ncap"=[2]OUT_TransportEnergyCons!$B$4:$B$10000)*1,("-"=[2]OUT_TransportEnergyCons!$C$4:$C$10000)*1,ISNUMBER(SEARCH("T_C*pev*dsl*s4",[2]OUT_TransportEnergyCons!$A$4:$A$10000))*1,[2]OUT_TransportEnergyCons!I$4:I$10000)</f>
        <v>1.39464234909985E-4</v>
      </c>
      <c r="L2127" s="1" cm="1">
        <f t="array" ref="L2127">SUMPRODUCT(("var_ncap"=[2]OUT_TransportEnergyCons!$B$4:$B$10000)*1,("-"=[2]OUT_TransportEnergyCons!$C$4:$C$10000)*1,ISNUMBER(SEARCH("T_C*pev*dsl*s4",[2]OUT_TransportEnergyCons!$A$4:$A$10000))*1,[2]OUT_TransportEnergyCons!J$4:J$10000)</f>
        <v>1.28883540016709E-4</v>
      </c>
      <c r="N2127" s="1"/>
    </row>
    <row r="2128" spans="2:14" x14ac:dyDescent="0.35">
      <c r="B2128" s="5" t="str">
        <f t="shared" si="2115"/>
        <v>SPS1</v>
      </c>
      <c r="C2128" s="5" t="str">
        <f t="shared" si="2116"/>
        <v>CH</v>
      </c>
      <c r="D2128" t="s">
        <v>2257</v>
      </c>
      <c r="E2128" t="str">
        <f t="shared" si="2117"/>
        <v>Million</v>
      </c>
      <c r="F2128" s="1" cm="1">
        <f t="array" ref="F2128">SUMPRODUCT(("var_ncap"=[1]OUT_TransportEnergyCons!$B$4:$B$10000)*1,("-"=[1]OUT_TransportEnergyCons!$C$4:$C$10000)*1,ISNUMBER(SEARCH("T_C*h2o*s1",[1]OUT_TransportEnergyCons!$A$4:$A$10000))*1,[1]OUT_TransportEnergyCons!D$4:D$10000)</f>
        <v>0</v>
      </c>
      <c r="G2128" s="1" cm="1">
        <f t="array" ref="G2128">SUMPRODUCT(("var_ncap"=[1]OUT_TransportEnergyCons!$B$4:$B$10000)*1,("-"=[1]OUT_TransportEnergyCons!$C$4:$C$10000)*1,ISNUMBER(SEARCH("T_C*h2o*s1",[1]OUT_TransportEnergyCons!$A$4:$A$10000))*1,[1]OUT_TransportEnergyCons!E$4:E$10000)</f>
        <v>7.8442126539215298E-7</v>
      </c>
      <c r="H2128" s="1" cm="1">
        <f t="array" ref="H2128">SUMPRODUCT(("var_ncap"=[1]OUT_TransportEnergyCons!$B$4:$B$10000)*1,("-"=[1]OUT_TransportEnergyCons!$C$4:$C$10000)*1,ISNUMBER(SEARCH("T_C*h2o*s1",[1]OUT_TransportEnergyCons!$A$4:$A$10000))*1,[1]OUT_TransportEnergyCons!F$4:F$10000)</f>
        <v>4.4699859529681401E-7</v>
      </c>
      <c r="I2128" s="1" cm="1">
        <f t="array" ref="I2128">SUMPRODUCT(("var_ncap"=[1]OUT_TransportEnergyCons!$B$4:$B$10000)*1,("-"=[1]OUT_TransportEnergyCons!$C$4:$C$10000)*1,ISNUMBER(SEARCH("T_C*h2o*s1",[1]OUT_TransportEnergyCons!$A$4:$A$10000))*1,[1]OUT_TransportEnergyCons!G$4:G$10000)</f>
        <v>1.6284337777524901E-7</v>
      </c>
      <c r="J2128" s="1" cm="1">
        <f t="array" ref="J2128">SUMPRODUCT(("var_ncap"=[2]OUT_TransportEnergyCons!$B$4:$B$10000)*1,("-"=[2]OUT_TransportEnergyCons!$C$4:$C$10000)*1,ISNUMBER(SEARCH("T_C*h2o*s1",[2]OUT_TransportEnergyCons!$A$4:$A$10000))*1,[2]OUT_TransportEnergyCons!H$4:H$10000)</f>
        <v>3.1449340041422802E-7</v>
      </c>
      <c r="K2128" s="1" cm="1">
        <f t="array" ref="K2128">SUMPRODUCT(("var_ncap"=[2]OUT_TransportEnergyCons!$B$4:$B$10000)*1,("-"=[2]OUT_TransportEnergyCons!$C$4:$C$10000)*1,ISNUMBER(SEARCH("T_C*h2o*s1",[2]OUT_TransportEnergyCons!$A$4:$A$10000))*1,[2]OUT_TransportEnergyCons!I$4:I$10000)</f>
        <v>4.7903277066188897E-7</v>
      </c>
      <c r="L2128" s="1" cm="1">
        <f t="array" ref="L2128">SUMPRODUCT(("var_ncap"=[2]OUT_TransportEnergyCons!$B$4:$B$10000)*1,("-"=[2]OUT_TransportEnergyCons!$C$4:$C$10000)*1,ISNUMBER(SEARCH("T_C*h2o*s1",[2]OUT_TransportEnergyCons!$A$4:$A$10000))*1,[2]OUT_TransportEnergyCons!J$4:J$10000)</f>
        <v>5.3193086714711903E-7</v>
      </c>
      <c r="N2128" s="1"/>
    </row>
    <row r="2129" spans="2:14" x14ac:dyDescent="0.35">
      <c r="B2129" s="5" t="str">
        <f t="shared" si="2115"/>
        <v>SPS1</v>
      </c>
      <c r="C2129" s="5" t="str">
        <f t="shared" si="2116"/>
        <v>CH</v>
      </c>
      <c r="D2129" t="s">
        <v>2258</v>
      </c>
      <c r="E2129" t="str">
        <f t="shared" si="2117"/>
        <v>Million</v>
      </c>
      <c r="F2129" s="1" cm="1">
        <f t="array" ref="F2129">SUMPRODUCT(("var_ncap"=[1]OUT_TransportEnergyCons!$B$4:$B$10000)*1,("-"=[1]OUT_TransportEnergyCons!$C$4:$C$10000)*1,ISNUMBER(SEARCH("T_C*h2o*s2",[1]OUT_TransportEnergyCons!$A$4:$A$10000))*1,[1]OUT_TransportEnergyCons!D$4:D$10000)</f>
        <v>0</v>
      </c>
      <c r="G2129" s="1" cm="1">
        <f t="array" ref="G2129">SUMPRODUCT(("var_ncap"=[1]OUT_TransportEnergyCons!$B$4:$B$10000)*1,("-"=[1]OUT_TransportEnergyCons!$C$4:$C$10000)*1,ISNUMBER(SEARCH("T_C*h2o*s2",[1]OUT_TransportEnergyCons!$A$4:$A$10000))*1,[1]OUT_TransportEnergyCons!E$4:E$10000)</f>
        <v>3.7401685092293702E-7</v>
      </c>
      <c r="H2129" s="1" cm="1">
        <f t="array" ref="H2129">SUMPRODUCT(("var_ncap"=[1]OUT_TransportEnergyCons!$B$4:$B$10000)*1,("-"=[1]OUT_TransportEnergyCons!$C$4:$C$10000)*1,ISNUMBER(SEARCH("T_C*h2o*s2",[1]OUT_TransportEnergyCons!$A$4:$A$10000))*1,[1]OUT_TransportEnergyCons!F$4:F$10000)</f>
        <v>3.2842977866207698E-7</v>
      </c>
      <c r="I2129" s="1" cm="1">
        <f t="array" ref="I2129">SUMPRODUCT(("var_ncap"=[1]OUT_TransportEnergyCons!$B$4:$B$10000)*1,("-"=[1]OUT_TransportEnergyCons!$C$4:$C$10000)*1,ISNUMBER(SEARCH("T_C*h2o*s2",[1]OUT_TransportEnergyCons!$A$4:$A$10000))*1,[1]OUT_TransportEnergyCons!G$4:G$10000)</f>
        <v>1.71138081952067E-7</v>
      </c>
      <c r="J2129" s="1" cm="1">
        <f t="array" ref="J2129">SUMPRODUCT(("var_ncap"=[2]OUT_TransportEnergyCons!$B$4:$B$10000)*1,("-"=[2]OUT_TransportEnergyCons!$C$4:$C$10000)*1,ISNUMBER(SEARCH("T_C*h2o*s2",[2]OUT_TransportEnergyCons!$A$4:$A$10000))*1,[2]OUT_TransportEnergyCons!H$4:H$10000)</f>
        <v>2.9481687065977103E-7</v>
      </c>
      <c r="K2129" s="1" cm="1">
        <f t="array" ref="K2129">SUMPRODUCT(("var_ncap"=[2]OUT_TransportEnergyCons!$B$4:$B$10000)*1,("-"=[2]OUT_TransportEnergyCons!$C$4:$C$10000)*1,ISNUMBER(SEARCH("T_C*h2o*s2",[2]OUT_TransportEnergyCons!$A$4:$A$10000))*1,[2]OUT_TransportEnergyCons!I$4:I$10000)</f>
        <v>4.3552940861961001E-7</v>
      </c>
      <c r="L2129" s="1" cm="1">
        <f t="array" ref="L2129">SUMPRODUCT(("var_ncap"=[2]OUT_TransportEnergyCons!$B$4:$B$10000)*1,("-"=[2]OUT_TransportEnergyCons!$C$4:$C$10000)*1,ISNUMBER(SEARCH("T_C*h2o*s2",[2]OUT_TransportEnergyCons!$A$4:$A$10000))*1,[2]OUT_TransportEnergyCons!J$4:J$10000)</f>
        <v>5.5729858714496503E-7</v>
      </c>
      <c r="N2129" s="1"/>
    </row>
    <row r="2130" spans="2:14" x14ac:dyDescent="0.35">
      <c r="B2130" s="5" t="str">
        <f t="shared" si="2115"/>
        <v>SPS1</v>
      </c>
      <c r="C2130" s="5" t="str">
        <f t="shared" si="2116"/>
        <v>CH</v>
      </c>
      <c r="D2130" t="s">
        <v>2259</v>
      </c>
      <c r="E2130" t="str">
        <f t="shared" si="2117"/>
        <v>Million</v>
      </c>
      <c r="F2130" s="1" cm="1">
        <f t="array" ref="F2130">SUMPRODUCT(("var_ncap"=[1]OUT_TransportEnergyCons!$B$4:$B$10000)*1,("-"=[1]OUT_TransportEnergyCons!$C$4:$C$10000)*1,ISNUMBER(SEARCH("T_C*h2o*s3",[1]OUT_TransportEnergyCons!$A$4:$A$10000))*1,[1]OUT_TransportEnergyCons!D$4:D$10000)</f>
        <v>0</v>
      </c>
      <c r="G2130" s="1" cm="1">
        <f t="array" ref="G2130">SUMPRODUCT(("var_ncap"=[1]OUT_TransportEnergyCons!$B$4:$B$10000)*1,("-"=[1]OUT_TransportEnergyCons!$C$4:$C$10000)*1,ISNUMBER(SEARCH("T_C*h2o*s3",[1]OUT_TransportEnergyCons!$A$4:$A$10000))*1,[1]OUT_TransportEnergyCons!E$4:E$10000)</f>
        <v>3.4213048855635202E-7</v>
      </c>
      <c r="H2130" s="1" cm="1">
        <f t="array" ref="H2130">SUMPRODUCT(("var_ncap"=[1]OUT_TransportEnergyCons!$B$4:$B$10000)*1,("-"=[1]OUT_TransportEnergyCons!$C$4:$C$10000)*1,ISNUMBER(SEARCH("T_C*h2o*s3",[1]OUT_TransportEnergyCons!$A$4:$A$10000))*1,[1]OUT_TransportEnergyCons!F$4:F$10000)</f>
        <v>2.5914254864433299E-7</v>
      </c>
      <c r="I2130" s="1" cm="1">
        <f t="array" ref="I2130">SUMPRODUCT(("var_ncap"=[1]OUT_TransportEnergyCons!$B$4:$B$10000)*1,("-"=[1]OUT_TransportEnergyCons!$C$4:$C$10000)*1,ISNUMBER(SEARCH("T_C*h2o*s3",[1]OUT_TransportEnergyCons!$A$4:$A$10000))*1,[1]OUT_TransportEnergyCons!G$4:G$10000)</f>
        <v>1.5931161361487799E-7</v>
      </c>
      <c r="J2130" s="1" cm="1">
        <f t="array" ref="J2130">SUMPRODUCT(("var_ncap"=[2]OUT_TransportEnergyCons!$B$4:$B$10000)*1,("-"=[2]OUT_TransportEnergyCons!$C$4:$C$10000)*1,ISNUMBER(SEARCH("T_C*h2o*s3",[2]OUT_TransportEnergyCons!$A$4:$A$10000))*1,[2]OUT_TransportEnergyCons!H$4:H$10000)</f>
        <v>2.5301175385847702E-7</v>
      </c>
      <c r="K2130" s="1" cm="1">
        <f t="array" ref="K2130">SUMPRODUCT(("var_ncap"=[2]OUT_TransportEnergyCons!$B$4:$B$10000)*1,("-"=[2]OUT_TransportEnergyCons!$C$4:$C$10000)*1,ISNUMBER(SEARCH("T_C*h2o*s3",[2]OUT_TransportEnergyCons!$A$4:$A$10000))*1,[2]OUT_TransportEnergyCons!I$4:I$10000)</f>
        <v>4.0249530787401702E-7</v>
      </c>
      <c r="L2130" s="1" cm="1">
        <f t="array" ref="L2130">SUMPRODUCT(("var_ncap"=[2]OUT_TransportEnergyCons!$B$4:$B$10000)*1,("-"=[2]OUT_TransportEnergyCons!$C$4:$C$10000)*1,ISNUMBER(SEARCH("T_C*h2o*s3",[2]OUT_TransportEnergyCons!$A$4:$A$10000))*1,[2]OUT_TransportEnergyCons!J$4:J$10000)</f>
        <v>5.60721055415877E-7</v>
      </c>
      <c r="N2130" s="1"/>
    </row>
    <row r="2131" spans="2:14" x14ac:dyDescent="0.35">
      <c r="B2131" s="5" t="str">
        <f t="shared" si="2115"/>
        <v>SPS1</v>
      </c>
      <c r="C2131" s="5" t="str">
        <f t="shared" si="2116"/>
        <v>CH</v>
      </c>
      <c r="D2131" t="s">
        <v>2260</v>
      </c>
      <c r="E2131" t="str">
        <f t="shared" si="2117"/>
        <v>Million</v>
      </c>
      <c r="F2131" s="1" cm="1">
        <f t="array" ref="F2131">SUMPRODUCT(("var_ncap"=[1]OUT_TransportEnergyCons!$B$4:$B$10000)*1,("-"=[1]OUT_TransportEnergyCons!$C$4:$C$10000)*1,ISNUMBER(SEARCH("T_C*h2o*s4",[1]OUT_TransportEnergyCons!$A$4:$A$10000))*1,[1]OUT_TransportEnergyCons!D$4:D$10000)</f>
        <v>0</v>
      </c>
      <c r="G2131" s="1" cm="1">
        <f t="array" ref="G2131">SUMPRODUCT(("var_ncap"=[1]OUT_TransportEnergyCons!$B$4:$B$10000)*1,("-"=[1]OUT_TransportEnergyCons!$C$4:$C$10000)*1,ISNUMBER(SEARCH("T_C*h2o*s4",[1]OUT_TransportEnergyCons!$A$4:$A$10000))*1,[1]OUT_TransportEnergyCons!E$4:E$10000)</f>
        <v>3.9544992673156601E-7</v>
      </c>
      <c r="H2131" s="1" cm="1">
        <f t="array" ref="H2131">SUMPRODUCT(("var_ncap"=[1]OUT_TransportEnergyCons!$B$4:$B$10000)*1,("-"=[1]OUT_TransportEnergyCons!$C$4:$C$10000)*1,ISNUMBER(SEARCH("T_C*h2o*s4",[1]OUT_TransportEnergyCons!$A$4:$A$10000))*1,[1]OUT_TransportEnergyCons!F$4:F$10000)</f>
        <v>3.1487724906241801E-7</v>
      </c>
      <c r="I2131" s="1" cm="1">
        <f t="array" ref="I2131">SUMPRODUCT(("var_ncap"=[1]OUT_TransportEnergyCons!$B$4:$B$10000)*1,("-"=[1]OUT_TransportEnergyCons!$C$4:$C$10000)*1,ISNUMBER(SEARCH("T_C*h2o*s4",[1]OUT_TransportEnergyCons!$A$4:$A$10000))*1,[1]OUT_TransportEnergyCons!G$4:G$10000)</f>
        <v>1.6102370325341101E-7</v>
      </c>
      <c r="J2131" s="1" cm="1">
        <f t="array" ref="J2131">SUMPRODUCT(("var_ncap"=[2]OUT_TransportEnergyCons!$B$4:$B$10000)*1,("-"=[2]OUT_TransportEnergyCons!$C$4:$C$10000)*1,ISNUMBER(SEARCH("T_C*h2o*s4",[2]OUT_TransportEnergyCons!$A$4:$A$10000))*1,[2]OUT_TransportEnergyCons!H$4:H$10000)</f>
        <v>2.8149851536855498E-7</v>
      </c>
      <c r="K2131" s="1" cm="1">
        <f t="array" ref="K2131">SUMPRODUCT(("var_ncap"=[2]OUT_TransportEnergyCons!$B$4:$B$10000)*1,("-"=[2]OUT_TransportEnergyCons!$C$4:$C$10000)*1,ISNUMBER(SEARCH("T_C*h2o*s4",[2]OUT_TransportEnergyCons!$A$4:$A$10000))*1,[2]OUT_TransportEnergyCons!I$4:I$10000)</f>
        <v>4.31344265673247E-7</v>
      </c>
      <c r="L2131" s="1" cm="1">
        <f t="array" ref="L2131">SUMPRODUCT(("var_ncap"=[2]OUT_TransportEnergyCons!$B$4:$B$10000)*1,("-"=[2]OUT_TransportEnergyCons!$C$4:$C$10000)*1,ISNUMBER(SEARCH("T_C*h2o*s4",[2]OUT_TransportEnergyCons!$A$4:$A$10000))*1,[2]OUT_TransportEnergyCons!J$4:J$10000)</f>
        <v>5.8978332921912704E-7</v>
      </c>
      <c r="N2131" s="1"/>
    </row>
    <row r="2132" spans="2:14" x14ac:dyDescent="0.35">
      <c r="B2132" s="5" t="str">
        <f t="shared" si="2115"/>
        <v>SPS1</v>
      </c>
      <c r="C2132" s="5" t="str">
        <f t="shared" si="2116"/>
        <v>CH</v>
      </c>
      <c r="D2132" t="s">
        <v>2261</v>
      </c>
      <c r="E2132" t="str">
        <f t="shared" si="2117"/>
        <v>Million</v>
      </c>
      <c r="F2132" s="1" cm="1">
        <f t="array" ref="F2132">SUMPRODUCT(("var_ncap"=[1]OUT_TransportEnergyCons!$B$4:$B$10000)*1,("-"=[1]OUT_TransportEnergyCons!$C$4:$C$10000)*1,ISNUMBER(SEARCH("T_C*hy*GSL*ext",[1]OUT_TransportEnergyCons!$A$4:$A$10000))*1,[1]OUT_TransportEnergyCons!D$4:D$10000)</f>
        <v>0</v>
      </c>
      <c r="G2132" s="1" cm="1">
        <f t="array" ref="G2132">SUMPRODUCT(("var_ncap"=[1]OUT_TransportEnergyCons!$B$4:$B$10000)*1,("-"=[1]OUT_TransportEnergyCons!$C$4:$C$10000)*1,ISNUMBER(SEARCH("T_C*hy*GSL*ext",[1]OUT_TransportEnergyCons!$A$4:$A$10000))*1,[1]OUT_TransportEnergyCons!E$4:E$10000)</f>
        <v>0</v>
      </c>
      <c r="H2132" s="1" cm="1">
        <f t="array" ref="H2132">SUMPRODUCT(("var_ncap"=[1]OUT_TransportEnergyCons!$B$4:$B$10000)*1,("-"=[1]OUT_TransportEnergyCons!$C$4:$C$10000)*1,ISNUMBER(SEARCH("T_C*hy*GSL*ext",[1]OUT_TransportEnergyCons!$A$4:$A$10000))*1,[1]OUT_TransportEnergyCons!F$4:F$10000)</f>
        <v>0</v>
      </c>
      <c r="I2132" s="1" cm="1">
        <f t="array" ref="I2132">SUMPRODUCT(("var_ncap"=[1]OUT_TransportEnergyCons!$B$4:$B$10000)*1,("-"=[1]OUT_TransportEnergyCons!$C$4:$C$10000)*1,ISNUMBER(SEARCH("T_C*hy*GSL*ext",[1]OUT_TransportEnergyCons!$A$4:$A$10000))*1,[1]OUT_TransportEnergyCons!G$4:G$10000)</f>
        <v>0</v>
      </c>
      <c r="J2132" s="1" cm="1">
        <f t="array" ref="J2132">SUMPRODUCT(("var_ncap"=[2]OUT_TransportEnergyCons!$B$4:$B$10000)*1,("-"=[2]OUT_TransportEnergyCons!$C$4:$C$10000)*1,ISNUMBER(SEARCH("T_C*hy*GSL*ext",[2]OUT_TransportEnergyCons!$A$4:$A$10000))*1,[2]OUT_TransportEnergyCons!H$4:H$10000)</f>
        <v>0</v>
      </c>
      <c r="K2132" s="1" cm="1">
        <f t="array" ref="K2132">SUMPRODUCT(("var_ncap"=[2]OUT_TransportEnergyCons!$B$4:$B$10000)*1,("-"=[2]OUT_TransportEnergyCons!$C$4:$C$10000)*1,ISNUMBER(SEARCH("T_C*hy*GSL*ext",[2]OUT_TransportEnergyCons!$A$4:$A$10000))*1,[2]OUT_TransportEnergyCons!I$4:I$10000)</f>
        <v>0</v>
      </c>
      <c r="L2132" s="1" cm="1">
        <f t="array" ref="L2132">SUMPRODUCT(("var_ncap"=[2]OUT_TransportEnergyCons!$B$4:$B$10000)*1,("-"=[2]OUT_TransportEnergyCons!$C$4:$C$10000)*1,ISNUMBER(SEARCH("T_C*hy*GSL*ext",[2]OUT_TransportEnergyCons!$A$4:$A$10000))*1,[2]OUT_TransportEnergyCons!J$4:J$10000)</f>
        <v>0</v>
      </c>
      <c r="N2132" s="1"/>
    </row>
    <row r="2133" spans="2:14" x14ac:dyDescent="0.35">
      <c r="B2133" s="5" t="str">
        <f t="shared" si="2115"/>
        <v>SPS1</v>
      </c>
      <c r="C2133" s="5" t="str">
        <f t="shared" si="2116"/>
        <v>CH</v>
      </c>
      <c r="D2133" t="s">
        <v>2262</v>
      </c>
      <c r="E2133" t="str">
        <f t="shared" si="2117"/>
        <v>Million</v>
      </c>
      <c r="F2133" s="1" cm="1">
        <f t="array" ref="F2133">SUMPRODUCT(("var_ncap"=[1]OUT_TransportEnergyCons!$B$4:$B$10000)*1,("-"=[1]OUT_TransportEnergyCons!$C$4:$C$10000)*1,ISNUMBER(SEARCH("T_C*hy*GSL*s1",[1]OUT_TransportEnergyCons!$A$4:$A$10000))*1,[1]OUT_TransportEnergyCons!D$4:D$10000)</f>
        <v>0</v>
      </c>
      <c r="G2133" s="1" cm="1">
        <f t="array" ref="G2133">SUMPRODUCT(("var_ncap"=[1]OUT_TransportEnergyCons!$B$4:$B$10000)*1,("-"=[1]OUT_TransportEnergyCons!$C$4:$C$10000)*1,ISNUMBER(SEARCH("T_C*hy*GSL*s1",[1]OUT_TransportEnergyCons!$A$4:$A$10000))*1,[1]OUT_TransportEnergyCons!E$4:E$10000)</f>
        <v>5.5239217151309037E-5</v>
      </c>
      <c r="H2133" s="1" cm="1">
        <f t="array" ref="H2133">SUMPRODUCT(("var_ncap"=[1]OUT_TransportEnergyCons!$B$4:$B$10000)*1,("-"=[1]OUT_TransportEnergyCons!$C$4:$C$10000)*1,ISNUMBER(SEARCH("T_C*hy*GSL*s1",[1]OUT_TransportEnergyCons!$A$4:$A$10000))*1,[1]OUT_TransportEnergyCons!F$4:F$10000)</f>
        <v>6.2332708865337806E-5</v>
      </c>
      <c r="I2133" s="1" cm="1">
        <f t="array" ref="I2133">SUMPRODUCT(("var_ncap"=[1]OUT_TransportEnergyCons!$B$4:$B$10000)*1,("-"=[1]OUT_TransportEnergyCons!$C$4:$C$10000)*1,ISNUMBER(SEARCH("T_C*hy*GSL*s1",[1]OUT_TransportEnergyCons!$A$4:$A$10000))*1,[1]OUT_TransportEnergyCons!G$4:G$10000)</f>
        <v>2.9497261296360915E-2</v>
      </c>
      <c r="J2133" s="1" cm="1">
        <f t="array" ref="J2133">SUMPRODUCT(("var_ncap"=[2]OUT_TransportEnergyCons!$B$4:$B$10000)*1,("-"=[2]OUT_TransportEnergyCons!$C$4:$C$10000)*1,ISNUMBER(SEARCH("T_C*hy*GSL*s1",[2]OUT_TransportEnergyCons!$A$4:$A$10000))*1,[2]OUT_TransportEnergyCons!H$4:H$10000)</f>
        <v>0.13492338450954017</v>
      </c>
      <c r="K2133" s="1" cm="1">
        <f t="array" ref="K2133">SUMPRODUCT(("var_ncap"=[2]OUT_TransportEnergyCons!$B$4:$B$10000)*1,("-"=[2]OUT_TransportEnergyCons!$C$4:$C$10000)*1,ISNUMBER(SEARCH("T_C*hy*GSL*s1",[2]OUT_TransportEnergyCons!$A$4:$A$10000))*1,[2]OUT_TransportEnergyCons!I$4:I$10000)</f>
        <v>0.12700216106317577</v>
      </c>
      <c r="L2133" s="1" cm="1">
        <f t="array" ref="L2133">SUMPRODUCT(("var_ncap"=[2]OUT_TransportEnergyCons!$B$4:$B$10000)*1,("-"=[2]OUT_TransportEnergyCons!$C$4:$C$10000)*1,ISNUMBER(SEARCH("T_C*hy*GSL*s1",[2]OUT_TransportEnergyCons!$A$4:$A$10000))*1,[2]OUT_TransportEnergyCons!J$4:J$10000)</f>
        <v>1.3552971976271919E-4</v>
      </c>
      <c r="N2133" s="1"/>
    </row>
    <row r="2134" spans="2:14" x14ac:dyDescent="0.35">
      <c r="B2134" s="5" t="str">
        <f t="shared" si="2115"/>
        <v>SPS1</v>
      </c>
      <c r="C2134" s="5" t="str">
        <f t="shared" si="2116"/>
        <v>CH</v>
      </c>
      <c r="D2134" t="s">
        <v>2263</v>
      </c>
      <c r="E2134" t="str">
        <f t="shared" si="2117"/>
        <v>Million</v>
      </c>
      <c r="F2134" s="1" cm="1">
        <f t="array" ref="F2134">SUMPRODUCT(("var_ncap"=[1]OUT_TransportEnergyCons!$B$4:$B$10000)*1,("-"=[1]OUT_TransportEnergyCons!$C$4:$C$10000)*1,ISNUMBER(SEARCH("T_C*hy*GSL*s2",[1]OUT_TransportEnergyCons!$A$4:$A$10000))*1,[1]OUT_TransportEnergyCons!D$4:D$10000)</f>
        <v>0</v>
      </c>
      <c r="G2134" s="1" cm="1">
        <f t="array" ref="G2134">SUMPRODUCT(("var_ncap"=[1]OUT_TransportEnergyCons!$B$4:$B$10000)*1,("-"=[1]OUT_TransportEnergyCons!$C$4:$C$10000)*1,ISNUMBER(SEARCH("T_C*hy*GSL*s2",[1]OUT_TransportEnergyCons!$A$4:$A$10000))*1,[1]OUT_TransportEnergyCons!E$4:E$10000)</f>
        <v>2.70620925410707E-4</v>
      </c>
      <c r="H2134" s="1" cm="1">
        <f t="array" ref="H2134">SUMPRODUCT(("var_ncap"=[1]OUT_TransportEnergyCons!$B$4:$B$10000)*1,("-"=[1]OUT_TransportEnergyCons!$C$4:$C$10000)*1,ISNUMBER(SEARCH("T_C*hy*GSL*s2",[1]OUT_TransportEnergyCons!$A$4:$A$10000))*1,[1]OUT_TransportEnergyCons!F$4:F$10000)</f>
        <v>7.9771266607592387E-2</v>
      </c>
      <c r="I2134" s="1" cm="1">
        <f t="array" ref="I2134">SUMPRODUCT(("var_ncap"=[1]OUT_TransportEnergyCons!$B$4:$B$10000)*1,("-"=[1]OUT_TransportEnergyCons!$C$4:$C$10000)*1,ISNUMBER(SEARCH("T_C*hy*GSL*s2",[1]OUT_TransportEnergyCons!$A$4:$A$10000))*1,[1]OUT_TransportEnergyCons!G$4:G$10000)</f>
        <v>3.5060070603349806E-5</v>
      </c>
      <c r="J2134" s="1" cm="1">
        <f t="array" ref="J2134">SUMPRODUCT(("var_ncap"=[2]OUT_TransportEnergyCons!$B$4:$B$10000)*1,("-"=[2]OUT_TransportEnergyCons!$C$4:$C$10000)*1,ISNUMBER(SEARCH("T_C*hy*GSL*s2",[2]OUT_TransportEnergyCons!$A$4:$A$10000))*1,[2]OUT_TransportEnergyCons!H$4:H$10000)</f>
        <v>3.5008581321668487E-2</v>
      </c>
      <c r="K2134" s="1" cm="1">
        <f t="array" ref="K2134">SUMPRODUCT(("var_ncap"=[2]OUT_TransportEnergyCons!$B$4:$B$10000)*1,("-"=[2]OUT_TransportEnergyCons!$C$4:$C$10000)*1,ISNUMBER(SEARCH("T_C*hy*GSL*s2",[2]OUT_TransportEnergyCons!$A$4:$A$10000))*1,[2]OUT_TransportEnergyCons!I$4:I$10000)</f>
        <v>2.4346918577962131E-3</v>
      </c>
      <c r="L2134" s="1" cm="1">
        <f t="array" ref="L2134">SUMPRODUCT(("var_ncap"=[2]OUT_TransportEnergyCons!$B$4:$B$10000)*1,("-"=[2]OUT_TransportEnergyCons!$C$4:$C$10000)*1,ISNUMBER(SEARCH("T_C*hy*GSL*s2",[2]OUT_TransportEnergyCons!$A$4:$A$10000))*1,[2]OUT_TransportEnergyCons!J$4:J$10000)</f>
        <v>0.19229877287085553</v>
      </c>
      <c r="N2134" s="1"/>
    </row>
    <row r="2135" spans="2:14" x14ac:dyDescent="0.35">
      <c r="B2135" s="5" t="str">
        <f t="shared" si="2115"/>
        <v>SPS1</v>
      </c>
      <c r="C2135" s="5" t="str">
        <f t="shared" si="2116"/>
        <v>CH</v>
      </c>
      <c r="D2135" t="s">
        <v>2264</v>
      </c>
      <c r="E2135" t="str">
        <f t="shared" si="2117"/>
        <v>Million</v>
      </c>
      <c r="F2135" s="1" cm="1">
        <f t="array" ref="F2135">SUMPRODUCT(("var_ncap"=[1]OUT_TransportEnergyCons!$B$4:$B$10000)*1,("-"=[1]OUT_TransportEnergyCons!$C$4:$C$10000)*1,ISNUMBER(SEARCH("T_C*hy*GSL*s3",[1]OUT_TransportEnergyCons!$A$4:$A$10000))*1,[1]OUT_TransportEnergyCons!D$4:D$10000)</f>
        <v>0</v>
      </c>
      <c r="G2135" s="1" cm="1">
        <f t="array" ref="G2135">SUMPRODUCT(("var_ncap"=[1]OUT_TransportEnergyCons!$B$4:$B$10000)*1,("-"=[1]OUT_TransportEnergyCons!$C$4:$C$10000)*1,ISNUMBER(SEARCH("T_C*hy*GSL*s3",[1]OUT_TransportEnergyCons!$A$4:$A$10000))*1,[1]OUT_TransportEnergyCons!E$4:E$10000)</f>
        <v>0.18918012646708368</v>
      </c>
      <c r="H2135" s="1" cm="1">
        <f t="array" ref="H2135">SUMPRODUCT(("var_ncap"=[1]OUT_TransportEnergyCons!$B$4:$B$10000)*1,("-"=[1]OUT_TransportEnergyCons!$C$4:$C$10000)*1,ISNUMBER(SEARCH("T_C*hy*GSL*s3",[1]OUT_TransportEnergyCons!$A$4:$A$10000))*1,[1]OUT_TransportEnergyCons!F$4:F$10000)</f>
        <v>2.4988673671372801E-5</v>
      </c>
      <c r="I2135" s="1" cm="1">
        <f t="array" ref="I2135">SUMPRODUCT(("var_ncap"=[1]OUT_TransportEnergyCons!$B$4:$B$10000)*1,("-"=[1]OUT_TransportEnergyCons!$C$4:$C$10000)*1,ISNUMBER(SEARCH("T_C*hy*GSL*s3",[1]OUT_TransportEnergyCons!$A$4:$A$10000))*1,[1]OUT_TransportEnergyCons!G$4:G$10000)</f>
        <v>1.648579674168238E-5</v>
      </c>
      <c r="J2135" s="1" cm="1">
        <f t="array" ref="J2135">SUMPRODUCT(("var_ncap"=[2]OUT_TransportEnergyCons!$B$4:$B$10000)*1,("-"=[2]OUT_TransportEnergyCons!$C$4:$C$10000)*1,ISNUMBER(SEARCH("T_C*hy*GSL*s3",[2]OUT_TransportEnergyCons!$A$4:$A$10000))*1,[2]OUT_TransportEnergyCons!H$4:H$10000)</f>
        <v>8.7446552697292694E-5</v>
      </c>
      <c r="K2135" s="1" cm="1">
        <f t="array" ref="K2135">SUMPRODUCT(("var_ncap"=[2]OUT_TransportEnergyCons!$B$4:$B$10000)*1,("-"=[2]OUT_TransportEnergyCons!$C$4:$C$10000)*1,ISNUMBER(SEARCH("T_C*hy*GSL*s3",[2]OUT_TransportEnergyCons!$A$4:$A$10000))*1,[2]OUT_TransportEnergyCons!I$4:I$10000)</f>
        <v>6.7219715064083203E-5</v>
      </c>
      <c r="L2135" s="1" cm="1">
        <f t="array" ref="L2135">SUMPRODUCT(("var_ncap"=[2]OUT_TransportEnergyCons!$B$4:$B$10000)*1,("-"=[2]OUT_TransportEnergyCons!$C$4:$C$10000)*1,ISNUMBER(SEARCH("T_C*hy*GSL*s3",[2]OUT_TransportEnergyCons!$A$4:$A$10000))*1,[2]OUT_TransportEnergyCons!J$4:J$10000)</f>
        <v>4.4392874543590199E-5</v>
      </c>
      <c r="N2135" s="1"/>
    </row>
    <row r="2136" spans="2:14" x14ac:dyDescent="0.35">
      <c r="B2136" s="5" t="str">
        <f t="shared" si="2115"/>
        <v>SPS1</v>
      </c>
      <c r="C2136" s="5" t="str">
        <f t="shared" si="2116"/>
        <v>CH</v>
      </c>
      <c r="D2136" t="s">
        <v>2265</v>
      </c>
      <c r="E2136" t="str">
        <f t="shared" si="2117"/>
        <v>Million</v>
      </c>
      <c r="F2136" s="1" cm="1">
        <f t="array" ref="F2136">SUMPRODUCT(("var_ncap"=[1]OUT_TransportEnergyCons!$B$4:$B$10000)*1,("-"=[1]OUT_TransportEnergyCons!$C$4:$C$10000)*1,ISNUMBER(SEARCH("T_C*hy*GSL*s4",[1]OUT_TransportEnergyCons!$A$4:$A$10000))*1,[1]OUT_TransportEnergyCons!D$4:D$10000)</f>
        <v>0</v>
      </c>
      <c r="G2136" s="1" cm="1">
        <f t="array" ref="G2136">SUMPRODUCT(("var_ncap"=[1]OUT_TransportEnergyCons!$B$4:$B$10000)*1,("-"=[1]OUT_TransportEnergyCons!$C$4:$C$10000)*1,ISNUMBER(SEARCH("T_C*hy*GSL*s4",[1]OUT_TransportEnergyCons!$A$4:$A$10000))*1,[1]OUT_TransportEnergyCons!E$4:E$10000)</f>
        <v>3.156861103543821E-5</v>
      </c>
      <c r="H2136" s="1" cm="1">
        <f t="array" ref="H2136">SUMPRODUCT(("var_ncap"=[1]OUT_TransportEnergyCons!$B$4:$B$10000)*1,("-"=[1]OUT_TransportEnergyCons!$C$4:$C$10000)*1,ISNUMBER(SEARCH("T_C*hy*GSL*s4",[1]OUT_TransportEnergyCons!$A$4:$A$10000))*1,[1]OUT_TransportEnergyCons!F$4:F$10000)</f>
        <v>3.0973703492193301E-5</v>
      </c>
      <c r="I2136" s="1" cm="1">
        <f t="array" ref="I2136">SUMPRODUCT(("var_ncap"=[1]OUT_TransportEnergyCons!$B$4:$B$10000)*1,("-"=[1]OUT_TransportEnergyCons!$C$4:$C$10000)*1,ISNUMBER(SEARCH("T_C*hy*GSL*s4",[1]OUT_TransportEnergyCons!$A$4:$A$10000))*1,[1]OUT_TransportEnergyCons!G$4:G$10000)</f>
        <v>2.8682183687875011E-5</v>
      </c>
      <c r="J2136" s="1" cm="1">
        <f t="array" ref="J2136">SUMPRODUCT(("var_ncap"=[2]OUT_TransportEnergyCons!$B$4:$B$10000)*1,("-"=[2]OUT_TransportEnergyCons!$C$4:$C$10000)*1,ISNUMBER(SEARCH("T_C*hy*GSL*s4",[2]OUT_TransportEnergyCons!$A$4:$A$10000))*1,[2]OUT_TransportEnergyCons!H$4:H$10000)</f>
        <v>5.8321647369225377E-3</v>
      </c>
      <c r="K2136" s="1" cm="1">
        <f t="array" ref="K2136">SUMPRODUCT(("var_ncap"=[2]OUT_TransportEnergyCons!$B$4:$B$10000)*1,("-"=[2]OUT_TransportEnergyCons!$C$4:$C$10000)*1,ISNUMBER(SEARCH("T_C*hy*GSL*s4",[2]OUT_TransportEnergyCons!$A$4:$A$10000))*1,[2]OUT_TransportEnergyCons!I$4:I$10000)</f>
        <v>1.9054291348669504E-2</v>
      </c>
      <c r="L2136" s="1" cm="1">
        <f t="array" ref="L2136">SUMPRODUCT(("var_ncap"=[2]OUT_TransportEnergyCons!$B$4:$B$10000)*1,("-"=[2]OUT_TransportEnergyCons!$C$4:$C$10000)*1,ISNUMBER(SEARCH("T_C*hy*GSL*s4",[2]OUT_TransportEnergyCons!$A$4:$A$10000))*1,[2]OUT_TransportEnergyCons!J$4:J$10000)</f>
        <v>3.5945990817867556E-2</v>
      </c>
      <c r="N2136" s="1"/>
    </row>
    <row r="2137" spans="2:14" x14ac:dyDescent="0.35">
      <c r="B2137" s="5" t="str">
        <f t="shared" si="2115"/>
        <v>SPS1</v>
      </c>
      <c r="C2137" s="5" t="str">
        <f t="shared" si="2116"/>
        <v>CH</v>
      </c>
      <c r="D2137" t="s">
        <v>2266</v>
      </c>
      <c r="E2137" t="str">
        <f t="shared" si="2117"/>
        <v>Million</v>
      </c>
      <c r="F2137" s="1" cm="1">
        <f t="array" ref="F2137">SUMPRODUCT(("var_ncap"=[1]OUT_TransportEnergyCons!$B$4:$B$10000)*1,("-"=[1]OUT_TransportEnergyCons!$C$4:$C$10000)*1,ISNUMBER(SEARCH("T_C*ICE*GSL*ext",[1]OUT_TransportEnergyCons!$A$4:$A$10000))*1,[1]OUT_TransportEnergyCons!D$4:D$10000)</f>
        <v>0</v>
      </c>
      <c r="G2137" s="1" cm="1">
        <f t="array" ref="G2137">SUMPRODUCT(("var_ncap"=[1]OUT_TransportEnergyCons!$B$4:$B$10000)*1,("-"=[1]OUT_TransportEnergyCons!$C$4:$C$10000)*1,ISNUMBER(SEARCH("T_C*ICE*GSL*ext",[1]OUT_TransportEnergyCons!$A$4:$A$10000))*1,[1]OUT_TransportEnergyCons!E$4:E$10000)</f>
        <v>0</v>
      </c>
      <c r="H2137" s="1" cm="1">
        <f t="array" ref="H2137">SUMPRODUCT(("var_ncap"=[1]OUT_TransportEnergyCons!$B$4:$B$10000)*1,("-"=[1]OUT_TransportEnergyCons!$C$4:$C$10000)*1,ISNUMBER(SEARCH("T_C*ICE*GSL*ext",[1]OUT_TransportEnergyCons!$A$4:$A$10000))*1,[1]OUT_TransportEnergyCons!F$4:F$10000)</f>
        <v>0</v>
      </c>
      <c r="I2137" s="1" cm="1">
        <f t="array" ref="I2137">SUMPRODUCT(("var_ncap"=[1]OUT_TransportEnergyCons!$B$4:$B$10000)*1,("-"=[1]OUT_TransportEnergyCons!$C$4:$C$10000)*1,ISNUMBER(SEARCH("T_C*ICE*GSL*ext",[1]OUT_TransportEnergyCons!$A$4:$A$10000))*1,[1]OUT_TransportEnergyCons!G$4:G$10000)</f>
        <v>0</v>
      </c>
      <c r="J2137" s="1" cm="1">
        <f t="array" ref="J2137">SUMPRODUCT(("var_ncap"=[2]OUT_TransportEnergyCons!$B$4:$B$10000)*1,("-"=[2]OUT_TransportEnergyCons!$C$4:$C$10000)*1,ISNUMBER(SEARCH("T_C*ICE*GSL*ext",[2]OUT_TransportEnergyCons!$A$4:$A$10000))*1,[2]OUT_TransportEnergyCons!H$4:H$10000)</f>
        <v>0</v>
      </c>
      <c r="K2137" s="1" cm="1">
        <f t="array" ref="K2137">SUMPRODUCT(("var_ncap"=[2]OUT_TransportEnergyCons!$B$4:$B$10000)*1,("-"=[2]OUT_TransportEnergyCons!$C$4:$C$10000)*1,ISNUMBER(SEARCH("T_C*ICE*GSL*ext",[2]OUT_TransportEnergyCons!$A$4:$A$10000))*1,[2]OUT_TransportEnergyCons!I$4:I$10000)</f>
        <v>0</v>
      </c>
      <c r="L2137" s="1" cm="1">
        <f t="array" ref="L2137">SUMPRODUCT(("var_ncap"=[2]OUT_TransportEnergyCons!$B$4:$B$10000)*1,("-"=[2]OUT_TransportEnergyCons!$C$4:$C$10000)*1,ISNUMBER(SEARCH("T_C*ICE*GSL*ext",[2]OUT_TransportEnergyCons!$A$4:$A$10000))*1,[2]OUT_TransportEnergyCons!J$4:J$10000)</f>
        <v>0</v>
      </c>
      <c r="N2137" s="1"/>
    </row>
    <row r="2138" spans="2:14" x14ac:dyDescent="0.35">
      <c r="B2138" s="5" t="str">
        <f t="shared" si="2115"/>
        <v>SPS1</v>
      </c>
      <c r="C2138" s="5" t="str">
        <f t="shared" si="2116"/>
        <v>CH</v>
      </c>
      <c r="D2138" t="s">
        <v>2267</v>
      </c>
      <c r="E2138" t="str">
        <f t="shared" si="2117"/>
        <v>Million</v>
      </c>
      <c r="F2138" s="1" cm="1">
        <f t="array" ref="F2138">SUMPRODUCT(("var_ncap"=[1]OUT_TransportEnergyCons!$B$4:$B$10000)*1,("-"=[1]OUT_TransportEnergyCons!$C$4:$C$10000)*1,ISNUMBER(SEARCH("T_C*ICE*GSL*s1",[1]OUT_TransportEnergyCons!$A$4:$A$10000))*1,[1]OUT_TransportEnergyCons!D$4:D$10000)</f>
        <v>0</v>
      </c>
      <c r="G2138" s="1" cm="1">
        <f t="array" ref="G2138">SUMPRODUCT(("var_ncap"=[1]OUT_TransportEnergyCons!$B$4:$B$10000)*1,("-"=[1]OUT_TransportEnergyCons!$C$4:$C$10000)*1,ISNUMBER(SEARCH("T_C*ICE*GSL*s1",[1]OUT_TransportEnergyCons!$A$4:$A$10000))*1,[1]OUT_TransportEnergyCons!E$4:E$10000)</f>
        <v>1.18088135911726E-5</v>
      </c>
      <c r="H2138" s="1" cm="1">
        <f t="array" ref="H2138">SUMPRODUCT(("var_ncap"=[1]OUT_TransportEnergyCons!$B$4:$B$10000)*1,("-"=[1]OUT_TransportEnergyCons!$C$4:$C$10000)*1,ISNUMBER(SEARCH("T_C*ICE*GSL*s1",[1]OUT_TransportEnergyCons!$A$4:$A$10000))*1,[1]OUT_TransportEnergyCons!F$4:F$10000)</f>
        <v>9.1860149300836705E-2</v>
      </c>
      <c r="I2138" s="1" cm="1">
        <f t="array" ref="I2138">SUMPRODUCT(("var_ncap"=[1]OUT_TransportEnergyCons!$B$4:$B$10000)*1,("-"=[1]OUT_TransportEnergyCons!$C$4:$C$10000)*1,ISNUMBER(SEARCH("T_C*ICE*GSL*s1",[1]OUT_TransportEnergyCons!$A$4:$A$10000))*1,[1]OUT_TransportEnergyCons!G$4:G$10000)</f>
        <v>9.7482542703953706E-2</v>
      </c>
      <c r="J2138" s="1" cm="1">
        <f t="array" ref="J2138">SUMPRODUCT(("var_ncap"=[2]OUT_TransportEnergyCons!$B$4:$B$10000)*1,("-"=[2]OUT_TransportEnergyCons!$C$4:$C$10000)*1,ISNUMBER(SEARCH("T_C*ICE*GSL*s1",[2]OUT_TransportEnergyCons!$A$4:$A$10000))*1,[2]OUT_TransportEnergyCons!H$4:H$10000)</f>
        <v>8.0965108454653198E-5</v>
      </c>
      <c r="K2138" s="1" cm="1">
        <f t="array" ref="K2138">SUMPRODUCT(("var_ncap"=[2]OUT_TransportEnergyCons!$B$4:$B$10000)*1,("-"=[2]OUT_TransportEnergyCons!$C$4:$C$10000)*1,ISNUMBER(SEARCH("T_C*ICE*GSL*s1",[2]OUT_TransportEnergyCons!$A$4:$A$10000))*1,[2]OUT_TransportEnergyCons!I$4:I$10000)</f>
        <v>3.4805614067136898E-5</v>
      </c>
      <c r="L2138" s="1" cm="1">
        <f t="array" ref="L2138">SUMPRODUCT(("var_ncap"=[2]OUT_TransportEnergyCons!$B$4:$B$10000)*1,("-"=[2]OUT_TransportEnergyCons!$C$4:$C$10000)*1,ISNUMBER(SEARCH("T_C*ICE*GSL*s1",[2]OUT_TransportEnergyCons!$A$4:$A$10000))*1,[2]OUT_TransportEnergyCons!J$4:J$10000)</f>
        <v>1.18099591532221E-5</v>
      </c>
      <c r="N2138" s="1"/>
    </row>
    <row r="2139" spans="2:14" x14ac:dyDescent="0.35">
      <c r="B2139" s="5" t="str">
        <f t="shared" si="2115"/>
        <v>SPS1</v>
      </c>
      <c r="C2139" s="5" t="str">
        <f t="shared" si="2116"/>
        <v>CH</v>
      </c>
      <c r="D2139" t="s">
        <v>2268</v>
      </c>
      <c r="E2139" t="str">
        <f t="shared" si="2117"/>
        <v>Million</v>
      </c>
      <c r="F2139" s="1" cm="1">
        <f t="array" ref="F2139">SUMPRODUCT(("var_ncap"=[1]OUT_TransportEnergyCons!$B$4:$B$10000)*1,("-"=[1]OUT_TransportEnergyCons!$C$4:$C$10000)*1,ISNUMBER(SEARCH("T_C*ICE*GSL*s2",[1]OUT_TransportEnergyCons!$A$4:$A$10000))*1,[1]OUT_TransportEnergyCons!D$4:D$10000)</f>
        <v>0</v>
      </c>
      <c r="G2139" s="1" cm="1">
        <f t="array" ref="G2139">SUMPRODUCT(("var_ncap"=[1]OUT_TransportEnergyCons!$B$4:$B$10000)*1,("-"=[1]OUT_TransportEnergyCons!$C$4:$C$10000)*1,ISNUMBER(SEARCH("T_C*ICE*GSL*s2",[1]OUT_TransportEnergyCons!$A$4:$A$10000))*1,[1]OUT_TransportEnergyCons!E$4:E$10000)</f>
        <v>7.2563281736540203E-6</v>
      </c>
      <c r="H2139" s="1" cm="1">
        <f t="array" ref="H2139">SUMPRODUCT(("var_ncap"=[1]OUT_TransportEnergyCons!$B$4:$B$10000)*1,("-"=[1]OUT_TransportEnergyCons!$C$4:$C$10000)*1,ISNUMBER(SEARCH("T_C*ICE*GSL*s2",[1]OUT_TransportEnergyCons!$A$4:$A$10000))*1,[1]OUT_TransportEnergyCons!F$4:F$10000)</f>
        <v>7.2211253620355798E-2</v>
      </c>
      <c r="I2139" s="1" cm="1">
        <f t="array" ref="I2139">SUMPRODUCT(("var_ncap"=[1]OUT_TransportEnergyCons!$B$4:$B$10000)*1,("-"=[1]OUT_TransportEnergyCons!$C$4:$C$10000)*1,ISNUMBER(SEARCH("T_C*ICE*GSL*s2",[1]OUT_TransportEnergyCons!$A$4:$A$10000))*1,[1]OUT_TransportEnergyCons!G$4:G$10000)</f>
        <v>2.4827207599458201E-5</v>
      </c>
      <c r="J2139" s="1" cm="1">
        <f t="array" ref="J2139">SUMPRODUCT(("var_ncap"=[2]OUT_TransportEnergyCons!$B$4:$B$10000)*1,("-"=[2]OUT_TransportEnergyCons!$C$4:$C$10000)*1,ISNUMBER(SEARCH("T_C*ICE*GSL*s2",[2]OUT_TransportEnergyCons!$A$4:$A$10000))*1,[2]OUT_TransportEnergyCons!H$4:H$10000)</f>
        <v>9.3532286671998096E-5</v>
      </c>
      <c r="K2139" s="1" cm="1">
        <f t="array" ref="K2139">SUMPRODUCT(("var_ncap"=[2]OUT_TransportEnergyCons!$B$4:$B$10000)*1,("-"=[2]OUT_TransportEnergyCons!$C$4:$C$10000)*1,ISNUMBER(SEARCH("T_C*ICE*GSL*s2",[2]OUT_TransportEnergyCons!$A$4:$A$10000))*1,[2]OUT_TransportEnergyCons!I$4:I$10000)</f>
        <v>3.9816357820131197E-5</v>
      </c>
      <c r="L2139" s="1" cm="1">
        <f t="array" ref="L2139">SUMPRODUCT(("var_ncap"=[2]OUT_TransportEnergyCons!$B$4:$B$10000)*1,("-"=[2]OUT_TransportEnergyCons!$C$4:$C$10000)*1,ISNUMBER(SEARCH("T_C*ICE*GSL*s2",[2]OUT_TransportEnergyCons!$A$4:$A$10000))*1,[2]OUT_TransportEnergyCons!J$4:J$10000)</f>
        <v>1.45016908157014E-5</v>
      </c>
      <c r="N2139" s="1"/>
    </row>
    <row r="2140" spans="2:14" x14ac:dyDescent="0.35">
      <c r="B2140" s="5" t="str">
        <f t="shared" si="2115"/>
        <v>SPS1</v>
      </c>
      <c r="C2140" s="5" t="str">
        <f t="shared" si="2116"/>
        <v>CH</v>
      </c>
      <c r="D2140" t="s">
        <v>2269</v>
      </c>
      <c r="E2140" t="str">
        <f t="shared" si="2117"/>
        <v>Million</v>
      </c>
      <c r="F2140" s="1" cm="1">
        <f t="array" ref="F2140">SUMPRODUCT(("var_ncap"=[1]OUT_TransportEnergyCons!$B$4:$B$10000)*1,("-"=[1]OUT_TransportEnergyCons!$C$4:$C$10000)*1,ISNUMBER(SEARCH("T_C*ICE*GSL*s3",[1]OUT_TransportEnergyCons!$A$4:$A$10000))*1,[1]OUT_TransportEnergyCons!D$4:D$10000)</f>
        <v>0</v>
      </c>
      <c r="G2140" s="1" cm="1">
        <f t="array" ref="G2140">SUMPRODUCT(("var_ncap"=[1]OUT_TransportEnergyCons!$B$4:$B$10000)*1,("-"=[1]OUT_TransportEnergyCons!$C$4:$C$10000)*1,ISNUMBER(SEARCH("T_C*ICE*GSL*s3",[1]OUT_TransportEnergyCons!$A$4:$A$10000))*1,[1]OUT_TransportEnergyCons!E$4:E$10000)</f>
        <v>8.9168771200575399E-6</v>
      </c>
      <c r="H2140" s="1" cm="1">
        <f t="array" ref="H2140">SUMPRODUCT(("var_ncap"=[1]OUT_TransportEnergyCons!$B$4:$B$10000)*1,("-"=[1]OUT_TransportEnergyCons!$C$4:$C$10000)*1,ISNUMBER(SEARCH("T_C*ICE*GSL*s3",[1]OUT_TransportEnergyCons!$A$4:$A$10000))*1,[1]OUT_TransportEnergyCons!F$4:F$10000)</f>
        <v>3.9119243949954002E-2</v>
      </c>
      <c r="I2140" s="1" cm="1">
        <f t="array" ref="I2140">SUMPRODUCT(("var_ncap"=[1]OUT_TransportEnergyCons!$B$4:$B$10000)*1,("-"=[1]OUT_TransportEnergyCons!$C$4:$C$10000)*1,ISNUMBER(SEARCH("T_C*ICE*GSL*s3",[1]OUT_TransportEnergyCons!$A$4:$A$10000))*1,[1]OUT_TransportEnergyCons!G$4:G$10000)</f>
        <v>1.8368534114476101E-5</v>
      </c>
      <c r="J2140" s="1" cm="1">
        <f t="array" ref="J2140">SUMPRODUCT(("var_ncap"=[2]OUT_TransportEnergyCons!$B$4:$B$10000)*1,("-"=[2]OUT_TransportEnergyCons!$C$4:$C$10000)*1,ISNUMBER(SEARCH("T_C*ICE*GSL*s3",[2]OUT_TransportEnergyCons!$A$4:$A$10000))*1,[2]OUT_TransportEnergyCons!H$4:H$10000)</f>
        <v>7.4813476507554704E-5</v>
      </c>
      <c r="K2140" s="1" cm="1">
        <f t="array" ref="K2140">SUMPRODUCT(("var_ncap"=[2]OUT_TransportEnergyCons!$B$4:$B$10000)*1,("-"=[2]OUT_TransportEnergyCons!$C$4:$C$10000)*1,ISNUMBER(SEARCH("T_C*ICE*GSL*s3",[2]OUT_TransportEnergyCons!$A$4:$A$10000))*1,[2]OUT_TransportEnergyCons!I$4:I$10000)</f>
        <v>4.59319986004717E-5</v>
      </c>
      <c r="L2140" s="1" cm="1">
        <f t="array" ref="L2140">SUMPRODUCT(("var_ncap"=[2]OUT_TransportEnergyCons!$B$4:$B$10000)*1,("-"=[2]OUT_TransportEnergyCons!$C$4:$C$10000)*1,ISNUMBER(SEARCH("T_C*ICE*GSL*s3",[2]OUT_TransportEnergyCons!$A$4:$A$10000))*1,[2]OUT_TransportEnergyCons!J$4:J$10000)</f>
        <v>2.18688255911075E-5</v>
      </c>
      <c r="N2140" s="1"/>
    </row>
    <row r="2141" spans="2:14" x14ac:dyDescent="0.35">
      <c r="B2141" s="5" t="str">
        <f t="shared" si="2115"/>
        <v>SPS1</v>
      </c>
      <c r="C2141" s="5" t="str">
        <f t="shared" si="2116"/>
        <v>CH</v>
      </c>
      <c r="D2141" t="s">
        <v>2270</v>
      </c>
      <c r="E2141" t="str">
        <f t="shared" si="2117"/>
        <v>Million</v>
      </c>
      <c r="F2141" s="1" cm="1">
        <f t="array" ref="F2141">SUMPRODUCT(("var_ncap"=[1]OUT_TransportEnergyCons!$B$4:$B$10000)*1,("-"=[1]OUT_TransportEnergyCons!$C$4:$C$10000)*1,ISNUMBER(SEARCH("T_C*ICE*GSL*s4",[1]OUT_TransportEnergyCons!$A$4:$A$10000))*1,[1]OUT_TransportEnergyCons!D$4:D$10000)</f>
        <v>0</v>
      </c>
      <c r="G2141" s="1" cm="1">
        <f t="array" ref="G2141">SUMPRODUCT(("var_ncap"=[1]OUT_TransportEnergyCons!$B$4:$B$10000)*1,("-"=[1]OUT_TransportEnergyCons!$C$4:$C$10000)*1,ISNUMBER(SEARCH("T_C*ICE*GSL*s4",[1]OUT_TransportEnergyCons!$A$4:$A$10000))*1,[1]OUT_TransportEnergyCons!E$4:E$10000)</f>
        <v>7.2955473142829397E-6</v>
      </c>
      <c r="H2141" s="1" cm="1">
        <f t="array" ref="H2141">SUMPRODUCT(("var_ncap"=[1]OUT_TransportEnergyCons!$B$4:$B$10000)*1,("-"=[1]OUT_TransportEnergyCons!$C$4:$C$10000)*1,ISNUMBER(SEARCH("T_C*ICE*GSL*s4",[1]OUT_TransportEnergyCons!$A$4:$A$10000))*1,[1]OUT_TransportEnergyCons!F$4:F$10000)</f>
        <v>0.11574501818427101</v>
      </c>
      <c r="I2141" s="1" cm="1">
        <f t="array" ref="I2141">SUMPRODUCT(("var_ncap"=[1]OUT_TransportEnergyCons!$B$4:$B$10000)*1,("-"=[1]OUT_TransportEnergyCons!$C$4:$C$10000)*1,ISNUMBER(SEARCH("T_C*ICE*GSL*s4",[1]OUT_TransportEnergyCons!$A$4:$A$10000))*1,[1]OUT_TransportEnergyCons!G$4:G$10000)</f>
        <v>4.8217304164457397E-5</v>
      </c>
      <c r="J2141" s="1" cm="1">
        <f t="array" ref="J2141">SUMPRODUCT(("var_ncap"=[2]OUT_TransportEnergyCons!$B$4:$B$10000)*1,("-"=[2]OUT_TransportEnergyCons!$C$4:$C$10000)*1,ISNUMBER(SEARCH("T_C*ICE*GSL*s4",[2]OUT_TransportEnergyCons!$A$4:$A$10000))*1,[2]OUT_TransportEnergyCons!H$4:H$10000)</f>
        <v>0.59596112585874395</v>
      </c>
      <c r="K2141" s="1" cm="1">
        <f t="array" ref="K2141">SUMPRODUCT(("var_ncap"=[2]OUT_TransportEnergyCons!$B$4:$B$10000)*1,("-"=[2]OUT_TransportEnergyCons!$C$4:$C$10000)*1,ISNUMBER(SEARCH("T_C*ICE*GSL*s4",[2]OUT_TransportEnergyCons!$A$4:$A$10000))*1,[2]OUT_TransportEnergyCons!I$4:I$10000)</f>
        <v>0.33927362683047602</v>
      </c>
      <c r="L2141" s="1" cm="1">
        <f t="array" ref="L2141">SUMPRODUCT(("var_ncap"=[2]OUT_TransportEnergyCons!$B$4:$B$10000)*1,("-"=[2]OUT_TransportEnergyCons!$C$4:$C$10000)*1,ISNUMBER(SEARCH("T_C*ICE*GSL*s4",[2]OUT_TransportEnergyCons!$A$4:$A$10000))*1,[2]OUT_TransportEnergyCons!J$4:J$10000)</f>
        <v>0.68630023174199495</v>
      </c>
      <c r="N2141" s="1"/>
    </row>
    <row r="2142" spans="2:14" x14ac:dyDescent="0.35">
      <c r="B2142" s="5" t="str">
        <f t="shared" si="2115"/>
        <v>SPS1</v>
      </c>
      <c r="C2142" s="5" t="str">
        <f t="shared" si="2116"/>
        <v>CH</v>
      </c>
      <c r="D2142" t="s">
        <v>2271</v>
      </c>
      <c r="E2142" t="str">
        <f t="shared" si="2117"/>
        <v>Million</v>
      </c>
      <c r="F2142" s="1" cm="1">
        <f t="array" ref="F2142">SUMPRODUCT(("var_ncap"=[1]OUT_TransportEnergyCons!$B$4:$B$10000)*1,("-"=[1]OUT_TransportEnergyCons!$C$4:$C$10000)*1,ISNUMBER(SEARCH("T_C*mhy*GSL*s1",[1]OUT_TransportEnergyCons!$A$4:$A$10000))*1,[1]OUT_TransportEnergyCons!D$4:D$10000)</f>
        <v>0</v>
      </c>
      <c r="G2142" s="1" cm="1">
        <f t="array" ref="G2142">SUMPRODUCT(("var_ncap"=[1]OUT_TransportEnergyCons!$B$4:$B$10000)*1,("-"=[1]OUT_TransportEnergyCons!$C$4:$C$10000)*1,ISNUMBER(SEARCH("T_C*mhy*GSL*s1",[1]OUT_TransportEnergyCons!$A$4:$A$10000))*1,[1]OUT_TransportEnergyCons!E$4:E$10000)</f>
        <v>7.9104975508802304E-6</v>
      </c>
      <c r="H2142" s="1" cm="1">
        <f t="array" ref="H2142">SUMPRODUCT(("var_ncap"=[1]OUT_TransportEnergyCons!$B$4:$B$10000)*1,("-"=[1]OUT_TransportEnergyCons!$C$4:$C$10000)*1,ISNUMBER(SEARCH("T_C*mhy*GSL*s1",[1]OUT_TransportEnergyCons!$A$4:$A$10000))*1,[1]OUT_TransportEnergyCons!F$4:F$10000)</f>
        <v>3.1148389454268497E-5</v>
      </c>
      <c r="I2142" s="1" cm="1">
        <f t="array" ref="I2142">SUMPRODUCT(("var_ncap"=[1]OUT_TransportEnergyCons!$B$4:$B$10000)*1,("-"=[1]OUT_TransportEnergyCons!$C$4:$C$10000)*1,ISNUMBER(SEARCH("T_C*mhy*GSL*s1",[1]OUT_TransportEnergyCons!$A$4:$A$10000))*1,[1]OUT_TransportEnergyCons!G$4:G$10000)</f>
        <v>2.94527468133522E-2</v>
      </c>
      <c r="J2142" s="1" cm="1">
        <f t="array" ref="J2142">SUMPRODUCT(("var_ncap"=[2]OUT_TransportEnergyCons!$B$4:$B$10000)*1,("-"=[2]OUT_TransportEnergyCons!$C$4:$C$10000)*1,ISNUMBER(SEARCH("T_C*mhy*GSL*s1",[2]OUT_TransportEnergyCons!$A$4:$A$10000))*1,[2]OUT_TransportEnergyCons!H$4:H$10000)</f>
        <v>1.0298402832917701E-4</v>
      </c>
      <c r="K2142" s="1" cm="1">
        <f t="array" ref="K2142">SUMPRODUCT(("var_ncap"=[2]OUT_TransportEnergyCons!$B$4:$B$10000)*1,("-"=[2]OUT_TransportEnergyCons!$C$4:$C$10000)*1,ISNUMBER(SEARCH("T_C*mhy*GSL*s1",[2]OUT_TransportEnergyCons!$A$4:$A$10000))*1,[2]OUT_TransportEnergyCons!I$4:I$10000)</f>
        <v>4.2358052390770199E-5</v>
      </c>
      <c r="L2142" s="1" cm="1">
        <f t="array" ref="L2142">SUMPRODUCT(("var_ncap"=[2]OUT_TransportEnergyCons!$B$4:$B$10000)*1,("-"=[2]OUT_TransportEnergyCons!$C$4:$C$10000)*1,ISNUMBER(SEARCH("T_C*mhy*GSL*s1",[2]OUT_TransportEnergyCons!$A$4:$A$10000))*1,[2]OUT_TransportEnergyCons!J$4:J$10000)</f>
        <v>1.2420200661496199E-5</v>
      </c>
      <c r="N2142" s="1"/>
    </row>
    <row r="2143" spans="2:14" x14ac:dyDescent="0.35">
      <c r="B2143" s="5" t="str">
        <f t="shared" si="2115"/>
        <v>SPS1</v>
      </c>
      <c r="C2143" s="5" t="str">
        <f t="shared" si="2116"/>
        <v>CH</v>
      </c>
      <c r="D2143" t="s">
        <v>2272</v>
      </c>
      <c r="E2143" t="str">
        <f t="shared" si="2117"/>
        <v>Million</v>
      </c>
      <c r="F2143" s="1" cm="1">
        <f t="array" ref="F2143">SUMPRODUCT(("var_ncap"=[1]OUT_TransportEnergyCons!$B$4:$B$10000)*1,("-"=[1]OUT_TransportEnergyCons!$C$4:$C$10000)*1,ISNUMBER(SEARCH("T_C*mhy*GSL*s2",[1]OUT_TransportEnergyCons!$A$4:$A$10000))*1,[1]OUT_TransportEnergyCons!D$4:D$10000)</f>
        <v>0</v>
      </c>
      <c r="G2143" s="1" cm="1">
        <f t="array" ref="G2143">SUMPRODUCT(("var_ncap"=[1]OUT_TransportEnergyCons!$B$4:$B$10000)*1,("-"=[1]OUT_TransportEnergyCons!$C$4:$C$10000)*1,ISNUMBER(SEARCH("T_C*mhy*GSL*s2",[1]OUT_TransportEnergyCons!$A$4:$A$10000))*1,[1]OUT_TransportEnergyCons!E$4:E$10000)</f>
        <v>3.240228883073E-6</v>
      </c>
      <c r="H2143" s="1" cm="1">
        <f t="array" ref="H2143">SUMPRODUCT(("var_ncap"=[1]OUT_TransportEnergyCons!$B$4:$B$10000)*1,("-"=[1]OUT_TransportEnergyCons!$C$4:$C$10000)*1,ISNUMBER(SEARCH("T_C*mhy*GSL*s2",[1]OUT_TransportEnergyCons!$A$4:$A$10000))*1,[1]OUT_TransportEnergyCons!F$4:F$10000)</f>
        <v>1.32896454627796E-5</v>
      </c>
      <c r="I2143" s="1" cm="1">
        <f t="array" ref="I2143">SUMPRODUCT(("var_ncap"=[1]OUT_TransportEnergyCons!$B$4:$B$10000)*1,("-"=[1]OUT_TransportEnergyCons!$C$4:$C$10000)*1,ISNUMBER(SEARCH("T_C*mhy*GSL*s2",[1]OUT_TransportEnergyCons!$A$4:$A$10000))*1,[1]OUT_TransportEnergyCons!G$4:G$10000)</f>
        <v>1.5735045806076401E-5</v>
      </c>
      <c r="J2143" s="1" cm="1">
        <f t="array" ref="J2143">SUMPRODUCT(("var_ncap"=[2]OUT_TransportEnergyCons!$B$4:$B$10000)*1,("-"=[2]OUT_TransportEnergyCons!$C$4:$C$10000)*1,ISNUMBER(SEARCH("T_C*mhy*GSL*s2",[2]OUT_TransportEnergyCons!$A$4:$A$10000))*1,[2]OUT_TransportEnergyCons!H$4:H$10000)</f>
        <v>7.4624753230081696E-5</v>
      </c>
      <c r="K2143" s="1" cm="1">
        <f t="array" ref="K2143">SUMPRODUCT(("var_ncap"=[2]OUT_TransportEnergyCons!$B$4:$B$10000)*1,("-"=[2]OUT_TransportEnergyCons!$C$4:$C$10000)*1,ISNUMBER(SEARCH("T_C*mhy*GSL*s2",[2]OUT_TransportEnergyCons!$A$4:$A$10000))*1,[2]OUT_TransportEnergyCons!I$4:I$10000)</f>
        <v>3.7274473334862898E-5</v>
      </c>
      <c r="L2143" s="1" cm="1">
        <f t="array" ref="L2143">SUMPRODUCT(("var_ncap"=[2]OUT_TransportEnergyCons!$B$4:$B$10000)*1,("-"=[2]OUT_TransportEnergyCons!$C$4:$C$10000)*1,ISNUMBER(SEARCH("T_C*mhy*GSL*s2",[2]OUT_TransportEnergyCons!$A$4:$A$10000))*1,[2]OUT_TransportEnergyCons!J$4:J$10000)</f>
        <v>1.39157905075268E-5</v>
      </c>
      <c r="N2143" s="1"/>
    </row>
    <row r="2144" spans="2:14" x14ac:dyDescent="0.35">
      <c r="B2144" s="5" t="str">
        <f t="shared" si="2115"/>
        <v>SPS1</v>
      </c>
      <c r="C2144" s="5" t="str">
        <f t="shared" si="2116"/>
        <v>CH</v>
      </c>
      <c r="D2144" t="s">
        <v>2273</v>
      </c>
      <c r="E2144" t="str">
        <f t="shared" si="2117"/>
        <v>Million</v>
      </c>
      <c r="F2144" s="1" cm="1">
        <f t="array" ref="F2144">SUMPRODUCT(("var_ncap"=[1]OUT_TransportEnergyCons!$B$4:$B$10000)*1,("-"=[1]OUT_TransportEnergyCons!$C$4:$C$10000)*1,ISNUMBER(SEARCH("T_C*mhy*GSL*s3",[1]OUT_TransportEnergyCons!$A$4:$A$10000))*1,[1]OUT_TransportEnergyCons!D$4:D$10000)</f>
        <v>0</v>
      </c>
      <c r="G2144" s="1" cm="1">
        <f t="array" ref="G2144">SUMPRODUCT(("var_ncap"=[1]OUT_TransportEnergyCons!$B$4:$B$10000)*1,("-"=[1]OUT_TransportEnergyCons!$C$4:$C$10000)*1,ISNUMBER(SEARCH("T_C*mhy*GSL*s3",[1]OUT_TransportEnergyCons!$A$4:$A$10000))*1,[1]OUT_TransportEnergyCons!E$4:E$10000)</f>
        <v>3.4577514256701899E-6</v>
      </c>
      <c r="H2144" s="1" cm="1">
        <f t="array" ref="H2144">SUMPRODUCT(("var_ncap"=[1]OUT_TransportEnergyCons!$B$4:$B$10000)*1,("-"=[1]OUT_TransportEnergyCons!$C$4:$C$10000)*1,ISNUMBER(SEARCH("T_C*mhy*GSL*s3",[1]OUT_TransportEnergyCons!$A$4:$A$10000))*1,[1]OUT_TransportEnergyCons!F$4:F$10000)</f>
        <v>1.08445356599494E-5</v>
      </c>
      <c r="I2144" s="1" cm="1">
        <f t="array" ref="I2144">SUMPRODUCT(("var_ncap"=[1]OUT_TransportEnergyCons!$B$4:$B$10000)*1,("-"=[1]OUT_TransportEnergyCons!$C$4:$C$10000)*1,ISNUMBER(SEARCH("T_C*mhy*GSL*s3",[1]OUT_TransportEnergyCons!$A$4:$A$10000))*1,[1]OUT_TransportEnergyCons!G$4:G$10000)</f>
        <v>1.09711399476927E-5</v>
      </c>
      <c r="J2144" s="1" cm="1">
        <f t="array" ref="J2144">SUMPRODUCT(("var_ncap"=[2]OUT_TransportEnergyCons!$B$4:$B$10000)*1,("-"=[2]OUT_TransportEnergyCons!$C$4:$C$10000)*1,ISNUMBER(SEARCH("T_C*mhy*GSL*s3",[2]OUT_TransportEnergyCons!$A$4:$A$10000))*1,[2]OUT_TransportEnergyCons!H$4:H$10000)</f>
        <v>5.2582803201450302E-5</v>
      </c>
      <c r="K2144" s="1" cm="1">
        <f t="array" ref="K2144">SUMPRODUCT(("var_ncap"=[2]OUT_TransportEnergyCons!$B$4:$B$10000)*1,("-"=[2]OUT_TransportEnergyCons!$C$4:$C$10000)*1,ISNUMBER(SEARCH("T_C*mhy*GSL*s3",[2]OUT_TransportEnergyCons!$A$4:$A$10000))*1,[2]OUT_TransportEnergyCons!I$4:I$10000)</f>
        <v>3.7002437264000801E-5</v>
      </c>
      <c r="L2144" s="1" cm="1">
        <f t="array" ref="L2144">SUMPRODUCT(("var_ncap"=[2]OUT_TransportEnergyCons!$B$4:$B$10000)*1,("-"=[2]OUT_TransportEnergyCons!$C$4:$C$10000)*1,ISNUMBER(SEARCH("T_C*mhy*GSL*s3",[2]OUT_TransportEnergyCons!$A$4:$A$10000))*1,[2]OUT_TransportEnergyCons!J$4:J$10000)</f>
        <v>1.9024706301217199E-5</v>
      </c>
      <c r="N2144" s="1"/>
    </row>
    <row r="2145" spans="2:14" x14ac:dyDescent="0.35">
      <c r="B2145" s="5" t="str">
        <f t="shared" si="2115"/>
        <v>SPS1</v>
      </c>
      <c r="C2145" s="5" t="str">
        <f t="shared" si="2116"/>
        <v>CH</v>
      </c>
      <c r="D2145" t="s">
        <v>2274</v>
      </c>
      <c r="E2145" t="str">
        <f t="shared" si="2117"/>
        <v>Million</v>
      </c>
      <c r="F2145" s="1" cm="1">
        <f t="array" ref="F2145">SUMPRODUCT(("var_ncap"=[1]OUT_TransportEnergyCons!$B$4:$B$10000)*1,("-"=[1]OUT_TransportEnergyCons!$C$4:$C$10000)*1,ISNUMBER(SEARCH("T_C*mhy*GSL*s4",[1]OUT_TransportEnergyCons!$A$4:$A$10000))*1,[1]OUT_TransportEnergyCons!D$4:D$10000)</f>
        <v>0</v>
      </c>
      <c r="G2145" s="1" cm="1">
        <f t="array" ref="G2145">SUMPRODUCT(("var_ncap"=[1]OUT_TransportEnergyCons!$B$4:$B$10000)*1,("-"=[1]OUT_TransportEnergyCons!$C$4:$C$10000)*1,ISNUMBER(SEARCH("T_C*mhy*GSL*s4",[1]OUT_TransportEnergyCons!$A$4:$A$10000))*1,[1]OUT_TransportEnergyCons!E$4:E$10000)</f>
        <v>4.8211237680270103E-6</v>
      </c>
      <c r="H2145" s="1" cm="1">
        <f t="array" ref="H2145">SUMPRODUCT(("var_ncap"=[1]OUT_TransportEnergyCons!$B$4:$B$10000)*1,("-"=[1]OUT_TransportEnergyCons!$C$4:$C$10000)*1,ISNUMBER(SEARCH("T_C*mhy*GSL*s4",[1]OUT_TransportEnergyCons!$A$4:$A$10000))*1,[1]OUT_TransportEnergyCons!F$4:F$10000)</f>
        <v>1.89419856174639E-5</v>
      </c>
      <c r="I2145" s="1" cm="1">
        <f t="array" ref="I2145">SUMPRODUCT(("var_ncap"=[1]OUT_TransportEnergyCons!$B$4:$B$10000)*1,("-"=[1]OUT_TransportEnergyCons!$C$4:$C$10000)*1,ISNUMBER(SEARCH("T_C*mhy*GSL*s4",[1]OUT_TransportEnergyCons!$A$4:$A$10000))*1,[1]OUT_TransportEnergyCons!G$4:G$10000)</f>
        <v>2.2274546189706799E-5</v>
      </c>
      <c r="J2145" s="1" cm="1">
        <f t="array" ref="J2145">SUMPRODUCT(("var_ncap"=[2]OUT_TransportEnergyCons!$B$4:$B$10000)*1,("-"=[2]OUT_TransportEnergyCons!$C$4:$C$10000)*1,ISNUMBER(SEARCH("T_C*mhy*GSL*s4",[2]OUT_TransportEnergyCons!$A$4:$A$10000))*1,[2]OUT_TransportEnergyCons!H$4:H$10000)</f>
        <v>5.78390850320695E-3</v>
      </c>
      <c r="K2145" s="1" cm="1">
        <f t="array" ref="K2145">SUMPRODUCT(("var_ncap"=[2]OUT_TransportEnergyCons!$B$4:$B$10000)*1,("-"=[2]OUT_TransportEnergyCons!$C$4:$C$10000)*1,ISNUMBER(SEARCH("T_C*mhy*GSL*s4",[2]OUT_TransportEnergyCons!$A$4:$A$10000))*1,[2]OUT_TransportEnergyCons!I$4:I$10000)</f>
        <v>1.89993898200853E-2</v>
      </c>
      <c r="L2145" s="1" cm="1">
        <f t="array" ref="L2145">SUMPRODUCT(("var_ncap"=[2]OUT_TransportEnergyCons!$B$4:$B$10000)*1,("-"=[2]OUT_TransportEnergyCons!$C$4:$C$10000)*1,ISNUMBER(SEARCH("T_C*mhy*GSL*s4",[2]OUT_TransportEnergyCons!$A$4:$A$10000))*1,[2]OUT_TransportEnergyCons!J$4:J$10000)</f>
        <v>3.5770729953695297E-2</v>
      </c>
      <c r="N2145" s="1"/>
    </row>
    <row r="2146" spans="2:14" x14ac:dyDescent="0.35">
      <c r="B2146" s="5" t="str">
        <f t="shared" si="2115"/>
        <v>SPS1</v>
      </c>
      <c r="C2146" s="5" t="str">
        <f t="shared" si="2116"/>
        <v>CH</v>
      </c>
      <c r="D2146" t="s">
        <v>2275</v>
      </c>
      <c r="E2146" t="str">
        <f t="shared" si="2117"/>
        <v>Million</v>
      </c>
      <c r="F2146" s="1" cm="1">
        <f t="array" ref="F2146">SUMPRODUCT(("var_ncap"=[1]OUT_TransportEnergyCons!$B$4:$B$10000)*1,("-"=[1]OUT_TransportEnergyCons!$C$4:$C$10000)*1,ISNUMBER(SEARCH("T_C*hy*dsl*ext",[1]OUT_TransportEnergyCons!$A$4:$A$10000))*1,[1]OUT_TransportEnergyCons!D$4:D$10000)</f>
        <v>0</v>
      </c>
      <c r="G2146" s="1" cm="1">
        <f t="array" ref="G2146">SUMPRODUCT(("var_ncap"=[1]OUT_TransportEnergyCons!$B$4:$B$10000)*1,("-"=[1]OUT_TransportEnergyCons!$C$4:$C$10000)*1,ISNUMBER(SEARCH("T_C*hy*dsl*ext",[1]OUT_TransportEnergyCons!$A$4:$A$10000))*1,[1]OUT_TransportEnergyCons!E$4:E$10000)</f>
        <v>0</v>
      </c>
      <c r="H2146" s="1" cm="1">
        <f t="array" ref="H2146">SUMPRODUCT(("var_ncap"=[1]OUT_TransportEnergyCons!$B$4:$B$10000)*1,("-"=[1]OUT_TransportEnergyCons!$C$4:$C$10000)*1,ISNUMBER(SEARCH("T_C*hy*dsl*ext",[1]OUT_TransportEnergyCons!$A$4:$A$10000))*1,[1]OUT_TransportEnergyCons!F$4:F$10000)</f>
        <v>0</v>
      </c>
      <c r="I2146" s="1" cm="1">
        <f t="array" ref="I2146">SUMPRODUCT(("var_ncap"=[1]OUT_TransportEnergyCons!$B$4:$B$10000)*1,("-"=[1]OUT_TransportEnergyCons!$C$4:$C$10000)*1,ISNUMBER(SEARCH("T_C*hy*dsl*ext",[1]OUT_TransportEnergyCons!$A$4:$A$10000))*1,[1]OUT_TransportEnergyCons!G$4:G$10000)</f>
        <v>0</v>
      </c>
      <c r="J2146" s="1" cm="1">
        <f t="array" ref="J2146">SUMPRODUCT(("var_ncap"=[2]OUT_TransportEnergyCons!$B$4:$B$10000)*1,("-"=[2]OUT_TransportEnergyCons!$C$4:$C$10000)*1,ISNUMBER(SEARCH("T_C*hy*dsl*ext",[2]OUT_TransportEnergyCons!$A$4:$A$10000))*1,[2]OUT_TransportEnergyCons!H$4:H$10000)</f>
        <v>0</v>
      </c>
      <c r="K2146" s="1" cm="1">
        <f t="array" ref="K2146">SUMPRODUCT(("var_ncap"=[2]OUT_TransportEnergyCons!$B$4:$B$10000)*1,("-"=[2]OUT_TransportEnergyCons!$C$4:$C$10000)*1,ISNUMBER(SEARCH("T_C*hy*dsl*ext",[2]OUT_TransportEnergyCons!$A$4:$A$10000))*1,[2]OUT_TransportEnergyCons!I$4:I$10000)</f>
        <v>0</v>
      </c>
      <c r="L2146" s="1" cm="1">
        <f t="array" ref="L2146">SUMPRODUCT(("var_ncap"=[2]OUT_TransportEnergyCons!$B$4:$B$10000)*1,("-"=[2]OUT_TransportEnergyCons!$C$4:$C$10000)*1,ISNUMBER(SEARCH("T_C*hy*dsl*ext",[2]OUT_TransportEnergyCons!$A$4:$A$10000))*1,[2]OUT_TransportEnergyCons!J$4:J$10000)</f>
        <v>0</v>
      </c>
      <c r="N2146" s="1"/>
    </row>
    <row r="2147" spans="2:14" x14ac:dyDescent="0.35">
      <c r="B2147" s="5" t="str">
        <f t="shared" ref="B2147:B2164" si="2118">B2146</f>
        <v>SPS1</v>
      </c>
      <c r="C2147" s="5" t="str">
        <f t="shared" ref="C2147:C2164" si="2119">C2146</f>
        <v>CH</v>
      </c>
      <c r="D2147" t="s">
        <v>2276</v>
      </c>
      <c r="E2147" t="str">
        <f t="shared" ref="E2147:E2164" si="2120">E2146</f>
        <v>Million</v>
      </c>
      <c r="F2147" s="1" cm="1">
        <f t="array" ref="F2147">SUMPRODUCT(("var_ncap"=[1]OUT_TransportEnergyCons!$B$4:$B$10000)*1,("-"=[1]OUT_TransportEnergyCons!$C$4:$C$10000)*1,ISNUMBER(SEARCH("T_C*hy*dsl*s1",[1]OUT_TransportEnergyCons!$A$4:$A$10000))*1,[1]OUT_TransportEnergyCons!D$4:D$10000)</f>
        <v>0</v>
      </c>
      <c r="G2147" s="1" cm="1">
        <f t="array" ref="G2147">SUMPRODUCT(("var_ncap"=[1]OUT_TransportEnergyCons!$B$4:$B$10000)*1,("-"=[1]OUT_TransportEnergyCons!$C$4:$C$10000)*1,ISNUMBER(SEARCH("T_C*hy*dsl*s1",[1]OUT_TransportEnergyCons!$A$4:$A$10000))*1,[1]OUT_TransportEnergyCons!E$4:E$10000)</f>
        <v>3.3705408102022522E-2</v>
      </c>
      <c r="H2147" s="1" cm="1">
        <f t="array" ref="H2147">SUMPRODUCT(("var_ncap"=[1]OUT_TransportEnergyCons!$B$4:$B$10000)*1,("-"=[1]OUT_TransportEnergyCons!$C$4:$C$10000)*1,ISNUMBER(SEARCH("T_C*hy*dsl*s1",[1]OUT_TransportEnergyCons!$A$4:$A$10000))*1,[1]OUT_TransportEnergyCons!F$4:F$10000)</f>
        <v>6.4796896953625395E-5</v>
      </c>
      <c r="I2147" s="1" cm="1">
        <f t="array" ref="I2147">SUMPRODUCT(("var_ncap"=[1]OUT_TransportEnergyCons!$B$4:$B$10000)*1,("-"=[1]OUT_TransportEnergyCons!$C$4:$C$10000)*1,ISNUMBER(SEARCH("T_C*hy*dsl*s1",[1]OUT_TransportEnergyCons!$A$4:$A$10000))*1,[1]OUT_TransportEnergyCons!G$4:G$10000)</f>
        <v>2.0580851219854146E-2</v>
      </c>
      <c r="J2147" s="1" cm="1">
        <f t="array" ref="J2147">SUMPRODUCT(("var_ncap"=[2]OUT_TransportEnergyCons!$B$4:$B$10000)*1,("-"=[2]OUT_TransportEnergyCons!$C$4:$C$10000)*1,ISNUMBER(SEARCH("T_C*hy*dsl*s1",[2]OUT_TransportEnergyCons!$A$4:$A$10000))*1,[2]OUT_TransportEnergyCons!H$4:H$10000)</f>
        <v>4.7277367216184377E-2</v>
      </c>
      <c r="K2147" s="1" cm="1">
        <f t="array" ref="K2147">SUMPRODUCT(("var_ncap"=[2]OUT_TransportEnergyCons!$B$4:$B$10000)*1,("-"=[2]OUT_TransportEnergyCons!$C$4:$C$10000)*1,ISNUMBER(SEARCH("T_C*hy*dsl*s1",[2]OUT_TransportEnergyCons!$A$4:$A$10000))*1,[2]OUT_TransportEnergyCons!I$4:I$10000)</f>
        <v>2.969075666213405E-3</v>
      </c>
      <c r="L2147" s="1" cm="1">
        <f t="array" ref="L2147">SUMPRODUCT(("var_ncap"=[2]OUT_TransportEnergyCons!$B$4:$B$10000)*1,("-"=[2]OUT_TransportEnergyCons!$C$4:$C$10000)*1,ISNUMBER(SEARCH("T_C*hy*dsl*s1",[2]OUT_TransportEnergyCons!$A$4:$A$10000))*1,[2]OUT_TransportEnergyCons!J$4:J$10000)</f>
        <v>1.2461377827589529E-4</v>
      </c>
      <c r="N2147" s="1"/>
    </row>
    <row r="2148" spans="2:14" x14ac:dyDescent="0.35">
      <c r="B2148" s="5" t="str">
        <f t="shared" si="2118"/>
        <v>SPS1</v>
      </c>
      <c r="C2148" s="5" t="str">
        <f t="shared" si="2119"/>
        <v>CH</v>
      </c>
      <c r="D2148" t="s">
        <v>2277</v>
      </c>
      <c r="E2148" t="str">
        <f t="shared" si="2120"/>
        <v>Million</v>
      </c>
      <c r="F2148" s="1" cm="1">
        <f t="array" ref="F2148">SUMPRODUCT(("var_ncap"=[1]OUT_TransportEnergyCons!$B$4:$B$10000)*1,("-"=[1]OUT_TransportEnergyCons!$C$4:$C$10000)*1,ISNUMBER(SEARCH("T_C*hy*dsl*s2",[1]OUT_TransportEnergyCons!$A$4:$A$10000))*1,[1]OUT_TransportEnergyCons!D$4:D$10000)</f>
        <v>0</v>
      </c>
      <c r="G2148" s="1" cm="1">
        <f t="array" ref="G2148">SUMPRODUCT(("var_ncap"=[1]OUT_TransportEnergyCons!$B$4:$B$10000)*1,("-"=[1]OUT_TransportEnergyCons!$C$4:$C$10000)*1,ISNUMBER(SEARCH("T_C*hy*dsl*s2",[1]OUT_TransportEnergyCons!$A$4:$A$10000))*1,[1]OUT_TransportEnergyCons!E$4:E$10000)</f>
        <v>0.13889508982450324</v>
      </c>
      <c r="H2148" s="1" cm="1">
        <f t="array" ref="H2148">SUMPRODUCT(("var_ncap"=[1]OUT_TransportEnergyCons!$B$4:$B$10000)*1,("-"=[1]OUT_TransportEnergyCons!$C$4:$C$10000)*1,ISNUMBER(SEARCH("T_C*hy*dsl*s2",[1]OUT_TransportEnergyCons!$A$4:$A$10000))*1,[1]OUT_TransportEnergyCons!F$4:F$10000)</f>
        <v>8.4085506962071496E-2</v>
      </c>
      <c r="I2148" s="1" cm="1">
        <f t="array" ref="I2148">SUMPRODUCT(("var_ncap"=[1]OUT_TransportEnergyCons!$B$4:$B$10000)*1,("-"=[1]OUT_TransportEnergyCons!$C$4:$C$10000)*1,ISNUMBER(SEARCH("T_C*hy*dsl*s2",[1]OUT_TransportEnergyCons!$A$4:$A$10000))*1,[1]OUT_TransportEnergyCons!G$4:G$10000)</f>
        <v>2.55324876185336E-5</v>
      </c>
      <c r="J2148" s="1" cm="1">
        <f t="array" ref="J2148">SUMPRODUCT(("var_ncap"=[2]OUT_TransportEnergyCons!$B$4:$B$10000)*1,("-"=[2]OUT_TransportEnergyCons!$C$4:$C$10000)*1,ISNUMBER(SEARCH("T_C*hy*dsl*s2",[2]OUT_TransportEnergyCons!$A$4:$A$10000))*1,[2]OUT_TransportEnergyCons!H$4:H$10000)</f>
        <v>8.3381902362422836E-2</v>
      </c>
      <c r="K2148" s="1" cm="1">
        <f t="array" ref="K2148">SUMPRODUCT(("var_ncap"=[2]OUT_TransportEnergyCons!$B$4:$B$10000)*1,("-"=[2]OUT_TransportEnergyCons!$C$4:$C$10000)*1,ISNUMBER(SEARCH("T_C*hy*dsl*s2",[2]OUT_TransportEnergyCons!$A$4:$A$10000))*1,[2]OUT_TransportEnergyCons!I$4:I$10000)</f>
        <v>5.4284665125139471E-2</v>
      </c>
      <c r="L2148" s="1" cm="1">
        <f t="array" ref="L2148">SUMPRODUCT(("var_ncap"=[2]OUT_TransportEnergyCons!$B$4:$B$10000)*1,("-"=[2]OUT_TransportEnergyCons!$C$4:$C$10000)*1,ISNUMBER(SEARCH("T_C*hy*dsl*s2",[2]OUT_TransportEnergyCons!$A$4:$A$10000))*1,[2]OUT_TransportEnergyCons!J$4:J$10000)</f>
        <v>0.13244575889630522</v>
      </c>
      <c r="N2148" s="1"/>
    </row>
    <row r="2149" spans="2:14" x14ac:dyDescent="0.35">
      <c r="B2149" s="5" t="str">
        <f t="shared" si="2118"/>
        <v>SPS1</v>
      </c>
      <c r="C2149" s="5" t="str">
        <f t="shared" si="2119"/>
        <v>CH</v>
      </c>
      <c r="D2149" t="s">
        <v>2278</v>
      </c>
      <c r="E2149" t="str">
        <f t="shared" si="2120"/>
        <v>Million</v>
      </c>
      <c r="F2149" s="1" cm="1">
        <f t="array" ref="F2149">SUMPRODUCT(("var_ncap"=[1]OUT_TransportEnergyCons!$B$4:$B$10000)*1,("-"=[1]OUT_TransportEnergyCons!$C$4:$C$10000)*1,ISNUMBER(SEARCH("T_C*hy*dsl*s3",[1]OUT_TransportEnergyCons!$A$4:$A$10000))*1,[1]OUT_TransportEnergyCons!D$4:D$10000)</f>
        <v>0</v>
      </c>
      <c r="G2149" s="1" cm="1">
        <f t="array" ref="G2149">SUMPRODUCT(("var_ncap"=[1]OUT_TransportEnergyCons!$B$4:$B$10000)*1,("-"=[1]OUT_TransportEnergyCons!$C$4:$C$10000)*1,ISNUMBER(SEARCH("T_C*hy*dsl*s3",[1]OUT_TransportEnergyCons!$A$4:$A$10000))*1,[1]OUT_TransportEnergyCons!E$4:E$10000)</f>
        <v>2.6025471669504028E-5</v>
      </c>
      <c r="H2149" s="1" cm="1">
        <f t="array" ref="H2149">SUMPRODUCT(("var_ncap"=[1]OUT_TransportEnergyCons!$B$4:$B$10000)*1,("-"=[1]OUT_TransportEnergyCons!$C$4:$C$10000)*1,ISNUMBER(SEARCH("T_C*hy*dsl*s3",[1]OUT_TransportEnergyCons!$A$4:$A$10000))*1,[1]OUT_TransportEnergyCons!F$4:F$10000)</f>
        <v>1.9513367329455171E-5</v>
      </c>
      <c r="I2149" s="1" cm="1">
        <f t="array" ref="I2149">SUMPRODUCT(("var_ncap"=[1]OUT_TransportEnergyCons!$B$4:$B$10000)*1,("-"=[1]OUT_TransportEnergyCons!$C$4:$C$10000)*1,ISNUMBER(SEARCH("T_C*hy*dsl*s3",[1]OUT_TransportEnergyCons!$A$4:$A$10000))*1,[1]OUT_TransportEnergyCons!G$4:G$10000)</f>
        <v>1.435741528331533E-5</v>
      </c>
      <c r="J2149" s="1" cm="1">
        <f t="array" ref="J2149">SUMPRODUCT(("var_ncap"=[2]OUT_TransportEnergyCons!$B$4:$B$10000)*1,("-"=[2]OUT_TransportEnergyCons!$C$4:$C$10000)*1,ISNUMBER(SEARCH("T_C*hy*dsl*s3",[2]OUT_TransportEnergyCons!$A$4:$A$10000))*1,[2]OUT_TransportEnergyCons!H$4:H$10000)</f>
        <v>1.5722658386902239E-4</v>
      </c>
      <c r="K2149" s="1" cm="1">
        <f t="array" ref="K2149">SUMPRODUCT(("var_ncap"=[2]OUT_TransportEnergyCons!$B$4:$B$10000)*1,("-"=[2]OUT_TransportEnergyCons!$C$4:$C$10000)*1,ISNUMBER(SEARCH("T_C*hy*dsl*s3",[2]OUT_TransportEnergyCons!$A$4:$A$10000))*1,[2]OUT_TransportEnergyCons!I$4:I$10000)</f>
        <v>8.0960899732297007E-3</v>
      </c>
      <c r="L2149" s="1" cm="1">
        <f t="array" ref="L2149">SUMPRODUCT(("var_ncap"=[2]OUT_TransportEnergyCons!$B$4:$B$10000)*1,("-"=[2]OUT_TransportEnergyCons!$C$4:$C$10000)*1,ISNUMBER(SEARCH("T_C*hy*dsl*s3",[2]OUT_TransportEnergyCons!$A$4:$A$10000))*1,[2]OUT_TransportEnergyCons!J$4:J$10000)</f>
        <v>1.5244103180380629E-2</v>
      </c>
      <c r="N2149" s="1"/>
    </row>
    <row r="2150" spans="2:14" x14ac:dyDescent="0.35">
      <c r="B2150" s="5" t="str">
        <f t="shared" si="2118"/>
        <v>SPS1</v>
      </c>
      <c r="C2150" s="5" t="str">
        <f t="shared" si="2119"/>
        <v>CH</v>
      </c>
      <c r="D2150" t="s">
        <v>2279</v>
      </c>
      <c r="E2150" t="str">
        <f t="shared" si="2120"/>
        <v>Million</v>
      </c>
      <c r="F2150" s="1" cm="1">
        <f t="array" ref="F2150">SUMPRODUCT(("var_ncap"=[1]OUT_TransportEnergyCons!$B$4:$B$10000)*1,("-"=[1]OUT_TransportEnergyCons!$C$4:$C$10000)*1,ISNUMBER(SEARCH("T_C*hy*dsl*s4",[1]OUT_TransportEnergyCons!$A$4:$A$10000))*1,[1]OUT_TransportEnergyCons!D$4:D$10000)</f>
        <v>0</v>
      </c>
      <c r="G2150" s="1" cm="1">
        <f t="array" ref="G2150">SUMPRODUCT(("var_ncap"=[1]OUT_TransportEnergyCons!$B$4:$B$10000)*1,("-"=[1]OUT_TransportEnergyCons!$C$4:$C$10000)*1,ISNUMBER(SEARCH("T_C*hy*dsl*s4",[1]OUT_TransportEnergyCons!$A$4:$A$10000))*1,[1]OUT_TransportEnergyCons!E$4:E$10000)</f>
        <v>3.1583144084796129E-5</v>
      </c>
      <c r="H2150" s="1" cm="1">
        <f t="array" ref="H2150">SUMPRODUCT(("var_ncap"=[1]OUT_TransportEnergyCons!$B$4:$B$10000)*1,("-"=[1]OUT_TransportEnergyCons!$C$4:$C$10000)*1,ISNUMBER(SEARCH("T_C*hy*dsl*s4",[1]OUT_TransportEnergyCons!$A$4:$A$10000))*1,[1]OUT_TransportEnergyCons!F$4:F$10000)</f>
        <v>1.7560142580760351E-5</v>
      </c>
      <c r="I2150" s="1" cm="1">
        <f t="array" ref="I2150">SUMPRODUCT(("var_ncap"=[1]OUT_TransportEnergyCons!$B$4:$B$10000)*1,("-"=[1]OUT_TransportEnergyCons!$C$4:$C$10000)*1,ISNUMBER(SEARCH("T_C*hy*dsl*s4",[1]OUT_TransportEnergyCons!$A$4:$A$10000))*1,[1]OUT_TransportEnergyCons!G$4:G$10000)</f>
        <v>1.059991191621768E-5</v>
      </c>
      <c r="J2150" s="1" cm="1">
        <f t="array" ref="J2150">SUMPRODUCT(("var_ncap"=[2]OUT_TransportEnergyCons!$B$4:$B$10000)*1,("-"=[2]OUT_TransportEnergyCons!$C$4:$C$10000)*1,ISNUMBER(SEARCH("T_C*hy*dsl*s4",[2]OUT_TransportEnergyCons!$A$4:$A$10000))*1,[2]OUT_TransportEnergyCons!H$4:H$10000)</f>
        <v>8.0576202832028092E-5</v>
      </c>
      <c r="K2150" s="1" cm="1">
        <f t="array" ref="K2150">SUMPRODUCT(("var_ncap"=[2]OUT_TransportEnergyCons!$B$4:$B$10000)*1,("-"=[2]OUT_TransportEnergyCons!$C$4:$C$10000)*1,ISNUMBER(SEARCH("T_C*hy*dsl*s4",[2]OUT_TransportEnergyCons!$A$4:$A$10000))*1,[2]OUT_TransportEnergyCons!I$4:I$10000)</f>
        <v>9.1785614449039408E-5</v>
      </c>
      <c r="L2150" s="1" cm="1">
        <f t="array" ref="L2150">SUMPRODUCT(("var_ncap"=[2]OUT_TransportEnergyCons!$B$4:$B$10000)*1,("-"=[2]OUT_TransportEnergyCons!$C$4:$C$10000)*1,ISNUMBER(SEARCH("T_C*hy*dsl*s4",[2]OUT_TransportEnergyCons!$A$4:$A$10000))*1,[2]OUT_TransportEnergyCons!J$4:J$10000)</f>
        <v>2.1196397105868939E-4</v>
      </c>
      <c r="N2150" s="1"/>
    </row>
    <row r="2151" spans="2:14" x14ac:dyDescent="0.35">
      <c r="B2151" s="5" t="str">
        <f t="shared" si="2118"/>
        <v>SPS1</v>
      </c>
      <c r="C2151" s="5" t="str">
        <f t="shared" si="2119"/>
        <v>CH</v>
      </c>
      <c r="D2151" t="s">
        <v>2280</v>
      </c>
      <c r="E2151" t="str">
        <f t="shared" si="2120"/>
        <v>Million</v>
      </c>
      <c r="F2151" s="1" cm="1">
        <f t="array" ref="F2151">SUMPRODUCT(("var_ncap"=[1]OUT_TransportEnergyCons!$B$4:$B$10000)*1,("-"=[1]OUT_TransportEnergyCons!$C$4:$C$10000)*1,ISNUMBER(SEARCH("T_C*ICE*dsl*ext",[1]OUT_TransportEnergyCons!$A$4:$A$10000))*1,[1]OUT_TransportEnergyCons!D$4:D$10000)</f>
        <v>0</v>
      </c>
      <c r="G2151" s="1" cm="1">
        <f t="array" ref="G2151">SUMPRODUCT(("var_ncap"=[1]OUT_TransportEnergyCons!$B$4:$B$10000)*1,("-"=[1]OUT_TransportEnergyCons!$C$4:$C$10000)*1,ISNUMBER(SEARCH("T_C*ICE*dsl*ext",[1]OUT_TransportEnergyCons!$A$4:$A$10000))*1,[1]OUT_TransportEnergyCons!E$4:E$10000)</f>
        <v>0</v>
      </c>
      <c r="H2151" s="1" cm="1">
        <f t="array" ref="H2151">SUMPRODUCT(("var_ncap"=[1]OUT_TransportEnergyCons!$B$4:$B$10000)*1,("-"=[1]OUT_TransportEnergyCons!$C$4:$C$10000)*1,ISNUMBER(SEARCH("T_C*ICE*dsl*ext",[1]OUT_TransportEnergyCons!$A$4:$A$10000))*1,[1]OUT_TransportEnergyCons!F$4:F$10000)</f>
        <v>0</v>
      </c>
      <c r="I2151" s="1" cm="1">
        <f t="array" ref="I2151">SUMPRODUCT(("var_ncap"=[1]OUT_TransportEnergyCons!$B$4:$B$10000)*1,("-"=[1]OUT_TransportEnergyCons!$C$4:$C$10000)*1,ISNUMBER(SEARCH("T_C*ICE*dsl*ext",[1]OUT_TransportEnergyCons!$A$4:$A$10000))*1,[1]OUT_TransportEnergyCons!G$4:G$10000)</f>
        <v>0</v>
      </c>
      <c r="J2151" s="1" cm="1">
        <f t="array" ref="J2151">SUMPRODUCT(("var_ncap"=[2]OUT_TransportEnergyCons!$B$4:$B$10000)*1,("-"=[2]OUT_TransportEnergyCons!$C$4:$C$10000)*1,ISNUMBER(SEARCH("T_C*ICE*dsl*ext",[2]OUT_TransportEnergyCons!$A$4:$A$10000))*1,[2]OUT_TransportEnergyCons!H$4:H$10000)</f>
        <v>0</v>
      </c>
      <c r="K2151" s="1" cm="1">
        <f t="array" ref="K2151">SUMPRODUCT(("var_ncap"=[2]OUT_TransportEnergyCons!$B$4:$B$10000)*1,("-"=[2]OUT_TransportEnergyCons!$C$4:$C$10000)*1,ISNUMBER(SEARCH("T_C*ICE*dsl*ext",[2]OUT_TransportEnergyCons!$A$4:$A$10000))*1,[2]OUT_TransportEnergyCons!I$4:I$10000)</f>
        <v>0</v>
      </c>
      <c r="L2151" s="1" cm="1">
        <f t="array" ref="L2151">SUMPRODUCT(("var_ncap"=[2]OUT_TransportEnergyCons!$B$4:$B$10000)*1,("-"=[2]OUT_TransportEnergyCons!$C$4:$C$10000)*1,ISNUMBER(SEARCH("T_C*ICE*dsl*ext",[2]OUT_TransportEnergyCons!$A$4:$A$10000))*1,[2]OUT_TransportEnergyCons!J$4:J$10000)</f>
        <v>0</v>
      </c>
      <c r="N2151" s="1"/>
    </row>
    <row r="2152" spans="2:14" x14ac:dyDescent="0.35">
      <c r="B2152" s="5" t="str">
        <f t="shared" si="2118"/>
        <v>SPS1</v>
      </c>
      <c r="C2152" s="5" t="str">
        <f t="shared" si="2119"/>
        <v>CH</v>
      </c>
      <c r="D2152" t="s">
        <v>2281</v>
      </c>
      <c r="E2152" t="str">
        <f t="shared" si="2120"/>
        <v>Million</v>
      </c>
      <c r="F2152" s="1" cm="1">
        <f t="array" ref="F2152">SUMPRODUCT(("var_ncap"=[1]OUT_TransportEnergyCons!$B$4:$B$10000)*1,("-"=[1]OUT_TransportEnergyCons!$C$4:$C$10000)*1,ISNUMBER(SEARCH("T_C*ICE*dsl*s1",[1]OUT_TransportEnergyCons!$A$4:$A$10000))*1,[1]OUT_TransportEnergyCons!D$4:D$10000)</f>
        <v>0</v>
      </c>
      <c r="G2152" s="1" cm="1">
        <f t="array" ref="G2152">SUMPRODUCT(("var_ncap"=[1]OUT_TransportEnergyCons!$B$4:$B$10000)*1,("-"=[1]OUT_TransportEnergyCons!$C$4:$C$10000)*1,ISNUMBER(SEARCH("T_C*ICE*dsl*s1",[1]OUT_TransportEnergyCons!$A$4:$A$10000))*1,[1]OUT_TransportEnergyCons!E$4:E$10000)</f>
        <v>1.19785006521852E-5</v>
      </c>
      <c r="H2152" s="1" cm="1">
        <f t="array" ref="H2152">SUMPRODUCT(("var_ncap"=[1]OUT_TransportEnergyCons!$B$4:$B$10000)*1,("-"=[1]OUT_TransportEnergyCons!$C$4:$C$10000)*1,ISNUMBER(SEARCH("T_C*ICE*dsl*s1",[1]OUT_TransportEnergyCons!$A$4:$A$10000))*1,[1]OUT_TransportEnergyCons!F$4:F$10000)</f>
        <v>2.0390690395384599E-5</v>
      </c>
      <c r="I2152" s="1" cm="1">
        <f t="array" ref="I2152">SUMPRODUCT(("var_ncap"=[1]OUT_TransportEnergyCons!$B$4:$B$10000)*1,("-"=[1]OUT_TransportEnergyCons!$C$4:$C$10000)*1,ISNUMBER(SEARCH("T_C*ICE*dsl*s1",[1]OUT_TransportEnergyCons!$A$4:$A$10000))*1,[1]OUT_TransportEnergyCons!G$4:G$10000)</f>
        <v>1.4201991355319601E-5</v>
      </c>
      <c r="J2152" s="1" cm="1">
        <f t="array" ref="J2152">SUMPRODUCT(("var_ncap"=[2]OUT_TransportEnergyCons!$B$4:$B$10000)*1,("-"=[2]OUT_TransportEnergyCons!$C$4:$C$10000)*1,ISNUMBER(SEARCH("T_C*ICE*dsl*s1",[2]OUT_TransportEnergyCons!$A$4:$A$10000))*1,[2]OUT_TransportEnergyCons!H$4:H$10000)</f>
        <v>4.19009510515915E-5</v>
      </c>
      <c r="K2152" s="1" cm="1">
        <f t="array" ref="K2152">SUMPRODUCT(("var_ncap"=[2]OUT_TransportEnergyCons!$B$4:$B$10000)*1,("-"=[2]OUT_TransportEnergyCons!$C$4:$C$10000)*1,ISNUMBER(SEARCH("T_C*ICE*dsl*s1",[2]OUT_TransportEnergyCons!$A$4:$A$10000))*1,[2]OUT_TransportEnergyCons!I$4:I$10000)</f>
        <v>2.17073352538693E-5</v>
      </c>
      <c r="L2152" s="1" cm="1">
        <f t="array" ref="L2152">SUMPRODUCT(("var_ncap"=[2]OUT_TransportEnergyCons!$B$4:$B$10000)*1,("-"=[2]OUT_TransportEnergyCons!$C$4:$C$10000)*1,ISNUMBER(SEARCH("T_C*ICE*dsl*s1",[2]OUT_TransportEnergyCons!$A$4:$A$10000))*1,[2]OUT_TransportEnergyCons!J$4:J$10000)</f>
        <v>8.9323046581719E-6</v>
      </c>
      <c r="N2152" s="1"/>
    </row>
    <row r="2153" spans="2:14" x14ac:dyDescent="0.35">
      <c r="B2153" s="5" t="str">
        <f t="shared" si="2118"/>
        <v>SPS1</v>
      </c>
      <c r="C2153" s="5" t="str">
        <f t="shared" si="2119"/>
        <v>CH</v>
      </c>
      <c r="D2153" t="s">
        <v>2282</v>
      </c>
      <c r="E2153" t="str">
        <f t="shared" si="2120"/>
        <v>Million</v>
      </c>
      <c r="F2153" s="1" cm="1">
        <f t="array" ref="F2153">SUMPRODUCT(("var_ncap"=[1]OUT_TransportEnergyCons!$B$4:$B$10000)*1,("-"=[1]OUT_TransportEnergyCons!$C$4:$C$10000)*1,ISNUMBER(SEARCH("T_C*ICE*dsl*s2",[1]OUT_TransportEnergyCons!$A$4:$A$10000))*1,[1]OUT_TransportEnergyCons!D$4:D$10000)</f>
        <v>0</v>
      </c>
      <c r="G2153" s="1" cm="1">
        <f t="array" ref="G2153">SUMPRODUCT(("var_ncap"=[1]OUT_TransportEnergyCons!$B$4:$B$10000)*1,("-"=[1]OUT_TransportEnergyCons!$C$4:$C$10000)*1,ISNUMBER(SEARCH("T_C*ICE*dsl*s2",[1]OUT_TransportEnergyCons!$A$4:$A$10000))*1,[1]OUT_TransportEnergyCons!E$4:E$10000)</f>
        <v>5.3164386669359103E-6</v>
      </c>
      <c r="H2153" s="1" cm="1">
        <f t="array" ref="H2153">SUMPRODUCT(("var_ncap"=[1]OUT_TransportEnergyCons!$B$4:$B$10000)*1,("-"=[1]OUT_TransportEnergyCons!$C$4:$C$10000)*1,ISNUMBER(SEARCH("T_C*ICE*dsl*s2",[1]OUT_TransportEnergyCons!$A$4:$A$10000))*1,[1]OUT_TransportEnergyCons!F$4:F$10000)</f>
        <v>1.1804338680265899E-5</v>
      </c>
      <c r="I2153" s="1" cm="1">
        <f t="array" ref="I2153">SUMPRODUCT(("var_ncap"=[1]OUT_TransportEnergyCons!$B$4:$B$10000)*1,("-"=[1]OUT_TransportEnergyCons!$C$4:$C$10000)*1,ISNUMBER(SEARCH("T_C*ICE*dsl*s2",[1]OUT_TransportEnergyCons!$A$4:$A$10000))*1,[1]OUT_TransportEnergyCons!G$4:G$10000)</f>
        <v>6.7294947494539504E-6</v>
      </c>
      <c r="J2153" s="1" cm="1">
        <f t="array" ref="J2153">SUMPRODUCT(("var_ncap"=[2]OUT_TransportEnergyCons!$B$4:$B$10000)*1,("-"=[2]OUT_TransportEnergyCons!$C$4:$C$10000)*1,ISNUMBER(SEARCH("T_C*ICE*dsl*s2",[2]OUT_TransportEnergyCons!$A$4:$A$10000))*1,[2]OUT_TransportEnergyCons!H$4:H$10000)</f>
        <v>3.4359451412740501E-5</v>
      </c>
      <c r="K2153" s="1" cm="1">
        <f t="array" ref="K2153">SUMPRODUCT(("var_ncap"=[2]OUT_TransportEnergyCons!$B$4:$B$10000)*1,("-"=[2]OUT_TransportEnergyCons!$C$4:$C$10000)*1,ISNUMBER(SEARCH("T_C*ICE*dsl*s2",[2]OUT_TransportEnergyCons!$A$4:$A$10000))*1,[2]OUT_TransportEnergyCons!I$4:I$10000)</f>
        <v>1.9338627043465399E-5</v>
      </c>
      <c r="L2153" s="1" cm="1">
        <f t="array" ref="L2153">SUMPRODUCT(("var_ncap"=[2]OUT_TransportEnergyCons!$B$4:$B$10000)*1,("-"=[2]OUT_TransportEnergyCons!$C$4:$C$10000)*1,ISNUMBER(SEARCH("T_C*ICE*dsl*s2",[2]OUT_TransportEnergyCons!$A$4:$A$10000))*1,[2]OUT_TransportEnergyCons!J$4:J$10000)</f>
        <v>8.8338846612557993E-6</v>
      </c>
      <c r="N2153" s="1"/>
    </row>
    <row r="2154" spans="2:14" x14ac:dyDescent="0.35">
      <c r="B2154" s="5" t="str">
        <f t="shared" si="2118"/>
        <v>SPS1</v>
      </c>
      <c r="C2154" s="5" t="str">
        <f t="shared" si="2119"/>
        <v>CH</v>
      </c>
      <c r="D2154" t="s">
        <v>2283</v>
      </c>
      <c r="E2154" t="str">
        <f t="shared" si="2120"/>
        <v>Million</v>
      </c>
      <c r="F2154" s="1" cm="1">
        <f t="array" ref="F2154">SUMPRODUCT(("var_ncap"=[1]OUT_TransportEnergyCons!$B$4:$B$10000)*1,("-"=[1]OUT_TransportEnergyCons!$C$4:$C$10000)*1,ISNUMBER(SEARCH("T_C*ICE*dsl*s3",[1]OUT_TransportEnergyCons!$A$4:$A$10000))*1,[1]OUT_TransportEnergyCons!D$4:D$10000)</f>
        <v>0</v>
      </c>
      <c r="G2154" s="1" cm="1">
        <f t="array" ref="G2154">SUMPRODUCT(("var_ncap"=[1]OUT_TransportEnergyCons!$B$4:$B$10000)*1,("-"=[1]OUT_TransportEnergyCons!$C$4:$C$10000)*1,ISNUMBER(SEARCH("T_C*ICE*dsl*s3",[1]OUT_TransportEnergyCons!$A$4:$A$10000))*1,[1]OUT_TransportEnergyCons!E$4:E$10000)</f>
        <v>4.6413698385860301E-6</v>
      </c>
      <c r="H2154" s="1" cm="1">
        <f t="array" ref="H2154">SUMPRODUCT(("var_ncap"=[1]OUT_TransportEnergyCons!$B$4:$B$10000)*1,("-"=[1]OUT_TransportEnergyCons!$C$4:$C$10000)*1,ISNUMBER(SEARCH("T_C*ICE*dsl*s3",[1]OUT_TransportEnergyCons!$A$4:$A$10000))*1,[1]OUT_TransportEnergyCons!F$4:F$10000)</f>
        <v>8.1474152493747094E-6</v>
      </c>
      <c r="I2154" s="1" cm="1">
        <f t="array" ref="I2154">SUMPRODUCT(("var_ncap"=[1]OUT_TransportEnergyCons!$B$4:$B$10000)*1,("-"=[1]OUT_TransportEnergyCons!$C$4:$C$10000)*1,ISNUMBER(SEARCH("T_C*ICE*dsl*s3",[1]OUT_TransportEnergyCons!$A$4:$A$10000))*1,[1]OUT_TransportEnergyCons!G$4:G$10000)</f>
        <v>5.1063222489183497E-6</v>
      </c>
      <c r="J2154" s="1" cm="1">
        <f t="array" ref="J2154">SUMPRODUCT(("var_ncap"=[2]OUT_TransportEnergyCons!$B$4:$B$10000)*1,("-"=[2]OUT_TransportEnergyCons!$C$4:$C$10000)*1,ISNUMBER(SEARCH("T_C*ICE*dsl*s3",[2]OUT_TransportEnergyCons!$A$4:$A$10000))*1,[2]OUT_TransportEnergyCons!H$4:H$10000)</f>
        <v>2.85830066145607E-5</v>
      </c>
      <c r="K2154" s="1" cm="1">
        <f t="array" ref="K2154">SUMPRODUCT(("var_ncap"=[2]OUT_TransportEnergyCons!$B$4:$B$10000)*1,("-"=[2]OUT_TransportEnergyCons!$C$4:$C$10000)*1,ISNUMBER(SEARCH("T_C*ICE*dsl*s3",[2]OUT_TransportEnergyCons!$A$4:$A$10000))*1,[2]OUT_TransportEnergyCons!I$4:I$10000)</f>
        <v>1.9093290241886601E-5</v>
      </c>
      <c r="L2154" s="1" cm="1">
        <f t="array" ref="L2154">SUMPRODUCT(("var_ncap"=[2]OUT_TransportEnergyCons!$B$4:$B$10000)*1,("-"=[2]OUT_TransportEnergyCons!$C$4:$C$10000)*1,ISNUMBER(SEARCH("T_C*ICE*dsl*s3",[2]OUT_TransportEnergyCons!$A$4:$A$10000))*1,[2]OUT_TransportEnergyCons!J$4:J$10000)</f>
        <v>1.0538780760232201E-5</v>
      </c>
      <c r="N2154" s="1"/>
    </row>
    <row r="2155" spans="2:14" x14ac:dyDescent="0.35">
      <c r="B2155" s="5" t="str">
        <f t="shared" si="2118"/>
        <v>SPS1</v>
      </c>
      <c r="C2155" s="5" t="str">
        <f t="shared" si="2119"/>
        <v>CH</v>
      </c>
      <c r="D2155" t="s">
        <v>2284</v>
      </c>
      <c r="E2155" t="str">
        <f t="shared" si="2120"/>
        <v>Million</v>
      </c>
      <c r="F2155" s="1" cm="1">
        <f t="array" ref="F2155">SUMPRODUCT(("var_ncap"=[1]OUT_TransportEnergyCons!$B$4:$B$10000)*1,("-"=[1]OUT_TransportEnergyCons!$C$4:$C$10000)*1,ISNUMBER(SEARCH("T_C*ICE*dsl*s4",[1]OUT_TransportEnergyCons!$A$4:$A$10000))*1,[1]OUT_TransportEnergyCons!D$4:D$10000)</f>
        <v>0</v>
      </c>
      <c r="G2155" s="1" cm="1">
        <f t="array" ref="G2155">SUMPRODUCT(("var_ncap"=[1]OUT_TransportEnergyCons!$B$4:$B$10000)*1,("-"=[1]OUT_TransportEnergyCons!$C$4:$C$10000)*1,ISNUMBER(SEARCH("T_C*ICE*dsl*s4",[1]OUT_TransportEnergyCons!$A$4:$A$10000))*1,[1]OUT_TransportEnergyCons!E$4:E$10000)</f>
        <v>2.1751896218186098E-6</v>
      </c>
      <c r="H2155" s="1" cm="1">
        <f t="array" ref="H2155">SUMPRODUCT(("var_ncap"=[1]OUT_TransportEnergyCons!$B$4:$B$10000)*1,("-"=[1]OUT_TransportEnergyCons!$C$4:$C$10000)*1,ISNUMBER(SEARCH("T_C*ICE*dsl*s4",[1]OUT_TransportEnergyCons!$A$4:$A$10000))*1,[1]OUT_TransportEnergyCons!F$4:F$10000)</f>
        <v>4.2773610258486104E-6</v>
      </c>
      <c r="I2155" s="1" cm="1">
        <f t="array" ref="I2155">SUMPRODUCT(("var_ncap"=[1]OUT_TransportEnergyCons!$B$4:$B$10000)*1,("-"=[1]OUT_TransportEnergyCons!$C$4:$C$10000)*1,ISNUMBER(SEARCH("T_C*ICE*dsl*s4",[1]OUT_TransportEnergyCons!$A$4:$A$10000))*1,[1]OUT_TransportEnergyCons!G$4:G$10000)</f>
        <v>3.6782044166946701E-6</v>
      </c>
      <c r="J2155" s="1" cm="1">
        <f t="array" ref="J2155">SUMPRODUCT(("var_ncap"=[2]OUT_TransportEnergyCons!$B$4:$B$10000)*1,("-"=[2]OUT_TransportEnergyCons!$C$4:$C$10000)*1,ISNUMBER(SEARCH("T_C*ICE*dsl*s4",[2]OUT_TransportEnergyCons!$A$4:$A$10000))*1,[2]OUT_TransportEnergyCons!H$4:H$10000)</f>
        <v>1.9521324001389599E-5</v>
      </c>
      <c r="K2155" s="1" cm="1">
        <f t="array" ref="K2155">SUMPRODUCT(("var_ncap"=[2]OUT_TransportEnergyCons!$B$4:$B$10000)*1,("-"=[2]OUT_TransportEnergyCons!$C$4:$C$10000)*1,ISNUMBER(SEARCH("T_C*ICE*dsl*s4",[2]OUT_TransportEnergyCons!$A$4:$A$10000))*1,[2]OUT_TransportEnergyCons!I$4:I$10000)</f>
        <v>1.41907653814353E-5</v>
      </c>
      <c r="L2155" s="1" cm="1">
        <f t="array" ref="L2155">SUMPRODUCT(("var_ncap"=[2]OUT_TransportEnergyCons!$B$4:$B$10000)*1,("-"=[2]OUT_TransportEnergyCons!$C$4:$C$10000)*1,ISNUMBER(SEARCH("T_C*ICE*dsl*s4",[2]OUT_TransportEnergyCons!$A$4:$A$10000))*1,[2]OUT_TransportEnergyCons!J$4:J$10000)</f>
        <v>8.8485717777148906E-6</v>
      </c>
      <c r="N2155" s="1"/>
    </row>
    <row r="2156" spans="2:14" x14ac:dyDescent="0.35">
      <c r="B2156" s="5" t="str">
        <f t="shared" si="2118"/>
        <v>SPS1</v>
      </c>
      <c r="C2156" s="5" t="str">
        <f t="shared" si="2119"/>
        <v>CH</v>
      </c>
      <c r="D2156" t="s">
        <v>2285</v>
      </c>
      <c r="E2156" t="str">
        <f t="shared" si="2120"/>
        <v>Million</v>
      </c>
      <c r="F2156" s="1" cm="1">
        <f t="array" ref="F2156">SUMPRODUCT(("var_ncap"=[1]OUT_TransportEnergyCons!$B$4:$B$10000)*1,("-"=[1]OUT_TransportEnergyCons!$C$4:$C$10000)*1,ISNUMBER(SEARCH("T_C*mhy*dsl*s1",[1]OUT_TransportEnergyCons!$A$4:$A$10000))*1,[1]OUT_TransportEnergyCons!D$4:D$10000)</f>
        <v>0</v>
      </c>
      <c r="G2156" s="1" cm="1">
        <f t="array" ref="G2156">SUMPRODUCT(("var_ncap"=[1]OUT_TransportEnergyCons!$B$4:$B$10000)*1,("-"=[1]OUT_TransportEnergyCons!$C$4:$C$10000)*1,ISNUMBER(SEARCH("T_C*mhy*dsl*s1",[1]OUT_TransportEnergyCons!$A$4:$A$10000))*1,[1]OUT_TransportEnergyCons!E$4:E$10000)</f>
        <v>7.48044185781629E-6</v>
      </c>
      <c r="H2156" s="1" cm="1">
        <f t="array" ref="H2156">SUMPRODUCT(("var_ncap"=[1]OUT_TransportEnergyCons!$B$4:$B$10000)*1,("-"=[1]OUT_TransportEnergyCons!$C$4:$C$10000)*1,ISNUMBER(SEARCH("T_C*mhy*dsl*s1",[1]OUT_TransportEnergyCons!$A$4:$A$10000))*1,[1]OUT_TransportEnergyCons!F$4:F$10000)</f>
        <v>2.5291812933474899E-5</v>
      </c>
      <c r="I2156" s="1" cm="1">
        <f t="array" ref="I2156">SUMPRODUCT(("var_ncap"=[1]OUT_TransportEnergyCons!$B$4:$B$10000)*1,("-"=[1]OUT_TransportEnergyCons!$C$4:$C$10000)*1,ISNUMBER(SEARCH("T_C*mhy*dsl*s1",[1]OUT_TransportEnergyCons!$A$4:$A$10000))*1,[1]OUT_TransportEnergyCons!G$4:G$10000)</f>
        <v>2.0559301185689601E-2</v>
      </c>
      <c r="J2156" s="1" cm="1">
        <f t="array" ref="J2156">SUMPRODUCT(("var_ncap"=[2]OUT_TransportEnergyCons!$B$4:$B$10000)*1,("-"=[2]OUT_TransportEnergyCons!$C$4:$C$10000)*1,ISNUMBER(SEARCH("T_C*mhy*dsl*s1",[2]OUT_TransportEnergyCons!$A$4:$A$10000))*1,[2]OUT_TransportEnergyCons!H$4:H$10000)</f>
        <v>5.15254615201877E-3</v>
      </c>
      <c r="K2156" s="1" cm="1">
        <f t="array" ref="K2156">SUMPRODUCT(("var_ncap"=[2]OUT_TransportEnergyCons!$B$4:$B$10000)*1,("-"=[2]OUT_TransportEnergyCons!$C$4:$C$10000)*1,ISNUMBER(SEARCH("T_C*mhy*dsl*s1",[2]OUT_TransportEnergyCons!$A$4:$A$10000))*1,[2]OUT_TransportEnergyCons!I$4:I$10000)</f>
        <v>1.22429351546795E-4</v>
      </c>
      <c r="L2156" s="1" cm="1">
        <f t="array" ref="L2156">SUMPRODUCT(("var_ncap"=[2]OUT_TransportEnergyCons!$B$4:$B$10000)*1,("-"=[2]OUT_TransportEnergyCons!$C$4:$C$10000)*1,ISNUMBER(SEARCH("T_C*mhy*dsl*s1",[2]OUT_TransportEnergyCons!$A$4:$A$10000))*1,[2]OUT_TransportEnergyCons!J$4:J$10000)</f>
        <v>2.01978428585863E-5</v>
      </c>
      <c r="N2156" s="1"/>
    </row>
    <row r="2157" spans="2:14" x14ac:dyDescent="0.35">
      <c r="B2157" s="5" t="str">
        <f t="shared" si="2118"/>
        <v>SPS1</v>
      </c>
      <c r="C2157" s="5" t="str">
        <f t="shared" si="2119"/>
        <v>CH</v>
      </c>
      <c r="D2157" t="s">
        <v>2286</v>
      </c>
      <c r="E2157" t="str">
        <f t="shared" si="2120"/>
        <v>Million</v>
      </c>
      <c r="F2157" s="1" cm="1">
        <f t="array" ref="F2157">SUMPRODUCT(("var_ncap"=[1]OUT_TransportEnergyCons!$B$4:$B$10000)*1,("-"=[1]OUT_TransportEnergyCons!$C$4:$C$10000)*1,ISNUMBER(SEARCH("T_C*mhy*dsl*s2",[1]OUT_TransportEnergyCons!$A$4:$A$10000))*1,[1]OUT_TransportEnergyCons!D$4:D$10000)</f>
        <v>0</v>
      </c>
      <c r="G2157" s="1" cm="1">
        <f t="array" ref="G2157">SUMPRODUCT(("var_ncap"=[1]OUT_TransportEnergyCons!$B$4:$B$10000)*1,("-"=[1]OUT_TransportEnergyCons!$C$4:$C$10000)*1,ISNUMBER(SEARCH("T_C*mhy*dsl*s2",[1]OUT_TransportEnergyCons!$A$4:$A$10000))*1,[1]OUT_TransportEnergyCons!E$4:E$10000)</f>
        <v>3.07229814725381E-6</v>
      </c>
      <c r="H2157" s="1" cm="1">
        <f t="array" ref="H2157">SUMPRODUCT(("var_ncap"=[1]OUT_TransportEnergyCons!$B$4:$B$10000)*1,("-"=[1]OUT_TransportEnergyCons!$C$4:$C$10000)*1,ISNUMBER(SEARCH("T_C*mhy*dsl*s2",[1]OUT_TransportEnergyCons!$A$4:$A$10000))*1,[1]OUT_TransportEnergyCons!F$4:F$10000)</f>
        <v>1.11372402070986E-5</v>
      </c>
      <c r="I2157" s="1" cm="1">
        <f t="array" ref="I2157">SUMPRODUCT(("var_ncap"=[1]OUT_TransportEnergyCons!$B$4:$B$10000)*1,("-"=[1]OUT_TransportEnergyCons!$C$4:$C$10000)*1,ISNUMBER(SEARCH("T_C*mhy*dsl*s2",[1]OUT_TransportEnergyCons!$A$4:$A$10000))*1,[1]OUT_TransportEnergyCons!G$4:G$10000)</f>
        <v>1.4545655841561999E-5</v>
      </c>
      <c r="J2157" s="1" cm="1">
        <f t="array" ref="J2157">SUMPRODUCT(("var_ncap"=[2]OUT_TransportEnergyCons!$B$4:$B$10000)*1,("-"=[2]OUT_TransportEnergyCons!$C$4:$C$10000)*1,ISNUMBER(SEARCH("T_C*mhy*dsl*s2",[2]OUT_TransportEnergyCons!$A$4:$A$10000))*1,[2]OUT_TransportEnergyCons!H$4:H$10000)</f>
        <v>1.36582729632338E-4</v>
      </c>
      <c r="K2157" s="1" cm="1">
        <f t="array" ref="K2157">SUMPRODUCT(("var_ncap"=[2]OUT_TransportEnergyCons!$B$4:$B$10000)*1,("-"=[2]OUT_TransportEnergyCons!$C$4:$C$10000)*1,ISNUMBER(SEARCH("T_C*mhy*dsl*s2",[2]OUT_TransportEnergyCons!$A$4:$A$10000))*1,[2]OUT_TransportEnergyCons!I$4:I$10000)</f>
        <v>9.1781018470368404E-5</v>
      </c>
      <c r="L2157" s="1" cm="1">
        <f t="array" ref="L2157">SUMPRODUCT(("var_ncap"=[2]OUT_TransportEnergyCons!$B$4:$B$10000)*1,("-"=[2]OUT_TransportEnergyCons!$C$4:$C$10000)*1,ISNUMBER(SEARCH("T_C*mhy*dsl*s2",[2]OUT_TransportEnergyCons!$A$4:$A$10000))*1,[2]OUT_TransportEnergyCons!J$4:J$10000)</f>
        <v>2.7467251747202999E-5</v>
      </c>
      <c r="N2157" s="1"/>
    </row>
    <row r="2158" spans="2:14" x14ac:dyDescent="0.35">
      <c r="B2158" s="5" t="str">
        <f t="shared" si="2118"/>
        <v>SPS1</v>
      </c>
      <c r="C2158" s="5" t="str">
        <f t="shared" si="2119"/>
        <v>CH</v>
      </c>
      <c r="D2158" t="s">
        <v>2287</v>
      </c>
      <c r="E2158" t="str">
        <f t="shared" si="2120"/>
        <v>Million</v>
      </c>
      <c r="F2158" s="1" cm="1">
        <f t="array" ref="F2158">SUMPRODUCT(("var_ncap"=[1]OUT_TransportEnergyCons!$B$4:$B$10000)*1,("-"=[1]OUT_TransportEnergyCons!$C$4:$C$10000)*1,ISNUMBER(SEARCH("T_C*mhy*dsl*s3",[1]OUT_TransportEnergyCons!$A$4:$A$10000))*1,[1]OUT_TransportEnergyCons!D$4:D$10000)</f>
        <v>0</v>
      </c>
      <c r="G2158" s="1" cm="1">
        <f t="array" ref="G2158">SUMPRODUCT(("var_ncap"=[1]OUT_TransportEnergyCons!$B$4:$B$10000)*1,("-"=[1]OUT_TransportEnergyCons!$C$4:$C$10000)*1,ISNUMBER(SEARCH("T_C*mhy*dsl*s3",[1]OUT_TransportEnergyCons!$A$4:$A$10000))*1,[1]OUT_TransportEnergyCons!E$4:E$10000)</f>
        <v>3.17716844654523E-6</v>
      </c>
      <c r="H2158" s="1" cm="1">
        <f t="array" ref="H2158">SUMPRODUCT(("var_ncap"=[1]OUT_TransportEnergyCons!$B$4:$B$10000)*1,("-"=[1]OUT_TransportEnergyCons!$C$4:$C$10000)*1,ISNUMBER(SEARCH("T_C*mhy*dsl*s3",[1]OUT_TransportEnergyCons!$A$4:$A$10000))*1,[1]OUT_TransportEnergyCons!F$4:F$10000)</f>
        <v>8.9108605288782703E-6</v>
      </c>
      <c r="I2158" s="1" cm="1">
        <f t="array" ref="I2158">SUMPRODUCT(("var_ncap"=[1]OUT_TransportEnergyCons!$B$4:$B$10000)*1,("-"=[1]OUT_TransportEnergyCons!$C$4:$C$10000)*1,ISNUMBER(SEARCH("T_C*mhy*dsl*s3",[1]OUT_TransportEnergyCons!$A$4:$A$10000))*1,[1]OUT_TransportEnergyCons!G$4:G$10000)</f>
        <v>1.00249045469458E-5</v>
      </c>
      <c r="J2158" s="1" cm="1">
        <f t="array" ref="J2158">SUMPRODUCT(("var_ncap"=[2]OUT_TransportEnergyCons!$B$4:$B$10000)*1,("-"=[2]OUT_TransportEnergyCons!$C$4:$C$10000)*1,ISNUMBER(SEARCH("T_C*mhy*dsl*s3",[2]OUT_TransportEnergyCons!$A$4:$A$10000))*1,[2]OUT_TransportEnergyCons!H$4:H$10000)</f>
        <v>1.2258883219050899E-4</v>
      </c>
      <c r="K2158" s="1" cm="1">
        <f t="array" ref="K2158">SUMPRODUCT(("var_ncap"=[2]OUT_TransportEnergyCons!$B$4:$B$10000)*1,("-"=[2]OUT_TransportEnergyCons!$C$4:$C$10000)*1,ISNUMBER(SEARCH("T_C*mhy*dsl*s3",[2]OUT_TransportEnergyCons!$A$4:$A$10000))*1,[2]OUT_TransportEnergyCons!I$4:I$10000)</f>
        <v>8.0646565020129901E-3</v>
      </c>
      <c r="L2158" s="1" cm="1">
        <f t="array" ref="L2158">SUMPRODUCT(("var_ncap"=[2]OUT_TransportEnergyCons!$B$4:$B$10000)*1,("-"=[2]OUT_TransportEnergyCons!$C$4:$C$10000)*1,ISNUMBER(SEARCH("T_C*mhy*dsl*s3",[2]OUT_TransportEnergyCons!$A$4:$A$10000))*1,[2]OUT_TransportEnergyCons!J$4:J$10000)</f>
        <v>1.52176762346562E-2</v>
      </c>
      <c r="N2158" s="1"/>
    </row>
    <row r="2159" spans="2:14" x14ac:dyDescent="0.35">
      <c r="B2159" s="5" t="str">
        <f t="shared" si="2118"/>
        <v>SPS1</v>
      </c>
      <c r="C2159" s="5" t="str">
        <f t="shared" si="2119"/>
        <v>CH</v>
      </c>
      <c r="D2159" t="s">
        <v>2288</v>
      </c>
      <c r="E2159" t="str">
        <f t="shared" si="2120"/>
        <v>Million</v>
      </c>
      <c r="F2159" s="1" cm="1">
        <f t="array" ref="F2159">SUMPRODUCT(("var_ncap"=[1]OUT_TransportEnergyCons!$B$4:$B$10000)*1,("-"=[1]OUT_TransportEnergyCons!$C$4:$C$10000)*1,ISNUMBER(SEARCH("T_C*mhy*dsl*s4",[1]OUT_TransportEnergyCons!$A$4:$A$10000))*1,[1]OUT_TransportEnergyCons!D$4:D$10000)</f>
        <v>0</v>
      </c>
      <c r="G2159" s="1" cm="1">
        <f t="array" ref="G2159">SUMPRODUCT(("var_ncap"=[1]OUT_TransportEnergyCons!$B$4:$B$10000)*1,("-"=[1]OUT_TransportEnergyCons!$C$4:$C$10000)*1,ISNUMBER(SEARCH("T_C*mhy*dsl*s4",[1]OUT_TransportEnergyCons!$A$4:$A$10000))*1,[1]OUT_TransportEnergyCons!E$4:E$10000)</f>
        <v>2.62291176845113E-6</v>
      </c>
      <c r="H2159" s="1" cm="1">
        <f t="array" ref="H2159">SUMPRODUCT(("var_ncap"=[1]OUT_TransportEnergyCons!$B$4:$B$10000)*1,("-"=[1]OUT_TransportEnergyCons!$C$4:$C$10000)*1,ISNUMBER(SEARCH("T_C*mhy*dsl*s4",[1]OUT_TransportEnergyCons!$A$4:$A$10000))*1,[1]OUT_TransportEnergyCons!F$4:F$10000)</f>
        <v>5.4809962607052499E-6</v>
      </c>
      <c r="I2159" s="1" cm="1">
        <f t="array" ref="I2159">SUMPRODUCT(("var_ncap"=[1]OUT_TransportEnergyCons!$B$4:$B$10000)*1,("-"=[1]OUT_TransportEnergyCons!$C$4:$C$10000)*1,ISNUMBER(SEARCH("T_C*mhy*dsl*s4",[1]OUT_TransportEnergyCons!$A$4:$A$10000))*1,[1]OUT_TransportEnergyCons!G$4:G$10000)</f>
        <v>5.4931174677708998E-6</v>
      </c>
      <c r="J2159" s="1" cm="1">
        <f t="array" ref="J2159">SUMPRODUCT(("var_ncap"=[2]OUT_TransportEnergyCons!$B$4:$B$10000)*1,("-"=[2]OUT_TransportEnergyCons!$C$4:$C$10000)*1,ISNUMBER(SEARCH("T_C*mhy*dsl*s4",[2]OUT_TransportEnergyCons!$A$4:$A$10000))*1,[2]OUT_TransportEnergyCons!H$4:H$10000)</f>
        <v>3.2483284390481298E-5</v>
      </c>
      <c r="K2159" s="1" cm="1">
        <f t="array" ref="K2159">SUMPRODUCT(("var_ncap"=[2]OUT_TransportEnergyCons!$B$4:$B$10000)*1,("-"=[2]OUT_TransportEnergyCons!$C$4:$C$10000)*1,ISNUMBER(SEARCH("T_C*mhy*dsl*s4",[2]OUT_TransportEnergyCons!$A$4:$A$10000))*1,[2]OUT_TransportEnergyCons!I$4:I$10000)</f>
        <v>3.4558687013234601E-5</v>
      </c>
      <c r="L2159" s="1" cm="1">
        <f t="array" ref="L2159">SUMPRODUCT(("var_ncap"=[2]OUT_TransportEnergyCons!$B$4:$B$10000)*1,("-"=[2]OUT_TransportEnergyCons!$C$4:$C$10000)*1,ISNUMBER(SEARCH("T_C*mhy*dsl*s4",[2]OUT_TransportEnergyCons!$A$4:$A$10000))*1,[2]OUT_TransportEnergyCons!J$4:J$10000)</f>
        <v>2.8742414042510401E-5</v>
      </c>
      <c r="N2159" s="1"/>
    </row>
    <row r="2160" spans="2:14" x14ac:dyDescent="0.35">
      <c r="B2160" s="5" t="str">
        <f t="shared" si="2118"/>
        <v>SPS1</v>
      </c>
      <c r="C2160" s="5" t="str">
        <f t="shared" si="2119"/>
        <v>CH</v>
      </c>
      <c r="D2160" t="s">
        <v>2289</v>
      </c>
      <c r="E2160" t="str">
        <f t="shared" si="2120"/>
        <v>Million</v>
      </c>
      <c r="F2160" s="1" cm="1">
        <f t="array" ref="F2160">SUMPRODUCT(("var_ncap"=[1]OUT_TransportEnergyCons!$B$4:$B$10000)*1,("-"=[1]OUT_TransportEnergyCons!$C$4:$C$10000)*1,ISNUMBER(SEARCH("T_C*ICE*nga*ext",[1]OUT_TransportEnergyCons!$A$4:$A$10000))*1,[1]OUT_TransportEnergyCons!D$4:D$10000)</f>
        <v>0</v>
      </c>
      <c r="G2160" s="1" cm="1">
        <f t="array" ref="G2160">SUMPRODUCT(("var_ncap"=[1]OUT_TransportEnergyCons!$B$4:$B$10000)*1,("-"=[1]OUT_TransportEnergyCons!$C$4:$C$10000)*1,ISNUMBER(SEARCH("T_C*ICE*nga*ext",[1]OUT_TransportEnergyCons!$A$4:$A$10000))*1,[1]OUT_TransportEnergyCons!E$4:E$10000)</f>
        <v>0</v>
      </c>
      <c r="H2160" s="1" cm="1">
        <f t="array" ref="H2160">SUMPRODUCT(("var_ncap"=[1]OUT_TransportEnergyCons!$B$4:$B$10000)*1,("-"=[1]OUT_TransportEnergyCons!$C$4:$C$10000)*1,ISNUMBER(SEARCH("T_C*ICE*nga*ext",[1]OUT_TransportEnergyCons!$A$4:$A$10000))*1,[1]OUT_TransportEnergyCons!F$4:F$10000)</f>
        <v>0</v>
      </c>
      <c r="I2160" s="1" cm="1">
        <f t="array" ref="I2160">SUMPRODUCT(("var_ncap"=[1]OUT_TransportEnergyCons!$B$4:$B$10000)*1,("-"=[1]OUT_TransportEnergyCons!$C$4:$C$10000)*1,ISNUMBER(SEARCH("T_C*ICE*nga*ext",[1]OUT_TransportEnergyCons!$A$4:$A$10000))*1,[1]OUT_TransportEnergyCons!G$4:G$10000)</f>
        <v>0</v>
      </c>
      <c r="J2160" s="1" cm="1">
        <f t="array" ref="J2160">SUMPRODUCT(("var_ncap"=[2]OUT_TransportEnergyCons!$B$4:$B$10000)*1,("-"=[2]OUT_TransportEnergyCons!$C$4:$C$10000)*1,ISNUMBER(SEARCH("T_C*ICE*nga*ext",[2]OUT_TransportEnergyCons!$A$4:$A$10000))*1,[2]OUT_TransportEnergyCons!H$4:H$10000)</f>
        <v>0</v>
      </c>
      <c r="K2160" s="1" cm="1">
        <f t="array" ref="K2160">SUMPRODUCT(("var_ncap"=[2]OUT_TransportEnergyCons!$B$4:$B$10000)*1,("-"=[2]OUT_TransportEnergyCons!$C$4:$C$10000)*1,ISNUMBER(SEARCH("T_C*ICE*nga*ext",[2]OUT_TransportEnergyCons!$A$4:$A$10000))*1,[2]OUT_TransportEnergyCons!I$4:I$10000)</f>
        <v>0</v>
      </c>
      <c r="L2160" s="1" cm="1">
        <f t="array" ref="L2160">SUMPRODUCT(("var_ncap"=[2]OUT_TransportEnergyCons!$B$4:$B$10000)*1,("-"=[2]OUT_TransportEnergyCons!$C$4:$C$10000)*1,ISNUMBER(SEARCH("T_C*ICE*nga*ext",[2]OUT_TransportEnergyCons!$A$4:$A$10000))*1,[2]OUT_TransportEnergyCons!J$4:J$10000)</f>
        <v>0</v>
      </c>
      <c r="N2160" s="1"/>
    </row>
    <row r="2161" spans="2:14" x14ac:dyDescent="0.35">
      <c r="B2161" s="5" t="str">
        <f t="shared" si="2118"/>
        <v>SPS1</v>
      </c>
      <c r="C2161" s="5" t="str">
        <f t="shared" si="2119"/>
        <v>CH</v>
      </c>
      <c r="D2161" t="s">
        <v>2290</v>
      </c>
      <c r="E2161" t="str">
        <f t="shared" si="2120"/>
        <v>Million</v>
      </c>
      <c r="F2161" s="1" cm="1">
        <f t="array" ref="F2161">SUMPRODUCT(("var_ncap"=[1]OUT_TransportEnergyCons!$B$4:$B$10000)*1,("-"=[1]OUT_TransportEnergyCons!$C$4:$C$10000)*1,ISNUMBER(SEARCH("T_C*ICE*nga*s1",[1]OUT_TransportEnergyCons!$A$4:$A$10000))*1,[1]OUT_TransportEnergyCons!D$4:D$10000)</f>
        <v>0</v>
      </c>
      <c r="G2161" s="1" cm="1">
        <f t="array" ref="G2161">SUMPRODUCT(("var_ncap"=[1]OUT_TransportEnergyCons!$B$4:$B$10000)*1,("-"=[1]OUT_TransportEnergyCons!$C$4:$C$10000)*1,ISNUMBER(SEARCH("T_C*ICE*nga*s1",[1]OUT_TransportEnergyCons!$A$4:$A$10000))*1,[1]OUT_TransportEnergyCons!E$4:E$10000)</f>
        <v>1.2734560283740901E-6</v>
      </c>
      <c r="H2161" s="1" cm="1">
        <f t="array" ref="H2161">SUMPRODUCT(("var_ncap"=[1]OUT_TransportEnergyCons!$B$4:$B$10000)*1,("-"=[1]OUT_TransportEnergyCons!$C$4:$C$10000)*1,ISNUMBER(SEARCH("T_C*ICE*nga*s1",[1]OUT_TransportEnergyCons!$A$4:$A$10000))*1,[1]OUT_TransportEnergyCons!F$4:F$10000)</f>
        <v>1.18934032675005E-6</v>
      </c>
      <c r="I2161" s="1" cm="1">
        <f t="array" ref="I2161">SUMPRODUCT(("var_ncap"=[1]OUT_TransportEnergyCons!$B$4:$B$10000)*1,("-"=[1]OUT_TransportEnergyCons!$C$4:$C$10000)*1,ISNUMBER(SEARCH("T_C*ICE*nga*s1",[1]OUT_TransportEnergyCons!$A$4:$A$10000))*1,[1]OUT_TransportEnergyCons!G$4:G$10000)</f>
        <v>6.5855506632013302E-7</v>
      </c>
      <c r="J2161" s="1" cm="1">
        <f t="array" ref="J2161">SUMPRODUCT(("var_ncap"=[2]OUT_TransportEnergyCons!$B$4:$B$10000)*1,("-"=[2]OUT_TransportEnergyCons!$C$4:$C$10000)*1,ISNUMBER(SEARCH("T_C*ICE*nga*s1",[2]OUT_TransportEnergyCons!$A$4:$A$10000))*1,[2]OUT_TransportEnergyCons!H$4:H$10000)</f>
        <v>5.0843461350881498E-6</v>
      </c>
      <c r="K2161" s="1" cm="1">
        <f t="array" ref="K2161">SUMPRODUCT(("var_ncap"=[2]OUT_TransportEnergyCons!$B$4:$B$10000)*1,("-"=[2]OUT_TransportEnergyCons!$C$4:$C$10000)*1,ISNUMBER(SEARCH("T_C*ICE*nga*s1",[2]OUT_TransportEnergyCons!$A$4:$A$10000))*1,[2]OUT_TransportEnergyCons!I$4:I$10000)</f>
        <v>2.8066988242950598E-6</v>
      </c>
      <c r="L2161" s="1" cm="1">
        <f t="array" ref="L2161">SUMPRODUCT(("var_ncap"=[2]OUT_TransportEnergyCons!$B$4:$B$10000)*1,("-"=[2]OUT_TransportEnergyCons!$C$4:$C$10000)*1,ISNUMBER(SEARCH("T_C*ICE*nga*s1",[2]OUT_TransportEnergyCons!$A$4:$A$10000))*1,[2]OUT_TransportEnergyCons!J$4:J$10000)</f>
        <v>3.0381714887872598E-6</v>
      </c>
      <c r="N2161" s="1"/>
    </row>
    <row r="2162" spans="2:14" x14ac:dyDescent="0.35">
      <c r="B2162" s="5" t="str">
        <f t="shared" si="2118"/>
        <v>SPS1</v>
      </c>
      <c r="C2162" s="5" t="str">
        <f t="shared" si="2119"/>
        <v>CH</v>
      </c>
      <c r="D2162" t="s">
        <v>2291</v>
      </c>
      <c r="E2162" t="str">
        <f t="shared" si="2120"/>
        <v>Million</v>
      </c>
      <c r="F2162" s="1" cm="1">
        <f t="array" ref="F2162">SUMPRODUCT(("var_ncap"=[1]OUT_TransportEnergyCons!$B$4:$B$10000)*1,("-"=[1]OUT_TransportEnergyCons!$C$4:$C$10000)*1,ISNUMBER(SEARCH("T_C*ICE*nga*s2",[1]OUT_TransportEnergyCons!$A$4:$A$10000))*1,[1]OUT_TransportEnergyCons!D$4:D$10000)</f>
        <v>0</v>
      </c>
      <c r="G2162" s="1" cm="1">
        <f t="array" ref="G2162">SUMPRODUCT(("var_ncap"=[1]OUT_TransportEnergyCons!$B$4:$B$10000)*1,("-"=[1]OUT_TransportEnergyCons!$C$4:$C$10000)*1,ISNUMBER(SEARCH("T_C*ICE*nga*s2",[1]OUT_TransportEnergyCons!$A$4:$A$10000))*1,[1]OUT_TransportEnergyCons!E$4:E$10000)</f>
        <v>6.9118365631963196E-7</v>
      </c>
      <c r="H2162" s="1" cm="1">
        <f t="array" ref="H2162">SUMPRODUCT(("var_ncap"=[1]OUT_TransportEnergyCons!$B$4:$B$10000)*1,("-"=[1]OUT_TransportEnergyCons!$C$4:$C$10000)*1,ISNUMBER(SEARCH("T_C*ICE*nga*s2",[1]OUT_TransportEnergyCons!$A$4:$A$10000))*1,[1]OUT_TransportEnergyCons!F$4:F$10000)</f>
        <v>9.3924781441483095E-7</v>
      </c>
      <c r="I2162" s="1" cm="1">
        <f t="array" ref="I2162">SUMPRODUCT(("var_ncap"=[1]OUT_TransportEnergyCons!$B$4:$B$10000)*1,("-"=[1]OUT_TransportEnergyCons!$C$4:$C$10000)*1,ISNUMBER(SEARCH("T_C*ICE*nga*s2",[1]OUT_TransportEnergyCons!$A$4:$A$10000))*1,[1]OUT_TransportEnergyCons!G$4:G$10000)</f>
        <v>7.61107017002117E-7</v>
      </c>
      <c r="J2162" s="1" cm="1">
        <f t="array" ref="J2162">SUMPRODUCT(("var_ncap"=[2]OUT_TransportEnergyCons!$B$4:$B$10000)*1,("-"=[2]OUT_TransportEnergyCons!$C$4:$C$10000)*1,ISNUMBER(SEARCH("T_C*ICE*nga*s2",[2]OUT_TransportEnergyCons!$A$4:$A$10000))*1,[2]OUT_TransportEnergyCons!H$4:H$10000)</f>
        <v>5.2532900596247298E-6</v>
      </c>
      <c r="K2162" s="1" cm="1">
        <f t="array" ref="K2162">SUMPRODUCT(("var_ncap"=[2]OUT_TransportEnergyCons!$B$4:$B$10000)*1,("-"=[2]OUT_TransportEnergyCons!$C$4:$C$10000)*1,ISNUMBER(SEARCH("T_C*ICE*nga*s2",[2]OUT_TransportEnergyCons!$A$4:$A$10000))*1,[2]OUT_TransportEnergyCons!I$4:I$10000)</f>
        <v>3.2383304678660002E-6</v>
      </c>
      <c r="L2162" s="1" cm="1">
        <f t="array" ref="L2162">SUMPRODUCT(("var_ncap"=[2]OUT_TransportEnergyCons!$B$4:$B$10000)*1,("-"=[2]OUT_TransportEnergyCons!$C$4:$C$10000)*1,ISNUMBER(SEARCH("T_C*ICE*nga*s2",[2]OUT_TransportEnergyCons!$A$4:$A$10000))*1,[2]OUT_TransportEnergyCons!J$4:J$10000)</f>
        <v>3.6723084681279098E-6</v>
      </c>
      <c r="N2162" s="1"/>
    </row>
    <row r="2163" spans="2:14" x14ac:dyDescent="0.35">
      <c r="B2163" s="5" t="str">
        <f t="shared" si="2118"/>
        <v>SPS1</v>
      </c>
      <c r="C2163" s="5" t="str">
        <f t="shared" si="2119"/>
        <v>CH</v>
      </c>
      <c r="D2163" t="s">
        <v>2292</v>
      </c>
      <c r="E2163" t="str">
        <f t="shared" si="2120"/>
        <v>Million</v>
      </c>
      <c r="F2163" s="1" cm="1">
        <f t="array" ref="F2163">SUMPRODUCT(("var_ncap"=[1]OUT_TransportEnergyCons!$B$4:$B$10000)*1,("-"=[1]OUT_TransportEnergyCons!$C$4:$C$10000)*1,ISNUMBER(SEARCH("T_C*ICE*nga*s3",[1]OUT_TransportEnergyCons!$A$4:$A$10000))*1,[1]OUT_TransportEnergyCons!D$4:D$10000)</f>
        <v>0</v>
      </c>
      <c r="G2163" s="1" cm="1">
        <f t="array" ref="G2163">SUMPRODUCT(("var_ncap"=[1]OUT_TransportEnergyCons!$B$4:$B$10000)*1,("-"=[1]OUT_TransportEnergyCons!$C$4:$C$10000)*1,ISNUMBER(SEARCH("T_C*ICE*nga*s3",[1]OUT_TransportEnergyCons!$A$4:$A$10000))*1,[1]OUT_TransportEnergyCons!E$4:E$10000)</f>
        <v>8.9012523373042595E-7</v>
      </c>
      <c r="H2163" s="1" cm="1">
        <f t="array" ref="H2163">SUMPRODUCT(("var_ncap"=[1]OUT_TransportEnergyCons!$B$4:$B$10000)*1,("-"=[1]OUT_TransportEnergyCons!$C$4:$C$10000)*1,ISNUMBER(SEARCH("T_C*ICE*nga*s3",[1]OUT_TransportEnergyCons!$A$4:$A$10000))*1,[1]OUT_TransportEnergyCons!F$4:F$10000)</f>
        <v>1.1056950000342101E-6</v>
      </c>
      <c r="I2163" s="1" cm="1">
        <f t="array" ref="I2163">SUMPRODUCT(("var_ncap"=[1]OUT_TransportEnergyCons!$B$4:$B$10000)*1,("-"=[1]OUT_TransportEnergyCons!$C$4:$C$10000)*1,ISNUMBER(SEARCH("T_C*ICE*nga*s3",[1]OUT_TransportEnergyCons!$A$4:$A$10000))*1,[1]OUT_TransportEnergyCons!G$4:G$10000)</f>
        <v>1.27200773017632E-6</v>
      </c>
      <c r="J2163" s="1" cm="1">
        <f t="array" ref="J2163">SUMPRODUCT(("var_ncap"=[2]OUT_TransportEnergyCons!$B$4:$B$10000)*1,("-"=[2]OUT_TransportEnergyCons!$C$4:$C$10000)*1,ISNUMBER(SEARCH("T_C*ICE*nga*s3",[2]OUT_TransportEnergyCons!$A$4:$A$10000))*1,[2]OUT_TransportEnergyCons!H$4:H$10000)</f>
        <v>6.2718924043495697E-6</v>
      </c>
      <c r="K2163" s="1" cm="1">
        <f t="array" ref="K2163">SUMPRODUCT(("var_ncap"=[2]OUT_TransportEnergyCons!$B$4:$B$10000)*1,("-"=[2]OUT_TransportEnergyCons!$C$4:$C$10000)*1,ISNUMBER(SEARCH("T_C*ICE*nga*s3",[2]OUT_TransportEnergyCons!$A$4:$A$10000))*1,[2]OUT_TransportEnergyCons!I$4:I$10000)</f>
        <v>3.9244351980767404E-6</v>
      </c>
      <c r="L2163" s="1" cm="1">
        <f t="array" ref="L2163">SUMPRODUCT(("var_ncap"=[2]OUT_TransportEnergyCons!$B$4:$B$10000)*1,("-"=[2]OUT_TransportEnergyCons!$C$4:$C$10000)*1,ISNUMBER(SEARCH("T_C*ICE*nga*s3",[2]OUT_TransportEnergyCons!$A$4:$A$10000))*1,[2]OUT_TransportEnergyCons!J$4:J$10000)</f>
        <v>5.8264713860893698E-6</v>
      </c>
      <c r="N2163" s="1"/>
    </row>
    <row r="2164" spans="2:14" x14ac:dyDescent="0.35">
      <c r="B2164" s="5" t="str">
        <f t="shared" si="2118"/>
        <v>SPS1</v>
      </c>
      <c r="C2164" s="5" t="str">
        <f t="shared" si="2119"/>
        <v>CH</v>
      </c>
      <c r="D2164" t="s">
        <v>2293</v>
      </c>
      <c r="E2164" t="str">
        <f t="shared" si="2120"/>
        <v>Million</v>
      </c>
      <c r="F2164" s="1" cm="1">
        <f t="array" ref="F2164">SUMPRODUCT(("var_ncap"=[1]OUT_TransportEnergyCons!$B$4:$B$10000)*1,("-"=[1]OUT_TransportEnergyCons!$C$4:$C$10000)*1,ISNUMBER(SEARCH("T_C*ICE*nga*s4",[1]OUT_TransportEnergyCons!$A$4:$A$10000))*1,[1]OUT_TransportEnergyCons!D$4:D$10000)</f>
        <v>0</v>
      </c>
      <c r="G2164" s="1" cm="1">
        <f t="array" ref="G2164">SUMPRODUCT(("var_ncap"=[1]OUT_TransportEnergyCons!$B$4:$B$10000)*1,("-"=[1]OUT_TransportEnergyCons!$C$4:$C$10000)*1,ISNUMBER(SEARCH("T_C*ICE*nga*s4",[1]OUT_TransportEnergyCons!$A$4:$A$10000))*1,[1]OUT_TransportEnergyCons!E$4:E$10000)</f>
        <v>9.1007410014857905E-7</v>
      </c>
      <c r="H2164" s="1" cm="1">
        <f t="array" ref="H2164">SUMPRODUCT(("var_ncap"=[1]OUT_TransportEnergyCons!$B$4:$B$10000)*1,("-"=[1]OUT_TransportEnergyCons!$C$4:$C$10000)*1,ISNUMBER(SEARCH("T_C*ICE*nga*s4",[1]OUT_TransportEnergyCons!$A$4:$A$10000))*1,[1]OUT_TransportEnergyCons!F$4:F$10000)</f>
        <v>1.2137422835616399E-6</v>
      </c>
      <c r="I2164" s="1" cm="1">
        <f t="array" ref="I2164">SUMPRODUCT(("var_ncap"=[1]OUT_TransportEnergyCons!$B$4:$B$10000)*1,("-"=[1]OUT_TransportEnergyCons!$C$4:$C$10000)*1,ISNUMBER(SEARCH("T_C*ICE*nga*s4",[1]OUT_TransportEnergyCons!$A$4:$A$10000))*1,[1]OUT_TransportEnergyCons!G$4:G$10000)</f>
        <v>1.46314529065648E-6</v>
      </c>
      <c r="J2164" s="1" cm="1">
        <f t="array" ref="J2164">SUMPRODUCT(("var_ncap"=[2]OUT_TransportEnergyCons!$B$4:$B$10000)*1,("-"=[2]OUT_TransportEnergyCons!$C$4:$C$10000)*1,ISNUMBER(SEARCH("T_C*ICE*nga*s4",[2]OUT_TransportEnergyCons!$A$4:$A$10000))*1,[2]OUT_TransportEnergyCons!H$4:H$10000)</f>
        <v>6.5284551339470201E-6</v>
      </c>
      <c r="K2164" s="1" cm="1">
        <f t="array" ref="K2164">SUMPRODUCT(("var_ncap"=[2]OUT_TransportEnergyCons!$B$4:$B$10000)*1,("-"=[2]OUT_TransportEnergyCons!$C$4:$C$10000)*1,ISNUMBER(SEARCH("T_C*ICE*nga*s4",[2]OUT_TransportEnergyCons!$A$4:$A$10000))*1,[2]OUT_TransportEnergyCons!I$4:I$10000)</f>
        <v>4.1821593360309297E-6</v>
      </c>
      <c r="L2164" s="1" cm="1">
        <f t="array" ref="L2164">SUMPRODUCT(("var_ncap"=[2]OUT_TransportEnergyCons!$B$4:$B$10000)*1,("-"=[2]OUT_TransportEnergyCons!$C$4:$C$10000)*1,ISNUMBER(SEARCH("T_C*ICE*nga*s4",[2]OUT_TransportEnergyCons!$A$4:$A$10000))*1,[2]OUT_TransportEnergyCons!J$4:J$10000)</f>
        <v>7.6285669833940002E-6</v>
      </c>
      <c r="N2164" s="1"/>
    </row>
    <row r="2165" spans="2:14" x14ac:dyDescent="0.35">
      <c r="B2165" s="5" t="str">
        <f>SPS4_FIN_Low!B1953</f>
        <v>SPS1</v>
      </c>
      <c r="C2165" s="5" t="str">
        <f>SPS4_FIN_Low!C1953</f>
        <v>CH</v>
      </c>
      <c r="D2165" s="2" t="s">
        <v>2294</v>
      </c>
      <c r="E2165" s="2" t="s">
        <v>1999</v>
      </c>
      <c r="F2165" s="3">
        <f t="shared" ref="F2165:K2165" si="2121">SUM(F2166:F2188)</f>
        <v>0</v>
      </c>
      <c r="G2165" s="3">
        <f t="shared" si="2121"/>
        <v>0.70709830172287758</v>
      </c>
      <c r="H2165" s="3">
        <f t="shared" si="2121"/>
        <v>1.556024301161913</v>
      </c>
      <c r="I2165" s="3">
        <f t="shared" si="2121"/>
        <v>5.6849295009526015</v>
      </c>
      <c r="J2165" s="3">
        <f t="shared" si="2121"/>
        <v>4.9351419316111054</v>
      </c>
      <c r="K2165" s="3">
        <f t="shared" si="2121"/>
        <v>2.2384871620822864</v>
      </c>
      <c r="L2165" s="3">
        <f t="shared" ref="L2165" si="2122">SUM(L2166:L2188)</f>
        <v>6.455003002136344</v>
      </c>
      <c r="N2165" s="1"/>
    </row>
    <row r="2166" spans="2:14" x14ac:dyDescent="0.35">
      <c r="B2166" s="5" t="str">
        <f t="shared" ref="B2166:B2197" si="2123">B2165</f>
        <v>SPS1</v>
      </c>
      <c r="C2166" s="5" t="str">
        <f t="shared" ref="C2166:C2197" si="2124">C2165</f>
        <v>CH</v>
      </c>
      <c r="D2166" t="s">
        <v>2295</v>
      </c>
      <c r="E2166" t="s">
        <v>1999</v>
      </c>
      <c r="F2166" s="1" cm="1">
        <f t="array" ref="F2166">(SUMPRODUCT(("var_ncap"=[1]OUT_TransportEnergyCons!$B$4:$B$10000)*1,ISNUMBER(SEARCH("T_B_u*bev*ext",[1]OUT_TransportEnergyCons!$A$4:$A$10000))*1,[1]OUT_TransportEnergyCons!D$4:D$10000))*1000</f>
        <v>0</v>
      </c>
      <c r="G2166" s="1" cm="1">
        <f t="array" ref="G2166">(SUMPRODUCT(("var_ncap"=[1]OUT_TransportEnergyCons!$B$4:$B$10000)*1,ISNUMBER(SEARCH("T_B_u*bev*ext",[1]OUT_TransportEnergyCons!$A$4:$A$10000))*1,[1]OUT_TransportEnergyCons!E$4:E$10000))*1000</f>
        <v>0</v>
      </c>
      <c r="H2166" s="1" cm="1">
        <f t="array" ref="H2166">(SUMPRODUCT(("var_ncap"=[1]OUT_TransportEnergyCons!$B$4:$B$10000)*1,ISNUMBER(SEARCH("T_B_u*bev*ext",[1]OUT_TransportEnergyCons!$A$4:$A$10000))*1,[1]OUT_TransportEnergyCons!F$4:F$10000))*1000</f>
        <v>0</v>
      </c>
      <c r="I2166" s="1" cm="1">
        <f t="array" ref="I2166">(SUMPRODUCT(("var_ncap"=[1]OUT_TransportEnergyCons!$B$4:$B$10000)*1,ISNUMBER(SEARCH("T_B_u*bev*ext",[1]OUT_TransportEnergyCons!$A$4:$A$10000))*1,[1]OUT_TransportEnergyCons!G$4:G$10000))*1000</f>
        <v>0</v>
      </c>
      <c r="J2166" s="1" cm="1">
        <f t="array" ref="J2166">(SUMPRODUCT(("var_ncap"=[2]OUT_TransportEnergyCons!$B$4:$B$10000)*1,ISNUMBER(SEARCH("T_B_u*bev*ext",[2]OUT_TransportEnergyCons!$A$4:$A$10000))*1,[2]OUT_TransportEnergyCons!H$4:H$10000))*1000</f>
        <v>0</v>
      </c>
      <c r="K2166" s="1" cm="1">
        <f t="array" ref="K2166">(SUMPRODUCT(("var_ncap"=[2]OUT_TransportEnergyCons!$B$4:$B$10000)*1,ISNUMBER(SEARCH("T_B_u*bev*ext",[2]OUT_TransportEnergyCons!$A$4:$A$10000))*1,[2]OUT_TransportEnergyCons!I$4:I$10000))*1000</f>
        <v>0</v>
      </c>
      <c r="L2166" s="1" cm="1">
        <f t="array" ref="L2166">(SUMPRODUCT(("var_ncap"=[2]OUT_TransportEnergyCons!$B$4:$B$10000)*1,ISNUMBER(SEARCH("T_B_u*bev*ext",[2]OUT_TransportEnergyCons!$A$4:$A$10000))*1,[2]OUT_TransportEnergyCons!J$4:J$10000))*1000</f>
        <v>0</v>
      </c>
      <c r="N2166" s="1"/>
    </row>
    <row r="2167" spans="2:14" x14ac:dyDescent="0.35">
      <c r="B2167" s="5" t="str">
        <f t="shared" si="2123"/>
        <v>SPS1</v>
      </c>
      <c r="C2167" s="5" t="str">
        <f t="shared" si="2124"/>
        <v>CH</v>
      </c>
      <c r="D2167" t="s">
        <v>2296</v>
      </c>
      <c r="E2167" t="s">
        <v>1999</v>
      </c>
      <c r="F2167" s="1" cm="1">
        <f t="array" ref="F2167">(SUMPRODUCT(("var_ncap"=[1]OUT_TransportEnergyCons!$B$4:$B$10000)*1,ISNUMBER(SEARCH("T_B_u*bev*s1",[1]OUT_TransportEnergyCons!$A$4:$A$10000))*1,[1]OUT_TransportEnergyCons!D$4:D$10000))*1000</f>
        <v>0</v>
      </c>
      <c r="G2167" s="1" cm="1">
        <f t="array" ref="G2167">(SUMPRODUCT(("var_ncap"=[1]OUT_TransportEnergyCons!$B$4:$B$10000)*1,ISNUMBER(SEARCH("T_B_u*bev*s1",[1]OUT_TransportEnergyCons!$A$4:$A$10000))*1,[1]OUT_TransportEnergyCons!E$4:E$10000))*1000</f>
        <v>7.0601110792603301E-3</v>
      </c>
      <c r="H2167" s="1" cm="1">
        <f t="array" ref="H2167">(SUMPRODUCT(("var_ncap"=[1]OUT_TransportEnergyCons!$B$4:$B$10000)*1,ISNUMBER(SEARCH("T_B_u*bev*s1",[1]OUT_TransportEnergyCons!$A$4:$A$10000))*1,[1]OUT_TransportEnergyCons!F$4:F$10000))*1000</f>
        <v>8.4639071851481205E-3</v>
      </c>
      <c r="I2167" s="1" cm="1">
        <f t="array" ref="I2167">(SUMPRODUCT(("var_ncap"=[1]OUT_TransportEnergyCons!$B$4:$B$10000)*1,ISNUMBER(SEARCH("T_B_u*bev*s1",[1]OUT_TransportEnergyCons!$A$4:$A$10000))*1,[1]OUT_TransportEnergyCons!G$4:G$10000))*1000</f>
        <v>2.5516864338657399</v>
      </c>
      <c r="J2167" s="1" cm="1">
        <f t="array" ref="J2167">(SUMPRODUCT(("var_ncap"=[2]OUT_TransportEnergyCons!$B$4:$B$10000)*1,ISNUMBER(SEARCH("T_B_u*bev*s1",[2]OUT_TransportEnergyCons!$A$4:$A$10000))*1,[2]OUT_TransportEnergyCons!H$4:H$10000))*1000</f>
        <v>2.6320979915398701</v>
      </c>
      <c r="K2167" s="1" cm="1">
        <f t="array" ref="K2167">(SUMPRODUCT(("var_ncap"=[2]OUT_TransportEnergyCons!$B$4:$B$10000)*1,ISNUMBER(SEARCH("T_B_u*bev*s1",[2]OUT_TransportEnergyCons!$A$4:$A$10000))*1,[2]OUT_TransportEnergyCons!I$4:I$10000))*1000</f>
        <v>0.16777978765124202</v>
      </c>
      <c r="L2167" s="1" cm="1">
        <f t="array" ref="L2167">(SUMPRODUCT(("var_ncap"=[2]OUT_TransportEnergyCons!$B$4:$B$10000)*1,ISNUMBER(SEARCH("T_B_u*bev*s1",[2]OUT_TransportEnergyCons!$A$4:$A$10000))*1,[2]OUT_TransportEnergyCons!J$4:J$10000))*1000</f>
        <v>2.6255298930801199</v>
      </c>
      <c r="N2167" s="1"/>
    </row>
    <row r="2168" spans="2:14" x14ac:dyDescent="0.35">
      <c r="B2168" s="5" t="str">
        <f t="shared" si="2123"/>
        <v>SPS1</v>
      </c>
      <c r="C2168" s="5" t="str">
        <f t="shared" si="2124"/>
        <v>CH</v>
      </c>
      <c r="D2168" t="s">
        <v>2297</v>
      </c>
      <c r="E2168" t="s">
        <v>1999</v>
      </c>
      <c r="F2168" s="1" cm="1">
        <f t="array" ref="F2168">(SUMPRODUCT(("var_ncap"=[1]OUT_TransportEnergyCons!$B$4:$B$10000)*1,ISNUMBER(SEARCH("T_B_u*bev*s2",[1]OUT_TransportEnergyCons!$A$4:$A$10000))*1,[1]OUT_TransportEnergyCons!D$4:D$10000))*1000</f>
        <v>0</v>
      </c>
      <c r="G2168" s="1" cm="1">
        <f t="array" ref="G2168">(SUMPRODUCT(("var_ncap"=[1]OUT_TransportEnergyCons!$B$4:$B$10000)*1,ISNUMBER(SEARCH("T_B_u*bev*s2",[1]OUT_TransportEnergyCons!$A$4:$A$10000))*1,[1]OUT_TransportEnergyCons!E$4:E$10000))*1000</f>
        <v>1.01521883580745E-3</v>
      </c>
      <c r="H2168" s="1" cm="1">
        <f t="array" ref="H2168">(SUMPRODUCT(("var_ncap"=[1]OUT_TransportEnergyCons!$B$4:$B$10000)*1,ISNUMBER(SEARCH("T_B_u*bev*s2",[1]OUT_TransportEnergyCons!$A$4:$A$10000))*1,[1]OUT_TransportEnergyCons!F$4:F$10000))*1000</f>
        <v>4.1716248215360003E-3</v>
      </c>
      <c r="I2168" s="1" cm="1">
        <f t="array" ref="I2168">(SUMPRODUCT(("var_ncap"=[1]OUT_TransportEnergyCons!$B$4:$B$10000)*1,ISNUMBER(SEARCH("T_B_u*bev*s2",[1]OUT_TransportEnergyCons!$A$4:$A$10000))*1,[1]OUT_TransportEnergyCons!G$4:G$10000))*1000</f>
        <v>0.7418129316787031</v>
      </c>
      <c r="J2168" s="1" cm="1">
        <f t="array" ref="J2168">(SUMPRODUCT(("var_ncap"=[2]OUT_TransportEnergyCons!$B$4:$B$10000)*1,ISNUMBER(SEARCH("T_B_u*bev*s2",[2]OUT_TransportEnergyCons!$A$4:$A$10000))*1,[2]OUT_TransportEnergyCons!H$4:H$10000))*1000</f>
        <v>0.70473769805311703</v>
      </c>
      <c r="K2168" s="1" cm="1">
        <f t="array" ref="K2168">(SUMPRODUCT(("var_ncap"=[2]OUT_TransportEnergyCons!$B$4:$B$10000)*1,ISNUMBER(SEARCH("T_B_u*bev*s2",[2]OUT_TransportEnergyCons!$A$4:$A$10000))*1,[2]OUT_TransportEnergyCons!I$4:I$10000))*1000</f>
        <v>0.10499356405523799</v>
      </c>
      <c r="L2168" s="1" cm="1">
        <f t="array" ref="L2168">(SUMPRODUCT(("var_ncap"=[2]OUT_TransportEnergyCons!$B$4:$B$10000)*1,ISNUMBER(SEARCH("T_B_u*bev*s2",[2]OUT_TransportEnergyCons!$A$4:$A$10000))*1,[2]OUT_TransportEnergyCons!J$4:J$10000))*1000</f>
        <v>0.69197273400070403</v>
      </c>
      <c r="N2168" s="1"/>
    </row>
    <row r="2169" spans="2:14" x14ac:dyDescent="0.35">
      <c r="B2169" s="5" t="str">
        <f t="shared" si="2123"/>
        <v>SPS1</v>
      </c>
      <c r="C2169" s="5" t="str">
        <f t="shared" si="2124"/>
        <v>CH</v>
      </c>
      <c r="D2169" t="s">
        <v>2298</v>
      </c>
      <c r="E2169" t="s">
        <v>1999</v>
      </c>
      <c r="F2169" s="1" cm="1">
        <f t="array" ref="F2169">(SUMPRODUCT(("var_ncap"=[1]OUT_TransportEnergyCons!$B$4:$B$10000)*1,ISNUMBER(SEARCH("T_B_u*bev*s3",[1]OUT_TransportEnergyCons!$A$4:$A$10000))*1,[1]OUT_TransportEnergyCons!D$4:D$10000))*1000</f>
        <v>0</v>
      </c>
      <c r="G2169" s="1" cm="1">
        <f t="array" ref="G2169">(SUMPRODUCT(("var_ncap"=[1]OUT_TransportEnergyCons!$B$4:$B$10000)*1,ISNUMBER(SEARCH("T_B_u*bev*s3",[1]OUT_TransportEnergyCons!$A$4:$A$10000))*1,[1]OUT_TransportEnergyCons!E$4:E$10000))*1000</f>
        <v>3.9033398030284902E-4</v>
      </c>
      <c r="H2169" s="1" cm="1">
        <f t="array" ref="H2169">(SUMPRODUCT(("var_ncap"=[1]OUT_TransportEnergyCons!$B$4:$B$10000)*1,ISNUMBER(SEARCH("T_B_u*bev*s3",[1]OUT_TransportEnergyCons!$A$4:$A$10000))*1,[1]OUT_TransportEnergyCons!F$4:F$10000))*1000</f>
        <v>7.6143143217463302E-4</v>
      </c>
      <c r="I2169" s="1" cm="1">
        <f t="array" ref="I2169">(SUMPRODUCT(("var_ncap"=[1]OUT_TransportEnergyCons!$B$4:$B$10000)*1,ISNUMBER(SEARCH("T_B_u*bev*s3",[1]OUT_TransportEnergyCons!$A$4:$A$10000))*1,[1]OUT_TransportEnergyCons!G$4:G$10000))*1000</f>
        <v>1.6940844281729301</v>
      </c>
      <c r="J2169" s="1" cm="1">
        <f t="array" ref="J2169">(SUMPRODUCT(("var_ncap"=[2]OUT_TransportEnergyCons!$B$4:$B$10000)*1,ISNUMBER(SEARCH("T_B_u*bev*s3",[2]OUT_TransportEnergyCons!$A$4:$A$10000))*1,[2]OUT_TransportEnergyCons!H$4:H$10000))*1000</f>
        <v>0.272692559893568</v>
      </c>
      <c r="K2169" s="1" cm="1">
        <f t="array" ref="K2169">(SUMPRODUCT(("var_ncap"=[2]OUT_TransportEnergyCons!$B$4:$B$10000)*1,ISNUMBER(SEARCH("T_B_u*bev*s3",[2]OUT_TransportEnergyCons!$A$4:$A$10000))*1,[2]OUT_TransportEnergyCons!I$4:I$10000))*1000</f>
        <v>0.98890730337477695</v>
      </c>
      <c r="L2169" s="1" cm="1">
        <f t="array" ref="L2169">(SUMPRODUCT(("var_ncap"=[2]OUT_TransportEnergyCons!$B$4:$B$10000)*1,ISNUMBER(SEARCH("T_B_u*bev*s3",[2]OUT_TransportEnergyCons!$A$4:$A$10000))*1,[2]OUT_TransportEnergyCons!J$4:J$10000))*1000</f>
        <v>0.49379798695311994</v>
      </c>
      <c r="N2169" s="1"/>
    </row>
    <row r="2170" spans="2:14" x14ac:dyDescent="0.35">
      <c r="B2170" s="5" t="str">
        <f t="shared" si="2123"/>
        <v>SPS1</v>
      </c>
      <c r="C2170" s="5" t="str">
        <f t="shared" si="2124"/>
        <v>CH</v>
      </c>
      <c r="D2170" t="s">
        <v>2299</v>
      </c>
      <c r="E2170" t="s">
        <v>1999</v>
      </c>
      <c r="F2170" s="1" cm="1">
        <f t="array" ref="F2170">(SUMPRODUCT(("var_ncap"=[1]OUT_TransportEnergyCons!$B$4:$B$10000)*1,ISNUMBER(SEARCH("T_B_u*bev*s4",[1]OUT_TransportEnergyCons!$A$4:$A$10000))*1,[1]OUT_TransportEnergyCons!D$4:D$10000))*1000</f>
        <v>0</v>
      </c>
      <c r="G2170" s="1" cm="1">
        <f t="array" ref="G2170">(SUMPRODUCT(("var_ncap"=[1]OUT_TransportEnergyCons!$B$4:$B$10000)*1,ISNUMBER(SEARCH("T_B_u*bev*s4",[1]OUT_TransportEnergyCons!$A$4:$A$10000))*1,[1]OUT_TransportEnergyCons!E$4:E$10000))*1000</f>
        <v>7.1588184906343905E-5</v>
      </c>
      <c r="H2170" s="1" cm="1">
        <f t="array" ref="H2170">(SUMPRODUCT(("var_ncap"=[1]OUT_TransportEnergyCons!$B$4:$B$10000)*1,ISNUMBER(SEARCH("T_B_u*bev*s4",[1]OUT_TransportEnergyCons!$A$4:$A$10000))*1,[1]OUT_TransportEnergyCons!F$4:F$10000))*1000</f>
        <v>7.4427526839172898E-5</v>
      </c>
      <c r="I2170" s="1" cm="1">
        <f t="array" ref="I2170">(SUMPRODUCT(("var_ncap"=[1]OUT_TransportEnergyCons!$B$4:$B$10000)*1,ISNUMBER(SEARCH("T_B_u*bev*s4",[1]OUT_TransportEnergyCons!$A$4:$A$10000))*1,[1]OUT_TransportEnergyCons!G$4:G$10000))*1000</f>
        <v>7.7347739645518407E-5</v>
      </c>
      <c r="J2170" s="1" cm="1">
        <f t="array" ref="J2170">(SUMPRODUCT(("var_ncap"=[2]OUT_TransportEnergyCons!$B$4:$B$10000)*1,ISNUMBER(SEARCH("T_B_u*bev*s4",[2]OUT_TransportEnergyCons!$A$4:$A$10000))*1,[2]OUT_TransportEnergyCons!H$4:H$10000))*1000</f>
        <v>3.4788904641230801E-4</v>
      </c>
      <c r="K2170" s="1" cm="1">
        <f t="array" ref="K2170">(SUMPRODUCT(("var_ncap"=[2]OUT_TransportEnergyCons!$B$4:$B$10000)*1,ISNUMBER(SEARCH("T_B_u*bev*s4",[2]OUT_TransportEnergyCons!$A$4:$A$10000))*1,[2]OUT_TransportEnergyCons!I$4:I$10000))*1000</f>
        <v>3.4431094343216699E-4</v>
      </c>
      <c r="L2170" s="1" cm="1">
        <f t="array" ref="L2170">(SUMPRODUCT(("var_ncap"=[2]OUT_TransportEnergyCons!$B$4:$B$10000)*1,ISNUMBER(SEARCH("T_B_u*bev*s4",[2]OUT_TransportEnergyCons!$A$4:$A$10000))*1,[2]OUT_TransportEnergyCons!J$4:J$10000))*1000</f>
        <v>1.4728079974853298E-4</v>
      </c>
      <c r="N2170" s="1"/>
    </row>
    <row r="2171" spans="2:14" x14ac:dyDescent="0.35">
      <c r="B2171" s="5" t="str">
        <f t="shared" si="2123"/>
        <v>SPS1</v>
      </c>
      <c r="C2171" s="5" t="str">
        <f t="shared" si="2124"/>
        <v>CH</v>
      </c>
      <c r="D2171" t="s">
        <v>2300</v>
      </c>
      <c r="E2171" t="s">
        <v>1999</v>
      </c>
      <c r="F2171" s="1" cm="1">
        <f t="array" ref="F2171">(SUMPRODUCT(("var_ncap"=[1]OUT_TransportEnergyCons!$B$4:$B$10000)*1,ISNUMBER(SEARCH("T_B_u*h2o*s1",[1]OUT_TransportEnergyCons!$A$4:$A$10000))*1,[1]OUT_TransportEnergyCons!D$4:D$10000))*1000</f>
        <v>0</v>
      </c>
      <c r="G2171" s="1" cm="1">
        <f t="array" ref="G2171">(SUMPRODUCT(("var_ncap"=[1]OUT_TransportEnergyCons!$B$4:$B$10000)*1,ISNUMBER(SEARCH("T_B_u*h2o*s1",[1]OUT_TransportEnergyCons!$A$4:$A$10000))*1,[1]OUT_TransportEnergyCons!E$4:E$10000))*1000</f>
        <v>0</v>
      </c>
      <c r="H2171" s="1" cm="1">
        <f t="array" ref="H2171">(SUMPRODUCT(("var_ncap"=[1]OUT_TransportEnergyCons!$B$4:$B$10000)*1,ISNUMBER(SEARCH("T_B_u*h2o*s1",[1]OUT_TransportEnergyCons!$A$4:$A$10000))*1,[1]OUT_TransportEnergyCons!F$4:F$10000))*1000</f>
        <v>0</v>
      </c>
      <c r="I2171" s="1" cm="1">
        <f t="array" ref="I2171">(SUMPRODUCT(("var_ncap"=[1]OUT_TransportEnergyCons!$B$4:$B$10000)*1,ISNUMBER(SEARCH("T_B_u*h2o*s1",[1]OUT_TransportEnergyCons!$A$4:$A$10000))*1,[1]OUT_TransportEnergyCons!G$4:G$10000))*1000</f>
        <v>1.08702788326137E-5</v>
      </c>
      <c r="J2171" s="1" cm="1">
        <f t="array" ref="J2171">(SUMPRODUCT(("var_ncap"=[2]OUT_TransportEnergyCons!$B$4:$B$10000)*1,ISNUMBER(SEARCH("T_B_u*h2o*s1",[2]OUT_TransportEnergyCons!$A$4:$A$10000))*1,[2]OUT_TransportEnergyCons!H$4:H$10000))*1000</f>
        <v>0</v>
      </c>
      <c r="K2171" s="1" cm="1">
        <f t="array" ref="K2171">(SUMPRODUCT(("var_ncap"=[2]OUT_TransportEnergyCons!$B$4:$B$10000)*1,ISNUMBER(SEARCH("T_B_u*h2o*s1",[2]OUT_TransportEnergyCons!$A$4:$A$10000))*1,[2]OUT_TransportEnergyCons!I$4:I$10000))*1000</f>
        <v>0</v>
      </c>
      <c r="L2171" s="1" cm="1">
        <f t="array" ref="L2171">(SUMPRODUCT(("var_ncap"=[2]OUT_TransportEnergyCons!$B$4:$B$10000)*1,ISNUMBER(SEARCH("T_B_u*h2o*s1",[2]OUT_TransportEnergyCons!$A$4:$A$10000))*1,[2]OUT_TransportEnergyCons!J$4:J$10000))*1000</f>
        <v>0</v>
      </c>
      <c r="N2171" s="1"/>
    </row>
    <row r="2172" spans="2:14" x14ac:dyDescent="0.35">
      <c r="B2172" s="5" t="str">
        <f t="shared" si="2123"/>
        <v>SPS1</v>
      </c>
      <c r="C2172" s="5" t="str">
        <f t="shared" si="2124"/>
        <v>CH</v>
      </c>
      <c r="D2172" t="s">
        <v>2301</v>
      </c>
      <c r="E2172" t="s">
        <v>1999</v>
      </c>
      <c r="F2172" s="1" cm="1">
        <f t="array" ref="F2172">(SUMPRODUCT(("var_ncap"=[1]OUT_TransportEnergyCons!$B$4:$B$10000)*1,ISNUMBER(SEARCH("T_B_u*h2o*s2",[1]OUT_TransportEnergyCons!$A$4:$A$10000))*1,[1]OUT_TransportEnergyCons!D$4:D$10000))*1000</f>
        <v>0</v>
      </c>
      <c r="G2172" s="1" cm="1">
        <f t="array" ref="G2172">(SUMPRODUCT(("var_ncap"=[1]OUT_TransportEnergyCons!$B$4:$B$10000)*1,ISNUMBER(SEARCH("T_B_u*h2o*s2",[1]OUT_TransportEnergyCons!$A$4:$A$10000))*1,[1]OUT_TransportEnergyCons!E$4:E$10000))*1000</f>
        <v>0</v>
      </c>
      <c r="H2172" s="1" cm="1">
        <f t="array" ref="H2172">(SUMPRODUCT(("var_ncap"=[1]OUT_TransportEnergyCons!$B$4:$B$10000)*1,ISNUMBER(SEARCH("T_B_u*h2o*s2",[1]OUT_TransportEnergyCons!$A$4:$A$10000))*1,[1]OUT_TransportEnergyCons!F$4:F$10000))*1000</f>
        <v>0</v>
      </c>
      <c r="I2172" s="1" cm="1">
        <f t="array" ref="I2172">(SUMPRODUCT(("var_ncap"=[1]OUT_TransportEnergyCons!$B$4:$B$10000)*1,ISNUMBER(SEARCH("T_B_u*h2o*s2",[1]OUT_TransportEnergyCons!$A$4:$A$10000))*1,[1]OUT_TransportEnergyCons!G$4:G$10000))*1000</f>
        <v>0</v>
      </c>
      <c r="J2172" s="1" cm="1">
        <f t="array" ref="J2172">(SUMPRODUCT(("var_ncap"=[2]OUT_TransportEnergyCons!$B$4:$B$10000)*1,ISNUMBER(SEARCH("T_B_u*h2o*s2",[2]OUT_TransportEnergyCons!$A$4:$A$10000))*1,[2]OUT_TransportEnergyCons!H$4:H$10000))*1000</f>
        <v>0</v>
      </c>
      <c r="K2172" s="1" cm="1">
        <f t="array" ref="K2172">(SUMPRODUCT(("var_ncap"=[2]OUT_TransportEnergyCons!$B$4:$B$10000)*1,ISNUMBER(SEARCH("T_B_u*h2o*s2",[2]OUT_TransportEnergyCons!$A$4:$A$10000))*1,[2]OUT_TransportEnergyCons!I$4:I$10000))*1000</f>
        <v>0</v>
      </c>
      <c r="L2172" s="1" cm="1">
        <f t="array" ref="L2172">(SUMPRODUCT(("var_ncap"=[2]OUT_TransportEnergyCons!$B$4:$B$10000)*1,ISNUMBER(SEARCH("T_B_u*h2o*s2",[2]OUT_TransportEnergyCons!$A$4:$A$10000))*1,[2]OUT_TransportEnergyCons!J$4:J$10000))*1000</f>
        <v>0</v>
      </c>
      <c r="N2172" s="1"/>
    </row>
    <row r="2173" spans="2:14" x14ac:dyDescent="0.35">
      <c r="B2173" s="5" t="str">
        <f t="shared" si="2123"/>
        <v>SPS1</v>
      </c>
      <c r="C2173" s="5" t="str">
        <f t="shared" si="2124"/>
        <v>CH</v>
      </c>
      <c r="D2173" t="s">
        <v>2302</v>
      </c>
      <c r="E2173" t="s">
        <v>1999</v>
      </c>
      <c r="F2173" s="1" cm="1">
        <f t="array" ref="F2173">(SUMPRODUCT(("var_ncap"=[1]OUT_TransportEnergyCons!$B$4:$B$10000)*1,ISNUMBER(SEARCH("T_B_u*h2o*s3",[1]OUT_TransportEnergyCons!$A$4:$A$10000))*1,[1]OUT_TransportEnergyCons!D$4:D$10000))*1000</f>
        <v>0</v>
      </c>
      <c r="G2173" s="1" cm="1">
        <f t="array" ref="G2173">(SUMPRODUCT(("var_ncap"=[1]OUT_TransportEnergyCons!$B$4:$B$10000)*1,ISNUMBER(SEARCH("T_B_u*h2o*s3",[1]OUT_TransportEnergyCons!$A$4:$A$10000))*1,[1]OUT_TransportEnergyCons!E$4:E$10000))*1000</f>
        <v>0</v>
      </c>
      <c r="H2173" s="1" cm="1">
        <f t="array" ref="H2173">(SUMPRODUCT(("var_ncap"=[1]OUT_TransportEnergyCons!$B$4:$B$10000)*1,ISNUMBER(SEARCH("T_B_u*h2o*s3",[1]OUT_TransportEnergyCons!$A$4:$A$10000))*1,[1]OUT_TransportEnergyCons!F$4:F$10000))*1000</f>
        <v>0</v>
      </c>
      <c r="I2173" s="1" cm="1">
        <f t="array" ref="I2173">(SUMPRODUCT(("var_ncap"=[1]OUT_TransportEnergyCons!$B$4:$B$10000)*1,ISNUMBER(SEARCH("T_B_u*h2o*s3",[1]OUT_TransportEnergyCons!$A$4:$A$10000))*1,[1]OUT_TransportEnergyCons!G$4:G$10000))*1000</f>
        <v>1.04212997327227E-5</v>
      </c>
      <c r="J2173" s="1" cm="1">
        <f t="array" ref="J2173">(SUMPRODUCT(("var_ncap"=[2]OUT_TransportEnergyCons!$B$4:$B$10000)*1,ISNUMBER(SEARCH("T_B_u*h2o*s3",[2]OUT_TransportEnergyCons!$A$4:$A$10000))*1,[2]OUT_TransportEnergyCons!H$4:H$10000))*1000</f>
        <v>0</v>
      </c>
      <c r="K2173" s="1" cm="1">
        <f t="array" ref="K2173">(SUMPRODUCT(("var_ncap"=[2]OUT_TransportEnergyCons!$B$4:$B$10000)*1,ISNUMBER(SEARCH("T_B_u*h2o*s3",[2]OUT_TransportEnergyCons!$A$4:$A$10000))*1,[2]OUT_TransportEnergyCons!I$4:I$10000))*1000</f>
        <v>0</v>
      </c>
      <c r="L2173" s="1" cm="1">
        <f t="array" ref="L2173">(SUMPRODUCT(("var_ncap"=[2]OUT_TransportEnergyCons!$B$4:$B$10000)*1,ISNUMBER(SEARCH("T_B_u*h2o*s3",[2]OUT_TransportEnergyCons!$A$4:$A$10000))*1,[2]OUT_TransportEnergyCons!J$4:J$10000))*1000</f>
        <v>0</v>
      </c>
      <c r="N2173" s="1"/>
    </row>
    <row r="2174" spans="2:14" x14ac:dyDescent="0.35">
      <c r="B2174" s="5" t="str">
        <f t="shared" si="2123"/>
        <v>SPS1</v>
      </c>
      <c r="C2174" s="5" t="str">
        <f t="shared" si="2124"/>
        <v>CH</v>
      </c>
      <c r="D2174" t="s">
        <v>2303</v>
      </c>
      <c r="E2174" t="s">
        <v>1999</v>
      </c>
      <c r="F2174" s="1" cm="1">
        <f t="array" ref="F2174">(SUMPRODUCT(("var_ncap"=[1]OUT_TransportEnergyCons!$B$4:$B$10000)*1,ISNUMBER(SEARCH("T_B_u*h2o*s4",[1]OUT_TransportEnergyCons!$A$4:$A$10000))*1,[1]OUT_TransportEnergyCons!D$4:D$10000))*1000</f>
        <v>0</v>
      </c>
      <c r="G2174" s="1" cm="1">
        <f t="array" ref="G2174">(SUMPRODUCT(("var_ncap"=[1]OUT_TransportEnergyCons!$B$4:$B$10000)*1,ISNUMBER(SEARCH("T_B_u*h2o*s4",[1]OUT_TransportEnergyCons!$A$4:$A$10000))*1,[1]OUT_TransportEnergyCons!E$4:E$10000))*1000</f>
        <v>0</v>
      </c>
      <c r="H2174" s="1" cm="1">
        <f t="array" ref="H2174">(SUMPRODUCT(("var_ncap"=[1]OUT_TransportEnergyCons!$B$4:$B$10000)*1,ISNUMBER(SEARCH("T_B_u*h2o*s4",[1]OUT_TransportEnergyCons!$A$4:$A$10000))*1,[1]OUT_TransportEnergyCons!F$4:F$10000))*1000</f>
        <v>0</v>
      </c>
      <c r="I2174" s="1" cm="1">
        <f t="array" ref="I2174">(SUMPRODUCT(("var_ncap"=[1]OUT_TransportEnergyCons!$B$4:$B$10000)*1,ISNUMBER(SEARCH("T_B_u*h2o*s4",[1]OUT_TransportEnergyCons!$A$4:$A$10000))*1,[1]OUT_TransportEnergyCons!G$4:G$10000))*1000</f>
        <v>0</v>
      </c>
      <c r="J2174" s="1" cm="1">
        <f t="array" ref="J2174">(SUMPRODUCT(("var_ncap"=[2]OUT_TransportEnergyCons!$B$4:$B$10000)*1,ISNUMBER(SEARCH("T_B_u*h2o*s4",[2]OUT_TransportEnergyCons!$A$4:$A$10000))*1,[2]OUT_TransportEnergyCons!H$4:H$10000))*1000</f>
        <v>0</v>
      </c>
      <c r="K2174" s="1" cm="1">
        <f t="array" ref="K2174">(SUMPRODUCT(("var_ncap"=[2]OUT_TransportEnergyCons!$B$4:$B$10000)*1,ISNUMBER(SEARCH("T_B_u*h2o*s4",[2]OUT_TransportEnergyCons!$A$4:$A$10000))*1,[2]OUT_TransportEnergyCons!I$4:I$10000))*1000</f>
        <v>0</v>
      </c>
      <c r="L2174" s="1" cm="1">
        <f t="array" ref="L2174">(SUMPRODUCT(("var_ncap"=[2]OUT_TransportEnergyCons!$B$4:$B$10000)*1,ISNUMBER(SEARCH("T_B_u*h2o*s4",[2]OUT_TransportEnergyCons!$A$4:$A$10000))*1,[2]OUT_TransportEnergyCons!J$4:J$10000))*1000</f>
        <v>0</v>
      </c>
      <c r="N2174" s="1"/>
    </row>
    <row r="2175" spans="2:14" x14ac:dyDescent="0.35">
      <c r="B2175" s="5" t="str">
        <f t="shared" si="2123"/>
        <v>SPS1</v>
      </c>
      <c r="C2175" s="5" t="str">
        <f t="shared" si="2124"/>
        <v>CH</v>
      </c>
      <c r="D2175" t="s">
        <v>2304</v>
      </c>
      <c r="E2175" t="s">
        <v>1999</v>
      </c>
      <c r="F2175" s="1" cm="1">
        <f t="array" ref="F2175">(SUMPRODUCT(("var_ncap"=[1]OUT_TransportEnergyCons!$B$4:$B$10000)*1,ISNUMBER(SEARCH("T_B_u*hyb*DSL*s1",[1]OUT_TransportEnergyCons!$A$4:$A$10000))*1,[1]OUT_TransportEnergyCons!D$4:D$10000))*1000</f>
        <v>0</v>
      </c>
      <c r="G2175" s="1" cm="1">
        <f t="array" ref="G2175">(SUMPRODUCT(("var_ncap"=[1]OUT_TransportEnergyCons!$B$4:$B$10000)*1,ISNUMBER(SEARCH("T_B_u*hyb*DSL*s1",[1]OUT_TransportEnergyCons!$A$4:$A$10000))*1,[1]OUT_TransportEnergyCons!E$4:E$10000))*1000</f>
        <v>0.64370296065702992</v>
      </c>
      <c r="H2175" s="1" cm="1">
        <f t="array" ref="H2175">(SUMPRODUCT(("var_ncap"=[1]OUT_TransportEnergyCons!$B$4:$B$10000)*1,ISNUMBER(SEARCH("T_B_u*hyb*DSL*s1",[1]OUT_TransportEnergyCons!$A$4:$A$10000))*1,[1]OUT_TransportEnergyCons!F$4:F$10000))*1000</f>
        <v>6.5009464492263498E-4</v>
      </c>
      <c r="I2175" s="1" cm="1">
        <f t="array" ref="I2175">(SUMPRODUCT(("var_ncap"=[1]OUT_TransportEnergyCons!$B$4:$B$10000)*1,ISNUMBER(SEARCH("T_B_u*hyb*DSL*s1",[1]OUT_TransportEnergyCons!$A$4:$A$10000))*1,[1]OUT_TransportEnergyCons!G$4:G$10000))*1000</f>
        <v>2.2004591459693501E-4</v>
      </c>
      <c r="J2175" s="1" cm="1">
        <f t="array" ref="J2175">(SUMPRODUCT(("var_ncap"=[2]OUT_TransportEnergyCons!$B$4:$B$10000)*1,ISNUMBER(SEARCH("T_B_u*hyb*DSL*s1",[2]OUT_TransportEnergyCons!$A$4:$A$10000))*1,[2]OUT_TransportEnergyCons!H$4:H$10000))*1000</f>
        <v>2.9304003524689699E-3</v>
      </c>
      <c r="K2175" s="1" cm="1">
        <f t="array" ref="K2175">(SUMPRODUCT(("var_ncap"=[2]OUT_TransportEnergyCons!$B$4:$B$10000)*1,ISNUMBER(SEARCH("T_B_u*hyb*DSL*s1",[2]OUT_TransportEnergyCons!$A$4:$A$10000))*1,[2]OUT_TransportEnergyCons!I$4:I$10000))*1000</f>
        <v>1.86137742418905E-3</v>
      </c>
      <c r="L2175" s="1" cm="1">
        <f t="array" ref="L2175">(SUMPRODUCT(("var_ncap"=[2]OUT_TransportEnergyCons!$B$4:$B$10000)*1,ISNUMBER(SEARCH("T_B_u*hyb*DSL*s1",[2]OUT_TransportEnergyCons!$A$4:$A$10000))*1,[2]OUT_TransportEnergyCons!J$4:J$10000))*1000</f>
        <v>4.6147791329466201E-3</v>
      </c>
      <c r="N2175" s="1"/>
    </row>
    <row r="2176" spans="2:14" x14ac:dyDescent="0.35">
      <c r="B2176" s="5" t="str">
        <f t="shared" si="2123"/>
        <v>SPS1</v>
      </c>
      <c r="C2176" s="5" t="str">
        <f t="shared" si="2124"/>
        <v>CH</v>
      </c>
      <c r="D2176" t="s">
        <v>2305</v>
      </c>
      <c r="E2176" t="s">
        <v>1999</v>
      </c>
      <c r="F2176" s="1" cm="1">
        <f t="array" ref="F2176">(SUMPRODUCT(("var_ncap"=[1]OUT_TransportEnergyCons!$B$4:$B$10000)*1,ISNUMBER(SEARCH("T_B_u*hyb*DSL*s2",[1]OUT_TransportEnergyCons!$A$4:$A$10000))*1,[1]OUT_TransportEnergyCons!D$4:D$10000))*1000</f>
        <v>0</v>
      </c>
      <c r="G2176" s="1" cm="1">
        <f t="array" ref="G2176">(SUMPRODUCT(("var_ncap"=[1]OUT_TransportEnergyCons!$B$4:$B$10000)*1,ISNUMBER(SEARCH("T_B_u*hyb*DSL*s2",[1]OUT_TransportEnergyCons!$A$4:$A$10000))*1,[1]OUT_TransportEnergyCons!E$4:E$10000))*1000</f>
        <v>7.70802518485074E-4</v>
      </c>
      <c r="H2176" s="1" cm="1">
        <f t="array" ref="H2176">(SUMPRODUCT(("var_ncap"=[1]OUT_TransportEnergyCons!$B$4:$B$10000)*1,ISNUMBER(SEARCH("T_B_u*hyb*DSL*s2",[1]OUT_TransportEnergyCons!$A$4:$A$10000))*1,[1]OUT_TransportEnergyCons!F$4:F$10000))*1000</f>
        <v>2.7261469926545702E-4</v>
      </c>
      <c r="I2176" s="1" cm="1">
        <f t="array" ref="I2176">(SUMPRODUCT(("var_ncap"=[1]OUT_TransportEnergyCons!$B$4:$B$10000)*1,ISNUMBER(SEARCH("T_B_u*hyb*DSL*s2",[1]OUT_TransportEnergyCons!$A$4:$A$10000))*1,[1]OUT_TransportEnergyCons!G$4:G$10000))*1000</f>
        <v>1.8815340761682298E-4</v>
      </c>
      <c r="J2176" s="1" cm="1">
        <f t="array" ref="J2176">(SUMPRODUCT(("var_ncap"=[2]OUT_TransportEnergyCons!$B$4:$B$10000)*1,ISNUMBER(SEARCH("T_B_u*hyb*DSL*s2",[2]OUT_TransportEnergyCons!$A$4:$A$10000))*1,[2]OUT_TransportEnergyCons!H$4:H$10000))*1000</f>
        <v>1.68958391801579E-3</v>
      </c>
      <c r="K2176" s="1" cm="1">
        <f t="array" ref="K2176">(SUMPRODUCT(("var_ncap"=[2]OUT_TransportEnergyCons!$B$4:$B$10000)*1,ISNUMBER(SEARCH("T_B_u*hyb*DSL*s2",[2]OUT_TransportEnergyCons!$A$4:$A$10000))*1,[2]OUT_TransportEnergyCons!I$4:I$10000))*1000</f>
        <v>1.1998416540011799E-3</v>
      </c>
      <c r="L2176" s="1" cm="1">
        <f t="array" ref="L2176">(SUMPRODUCT(("var_ncap"=[2]OUT_TransportEnergyCons!$B$4:$B$10000)*1,ISNUMBER(SEARCH("T_B_u*hyb*DSL*s2",[2]OUT_TransportEnergyCons!$A$4:$A$10000))*1,[2]OUT_TransportEnergyCons!J$4:J$10000))*1000</f>
        <v>1.4883548789882898E-3</v>
      </c>
      <c r="N2176" s="1"/>
    </row>
    <row r="2177" spans="2:14" x14ac:dyDescent="0.35">
      <c r="B2177" s="5" t="str">
        <f t="shared" si="2123"/>
        <v>SPS1</v>
      </c>
      <c r="C2177" s="5" t="str">
        <f t="shared" si="2124"/>
        <v>CH</v>
      </c>
      <c r="D2177" t="s">
        <v>2306</v>
      </c>
      <c r="E2177" t="s">
        <v>1999</v>
      </c>
      <c r="F2177" s="1" cm="1">
        <f t="array" ref="F2177">(SUMPRODUCT(("var_ncap"=[1]OUT_TransportEnergyCons!$B$4:$B$10000)*1,ISNUMBER(SEARCH("T_B_u*hyb*DSL*s3",[1]OUT_TransportEnergyCons!$A$4:$A$10000))*1,[1]OUT_TransportEnergyCons!D$4:D$10000))*1000</f>
        <v>0</v>
      </c>
      <c r="G2177" s="1" cm="1">
        <f t="array" ref="G2177">(SUMPRODUCT(("var_ncap"=[1]OUT_TransportEnergyCons!$B$4:$B$10000)*1,ISNUMBER(SEARCH("T_B_u*hyb*DSL*s3",[1]OUT_TransportEnergyCons!$A$4:$A$10000))*1,[1]OUT_TransportEnergyCons!E$4:E$10000))*1000</f>
        <v>4.2188772436559198E-2</v>
      </c>
      <c r="H2177" s="1" cm="1">
        <f t="array" ref="H2177">(SUMPRODUCT(("var_ncap"=[1]OUT_TransportEnergyCons!$B$4:$B$10000)*1,ISNUMBER(SEARCH("T_B_u*hyb*DSL*s3",[1]OUT_TransportEnergyCons!$A$4:$A$10000))*1,[1]OUT_TransportEnergyCons!F$4:F$10000))*1000</f>
        <v>0.83466448589539999</v>
      </c>
      <c r="I2177" s="1" cm="1">
        <f t="array" ref="I2177">(SUMPRODUCT(("var_ncap"=[1]OUT_TransportEnergyCons!$B$4:$B$10000)*1,ISNUMBER(SEARCH("T_B_u*hyb*DSL*s3",[1]OUT_TransportEnergyCons!$A$4:$A$10000))*1,[1]OUT_TransportEnergyCons!G$4:G$10000))*1000</f>
        <v>0.69682832034077502</v>
      </c>
      <c r="J2177" s="1" cm="1">
        <f t="array" ref="J2177">(SUMPRODUCT(("var_ncap"=[2]OUT_TransportEnergyCons!$B$4:$B$10000)*1,ISNUMBER(SEARCH("T_B_u*hyb*DSL*s3",[2]OUT_TransportEnergyCons!$A$4:$A$10000))*1,[2]OUT_TransportEnergyCons!H$4:H$10000))*1000</f>
        <v>1.3205628561782699</v>
      </c>
      <c r="K2177" s="1" cm="1">
        <f t="array" ref="K2177">(SUMPRODUCT(("var_ncap"=[2]OUT_TransportEnergyCons!$B$4:$B$10000)*1,ISNUMBER(SEARCH("T_B_u*hyb*DSL*s3",[2]OUT_TransportEnergyCons!$A$4:$A$10000))*1,[2]OUT_TransportEnergyCons!I$4:I$10000))*1000</f>
        <v>0.97333218458732795</v>
      </c>
      <c r="L2177" s="1" cm="1">
        <f t="array" ref="L2177">(SUMPRODUCT(("var_ncap"=[2]OUT_TransportEnergyCons!$B$4:$B$10000)*1,ISNUMBER(SEARCH("T_B_u*hyb*DSL*s3",[2]OUT_TransportEnergyCons!$A$4:$A$10000))*1,[2]OUT_TransportEnergyCons!J$4:J$10000))*1000</f>
        <v>2.6374209018351999</v>
      </c>
      <c r="N2177" s="1"/>
    </row>
    <row r="2178" spans="2:14" x14ac:dyDescent="0.35">
      <c r="B2178" s="5" t="str">
        <f t="shared" si="2123"/>
        <v>SPS1</v>
      </c>
      <c r="C2178" s="5" t="str">
        <f t="shared" si="2124"/>
        <v>CH</v>
      </c>
      <c r="D2178" t="s">
        <v>2307</v>
      </c>
      <c r="E2178" t="s">
        <v>1999</v>
      </c>
      <c r="F2178" s="1" cm="1">
        <f t="array" ref="F2178">(SUMPRODUCT(("var_ncap"=[1]OUT_TransportEnergyCons!$B$4:$B$10000)*1,ISNUMBER(SEARCH("T_B_u*hyb*DSL*s4",[1]OUT_TransportEnergyCons!$A$4:$A$10000))*1,[1]OUT_TransportEnergyCons!D$4:D$10000))*1000</f>
        <v>0</v>
      </c>
      <c r="G2178" s="1" cm="1">
        <f t="array" ref="G2178">(SUMPRODUCT(("var_ncap"=[1]OUT_TransportEnergyCons!$B$4:$B$10000)*1,ISNUMBER(SEARCH("T_B_u*hyb*DSL*s4",[1]OUT_TransportEnergyCons!$A$4:$A$10000))*1,[1]OUT_TransportEnergyCons!E$4:E$10000))*1000</f>
        <v>0</v>
      </c>
      <c r="H2178" s="1" cm="1">
        <f t="array" ref="H2178">(SUMPRODUCT(("var_ncap"=[1]OUT_TransportEnergyCons!$B$4:$B$10000)*1,ISNUMBER(SEARCH("T_B_u*hyb*DSL*s4",[1]OUT_TransportEnergyCons!$A$4:$A$10000))*1,[1]OUT_TransportEnergyCons!F$4:F$10000))*1000</f>
        <v>0</v>
      </c>
      <c r="I2178" s="1" cm="1">
        <f t="array" ref="I2178">(SUMPRODUCT(("var_ncap"=[1]OUT_TransportEnergyCons!$B$4:$B$10000)*1,ISNUMBER(SEARCH("T_B_u*hyb*DSL*s4",[1]OUT_TransportEnergyCons!$A$4:$A$10000))*1,[1]OUT_TransportEnergyCons!G$4:G$10000))*1000</f>
        <v>0</v>
      </c>
      <c r="J2178" s="1" cm="1">
        <f t="array" ref="J2178">(SUMPRODUCT(("var_ncap"=[2]OUT_TransportEnergyCons!$B$4:$B$10000)*1,ISNUMBER(SEARCH("T_B_u*hyb*DSL*s4",[2]OUT_TransportEnergyCons!$A$4:$A$10000))*1,[2]OUT_TransportEnergyCons!H$4:H$10000))*1000</f>
        <v>7.0573513514114887E-5</v>
      </c>
      <c r="K2178" s="1" cm="1">
        <f t="array" ref="K2178">(SUMPRODUCT(("var_ncap"=[2]OUT_TransportEnergyCons!$B$4:$B$10000)*1,ISNUMBER(SEARCH("T_B_u*hyb*DSL*s4",[2]OUT_TransportEnergyCons!$A$4:$A$10000))*1,[2]OUT_TransportEnergyCons!I$4:I$10000))*1000</f>
        <v>5.5272294653553498E-5</v>
      </c>
      <c r="L2178" s="1" cm="1">
        <f t="array" ref="L2178">(SUMPRODUCT(("var_ncap"=[2]OUT_TransportEnergyCons!$B$4:$B$10000)*1,ISNUMBER(SEARCH("T_B_u*hyb*DSL*s4",[2]OUT_TransportEnergyCons!$A$4:$A$10000))*1,[2]OUT_TransportEnergyCons!J$4:J$10000))*1000</f>
        <v>2.0261216328624398E-5</v>
      </c>
      <c r="N2178" s="1"/>
    </row>
    <row r="2179" spans="2:14" x14ac:dyDescent="0.35">
      <c r="B2179" s="5" t="str">
        <f t="shared" si="2123"/>
        <v>SPS1</v>
      </c>
      <c r="C2179" s="5" t="str">
        <f t="shared" si="2124"/>
        <v>CH</v>
      </c>
      <c r="D2179" t="s">
        <v>2308</v>
      </c>
      <c r="E2179" t="s">
        <v>1999</v>
      </c>
      <c r="F2179" s="1" cm="1">
        <f t="array" ref="F2179">(SUMPRODUCT(("var_ncap"=[1]OUT_TransportEnergyCons!$B$4:$B$10000)*1,ISNUMBER(SEARCH("T_B_u*ICE*DSL*ext",[1]OUT_TransportEnergyCons!$A$4:$A$10000))*1,[1]OUT_TransportEnergyCons!D$4:D$10000))*1000</f>
        <v>0</v>
      </c>
      <c r="G2179" s="1" cm="1">
        <f t="array" ref="G2179">(SUMPRODUCT(("var_ncap"=[1]OUT_TransportEnergyCons!$B$4:$B$10000)*1,ISNUMBER(SEARCH("T_B_u*ICE*DSL*ext",[1]OUT_TransportEnergyCons!$A$4:$A$10000))*1,[1]OUT_TransportEnergyCons!E$4:E$10000))*1000</f>
        <v>0</v>
      </c>
      <c r="H2179" s="1" cm="1">
        <f t="array" ref="H2179">(SUMPRODUCT(("var_ncap"=[1]OUT_TransportEnergyCons!$B$4:$B$10000)*1,ISNUMBER(SEARCH("T_B_u*ICE*DSL*ext",[1]OUT_TransportEnergyCons!$A$4:$A$10000))*1,[1]OUT_TransportEnergyCons!F$4:F$10000))*1000</f>
        <v>0</v>
      </c>
      <c r="I2179" s="1" cm="1">
        <f t="array" ref="I2179">(SUMPRODUCT(("var_ncap"=[1]OUT_TransportEnergyCons!$B$4:$B$10000)*1,ISNUMBER(SEARCH("T_B_u*ICE*DSL*ext",[1]OUT_TransportEnergyCons!$A$4:$A$10000))*1,[1]OUT_TransportEnergyCons!G$4:G$10000))*1000</f>
        <v>0</v>
      </c>
      <c r="J2179" s="1" cm="1">
        <f t="array" ref="J2179">(SUMPRODUCT(("var_ncap"=[2]OUT_TransportEnergyCons!$B$4:$B$10000)*1,ISNUMBER(SEARCH("T_B_u*ICE*DSL*ext",[2]OUT_TransportEnergyCons!$A$4:$A$10000))*1,[2]OUT_TransportEnergyCons!H$4:H$10000))*1000</f>
        <v>0</v>
      </c>
      <c r="K2179" s="1" cm="1">
        <f t="array" ref="K2179">(SUMPRODUCT(("var_ncap"=[2]OUT_TransportEnergyCons!$B$4:$B$10000)*1,ISNUMBER(SEARCH("T_B_u*ICE*DSL*ext",[2]OUT_TransportEnergyCons!$A$4:$A$10000))*1,[2]OUT_TransportEnergyCons!I$4:I$10000))*1000</f>
        <v>0</v>
      </c>
      <c r="L2179" s="1" cm="1">
        <f t="array" ref="L2179">(SUMPRODUCT(("var_ncap"=[2]OUT_TransportEnergyCons!$B$4:$B$10000)*1,ISNUMBER(SEARCH("T_B_u*ICE*DSL*ext",[2]OUT_TransportEnergyCons!$A$4:$A$10000))*1,[2]OUT_TransportEnergyCons!J$4:J$10000))*1000</f>
        <v>0</v>
      </c>
      <c r="N2179" s="1"/>
    </row>
    <row r="2180" spans="2:14" x14ac:dyDescent="0.35">
      <c r="B2180" s="5" t="str">
        <f t="shared" si="2123"/>
        <v>SPS1</v>
      </c>
      <c r="C2180" s="5" t="str">
        <f t="shared" si="2124"/>
        <v>CH</v>
      </c>
      <c r="D2180" t="s">
        <v>2309</v>
      </c>
      <c r="E2180" t="s">
        <v>1999</v>
      </c>
      <c r="F2180" s="1" cm="1">
        <f t="array" ref="F2180">(SUMPRODUCT(("var_ncap"=[1]OUT_TransportEnergyCons!$B$4:$B$10000)*1,ISNUMBER(SEARCH("T_B_u*ICE*DSL*s1",[1]OUT_TransportEnergyCons!$A$4:$A$10000))*1,[1]OUT_TransportEnergyCons!D$4:D$10000))*1000</f>
        <v>0</v>
      </c>
      <c r="G2180" s="1" cm="1">
        <f t="array" ref="G2180">(SUMPRODUCT(("var_ncap"=[1]OUT_TransportEnergyCons!$B$4:$B$10000)*1,ISNUMBER(SEARCH("T_B_u*ICE*DSL*s1",[1]OUT_TransportEnergyCons!$A$4:$A$10000))*1,[1]OUT_TransportEnergyCons!E$4:E$10000))*1000</f>
        <v>4.38619586736621E-3</v>
      </c>
      <c r="H2180" s="1" cm="1">
        <f t="array" ref="H2180">(SUMPRODUCT(("var_ncap"=[1]OUT_TransportEnergyCons!$B$4:$B$10000)*1,ISNUMBER(SEARCH("T_B_u*ICE*DSL*s1",[1]OUT_TransportEnergyCons!$A$4:$A$10000))*1,[1]OUT_TransportEnergyCons!F$4:F$10000))*1000</f>
        <v>0.51988829765900291</v>
      </c>
      <c r="I2180" s="1" cm="1">
        <f t="array" ref="I2180">(SUMPRODUCT(("var_ncap"=[1]OUT_TransportEnergyCons!$B$4:$B$10000)*1,ISNUMBER(SEARCH("T_B_u*ICE*DSL*s1",[1]OUT_TransportEnergyCons!$A$4:$A$10000))*1,[1]OUT_TransportEnergyCons!G$4:G$10000))*1000</f>
        <v>0</v>
      </c>
      <c r="J2180" s="1" cm="1">
        <f t="array" ref="J2180">(SUMPRODUCT(("var_ncap"=[2]OUT_TransportEnergyCons!$B$4:$B$10000)*1,ISNUMBER(SEARCH("T_B_u*ICE*DSL*s1",[2]OUT_TransportEnergyCons!$A$4:$A$10000))*1,[2]OUT_TransportEnergyCons!H$4:H$10000))*1000</f>
        <v>0</v>
      </c>
      <c r="K2180" s="1" cm="1">
        <f t="array" ref="K2180">(SUMPRODUCT(("var_ncap"=[2]OUT_TransportEnergyCons!$B$4:$B$10000)*1,ISNUMBER(SEARCH("T_B_u*ICE*DSL*s1",[2]OUT_TransportEnergyCons!$A$4:$A$10000))*1,[2]OUT_TransportEnergyCons!I$4:I$10000))*1000</f>
        <v>0</v>
      </c>
      <c r="L2180" s="1" cm="1">
        <f t="array" ref="L2180">(SUMPRODUCT(("var_ncap"=[2]OUT_TransportEnergyCons!$B$4:$B$10000)*1,ISNUMBER(SEARCH("T_B_u*ICE*DSL*s1",[2]OUT_TransportEnergyCons!$A$4:$A$10000))*1,[2]OUT_TransportEnergyCons!J$4:J$10000))*1000</f>
        <v>0</v>
      </c>
      <c r="N2180" s="1"/>
    </row>
    <row r="2181" spans="2:14" x14ac:dyDescent="0.35">
      <c r="B2181" s="5" t="str">
        <f t="shared" si="2123"/>
        <v>SPS1</v>
      </c>
      <c r="C2181" s="5" t="str">
        <f t="shared" si="2124"/>
        <v>CH</v>
      </c>
      <c r="D2181" t="s">
        <v>2310</v>
      </c>
      <c r="E2181" t="s">
        <v>1999</v>
      </c>
      <c r="F2181" s="1" cm="1">
        <f t="array" ref="F2181">(SUMPRODUCT(("var_ncap"=[1]OUT_TransportEnergyCons!$B$4:$B$10000)*1,ISNUMBER(SEARCH("T_B_u*ICE*DSL*s2",[1]OUT_TransportEnergyCons!$A$4:$A$10000))*1,[1]OUT_TransportEnergyCons!D$4:D$10000))*1000</f>
        <v>0</v>
      </c>
      <c r="G2181" s="1" cm="1">
        <f t="array" ref="G2181">(SUMPRODUCT(("var_ncap"=[1]OUT_TransportEnergyCons!$B$4:$B$10000)*1,ISNUMBER(SEARCH("T_B_u*ICE*DSL*s2",[1]OUT_TransportEnergyCons!$A$4:$A$10000))*1,[1]OUT_TransportEnergyCons!E$4:E$10000))*1000</f>
        <v>6.80837577375754E-3</v>
      </c>
      <c r="H2181" s="1" cm="1">
        <f t="array" ref="H2181">(SUMPRODUCT(("var_ncap"=[1]OUT_TransportEnergyCons!$B$4:$B$10000)*1,ISNUMBER(SEARCH("T_B_u*ICE*DSL*s2",[1]OUT_TransportEnergyCons!$A$4:$A$10000))*1,[1]OUT_TransportEnergyCons!F$4:F$10000))*1000</f>
        <v>0.15389877117238898</v>
      </c>
      <c r="I2181" s="1" cm="1">
        <f t="array" ref="I2181">(SUMPRODUCT(("var_ncap"=[1]OUT_TransportEnergyCons!$B$4:$B$10000)*1,ISNUMBER(SEARCH("T_B_u*ICE*DSL*s2",[1]OUT_TransportEnergyCons!$A$4:$A$10000))*1,[1]OUT_TransportEnergyCons!G$4:G$10000))*1000</f>
        <v>0</v>
      </c>
      <c r="J2181" s="1" cm="1">
        <f t="array" ref="J2181">(SUMPRODUCT(("var_ncap"=[2]OUT_TransportEnergyCons!$B$4:$B$10000)*1,ISNUMBER(SEARCH("T_B_u*ICE*DSL*s2",[2]OUT_TransportEnergyCons!$A$4:$A$10000))*1,[2]OUT_TransportEnergyCons!H$4:H$10000))*1000</f>
        <v>0</v>
      </c>
      <c r="K2181" s="1" cm="1">
        <f t="array" ref="K2181">(SUMPRODUCT(("var_ncap"=[2]OUT_TransportEnergyCons!$B$4:$B$10000)*1,ISNUMBER(SEARCH("T_B_u*ICE*DSL*s2",[2]OUT_TransportEnergyCons!$A$4:$A$10000))*1,[2]OUT_TransportEnergyCons!I$4:I$10000))*1000</f>
        <v>0</v>
      </c>
      <c r="L2181" s="1" cm="1">
        <f t="array" ref="L2181">(SUMPRODUCT(("var_ncap"=[2]OUT_TransportEnergyCons!$B$4:$B$10000)*1,ISNUMBER(SEARCH("T_B_u*ICE*DSL*s2",[2]OUT_TransportEnergyCons!$A$4:$A$10000))*1,[2]OUT_TransportEnergyCons!J$4:J$10000))*1000</f>
        <v>0</v>
      </c>
      <c r="N2181" s="1"/>
    </row>
    <row r="2182" spans="2:14" x14ac:dyDescent="0.35">
      <c r="B2182" s="5" t="str">
        <f t="shared" si="2123"/>
        <v>SPS1</v>
      </c>
      <c r="C2182" s="5" t="str">
        <f t="shared" si="2124"/>
        <v>CH</v>
      </c>
      <c r="D2182" t="s">
        <v>2311</v>
      </c>
      <c r="E2182" t="s">
        <v>1999</v>
      </c>
      <c r="F2182" s="1" cm="1">
        <f t="array" ref="F2182">(SUMPRODUCT(("var_ncap"=[1]OUT_TransportEnergyCons!$B$4:$B$10000)*1,ISNUMBER(SEARCH("T_B_u*ICE*DSL*s3",[1]OUT_TransportEnergyCons!$A$4:$A$10000))*1,[1]OUT_TransportEnergyCons!D$4:D$10000))*1000</f>
        <v>0</v>
      </c>
      <c r="G2182" s="1" cm="1">
        <f t="array" ref="G2182">(SUMPRODUCT(("var_ncap"=[1]OUT_TransportEnergyCons!$B$4:$B$10000)*1,ISNUMBER(SEARCH("T_B_u*ICE*DSL*s3",[1]OUT_TransportEnergyCons!$A$4:$A$10000))*1,[1]OUT_TransportEnergyCons!E$4:E$10000))*1000</f>
        <v>4.2239352776314999E-4</v>
      </c>
      <c r="H2182" s="1" cm="1">
        <f t="array" ref="H2182">(SUMPRODUCT(("var_ncap"=[1]OUT_TransportEnergyCons!$B$4:$B$10000)*1,ISNUMBER(SEARCH("T_B_u*ICE*DSL*s3",[1]OUT_TransportEnergyCons!$A$4:$A$10000))*1,[1]OUT_TransportEnergyCons!F$4:F$10000))*1000</f>
        <v>1.1535202437036501E-4</v>
      </c>
      <c r="I2182" s="1" cm="1">
        <f t="array" ref="I2182">(SUMPRODUCT(("var_ncap"=[1]OUT_TransportEnergyCons!$B$4:$B$10000)*1,ISNUMBER(SEARCH("T_B_u*ICE*DSL*s3",[1]OUT_TransportEnergyCons!$A$4:$A$10000))*1,[1]OUT_TransportEnergyCons!G$4:G$10000))*1000</f>
        <v>0</v>
      </c>
      <c r="J2182" s="1" cm="1">
        <f t="array" ref="J2182">(SUMPRODUCT(("var_ncap"=[2]OUT_TransportEnergyCons!$B$4:$B$10000)*1,ISNUMBER(SEARCH("T_B_u*ICE*DSL*s3",[2]OUT_TransportEnergyCons!$A$4:$A$10000))*1,[2]OUT_TransportEnergyCons!H$4:H$10000))*1000</f>
        <v>0</v>
      </c>
      <c r="K2182" s="1" cm="1">
        <f t="array" ref="K2182">(SUMPRODUCT(("var_ncap"=[2]OUT_TransportEnergyCons!$B$4:$B$10000)*1,ISNUMBER(SEARCH("T_B_u*ICE*DSL*s3",[2]OUT_TransportEnergyCons!$A$4:$A$10000))*1,[2]OUT_TransportEnergyCons!I$4:I$10000))*1000</f>
        <v>0</v>
      </c>
      <c r="L2182" s="1" cm="1">
        <f t="array" ref="L2182">(SUMPRODUCT(("var_ncap"=[2]OUT_TransportEnergyCons!$B$4:$B$10000)*1,ISNUMBER(SEARCH("T_B_u*ICE*DSL*s3",[2]OUT_TransportEnergyCons!$A$4:$A$10000))*1,[2]OUT_TransportEnergyCons!J$4:J$10000))*1000</f>
        <v>0</v>
      </c>
      <c r="N2182" s="1"/>
    </row>
    <row r="2183" spans="2:14" x14ac:dyDescent="0.35">
      <c r="B2183" s="5" t="str">
        <f t="shared" si="2123"/>
        <v>SPS1</v>
      </c>
      <c r="C2183" s="5" t="str">
        <f t="shared" si="2124"/>
        <v>CH</v>
      </c>
      <c r="D2183" t="s">
        <v>2312</v>
      </c>
      <c r="E2183" t="s">
        <v>1999</v>
      </c>
      <c r="F2183" s="1" cm="1">
        <f t="array" ref="F2183">(SUMPRODUCT(("var_ncap"=[1]OUT_TransportEnergyCons!$B$4:$B$10000)*1,ISNUMBER(SEARCH("T_B_u*ICE*DSL*s4",[1]OUT_TransportEnergyCons!$A$4:$A$10000))*1,[1]OUT_TransportEnergyCons!D$4:D$10000))*1000</f>
        <v>0</v>
      </c>
      <c r="G2183" s="1" cm="1">
        <f t="array" ref="G2183">(SUMPRODUCT(("var_ncap"=[1]OUT_TransportEnergyCons!$B$4:$B$10000)*1,ISNUMBER(SEARCH("T_B_u*ICE*DSL*s4",[1]OUT_TransportEnergyCons!$A$4:$A$10000))*1,[1]OUT_TransportEnergyCons!E$4:E$10000))*1000</f>
        <v>0</v>
      </c>
      <c r="H2183" s="1" cm="1">
        <f t="array" ref="H2183">(SUMPRODUCT(("var_ncap"=[1]OUT_TransportEnergyCons!$B$4:$B$10000)*1,ISNUMBER(SEARCH("T_B_u*ICE*DSL*s4",[1]OUT_TransportEnergyCons!$A$4:$A$10000))*1,[1]OUT_TransportEnergyCons!F$4:F$10000))*1000</f>
        <v>0</v>
      </c>
      <c r="I2183" s="1" cm="1">
        <f t="array" ref="I2183">(SUMPRODUCT(("var_ncap"=[1]OUT_TransportEnergyCons!$B$4:$B$10000)*1,ISNUMBER(SEARCH("T_B_u*ICE*DSL*s4",[1]OUT_TransportEnergyCons!$A$4:$A$10000))*1,[1]OUT_TransportEnergyCons!G$4:G$10000))*1000</f>
        <v>0</v>
      </c>
      <c r="J2183" s="1" cm="1">
        <f t="array" ref="J2183">(SUMPRODUCT(("var_ncap"=[2]OUT_TransportEnergyCons!$B$4:$B$10000)*1,ISNUMBER(SEARCH("T_B_u*ICE*DSL*s4",[2]OUT_TransportEnergyCons!$A$4:$A$10000))*1,[2]OUT_TransportEnergyCons!H$4:H$10000))*1000</f>
        <v>0</v>
      </c>
      <c r="K2183" s="1" cm="1">
        <f t="array" ref="K2183">(SUMPRODUCT(("var_ncap"=[2]OUT_TransportEnergyCons!$B$4:$B$10000)*1,ISNUMBER(SEARCH("T_B_u*ICE*DSL*s4",[2]OUT_TransportEnergyCons!$A$4:$A$10000))*1,[2]OUT_TransportEnergyCons!I$4:I$10000))*1000</f>
        <v>0</v>
      </c>
      <c r="L2183" s="1" cm="1">
        <f t="array" ref="L2183">(SUMPRODUCT(("var_ncap"=[2]OUT_TransportEnergyCons!$B$4:$B$10000)*1,ISNUMBER(SEARCH("T_B_u*ICE*DSL*s4",[2]OUT_TransportEnergyCons!$A$4:$A$10000))*1,[2]OUT_TransportEnergyCons!J$4:J$10000))*1000</f>
        <v>0</v>
      </c>
      <c r="N2183" s="1"/>
    </row>
    <row r="2184" spans="2:14" x14ac:dyDescent="0.35">
      <c r="B2184" s="5" t="str">
        <f t="shared" si="2123"/>
        <v>SPS1</v>
      </c>
      <c r="C2184" s="5" t="str">
        <f t="shared" si="2124"/>
        <v>CH</v>
      </c>
      <c r="D2184" t="s">
        <v>2313</v>
      </c>
      <c r="E2184" t="s">
        <v>1999</v>
      </c>
      <c r="F2184" s="1" cm="1">
        <f t="array" ref="F2184">(SUMPRODUCT(("var_ncap"=[1]OUT_TransportEnergyCons!$B$4:$B$10000)*1,ISNUMBER(SEARCH("T_B_u*ICE*nga*ext",[1]OUT_TransportEnergyCons!$A$4:$A$10000))*1,[1]OUT_TransportEnergyCons!D$4:D$10000))*1000</f>
        <v>0</v>
      </c>
      <c r="G2184" s="1" cm="1">
        <f t="array" ref="G2184">(SUMPRODUCT(("var_ncap"=[1]OUT_TransportEnergyCons!$B$4:$B$10000)*1,ISNUMBER(SEARCH("T_B_u*ICE*nga*ext",[1]OUT_TransportEnergyCons!$A$4:$A$10000))*1,[1]OUT_TransportEnergyCons!E$4:E$10000))*1000</f>
        <v>0</v>
      </c>
      <c r="H2184" s="1" cm="1">
        <f t="array" ref="H2184">(SUMPRODUCT(("var_ncap"=[1]OUT_TransportEnergyCons!$B$4:$B$10000)*1,ISNUMBER(SEARCH("T_B_u*ICE*nga*ext",[1]OUT_TransportEnergyCons!$A$4:$A$10000))*1,[1]OUT_TransportEnergyCons!F$4:F$10000))*1000</f>
        <v>0</v>
      </c>
      <c r="I2184" s="1" cm="1">
        <f t="array" ref="I2184">(SUMPRODUCT(("var_ncap"=[1]OUT_TransportEnergyCons!$B$4:$B$10000)*1,ISNUMBER(SEARCH("T_B_u*ICE*nga*ext",[1]OUT_TransportEnergyCons!$A$4:$A$10000))*1,[1]OUT_TransportEnergyCons!G$4:G$10000))*1000</f>
        <v>0</v>
      </c>
      <c r="J2184" s="1" cm="1">
        <f t="array" ref="J2184">(SUMPRODUCT(("var_ncap"=[2]OUT_TransportEnergyCons!$B$4:$B$10000)*1,ISNUMBER(SEARCH("T_B_u*ICE*nga*ext",[2]OUT_TransportEnergyCons!$A$4:$A$10000))*1,[2]OUT_TransportEnergyCons!H$4:H$10000))*1000</f>
        <v>0</v>
      </c>
      <c r="K2184" s="1" cm="1">
        <f t="array" ref="K2184">(SUMPRODUCT(("var_ncap"=[2]OUT_TransportEnergyCons!$B$4:$B$10000)*1,ISNUMBER(SEARCH("T_B_u*ICE*nga*ext",[2]OUT_TransportEnergyCons!$A$4:$A$10000))*1,[2]OUT_TransportEnergyCons!I$4:I$10000))*1000</f>
        <v>0</v>
      </c>
      <c r="L2184" s="1" cm="1">
        <f t="array" ref="L2184">(SUMPRODUCT(("var_ncap"=[2]OUT_TransportEnergyCons!$B$4:$B$10000)*1,ISNUMBER(SEARCH("T_B_u*ICE*nga*ext",[2]OUT_TransportEnergyCons!$A$4:$A$10000))*1,[2]OUT_TransportEnergyCons!J$4:J$10000))*1000</f>
        <v>0</v>
      </c>
      <c r="N2184" s="1"/>
    </row>
    <row r="2185" spans="2:14" x14ac:dyDescent="0.35">
      <c r="B2185" s="5" t="str">
        <f t="shared" si="2123"/>
        <v>SPS1</v>
      </c>
      <c r="C2185" s="5" t="str">
        <f t="shared" si="2124"/>
        <v>CH</v>
      </c>
      <c r="D2185" t="s">
        <v>2314</v>
      </c>
      <c r="E2185" t="s">
        <v>1999</v>
      </c>
      <c r="F2185" s="1" cm="1">
        <f t="array" ref="F2185">(SUMPRODUCT(("var_ncap"=[1]OUT_TransportEnergyCons!$B$4:$B$10000)*1,ISNUMBER(SEARCH("T_B_u*ICE*nga*s1",[1]OUT_TransportEnergyCons!$A$4:$A$10000))*1,[1]OUT_TransportEnergyCons!D$4:D$10000))*1000</f>
        <v>0</v>
      </c>
      <c r="G2185" s="1" cm="1">
        <f t="array" ref="G2185">(SUMPRODUCT(("var_ncap"=[1]OUT_TransportEnergyCons!$B$4:$B$10000)*1,ISNUMBER(SEARCH("T_B_u*ICE*nga*s1",[1]OUT_TransportEnergyCons!$A$4:$A$10000))*1,[1]OUT_TransportEnergyCons!E$4:E$10000))*1000</f>
        <v>1.7232560978732499E-4</v>
      </c>
      <c r="H2185" s="1" cm="1">
        <f t="array" ref="H2185">(SUMPRODUCT(("var_ncap"=[1]OUT_TransportEnergyCons!$B$4:$B$10000)*1,ISNUMBER(SEARCH("T_B_u*ICE*nga*s1",[1]OUT_TransportEnergyCons!$A$4:$A$10000))*1,[1]OUT_TransportEnergyCons!F$4:F$10000))*1000</f>
        <v>7.0113339067213792E-4</v>
      </c>
      <c r="I2185" s="1" cm="1">
        <f t="array" ref="I2185">(SUMPRODUCT(("var_ncap"=[1]OUT_TransportEnergyCons!$B$4:$B$10000)*1,ISNUMBER(SEARCH("T_B_u*ICE*nga*s1",[1]OUT_TransportEnergyCons!$A$4:$A$10000))*1,[1]OUT_TransportEnergyCons!G$4:G$10000))*1000</f>
        <v>1.0548254028404501E-5</v>
      </c>
      <c r="J2185" s="1" cm="1">
        <f t="array" ref="J2185">(SUMPRODUCT(("var_ncap"=[2]OUT_TransportEnergyCons!$B$4:$B$10000)*1,ISNUMBER(SEARCH("T_B_u*ICE*nga*s1",[2]OUT_TransportEnergyCons!$A$4:$A$10000))*1,[2]OUT_TransportEnergyCons!H$4:H$10000))*1000</f>
        <v>1.2379115869216301E-5</v>
      </c>
      <c r="K2185" s="1" cm="1">
        <f t="array" ref="K2185">(SUMPRODUCT(("var_ncap"=[2]OUT_TransportEnergyCons!$B$4:$B$10000)*1,ISNUMBER(SEARCH("T_B_u*ICE*nga*s1",[2]OUT_TransportEnergyCons!$A$4:$A$10000))*1,[2]OUT_TransportEnergyCons!I$4:I$10000))*1000</f>
        <v>1.3520097425036601E-5</v>
      </c>
      <c r="L2185" s="1" cm="1">
        <f t="array" ref="L2185">(SUMPRODUCT(("var_ncap"=[2]OUT_TransportEnergyCons!$B$4:$B$10000)*1,ISNUMBER(SEARCH("T_B_u*ICE*nga*s1",[2]OUT_TransportEnergyCons!$A$4:$A$10000))*1,[2]OUT_TransportEnergyCons!J$4:J$10000))*1000</f>
        <v>1.0810239187868799E-5</v>
      </c>
      <c r="N2185" s="1"/>
    </row>
    <row r="2186" spans="2:14" x14ac:dyDescent="0.35">
      <c r="B2186" s="5" t="str">
        <f t="shared" si="2123"/>
        <v>SPS1</v>
      </c>
      <c r="C2186" s="5" t="str">
        <f t="shared" si="2124"/>
        <v>CH</v>
      </c>
      <c r="D2186" t="s">
        <v>2315</v>
      </c>
      <c r="E2186" t="s">
        <v>1999</v>
      </c>
      <c r="F2186" s="1" cm="1">
        <f t="array" ref="F2186">(SUMPRODUCT(("var_ncap"=[1]OUT_TransportEnergyCons!$B$4:$B$10000)*1,ISNUMBER(SEARCH("T_B_u*ICE*nga*s2",[1]OUT_TransportEnergyCons!$A$4:$A$10000))*1,[1]OUT_TransportEnergyCons!D$4:D$10000))*1000</f>
        <v>0</v>
      </c>
      <c r="G2186" s="1" cm="1">
        <f t="array" ref="G2186">(SUMPRODUCT(("var_ncap"=[1]OUT_TransportEnergyCons!$B$4:$B$10000)*1,ISNUMBER(SEARCH("T_B_u*ICE*nga*s2",[1]OUT_TransportEnergyCons!$A$4:$A$10000))*1,[1]OUT_TransportEnergyCons!E$4:E$10000))*1000</f>
        <v>7.7311389224089989E-5</v>
      </c>
      <c r="H2186" s="1" cm="1">
        <f t="array" ref="H2186">(SUMPRODUCT(("var_ncap"=[1]OUT_TransportEnergyCons!$B$4:$B$10000)*1,ISNUMBER(SEARCH("T_B_u*ICE*nga*s2",[1]OUT_TransportEnergyCons!$A$4:$A$10000))*1,[1]OUT_TransportEnergyCons!F$4:F$10000))*1000</f>
        <v>3.2237443144942098E-2</v>
      </c>
      <c r="I2186" s="1" cm="1">
        <f t="array" ref="I2186">(SUMPRODUCT(("var_ncap"=[1]OUT_TransportEnergyCons!$B$4:$B$10000)*1,ISNUMBER(SEARCH("T_B_u*ICE*nga*s2",[1]OUT_TransportEnergyCons!$A$4:$A$10000))*1,[1]OUT_TransportEnergyCons!G$4:G$10000))*1000</f>
        <v>0</v>
      </c>
      <c r="J2186" s="1" cm="1">
        <f t="array" ref="J2186">(SUMPRODUCT(("var_ncap"=[2]OUT_TransportEnergyCons!$B$4:$B$10000)*1,ISNUMBER(SEARCH("T_B_u*ICE*nga*s2",[2]OUT_TransportEnergyCons!$A$4:$A$10000))*1,[2]OUT_TransportEnergyCons!H$4:H$10000))*1000</f>
        <v>0</v>
      </c>
      <c r="K2186" s="1" cm="1">
        <f t="array" ref="K2186">(SUMPRODUCT(("var_ncap"=[2]OUT_TransportEnergyCons!$B$4:$B$10000)*1,ISNUMBER(SEARCH("T_B_u*ICE*nga*s2",[2]OUT_TransportEnergyCons!$A$4:$A$10000))*1,[2]OUT_TransportEnergyCons!I$4:I$10000))*1000</f>
        <v>0</v>
      </c>
      <c r="L2186" s="1" cm="1">
        <f t="array" ref="L2186">(SUMPRODUCT(("var_ncap"=[2]OUT_TransportEnergyCons!$B$4:$B$10000)*1,ISNUMBER(SEARCH("T_B_u*ICE*nga*s2",[2]OUT_TransportEnergyCons!$A$4:$A$10000))*1,[2]OUT_TransportEnergyCons!J$4:J$10000))*1000</f>
        <v>0</v>
      </c>
      <c r="N2186" s="1"/>
    </row>
    <row r="2187" spans="2:14" x14ac:dyDescent="0.35">
      <c r="B2187" s="5" t="str">
        <f t="shared" si="2123"/>
        <v>SPS1</v>
      </c>
      <c r="C2187" s="5" t="str">
        <f t="shared" si="2124"/>
        <v>CH</v>
      </c>
      <c r="D2187" t="s">
        <v>2316</v>
      </c>
      <c r="E2187" t="s">
        <v>1999</v>
      </c>
      <c r="F2187" s="1" cm="1">
        <f t="array" ref="F2187">(SUMPRODUCT(("var_ncap"=[1]OUT_TransportEnergyCons!$B$4:$B$10000)*1,ISNUMBER(SEARCH("T_B_u*ICE*nga*s3",[1]OUT_TransportEnergyCons!$A$4:$A$10000))*1,[1]OUT_TransportEnergyCons!D$4:D$10000))*1000</f>
        <v>0</v>
      </c>
      <c r="G2187" s="1" cm="1">
        <f t="array" ref="G2187">(SUMPRODUCT(("var_ncap"=[1]OUT_TransportEnergyCons!$B$4:$B$10000)*1,ISNUMBER(SEARCH("T_B_u*ICE*nga*s3",[1]OUT_TransportEnergyCons!$A$4:$A$10000))*1,[1]OUT_TransportEnergyCons!E$4:E$10000))*1000</f>
        <v>3.1911862628051997E-5</v>
      </c>
      <c r="H2187" s="1" cm="1">
        <f t="array" ref="H2187">(SUMPRODUCT(("var_ncap"=[1]OUT_TransportEnergyCons!$B$4:$B$10000)*1,ISNUMBER(SEARCH("T_B_u*ICE*nga*s3",[1]OUT_TransportEnergyCons!$A$4:$A$10000))*1,[1]OUT_TransportEnergyCons!F$4:F$10000))*1000</f>
        <v>1.2471756525059898E-4</v>
      </c>
      <c r="I2187" s="1" cm="1">
        <f t="array" ref="I2187">(SUMPRODUCT(("var_ncap"=[1]OUT_TransportEnergyCons!$B$4:$B$10000)*1,ISNUMBER(SEARCH("T_B_u*ICE*nga*s3",[1]OUT_TransportEnergyCons!$A$4:$A$10000))*1,[1]OUT_TransportEnergyCons!G$4:G$10000))*1000</f>
        <v>0</v>
      </c>
      <c r="J2187" s="1" cm="1">
        <f t="array" ref="J2187">(SUMPRODUCT(("var_ncap"=[2]OUT_TransportEnergyCons!$B$4:$B$10000)*1,ISNUMBER(SEARCH("T_B_u*ICE*nga*s3",[2]OUT_TransportEnergyCons!$A$4:$A$10000))*1,[2]OUT_TransportEnergyCons!H$4:H$10000))*1000</f>
        <v>0</v>
      </c>
      <c r="K2187" s="1" cm="1">
        <f t="array" ref="K2187">(SUMPRODUCT(("var_ncap"=[2]OUT_TransportEnergyCons!$B$4:$B$10000)*1,ISNUMBER(SEARCH("T_B_u*ICE*nga*s3",[2]OUT_TransportEnergyCons!$A$4:$A$10000))*1,[2]OUT_TransportEnergyCons!I$4:I$10000))*1000</f>
        <v>0</v>
      </c>
      <c r="L2187" s="1" cm="1">
        <f t="array" ref="L2187">(SUMPRODUCT(("var_ncap"=[2]OUT_TransportEnergyCons!$B$4:$B$10000)*1,ISNUMBER(SEARCH("T_B_u*ICE*nga*s3",[2]OUT_TransportEnergyCons!$A$4:$A$10000))*1,[2]OUT_TransportEnergyCons!J$4:J$10000))*1000</f>
        <v>0</v>
      </c>
      <c r="N2187" s="1"/>
    </row>
    <row r="2188" spans="2:14" x14ac:dyDescent="0.35">
      <c r="B2188" s="5" t="str">
        <f t="shared" si="2123"/>
        <v>SPS1</v>
      </c>
      <c r="C2188" s="5" t="str">
        <f t="shared" si="2124"/>
        <v>CH</v>
      </c>
      <c r="D2188" t="s">
        <v>2317</v>
      </c>
      <c r="E2188" t="s">
        <v>1999</v>
      </c>
      <c r="F2188" s="1" cm="1">
        <f t="array" ref="F2188">(SUMPRODUCT(("var_ncap"=[1]OUT_TransportEnergyCons!$B$4:$B$10000)*1,ISNUMBER(SEARCH("T_B_u*ICE*nga*s4",[1]OUT_TransportEnergyCons!$A$4:$A$10000))*1,[1]OUT_TransportEnergyCons!D$4:D$10000))*1000</f>
        <v>0</v>
      </c>
      <c r="G2188" s="1" cm="1">
        <f t="array" ref="G2188">(SUMPRODUCT(("var_ncap"=[1]OUT_TransportEnergyCons!$B$4:$B$10000)*1,ISNUMBER(SEARCH("T_B_u*ICE*nga*s4",[1]OUT_TransportEnergyCons!$A$4:$A$10000))*1,[1]OUT_TransportEnergyCons!E$4:E$10000))*1000</f>
        <v>0</v>
      </c>
      <c r="H2188" s="1" cm="1">
        <f t="array" ref="H2188">(SUMPRODUCT(("var_ncap"=[1]OUT_TransportEnergyCons!$B$4:$B$10000)*1,ISNUMBER(SEARCH("T_B_u*ICE*nga*s4",[1]OUT_TransportEnergyCons!$A$4:$A$10000))*1,[1]OUT_TransportEnergyCons!F$4:F$10000))*1000</f>
        <v>0</v>
      </c>
      <c r="I2188" s="1" cm="1">
        <f t="array" ref="I2188">(SUMPRODUCT(("var_ncap"=[1]OUT_TransportEnergyCons!$B$4:$B$10000)*1,ISNUMBER(SEARCH("T_B_u*ICE*nga*s4",[1]OUT_TransportEnergyCons!$A$4:$A$10000))*1,[1]OUT_TransportEnergyCons!G$4:G$10000))*1000</f>
        <v>0</v>
      </c>
      <c r="J2188" s="1" cm="1">
        <f t="array" ref="J2188">(SUMPRODUCT(("var_ncap"=[2]OUT_TransportEnergyCons!$B$4:$B$10000)*1,ISNUMBER(SEARCH("T_B_u*ICE*nga*s4",[2]OUT_TransportEnergyCons!$A$4:$A$10000))*1,[2]OUT_TransportEnergyCons!H$4:H$10000))*1000</f>
        <v>0</v>
      </c>
      <c r="K2188" s="1" cm="1">
        <f t="array" ref="K2188">(SUMPRODUCT(("var_ncap"=[2]OUT_TransportEnergyCons!$B$4:$B$10000)*1,ISNUMBER(SEARCH("T_B_u*ICE*nga*s4",[2]OUT_TransportEnergyCons!$A$4:$A$10000))*1,[2]OUT_TransportEnergyCons!I$4:I$10000))*1000</f>
        <v>0</v>
      </c>
      <c r="L2188" s="1" cm="1">
        <f t="array" ref="L2188">(SUMPRODUCT(("var_ncap"=[2]OUT_TransportEnergyCons!$B$4:$B$10000)*1,ISNUMBER(SEARCH("T_B_u*ICE*nga*s4",[2]OUT_TransportEnergyCons!$A$4:$A$10000))*1,[2]OUT_TransportEnergyCons!J$4:J$10000))*1000</f>
        <v>0</v>
      </c>
      <c r="N2188" s="1"/>
    </row>
    <row r="2189" spans="2:14" x14ac:dyDescent="0.35">
      <c r="B2189" s="5" t="str">
        <f t="shared" si="2123"/>
        <v>SPS1</v>
      </c>
      <c r="C2189" s="5" t="str">
        <f t="shared" si="2124"/>
        <v>CH</v>
      </c>
      <c r="D2189" s="2" t="s">
        <v>2318</v>
      </c>
      <c r="E2189" s="2" t="s">
        <v>1999</v>
      </c>
      <c r="F2189" s="3">
        <f t="shared" ref="F2189:K2189" si="2125">SUM(F2190:F2212)</f>
        <v>0</v>
      </c>
      <c r="G2189" s="3">
        <f t="shared" si="2125"/>
        <v>0.50045185515549051</v>
      </c>
      <c r="H2189" s="3">
        <f t="shared" si="2125"/>
        <v>0.38094743523654157</v>
      </c>
      <c r="I2189" s="3">
        <f t="shared" si="2125"/>
        <v>2.7358694059389954</v>
      </c>
      <c r="J2189" s="3">
        <f t="shared" si="2125"/>
        <v>1.7417715414869526</v>
      </c>
      <c r="K2189" s="3">
        <f t="shared" si="2125"/>
        <v>1.0704274682585329</v>
      </c>
      <c r="L2189" s="3">
        <f t="shared" ref="L2189" si="2126">SUM(L2190:L2212)</f>
        <v>2.1949915838106189</v>
      </c>
      <c r="N2189" s="1"/>
    </row>
    <row r="2190" spans="2:14" x14ac:dyDescent="0.35">
      <c r="B2190" s="5" t="str">
        <f t="shared" si="2123"/>
        <v>SPS1</v>
      </c>
      <c r="C2190" s="5" t="str">
        <f t="shared" si="2124"/>
        <v>CH</v>
      </c>
      <c r="D2190" t="s">
        <v>2319</v>
      </c>
      <c r="E2190" t="s">
        <v>1999</v>
      </c>
      <c r="F2190" s="1" cm="1">
        <f t="array" ref="F2190">(SUMPRODUCT(("var_ncap"=[1]OUT_TransportEnergyCons!$B$4:$B$10000)*1,ISNUMBER(SEARCH("T_b_c*bev*ext",[1]OUT_TransportEnergyCons!$A$4:$A$10000))*1,[1]OUT_TransportEnergyCons!D$4:D$10000))*1000</f>
        <v>0</v>
      </c>
      <c r="G2190" s="1" cm="1">
        <f t="array" ref="G2190">(SUMPRODUCT(("var_ncap"=[1]OUT_TransportEnergyCons!$B$4:$B$10000)*1,ISNUMBER(SEARCH("T_b_c*bev*ext",[1]OUT_TransportEnergyCons!$A$4:$A$10000))*1,[1]OUT_TransportEnergyCons!E$4:E$10000))*1000</f>
        <v>0</v>
      </c>
      <c r="H2190" s="1" cm="1">
        <f t="array" ref="H2190">(SUMPRODUCT(("var_ncap"=[1]OUT_TransportEnergyCons!$B$4:$B$10000)*1,ISNUMBER(SEARCH("T_b_c*bev*ext",[1]OUT_TransportEnergyCons!$A$4:$A$10000))*1,[1]OUT_TransportEnergyCons!F$4:F$10000))*1000</f>
        <v>0</v>
      </c>
      <c r="I2190" s="1" cm="1">
        <f t="array" ref="I2190">(SUMPRODUCT(("var_ncap"=[1]OUT_TransportEnergyCons!$B$4:$B$10000)*1,ISNUMBER(SEARCH("T_b_c*bev*ext",[1]OUT_TransportEnergyCons!$A$4:$A$10000))*1,[1]OUT_TransportEnergyCons!G$4:G$10000))*1000</f>
        <v>0</v>
      </c>
      <c r="J2190" s="1" cm="1">
        <f t="array" ref="J2190">(SUMPRODUCT(("var_ncap"=[2]OUT_TransportEnergyCons!$B$4:$B$10000)*1,ISNUMBER(SEARCH("T_b_c*bev*ext",[2]OUT_TransportEnergyCons!$A$4:$A$10000))*1,[2]OUT_TransportEnergyCons!H$4:H$10000))*1000</f>
        <v>0</v>
      </c>
      <c r="K2190" s="1" cm="1">
        <f t="array" ref="K2190">(SUMPRODUCT(("var_ncap"=[2]OUT_TransportEnergyCons!$B$4:$B$10000)*1,ISNUMBER(SEARCH("T_b_c*bev*ext",[2]OUT_TransportEnergyCons!$A$4:$A$10000))*1,[2]OUT_TransportEnergyCons!I$4:I$10000))*1000</f>
        <v>0</v>
      </c>
      <c r="L2190" s="1" cm="1">
        <f t="array" ref="L2190">(SUMPRODUCT(("var_ncap"=[2]OUT_TransportEnergyCons!$B$4:$B$10000)*1,ISNUMBER(SEARCH("T_b_c*bev*ext",[2]OUT_TransportEnergyCons!$A$4:$A$10000))*1,[2]OUT_TransportEnergyCons!J$4:J$10000))*1000</f>
        <v>0</v>
      </c>
      <c r="N2190" s="1"/>
    </row>
    <row r="2191" spans="2:14" x14ac:dyDescent="0.35">
      <c r="B2191" s="5" t="str">
        <f t="shared" si="2123"/>
        <v>SPS1</v>
      </c>
      <c r="C2191" s="5" t="str">
        <f t="shared" si="2124"/>
        <v>CH</v>
      </c>
      <c r="D2191" t="s">
        <v>2320</v>
      </c>
      <c r="E2191" t="s">
        <v>1999</v>
      </c>
      <c r="F2191" s="1" cm="1">
        <f t="array" ref="F2191">(SUMPRODUCT(("var_ncap"=[1]OUT_TransportEnergyCons!$B$4:$B$10000)*1,ISNUMBER(SEARCH("T_b_c*bev*s1",[1]OUT_TransportEnergyCons!$A$4:$A$10000))*1,[1]OUT_TransportEnergyCons!D$4:D$10000))*1000</f>
        <v>0</v>
      </c>
      <c r="G2191" s="1" cm="1">
        <f t="array" ref="G2191">(SUMPRODUCT(("var_ncap"=[1]OUT_TransportEnergyCons!$B$4:$B$10000)*1,ISNUMBER(SEARCH("T_b_c*bev*s1",[1]OUT_TransportEnergyCons!$A$4:$A$10000))*1,[1]OUT_TransportEnergyCons!E$4:E$10000))*1000</f>
        <v>7.6691414535622299E-4</v>
      </c>
      <c r="H2191" s="1" cm="1">
        <f t="array" ref="H2191">(SUMPRODUCT(("var_ncap"=[1]OUT_TransportEnergyCons!$B$4:$B$10000)*1,ISNUMBER(SEARCH("T_b_c*bev*s1",[1]OUT_TransportEnergyCons!$A$4:$A$10000))*1,[1]OUT_TransportEnergyCons!F$4:F$10000))*1000</f>
        <v>1.29739498512983E-3</v>
      </c>
      <c r="I2191" s="1" cm="1">
        <f t="array" ref="I2191">(SUMPRODUCT(("var_ncap"=[1]OUT_TransportEnergyCons!$B$4:$B$10000)*1,ISNUMBER(SEARCH("T_b_c*bev*s1",[1]OUT_TransportEnergyCons!$A$4:$A$10000))*1,[1]OUT_TransportEnergyCons!G$4:G$10000))*1000</f>
        <v>1.4079870357437199</v>
      </c>
      <c r="J2191" s="1" cm="1">
        <f t="array" ref="J2191">(SUMPRODUCT(("var_ncap"=[2]OUT_TransportEnergyCons!$B$4:$B$10000)*1,ISNUMBER(SEARCH("T_b_c*bev*s1",[2]OUT_TransportEnergyCons!$A$4:$A$10000))*1,[2]OUT_TransportEnergyCons!H$4:H$10000))*1000</f>
        <v>1.0162649259729</v>
      </c>
      <c r="K2191" s="1" cm="1">
        <f t="array" ref="K2191">(SUMPRODUCT(("var_ncap"=[2]OUT_TransportEnergyCons!$B$4:$B$10000)*1,ISNUMBER(SEARCH("T_b_c*bev*s1",[2]OUT_TransportEnergyCons!$A$4:$A$10000))*1,[2]OUT_TransportEnergyCons!I$4:I$10000))*1000</f>
        <v>1.3558055679082701E-2</v>
      </c>
      <c r="L2191" s="1" cm="1">
        <f t="array" ref="L2191">(SUMPRODUCT(("var_ncap"=[2]OUT_TransportEnergyCons!$B$4:$B$10000)*1,ISNUMBER(SEARCH("T_b_c*bev*s1",[2]OUT_TransportEnergyCons!$A$4:$A$10000))*1,[2]OUT_TransportEnergyCons!J$4:J$10000))*1000</f>
        <v>0.462701706768264</v>
      </c>
      <c r="N2191" s="1"/>
    </row>
    <row r="2192" spans="2:14" x14ac:dyDescent="0.35">
      <c r="B2192" s="5" t="str">
        <f t="shared" si="2123"/>
        <v>SPS1</v>
      </c>
      <c r="C2192" s="5" t="str">
        <f t="shared" si="2124"/>
        <v>CH</v>
      </c>
      <c r="D2192" t="s">
        <v>2321</v>
      </c>
      <c r="E2192" t="s">
        <v>1999</v>
      </c>
      <c r="F2192" s="1" cm="1">
        <f t="array" ref="F2192">(SUMPRODUCT(("var_ncap"=[1]OUT_TransportEnergyCons!$B$4:$B$10000)*1,ISNUMBER(SEARCH("T_b_c*bev*s2",[1]OUT_TransportEnergyCons!$A$4:$A$10000))*1,[1]OUT_TransportEnergyCons!D$4:D$10000))*1000</f>
        <v>0</v>
      </c>
      <c r="G2192" s="1" cm="1">
        <f t="array" ref="G2192">(SUMPRODUCT(("var_ncap"=[1]OUT_TransportEnergyCons!$B$4:$B$10000)*1,ISNUMBER(SEARCH("T_b_c*bev*s2",[1]OUT_TransportEnergyCons!$A$4:$A$10000))*1,[1]OUT_TransportEnergyCons!E$4:E$10000))*1000</f>
        <v>3.2956183174019898E-4</v>
      </c>
      <c r="H2192" s="1" cm="1">
        <f t="array" ref="H2192">(SUMPRODUCT(("var_ncap"=[1]OUT_TransportEnergyCons!$B$4:$B$10000)*1,ISNUMBER(SEARCH("T_b_c*bev*s2",[1]OUT_TransportEnergyCons!$A$4:$A$10000))*1,[1]OUT_TransportEnergyCons!F$4:F$10000))*1000</f>
        <v>7.1949325845352592E-4</v>
      </c>
      <c r="I2192" s="1" cm="1">
        <f t="array" ref="I2192">(SUMPRODUCT(("var_ncap"=[1]OUT_TransportEnergyCons!$B$4:$B$10000)*1,ISNUMBER(SEARCH("T_b_c*bev*s2",[1]OUT_TransportEnergyCons!$A$4:$A$10000))*1,[1]OUT_TransportEnergyCons!G$4:G$10000))*1000</f>
        <v>0.476676310574147</v>
      </c>
      <c r="J2192" s="1" cm="1">
        <f t="array" ref="J2192">(SUMPRODUCT(("var_ncap"=[2]OUT_TransportEnergyCons!$B$4:$B$10000)*1,ISNUMBER(SEARCH("T_b_c*bev*s2",[2]OUT_TransportEnergyCons!$A$4:$A$10000))*1,[2]OUT_TransportEnergyCons!H$4:H$10000))*1000</f>
        <v>0.51351799682402199</v>
      </c>
      <c r="K2192" s="1" cm="1">
        <f t="array" ref="K2192">(SUMPRODUCT(("var_ncap"=[2]OUT_TransportEnergyCons!$B$4:$B$10000)*1,ISNUMBER(SEARCH("T_b_c*bev*s2",[2]OUT_TransportEnergyCons!$A$4:$A$10000))*1,[2]OUT_TransportEnergyCons!I$4:I$10000))*1000</f>
        <v>0.27105798360091699</v>
      </c>
      <c r="L2192" s="1" cm="1">
        <f t="array" ref="L2192">(SUMPRODUCT(("var_ncap"=[2]OUT_TransportEnergyCons!$B$4:$B$10000)*1,ISNUMBER(SEARCH("T_b_c*bev*s2",[2]OUT_TransportEnergyCons!$A$4:$A$10000))*1,[2]OUT_TransportEnergyCons!J$4:J$10000))*1000</f>
        <v>0.81730911102000903</v>
      </c>
      <c r="N2192" s="1"/>
    </row>
    <row r="2193" spans="2:14" x14ac:dyDescent="0.35">
      <c r="B2193" s="5" t="str">
        <f t="shared" si="2123"/>
        <v>SPS1</v>
      </c>
      <c r="C2193" s="5" t="str">
        <f t="shared" si="2124"/>
        <v>CH</v>
      </c>
      <c r="D2193" t="s">
        <v>2322</v>
      </c>
      <c r="E2193" t="s">
        <v>1999</v>
      </c>
      <c r="F2193" s="1" cm="1">
        <f t="array" ref="F2193">(SUMPRODUCT(("var_ncap"=[1]OUT_TransportEnergyCons!$B$4:$B$10000)*1,ISNUMBER(SEARCH("T_b_c*bev*s3",[1]OUT_TransportEnergyCons!$A$4:$A$10000))*1,[1]OUT_TransportEnergyCons!D$4:D$10000))*1000</f>
        <v>0</v>
      </c>
      <c r="G2193" s="1" cm="1">
        <f t="array" ref="G2193">(SUMPRODUCT(("var_ncap"=[1]OUT_TransportEnergyCons!$B$4:$B$10000)*1,ISNUMBER(SEARCH("T_b_c*bev*s3",[1]OUT_TransportEnergyCons!$A$4:$A$10000))*1,[1]OUT_TransportEnergyCons!E$4:E$10000))*1000</f>
        <v>1.5337969004870501E-4</v>
      </c>
      <c r="H2193" s="1" cm="1">
        <f t="array" ref="H2193">(SUMPRODUCT(("var_ncap"=[1]OUT_TransportEnergyCons!$B$4:$B$10000)*1,ISNUMBER(SEARCH("T_b_c*bev*s3",[1]OUT_TransportEnergyCons!$A$4:$A$10000))*1,[1]OUT_TransportEnergyCons!F$4:F$10000))*1000</f>
        <v>2.0142334958486401E-4</v>
      </c>
      <c r="I2193" s="1" cm="1">
        <f t="array" ref="I2193">(SUMPRODUCT(("var_ncap"=[1]OUT_TransportEnergyCons!$B$4:$B$10000)*1,ISNUMBER(SEARCH("T_b_c*bev*s3",[1]OUT_TransportEnergyCons!$A$4:$A$10000))*1,[1]OUT_TransportEnergyCons!G$4:G$10000))*1000</f>
        <v>7.2016091411666102E-4</v>
      </c>
      <c r="J2193" s="1" cm="1">
        <f t="array" ref="J2193">(SUMPRODUCT(("var_ncap"=[2]OUT_TransportEnergyCons!$B$4:$B$10000)*1,ISNUMBER(SEARCH("T_b_c*bev*s3",[2]OUT_TransportEnergyCons!$A$4:$A$10000))*1,[2]OUT_TransportEnergyCons!H$4:H$10000))*1000</f>
        <v>1.66329467985179E-2</v>
      </c>
      <c r="K2193" s="1" cm="1">
        <f t="array" ref="K2193">(SUMPRODUCT(("var_ncap"=[2]OUT_TransportEnergyCons!$B$4:$B$10000)*1,ISNUMBER(SEARCH("T_b_c*bev*s3",[2]OUT_TransportEnergyCons!$A$4:$A$10000))*1,[2]OUT_TransportEnergyCons!I$4:I$10000))*1000</f>
        <v>1.1461092871232001E-2</v>
      </c>
      <c r="L2193" s="1" cm="1">
        <f t="array" ref="L2193">(SUMPRODUCT(("var_ncap"=[2]OUT_TransportEnergyCons!$B$4:$B$10000)*1,ISNUMBER(SEARCH("T_b_c*bev*s3",[2]OUT_TransportEnergyCons!$A$4:$A$10000))*1,[2]OUT_TransportEnergyCons!J$4:J$10000))*1000</f>
        <v>0.15370931251776401</v>
      </c>
      <c r="N2193" s="1"/>
    </row>
    <row r="2194" spans="2:14" x14ac:dyDescent="0.35">
      <c r="B2194" s="5" t="str">
        <f t="shared" si="2123"/>
        <v>SPS1</v>
      </c>
      <c r="C2194" s="5" t="str">
        <f t="shared" si="2124"/>
        <v>CH</v>
      </c>
      <c r="D2194" t="s">
        <v>2323</v>
      </c>
      <c r="E2194" t="s">
        <v>1999</v>
      </c>
      <c r="F2194" s="1" cm="1">
        <f t="array" ref="F2194">(SUMPRODUCT(("var_ncap"=[1]OUT_TransportEnergyCons!$B$4:$B$10000)*1,ISNUMBER(SEARCH("T_b_c*bev*s4",[1]OUT_TransportEnergyCons!$A$4:$A$10000))*1,[1]OUT_TransportEnergyCons!D$4:D$10000))*1000</f>
        <v>0</v>
      </c>
      <c r="G2194" s="1" cm="1">
        <f t="array" ref="G2194">(SUMPRODUCT(("var_ncap"=[1]OUT_TransportEnergyCons!$B$4:$B$10000)*1,ISNUMBER(SEARCH("T_b_c*bev*s4",[1]OUT_TransportEnergyCons!$A$4:$A$10000))*1,[1]OUT_TransportEnergyCons!E$4:E$10000))*1000</f>
        <v>7.1498864964499099E-5</v>
      </c>
      <c r="H2194" s="1" cm="1">
        <f t="array" ref="H2194">(SUMPRODUCT(("var_ncap"=[1]OUT_TransportEnergyCons!$B$4:$B$10000)*1,ISNUMBER(SEARCH("T_b_c*bev*s4",[1]OUT_TransportEnergyCons!$A$4:$A$10000))*1,[1]OUT_TransportEnergyCons!F$4:F$10000))*1000</f>
        <v>6.1083990849838306E-5</v>
      </c>
      <c r="I2194" s="1" cm="1">
        <f t="array" ref="I2194">(SUMPRODUCT(("var_ncap"=[1]OUT_TransportEnergyCons!$B$4:$B$10000)*1,ISNUMBER(SEARCH("T_b_c*bev*s4",[1]OUT_TransportEnergyCons!$A$4:$A$10000))*1,[1]OUT_TransportEnergyCons!G$4:G$10000))*1000</f>
        <v>7.4764206259047308E-5</v>
      </c>
      <c r="J2194" s="1" cm="1">
        <f t="array" ref="J2194">(SUMPRODUCT(("var_ncap"=[2]OUT_TransportEnergyCons!$B$4:$B$10000)*1,ISNUMBER(SEARCH("T_b_c*bev*s4",[2]OUT_TransportEnergyCons!$A$4:$A$10000))*1,[2]OUT_TransportEnergyCons!H$4:H$10000))*1000</f>
        <v>3.4035139596481098E-4</v>
      </c>
      <c r="K2194" s="1" cm="1">
        <f t="array" ref="K2194">(SUMPRODUCT(("var_ncap"=[2]OUT_TransportEnergyCons!$B$4:$B$10000)*1,ISNUMBER(SEARCH("T_b_c*bev*s4",[2]OUT_TransportEnergyCons!$A$4:$A$10000))*1,[2]OUT_TransportEnergyCons!I$4:I$10000))*1000</f>
        <v>3.6524728541302998E-4</v>
      </c>
      <c r="L2194" s="1" cm="1">
        <f t="array" ref="L2194">(SUMPRODUCT(("var_ncap"=[2]OUT_TransportEnergyCons!$B$4:$B$10000)*1,ISNUMBER(SEARCH("T_b_c*bev*s4",[2]OUT_TransportEnergyCons!$A$4:$A$10000))*1,[2]OUT_TransportEnergyCons!J$4:J$10000))*1000</f>
        <v>1.4608159764027001E-4</v>
      </c>
      <c r="N2194" s="1"/>
    </row>
    <row r="2195" spans="2:14" x14ac:dyDescent="0.35">
      <c r="B2195" s="5" t="str">
        <f t="shared" si="2123"/>
        <v>SPS1</v>
      </c>
      <c r="C2195" s="5" t="str">
        <f t="shared" si="2124"/>
        <v>CH</v>
      </c>
      <c r="D2195" t="s">
        <v>2324</v>
      </c>
      <c r="E2195" t="s">
        <v>1999</v>
      </c>
      <c r="F2195" s="1" cm="1">
        <f t="array" ref="F2195">(SUMPRODUCT(("var_ncap"=[1]OUT_TransportEnergyCons!$B$4:$B$10000)*1,ISNUMBER(SEARCH("T_b_c*h2o*s1",[1]OUT_TransportEnergyCons!$A$4:$A$10000))*1,[1]OUT_TransportEnergyCons!D$4:D$10000))*1000</f>
        <v>0</v>
      </c>
      <c r="G2195" s="1" cm="1">
        <f t="array" ref="G2195">(SUMPRODUCT(("var_ncap"=[1]OUT_TransportEnergyCons!$B$4:$B$10000)*1,ISNUMBER(SEARCH("T_b_c*h2o*s1",[1]OUT_TransportEnergyCons!$A$4:$A$10000))*1,[1]OUT_TransportEnergyCons!E$4:E$10000))*1000</f>
        <v>0</v>
      </c>
      <c r="H2195" s="1" cm="1">
        <f t="array" ref="H2195">(SUMPRODUCT(("var_ncap"=[1]OUT_TransportEnergyCons!$B$4:$B$10000)*1,ISNUMBER(SEARCH("T_b_c*h2o*s1",[1]OUT_TransportEnergyCons!$A$4:$A$10000))*1,[1]OUT_TransportEnergyCons!F$4:F$10000))*1000</f>
        <v>0</v>
      </c>
      <c r="I2195" s="1" cm="1">
        <f t="array" ref="I2195">(SUMPRODUCT(("var_ncap"=[1]OUT_TransportEnergyCons!$B$4:$B$10000)*1,ISNUMBER(SEARCH("T_b_c*h2o*s1",[1]OUT_TransportEnergyCons!$A$4:$A$10000))*1,[1]OUT_TransportEnergyCons!G$4:G$10000))*1000</f>
        <v>0</v>
      </c>
      <c r="J2195" s="1" cm="1">
        <f t="array" ref="J2195">(SUMPRODUCT(("var_ncap"=[2]OUT_TransportEnergyCons!$B$4:$B$10000)*1,ISNUMBER(SEARCH("T_b_c*h2o*s1",[2]OUT_TransportEnergyCons!$A$4:$A$10000))*1,[2]OUT_TransportEnergyCons!H$4:H$10000))*1000</f>
        <v>0</v>
      </c>
      <c r="K2195" s="1" cm="1">
        <f t="array" ref="K2195">(SUMPRODUCT(("var_ncap"=[2]OUT_TransportEnergyCons!$B$4:$B$10000)*1,ISNUMBER(SEARCH("T_b_c*h2o*s1",[2]OUT_TransportEnergyCons!$A$4:$A$10000))*1,[2]OUT_TransportEnergyCons!I$4:I$10000))*1000</f>
        <v>0</v>
      </c>
      <c r="L2195" s="1" cm="1">
        <f t="array" ref="L2195">(SUMPRODUCT(("var_ncap"=[2]OUT_TransportEnergyCons!$B$4:$B$10000)*1,ISNUMBER(SEARCH("T_b_c*h2o*s1",[2]OUT_TransportEnergyCons!$A$4:$A$10000))*1,[2]OUT_TransportEnergyCons!J$4:J$10000))*1000</f>
        <v>0</v>
      </c>
      <c r="N2195" s="1"/>
    </row>
    <row r="2196" spans="2:14" x14ac:dyDescent="0.35">
      <c r="B2196" s="5" t="str">
        <f t="shared" si="2123"/>
        <v>SPS1</v>
      </c>
      <c r="C2196" s="5" t="str">
        <f t="shared" si="2124"/>
        <v>CH</v>
      </c>
      <c r="D2196" t="s">
        <v>2325</v>
      </c>
      <c r="E2196" t="s">
        <v>1999</v>
      </c>
      <c r="F2196" s="1" cm="1">
        <f t="array" ref="F2196">(SUMPRODUCT(("var_ncap"=[1]OUT_TransportEnergyCons!$B$4:$B$10000)*1,ISNUMBER(SEARCH("T_b_c*h2o*s2",[1]OUT_TransportEnergyCons!$A$4:$A$10000))*1,[1]OUT_TransportEnergyCons!D$4:D$10000))*1000</f>
        <v>0</v>
      </c>
      <c r="G2196" s="1" cm="1">
        <f t="array" ref="G2196">(SUMPRODUCT(("var_ncap"=[1]OUT_TransportEnergyCons!$B$4:$B$10000)*1,ISNUMBER(SEARCH("T_b_c*h2o*s2",[1]OUT_TransportEnergyCons!$A$4:$A$10000))*1,[1]OUT_TransportEnergyCons!E$4:E$10000))*1000</f>
        <v>0</v>
      </c>
      <c r="H2196" s="1" cm="1">
        <f t="array" ref="H2196">(SUMPRODUCT(("var_ncap"=[1]OUT_TransportEnergyCons!$B$4:$B$10000)*1,ISNUMBER(SEARCH("T_b_c*h2o*s2",[1]OUT_TransportEnergyCons!$A$4:$A$10000))*1,[1]OUT_TransportEnergyCons!F$4:F$10000))*1000</f>
        <v>0</v>
      </c>
      <c r="I2196" s="1" cm="1">
        <f t="array" ref="I2196">(SUMPRODUCT(("var_ncap"=[1]OUT_TransportEnergyCons!$B$4:$B$10000)*1,ISNUMBER(SEARCH("T_b_c*h2o*s2",[1]OUT_TransportEnergyCons!$A$4:$A$10000))*1,[1]OUT_TransportEnergyCons!G$4:G$10000))*1000</f>
        <v>0</v>
      </c>
      <c r="J2196" s="1" cm="1">
        <f t="array" ref="J2196">(SUMPRODUCT(("var_ncap"=[2]OUT_TransportEnergyCons!$B$4:$B$10000)*1,ISNUMBER(SEARCH("T_b_c*h2o*s2",[2]OUT_TransportEnergyCons!$A$4:$A$10000))*1,[2]OUT_TransportEnergyCons!H$4:H$10000))*1000</f>
        <v>0</v>
      </c>
      <c r="K2196" s="1" cm="1">
        <f t="array" ref="K2196">(SUMPRODUCT(("var_ncap"=[2]OUT_TransportEnergyCons!$B$4:$B$10000)*1,ISNUMBER(SEARCH("T_b_c*h2o*s2",[2]OUT_TransportEnergyCons!$A$4:$A$10000))*1,[2]OUT_TransportEnergyCons!I$4:I$10000))*1000</f>
        <v>0</v>
      </c>
      <c r="L2196" s="1" cm="1">
        <f t="array" ref="L2196">(SUMPRODUCT(("var_ncap"=[2]OUT_TransportEnergyCons!$B$4:$B$10000)*1,ISNUMBER(SEARCH("T_b_c*h2o*s2",[2]OUT_TransportEnergyCons!$A$4:$A$10000))*1,[2]OUT_TransportEnergyCons!J$4:J$10000))*1000</f>
        <v>0</v>
      </c>
      <c r="N2196" s="1"/>
    </row>
    <row r="2197" spans="2:14" x14ac:dyDescent="0.35">
      <c r="B2197" s="5" t="str">
        <f t="shared" si="2123"/>
        <v>SPS1</v>
      </c>
      <c r="C2197" s="5" t="str">
        <f t="shared" si="2124"/>
        <v>CH</v>
      </c>
      <c r="D2197" t="s">
        <v>2326</v>
      </c>
      <c r="E2197" t="s">
        <v>1999</v>
      </c>
      <c r="F2197" s="1" cm="1">
        <f t="array" ref="F2197">(SUMPRODUCT(("var_ncap"=[1]OUT_TransportEnergyCons!$B$4:$B$10000)*1,ISNUMBER(SEARCH("T_b_c*h2o*s3",[1]OUT_TransportEnergyCons!$A$4:$A$10000))*1,[1]OUT_TransportEnergyCons!D$4:D$10000))*1000</f>
        <v>0</v>
      </c>
      <c r="G2197" s="1" cm="1">
        <f t="array" ref="G2197">(SUMPRODUCT(("var_ncap"=[1]OUT_TransportEnergyCons!$B$4:$B$10000)*1,ISNUMBER(SEARCH("T_b_c*h2o*s3",[1]OUT_TransportEnergyCons!$A$4:$A$10000))*1,[1]OUT_TransportEnergyCons!E$4:E$10000))*1000</f>
        <v>0</v>
      </c>
      <c r="H2197" s="1" cm="1">
        <f t="array" ref="H2197">(SUMPRODUCT(("var_ncap"=[1]OUT_TransportEnergyCons!$B$4:$B$10000)*1,ISNUMBER(SEARCH("T_b_c*h2o*s3",[1]OUT_TransportEnergyCons!$A$4:$A$10000))*1,[1]OUT_TransportEnergyCons!F$4:F$10000))*1000</f>
        <v>0</v>
      </c>
      <c r="I2197" s="1" cm="1">
        <f t="array" ref="I2197">(SUMPRODUCT(("var_ncap"=[1]OUT_TransportEnergyCons!$B$4:$B$10000)*1,ISNUMBER(SEARCH("T_b_c*h2o*s3",[1]OUT_TransportEnergyCons!$A$4:$A$10000))*1,[1]OUT_TransportEnergyCons!G$4:G$10000))*1000</f>
        <v>0</v>
      </c>
      <c r="J2197" s="1" cm="1">
        <f t="array" ref="J2197">(SUMPRODUCT(("var_ncap"=[2]OUT_TransportEnergyCons!$B$4:$B$10000)*1,ISNUMBER(SEARCH("T_b_c*h2o*s3",[2]OUT_TransportEnergyCons!$A$4:$A$10000))*1,[2]OUT_TransportEnergyCons!H$4:H$10000))*1000</f>
        <v>0</v>
      </c>
      <c r="K2197" s="1" cm="1">
        <f t="array" ref="K2197">(SUMPRODUCT(("var_ncap"=[2]OUT_TransportEnergyCons!$B$4:$B$10000)*1,ISNUMBER(SEARCH("T_b_c*h2o*s3",[2]OUT_TransportEnergyCons!$A$4:$A$10000))*1,[2]OUT_TransportEnergyCons!I$4:I$10000))*1000</f>
        <v>0</v>
      </c>
      <c r="L2197" s="1" cm="1">
        <f t="array" ref="L2197">(SUMPRODUCT(("var_ncap"=[2]OUT_TransportEnergyCons!$B$4:$B$10000)*1,ISNUMBER(SEARCH("T_b_c*h2o*s3",[2]OUT_TransportEnergyCons!$A$4:$A$10000))*1,[2]OUT_TransportEnergyCons!J$4:J$10000))*1000</f>
        <v>0</v>
      </c>
      <c r="N2197" s="1"/>
    </row>
    <row r="2198" spans="2:14" x14ac:dyDescent="0.35">
      <c r="B2198" s="5" t="str">
        <f t="shared" ref="B2198:B2232" si="2127">B2197</f>
        <v>SPS1</v>
      </c>
      <c r="C2198" s="5" t="str">
        <f t="shared" ref="C2198:C2232" si="2128">C2197</f>
        <v>CH</v>
      </c>
      <c r="D2198" t="s">
        <v>2327</v>
      </c>
      <c r="E2198" t="s">
        <v>1999</v>
      </c>
      <c r="F2198" s="1" cm="1">
        <f t="array" ref="F2198">(SUMPRODUCT(("var_ncap"=[1]OUT_TransportEnergyCons!$B$4:$B$10000)*1,ISNUMBER(SEARCH("T_b_c*h2o*s4",[1]OUT_TransportEnergyCons!$A$4:$A$10000))*1,[1]OUT_TransportEnergyCons!D$4:D$10000))*1000</f>
        <v>0</v>
      </c>
      <c r="G2198" s="1" cm="1">
        <f t="array" ref="G2198">(SUMPRODUCT(("var_ncap"=[1]OUT_TransportEnergyCons!$B$4:$B$10000)*1,ISNUMBER(SEARCH("T_b_c*h2o*s4",[1]OUT_TransportEnergyCons!$A$4:$A$10000))*1,[1]OUT_TransportEnergyCons!E$4:E$10000))*1000</f>
        <v>0</v>
      </c>
      <c r="H2198" s="1" cm="1">
        <f t="array" ref="H2198">(SUMPRODUCT(("var_ncap"=[1]OUT_TransportEnergyCons!$B$4:$B$10000)*1,ISNUMBER(SEARCH("T_b_c*h2o*s4",[1]OUT_TransportEnergyCons!$A$4:$A$10000))*1,[1]OUT_TransportEnergyCons!F$4:F$10000))*1000</f>
        <v>0</v>
      </c>
      <c r="I2198" s="1" cm="1">
        <f t="array" ref="I2198">(SUMPRODUCT(("var_ncap"=[1]OUT_TransportEnergyCons!$B$4:$B$10000)*1,ISNUMBER(SEARCH("T_b_c*h2o*s4",[1]OUT_TransportEnergyCons!$A$4:$A$10000))*1,[1]OUT_TransportEnergyCons!G$4:G$10000))*1000</f>
        <v>0</v>
      </c>
      <c r="J2198" s="1" cm="1">
        <f t="array" ref="J2198">(SUMPRODUCT(("var_ncap"=[2]OUT_TransportEnergyCons!$B$4:$B$10000)*1,ISNUMBER(SEARCH("T_b_c*h2o*s4",[2]OUT_TransportEnergyCons!$A$4:$A$10000))*1,[2]OUT_TransportEnergyCons!H$4:H$10000))*1000</f>
        <v>0</v>
      </c>
      <c r="K2198" s="1" cm="1">
        <f t="array" ref="K2198">(SUMPRODUCT(("var_ncap"=[2]OUT_TransportEnergyCons!$B$4:$B$10000)*1,ISNUMBER(SEARCH("T_b_c*h2o*s4",[2]OUT_TransportEnergyCons!$A$4:$A$10000))*1,[2]OUT_TransportEnergyCons!I$4:I$10000))*1000</f>
        <v>0</v>
      </c>
      <c r="L2198" s="1" cm="1">
        <f t="array" ref="L2198">(SUMPRODUCT(("var_ncap"=[2]OUT_TransportEnergyCons!$B$4:$B$10000)*1,ISNUMBER(SEARCH("T_b_c*h2o*s4",[2]OUT_TransportEnergyCons!$A$4:$A$10000))*1,[2]OUT_TransportEnergyCons!J$4:J$10000))*1000</f>
        <v>0</v>
      </c>
      <c r="N2198" s="1"/>
    </row>
    <row r="2199" spans="2:14" x14ac:dyDescent="0.35">
      <c r="B2199" s="5" t="str">
        <f t="shared" si="2127"/>
        <v>SPS1</v>
      </c>
      <c r="C2199" s="5" t="str">
        <f t="shared" si="2128"/>
        <v>CH</v>
      </c>
      <c r="D2199" t="s">
        <v>2328</v>
      </c>
      <c r="E2199" t="s">
        <v>1999</v>
      </c>
      <c r="F2199" s="1" cm="1">
        <f t="array" ref="F2199">(SUMPRODUCT(("var_ncap"=[1]OUT_TransportEnergyCons!$B$4:$B$10000)*1,ISNUMBER(SEARCH("T_b_c*hyb*DSL*s1",[1]OUT_TransportEnergyCons!$A$4:$A$10000))*1,[1]OUT_TransportEnergyCons!D$4:D$10000))*1000</f>
        <v>0</v>
      </c>
      <c r="G2199" s="1" cm="1">
        <f t="array" ref="G2199">(SUMPRODUCT(("var_ncap"=[1]OUT_TransportEnergyCons!$B$4:$B$10000)*1,ISNUMBER(SEARCH("T_b_c*hyb*DSL*s1",[1]OUT_TransportEnergyCons!$A$4:$A$10000))*1,[1]OUT_TransportEnergyCons!E$4:E$10000))*1000</f>
        <v>9.440529907058761E-3</v>
      </c>
      <c r="H2199" s="1" cm="1">
        <f t="array" ref="H2199">(SUMPRODUCT(("var_ncap"=[1]OUT_TransportEnergyCons!$B$4:$B$10000)*1,ISNUMBER(SEARCH("T_b_c*hyb*DSL*s1",[1]OUT_TransportEnergyCons!$A$4:$A$10000))*1,[1]OUT_TransportEnergyCons!F$4:F$10000))*1000</f>
        <v>8.82229735660006E-4</v>
      </c>
      <c r="I2199" s="1" cm="1">
        <f t="array" ref="I2199">(SUMPRODUCT(("var_ncap"=[1]OUT_TransportEnergyCons!$B$4:$B$10000)*1,ISNUMBER(SEARCH("T_b_c*hyb*DSL*s1",[1]OUT_TransportEnergyCons!$A$4:$A$10000))*1,[1]OUT_TransportEnergyCons!G$4:G$10000))*1000</f>
        <v>9.6685548552165898E-4</v>
      </c>
      <c r="J2199" s="1" cm="1">
        <f t="array" ref="J2199">(SUMPRODUCT(("var_ncap"=[2]OUT_TransportEnergyCons!$B$4:$B$10000)*1,ISNUMBER(SEARCH("T_b_c*hyb*DSL*s1",[2]OUT_TransportEnergyCons!$A$4:$A$10000))*1,[2]OUT_TransportEnergyCons!H$4:H$10000))*1000</f>
        <v>0.13001244916824001</v>
      </c>
      <c r="K2199" s="1" cm="1">
        <f t="array" ref="K2199">(SUMPRODUCT(("var_ncap"=[2]OUT_TransportEnergyCons!$B$4:$B$10000)*1,ISNUMBER(SEARCH("T_b_c*hyb*DSL*s1",[2]OUT_TransportEnergyCons!$A$4:$A$10000))*1,[2]OUT_TransportEnergyCons!I$4:I$10000))*1000</f>
        <v>0.24866101667406301</v>
      </c>
      <c r="L2199" s="1" cm="1">
        <f t="array" ref="L2199">(SUMPRODUCT(("var_ncap"=[2]OUT_TransportEnergyCons!$B$4:$B$10000)*1,ISNUMBER(SEARCH("T_b_c*hyb*DSL*s1",[2]OUT_TransportEnergyCons!$A$4:$A$10000))*1,[2]OUT_TransportEnergyCons!J$4:J$10000))*1000</f>
        <v>0.71760625092974895</v>
      </c>
      <c r="N2199" s="1"/>
    </row>
    <row r="2200" spans="2:14" x14ac:dyDescent="0.35">
      <c r="B2200" s="5" t="str">
        <f t="shared" si="2127"/>
        <v>SPS1</v>
      </c>
      <c r="C2200" s="5" t="str">
        <f t="shared" si="2128"/>
        <v>CH</v>
      </c>
      <c r="D2200" t="s">
        <v>2329</v>
      </c>
      <c r="E2200" t="s">
        <v>1999</v>
      </c>
      <c r="F2200" s="1" cm="1">
        <f t="array" ref="F2200">(SUMPRODUCT(("var_ncap"=[1]OUT_TransportEnergyCons!$B$4:$B$10000)*1,ISNUMBER(SEARCH("T_b_c*hyb*DSL*s2",[1]OUT_TransportEnergyCons!$A$4:$A$10000))*1,[1]OUT_TransportEnergyCons!D$4:D$10000))*1000</f>
        <v>0</v>
      </c>
      <c r="G2200" s="1" cm="1">
        <f t="array" ref="G2200">(SUMPRODUCT(("var_ncap"=[1]OUT_TransportEnergyCons!$B$4:$B$10000)*1,ISNUMBER(SEARCH("T_b_c*hyb*DSL*s2",[1]OUT_TransportEnergyCons!$A$4:$A$10000))*1,[1]OUT_TransportEnergyCons!E$4:E$10000))*1000</f>
        <v>4.3359440283696602E-4</v>
      </c>
      <c r="H2200" s="1" cm="1">
        <f t="array" ref="H2200">(SUMPRODUCT(("var_ncap"=[1]OUT_TransportEnergyCons!$B$4:$B$10000)*1,ISNUMBER(SEARCH("T_b_c*hyb*DSL*s2",[1]OUT_TransportEnergyCons!$A$4:$A$10000))*1,[1]OUT_TransportEnergyCons!F$4:F$10000))*1000</f>
        <v>0.16694073289890199</v>
      </c>
      <c r="I2200" s="1" cm="1">
        <f t="array" ref="I2200">(SUMPRODUCT(("var_ncap"=[1]OUT_TransportEnergyCons!$B$4:$B$10000)*1,ISNUMBER(SEARCH("T_b_c*hyb*DSL*s2",[1]OUT_TransportEnergyCons!$A$4:$A$10000))*1,[1]OUT_TransportEnergyCons!G$4:G$10000))*1000</f>
        <v>0.59195694348348205</v>
      </c>
      <c r="J2200" s="1" cm="1">
        <f t="array" ref="J2200">(SUMPRODUCT(("var_ncap"=[2]OUT_TransportEnergyCons!$B$4:$B$10000)*1,ISNUMBER(SEARCH("T_b_c*hyb*DSL*s2",[2]OUT_TransportEnergyCons!$A$4:$A$10000))*1,[2]OUT_TransportEnergyCons!H$4:H$10000))*1000</f>
        <v>8.6788042999857203E-3</v>
      </c>
      <c r="K2200" s="1" cm="1">
        <f t="array" ref="K2200">(SUMPRODUCT(("var_ncap"=[2]OUT_TransportEnergyCons!$B$4:$B$10000)*1,ISNUMBER(SEARCH("T_b_c*hyb*DSL*s2",[2]OUT_TransportEnergyCons!$A$4:$A$10000))*1,[2]OUT_TransportEnergyCons!I$4:I$10000))*1000</f>
        <v>0.34197430325533396</v>
      </c>
      <c r="L2200" s="1" cm="1">
        <f t="array" ref="L2200">(SUMPRODUCT(("var_ncap"=[2]OUT_TransportEnergyCons!$B$4:$B$10000)*1,ISNUMBER(SEARCH("T_b_c*hyb*DSL*s2",[2]OUT_TransportEnergyCons!$A$4:$A$10000))*1,[2]OUT_TransportEnergyCons!J$4:J$10000))*1000</f>
        <v>3.4275600764925099E-3</v>
      </c>
      <c r="N2200" s="1"/>
    </row>
    <row r="2201" spans="2:14" x14ac:dyDescent="0.35">
      <c r="B2201" s="5" t="str">
        <f t="shared" si="2127"/>
        <v>SPS1</v>
      </c>
      <c r="C2201" s="5" t="str">
        <f t="shared" si="2128"/>
        <v>CH</v>
      </c>
      <c r="D2201" t="s">
        <v>2330</v>
      </c>
      <c r="E2201" t="s">
        <v>1999</v>
      </c>
      <c r="F2201" s="1" cm="1">
        <f t="array" ref="F2201">(SUMPRODUCT(("var_ncap"=[1]OUT_TransportEnergyCons!$B$4:$B$10000)*1,ISNUMBER(SEARCH("T_b_c*hyb*DSL*s3",[1]OUT_TransportEnergyCons!$A$4:$A$10000))*1,[1]OUT_TransportEnergyCons!D$4:D$10000))*1000</f>
        <v>0</v>
      </c>
      <c r="G2201" s="1" cm="1">
        <f t="array" ref="G2201">(SUMPRODUCT(("var_ncap"=[1]OUT_TransportEnergyCons!$B$4:$B$10000)*1,ISNUMBER(SEARCH("T_b_c*hyb*DSL*s3",[1]OUT_TransportEnergyCons!$A$4:$A$10000))*1,[1]OUT_TransportEnergyCons!E$4:E$10000))*1000</f>
        <v>1.90410175141714E-4</v>
      </c>
      <c r="H2201" s="1" cm="1">
        <f t="array" ref="H2201">(SUMPRODUCT(("var_ncap"=[1]OUT_TransportEnergyCons!$B$4:$B$10000)*1,ISNUMBER(SEARCH("T_b_c*hyb*DSL*s3",[1]OUT_TransportEnergyCons!$A$4:$A$10000))*1,[1]OUT_TransportEnergyCons!F$4:F$10000))*1000</f>
        <v>6.6116883014377299E-3</v>
      </c>
      <c r="I2201" s="1" cm="1">
        <f t="array" ref="I2201">(SUMPRODUCT(("var_ncap"=[1]OUT_TransportEnergyCons!$B$4:$B$10000)*1,ISNUMBER(SEARCH("T_b_c*hyb*DSL*s3",[1]OUT_TransportEnergyCons!$A$4:$A$10000))*1,[1]OUT_TransportEnergyCons!G$4:G$10000))*1000</f>
        <v>0.25747360000547698</v>
      </c>
      <c r="J2201" s="1" cm="1">
        <f t="array" ref="J2201">(SUMPRODUCT(("var_ncap"=[2]OUT_TransportEnergyCons!$B$4:$B$10000)*1,ISNUMBER(SEARCH("T_b_c*hyb*DSL*s3",[2]OUT_TransportEnergyCons!$A$4:$A$10000))*1,[2]OUT_TransportEnergyCons!H$4:H$10000))*1000</f>
        <v>5.6233671733764902E-2</v>
      </c>
      <c r="K2201" s="1" cm="1">
        <f t="array" ref="K2201">(SUMPRODUCT(("var_ncap"=[2]OUT_TransportEnergyCons!$B$4:$B$10000)*1,ISNUMBER(SEARCH("T_b_c*hyb*DSL*s3",[2]OUT_TransportEnergyCons!$A$4:$A$10000))*1,[2]OUT_TransportEnergyCons!I$4:I$10000))*1000</f>
        <v>0.183255535591383</v>
      </c>
      <c r="L2201" s="1" cm="1">
        <f t="array" ref="L2201">(SUMPRODUCT(("var_ncap"=[2]OUT_TransportEnergyCons!$B$4:$B$10000)*1,ISNUMBER(SEARCH("T_b_c*hyb*DSL*s3",[2]OUT_TransportEnergyCons!$A$4:$A$10000))*1,[2]OUT_TransportEnergyCons!J$4:J$10000))*1000</f>
        <v>4.0058234382902097E-2</v>
      </c>
      <c r="N2201" s="1"/>
    </row>
    <row r="2202" spans="2:14" x14ac:dyDescent="0.35">
      <c r="B2202" s="5" t="str">
        <f t="shared" si="2127"/>
        <v>SPS1</v>
      </c>
      <c r="C2202" s="5" t="str">
        <f t="shared" si="2128"/>
        <v>CH</v>
      </c>
      <c r="D2202" t="s">
        <v>2331</v>
      </c>
      <c r="E2202" t="s">
        <v>1999</v>
      </c>
      <c r="F2202" s="1" cm="1">
        <f t="array" ref="F2202">(SUMPRODUCT(("var_ncap"=[1]OUT_TransportEnergyCons!$B$4:$B$10000)*1,ISNUMBER(SEARCH("T_b_c*hyb*DSL*s4",[1]OUT_TransportEnergyCons!$A$4:$A$10000))*1,[1]OUT_TransportEnergyCons!D$4:D$10000))*1000</f>
        <v>0</v>
      </c>
      <c r="G2202" s="1" cm="1">
        <f t="array" ref="G2202">(SUMPRODUCT(("var_ncap"=[1]OUT_TransportEnergyCons!$B$4:$B$10000)*1,ISNUMBER(SEARCH("T_b_c*hyb*DSL*s4",[1]OUT_TransportEnergyCons!$A$4:$A$10000))*1,[1]OUT_TransportEnergyCons!E$4:E$10000))*1000</f>
        <v>1.5637310109677398E-5</v>
      </c>
      <c r="H2202" s="1" cm="1">
        <f t="array" ref="H2202">(SUMPRODUCT(("var_ncap"=[1]OUT_TransportEnergyCons!$B$4:$B$10000)*1,ISNUMBER(SEARCH("T_b_c*hyb*DSL*s4",[1]OUT_TransportEnergyCons!$A$4:$A$10000))*1,[1]OUT_TransportEnergyCons!F$4:F$10000))*1000</f>
        <v>1.3787385633631099E-5</v>
      </c>
      <c r="I2202" s="1" cm="1">
        <f t="array" ref="I2202">(SUMPRODUCT(("var_ncap"=[1]OUT_TransportEnergyCons!$B$4:$B$10000)*1,ISNUMBER(SEARCH("T_b_c*hyb*DSL*s4",[1]OUT_TransportEnergyCons!$A$4:$A$10000))*1,[1]OUT_TransportEnergyCons!G$4:G$10000))*1000</f>
        <v>1.3735526272153001E-5</v>
      </c>
      <c r="J2202" s="1" cm="1">
        <f t="array" ref="J2202">(SUMPRODUCT(("var_ncap"=[2]OUT_TransportEnergyCons!$B$4:$B$10000)*1,ISNUMBER(SEARCH("T_b_c*hyb*DSL*s4",[2]OUT_TransportEnergyCons!$A$4:$A$10000))*1,[2]OUT_TransportEnergyCons!H$4:H$10000))*1000</f>
        <v>9.0395293557684201E-5</v>
      </c>
      <c r="K2202" s="1" cm="1">
        <f t="array" ref="K2202">(SUMPRODUCT(("var_ncap"=[2]OUT_TransportEnergyCons!$B$4:$B$10000)*1,ISNUMBER(SEARCH("T_b_c*hyb*DSL*s4",[2]OUT_TransportEnergyCons!$A$4:$A$10000))*1,[2]OUT_TransportEnergyCons!I$4:I$10000))*1000</f>
        <v>9.4233301108141707E-5</v>
      </c>
      <c r="L2202" s="1" cm="1">
        <f t="array" ref="L2202">(SUMPRODUCT(("var_ncap"=[2]OUT_TransportEnergyCons!$B$4:$B$10000)*1,ISNUMBER(SEARCH("T_b_c*hyb*DSL*s4",[2]OUT_TransportEnergyCons!$A$4:$A$10000))*1,[2]OUT_TransportEnergyCons!J$4:J$10000))*1000</f>
        <v>3.33265177982581E-5</v>
      </c>
      <c r="N2202" s="1"/>
    </row>
    <row r="2203" spans="2:14" x14ac:dyDescent="0.35">
      <c r="B2203" s="5" t="str">
        <f t="shared" si="2127"/>
        <v>SPS1</v>
      </c>
      <c r="C2203" s="5" t="str">
        <f t="shared" si="2128"/>
        <v>CH</v>
      </c>
      <c r="D2203" t="s">
        <v>2332</v>
      </c>
      <c r="E2203" t="s">
        <v>1999</v>
      </c>
      <c r="F2203" s="1" cm="1">
        <f t="array" ref="F2203">(SUMPRODUCT(("var_ncap"=[1]OUT_TransportEnergyCons!$B$4:$B$10000)*1,ISNUMBER(SEARCH("T_b_c*ICE*DSL*ext",[1]OUT_TransportEnergyCons!$A$4:$A$10000))*1,[1]OUT_TransportEnergyCons!D$4:D$10000))*1000</f>
        <v>0</v>
      </c>
      <c r="G2203" s="1" cm="1">
        <f t="array" ref="G2203">(SUMPRODUCT(("var_ncap"=[1]OUT_TransportEnergyCons!$B$4:$B$10000)*1,ISNUMBER(SEARCH("T_b_c*ICE*DSL*ext",[1]OUT_TransportEnergyCons!$A$4:$A$10000))*1,[1]OUT_TransportEnergyCons!E$4:E$10000))*1000</f>
        <v>0</v>
      </c>
      <c r="H2203" s="1" cm="1">
        <f t="array" ref="H2203">(SUMPRODUCT(("var_ncap"=[1]OUT_TransportEnergyCons!$B$4:$B$10000)*1,ISNUMBER(SEARCH("T_b_c*ICE*DSL*ext",[1]OUT_TransportEnergyCons!$A$4:$A$10000))*1,[1]OUT_TransportEnergyCons!F$4:F$10000))*1000</f>
        <v>0</v>
      </c>
      <c r="I2203" s="1" cm="1">
        <f t="array" ref="I2203">(SUMPRODUCT(("var_ncap"=[1]OUT_TransportEnergyCons!$B$4:$B$10000)*1,ISNUMBER(SEARCH("T_b_c*ICE*DSL*ext",[1]OUT_TransportEnergyCons!$A$4:$A$10000))*1,[1]OUT_TransportEnergyCons!G$4:G$10000))*1000</f>
        <v>0</v>
      </c>
      <c r="J2203" s="1" cm="1">
        <f t="array" ref="J2203">(SUMPRODUCT(("var_ncap"=[2]OUT_TransportEnergyCons!$B$4:$B$10000)*1,ISNUMBER(SEARCH("T_b_c*ICE*DSL*ext",[2]OUT_TransportEnergyCons!$A$4:$A$10000))*1,[2]OUT_TransportEnergyCons!H$4:H$10000))*1000</f>
        <v>0</v>
      </c>
      <c r="K2203" s="1" cm="1">
        <f t="array" ref="K2203">(SUMPRODUCT(("var_ncap"=[2]OUT_TransportEnergyCons!$B$4:$B$10000)*1,ISNUMBER(SEARCH("T_b_c*ICE*DSL*ext",[2]OUT_TransportEnergyCons!$A$4:$A$10000))*1,[2]OUT_TransportEnergyCons!I$4:I$10000))*1000</f>
        <v>0</v>
      </c>
      <c r="L2203" s="1" cm="1">
        <f t="array" ref="L2203">(SUMPRODUCT(("var_ncap"=[2]OUT_TransportEnergyCons!$B$4:$B$10000)*1,ISNUMBER(SEARCH("T_b_c*ICE*DSL*ext",[2]OUT_TransportEnergyCons!$A$4:$A$10000))*1,[2]OUT_TransportEnergyCons!J$4:J$10000))*1000</f>
        <v>0</v>
      </c>
      <c r="N2203" s="1"/>
    </row>
    <row r="2204" spans="2:14" x14ac:dyDescent="0.35">
      <c r="B2204" s="5" t="str">
        <f t="shared" si="2127"/>
        <v>SPS1</v>
      </c>
      <c r="C2204" s="5" t="str">
        <f t="shared" si="2128"/>
        <v>CH</v>
      </c>
      <c r="D2204" t="s">
        <v>2333</v>
      </c>
      <c r="E2204" t="s">
        <v>1999</v>
      </c>
      <c r="F2204" s="1" cm="1">
        <f t="array" ref="F2204">(SUMPRODUCT(("var_ncap"=[1]OUT_TransportEnergyCons!$B$4:$B$10000)*1,ISNUMBER(SEARCH("T_b_c*ICE*DSL*s1",[1]OUT_TransportEnergyCons!$A$4:$A$10000))*1,[1]OUT_TransportEnergyCons!D$4:D$10000))*1000</f>
        <v>0</v>
      </c>
      <c r="G2204" s="1" cm="1">
        <f t="array" ref="G2204">(SUMPRODUCT(("var_ncap"=[1]OUT_TransportEnergyCons!$B$4:$B$10000)*1,ISNUMBER(SEARCH("T_b_c*ICE*DSL*s1",[1]OUT_TransportEnergyCons!$A$4:$A$10000))*1,[1]OUT_TransportEnergyCons!E$4:E$10000))*1000</f>
        <v>0.48837217163735402</v>
      </c>
      <c r="H2204" s="1" cm="1">
        <f t="array" ref="H2204">(SUMPRODUCT(("var_ncap"=[1]OUT_TransportEnergyCons!$B$4:$B$10000)*1,ISNUMBER(SEARCH("T_b_c*ICE*DSL*s1",[1]OUT_TransportEnergyCons!$A$4:$A$10000))*1,[1]OUT_TransportEnergyCons!F$4:F$10000))*1000</f>
        <v>0.20277800742680399</v>
      </c>
      <c r="I2204" s="1" cm="1">
        <f t="array" ref="I2204">(SUMPRODUCT(("var_ncap"=[1]OUT_TransportEnergyCons!$B$4:$B$10000)*1,ISNUMBER(SEARCH("T_b_c*ICE*DSL*s1",[1]OUT_TransportEnergyCons!$A$4:$A$10000))*1,[1]OUT_TransportEnergyCons!G$4:G$10000))*1000</f>
        <v>0</v>
      </c>
      <c r="J2204" s="1" cm="1">
        <f t="array" ref="J2204">(SUMPRODUCT(("var_ncap"=[2]OUT_TransportEnergyCons!$B$4:$B$10000)*1,ISNUMBER(SEARCH("T_b_c*ICE*DSL*s1",[2]OUT_TransportEnergyCons!$A$4:$A$10000))*1,[2]OUT_TransportEnergyCons!H$4:H$10000))*1000</f>
        <v>0</v>
      </c>
      <c r="K2204" s="1" cm="1">
        <f t="array" ref="K2204">(SUMPRODUCT(("var_ncap"=[2]OUT_TransportEnergyCons!$B$4:$B$10000)*1,ISNUMBER(SEARCH("T_b_c*ICE*DSL*s1",[2]OUT_TransportEnergyCons!$A$4:$A$10000))*1,[2]OUT_TransportEnergyCons!I$4:I$10000))*1000</f>
        <v>0</v>
      </c>
      <c r="L2204" s="1" cm="1">
        <f t="array" ref="L2204">(SUMPRODUCT(("var_ncap"=[2]OUT_TransportEnergyCons!$B$4:$B$10000)*1,ISNUMBER(SEARCH("T_b_c*ICE*DSL*s1",[2]OUT_TransportEnergyCons!$A$4:$A$10000))*1,[2]OUT_TransportEnergyCons!J$4:J$10000))*1000</f>
        <v>0</v>
      </c>
      <c r="N2204" s="1"/>
    </row>
    <row r="2205" spans="2:14" x14ac:dyDescent="0.35">
      <c r="B2205" s="5" t="str">
        <f t="shared" si="2127"/>
        <v>SPS1</v>
      </c>
      <c r="C2205" s="5" t="str">
        <f t="shared" si="2128"/>
        <v>CH</v>
      </c>
      <c r="D2205" t="s">
        <v>2334</v>
      </c>
      <c r="E2205" t="s">
        <v>1999</v>
      </c>
      <c r="F2205" s="1" cm="1">
        <f t="array" ref="F2205">(SUMPRODUCT(("var_ncap"=[1]OUT_TransportEnergyCons!$B$4:$B$10000)*1,ISNUMBER(SEARCH("T_b_c*ICE*DSL*s2",[1]OUT_TransportEnergyCons!$A$4:$A$10000))*1,[1]OUT_TransportEnergyCons!D$4:D$10000))*1000</f>
        <v>0</v>
      </c>
      <c r="G2205" s="1" cm="1">
        <f t="array" ref="G2205">(SUMPRODUCT(("var_ncap"=[1]OUT_TransportEnergyCons!$B$4:$B$10000)*1,ISNUMBER(SEARCH("T_b_c*ICE*DSL*s2",[1]OUT_TransportEnergyCons!$A$4:$A$10000))*1,[1]OUT_TransportEnergyCons!E$4:E$10000))*1000</f>
        <v>2.6544042009511601E-4</v>
      </c>
      <c r="H2205" s="1" cm="1">
        <f t="array" ref="H2205">(SUMPRODUCT(("var_ncap"=[1]OUT_TransportEnergyCons!$B$4:$B$10000)*1,ISNUMBER(SEARCH("T_b_c*ICE*DSL*s2",[1]OUT_TransportEnergyCons!$A$4:$A$10000))*1,[1]OUT_TransportEnergyCons!F$4:F$10000))*1000</f>
        <v>3.8471528900528801E-4</v>
      </c>
      <c r="I2205" s="1" cm="1">
        <f t="array" ref="I2205">(SUMPRODUCT(("var_ncap"=[1]OUT_TransportEnergyCons!$B$4:$B$10000)*1,ISNUMBER(SEARCH("T_b_c*ICE*DSL*s2",[1]OUT_TransportEnergyCons!$A$4:$A$10000))*1,[1]OUT_TransportEnergyCons!G$4:G$10000))*1000</f>
        <v>0</v>
      </c>
      <c r="J2205" s="1" cm="1">
        <f t="array" ref="J2205">(SUMPRODUCT(("var_ncap"=[2]OUT_TransportEnergyCons!$B$4:$B$10000)*1,ISNUMBER(SEARCH("T_b_c*ICE*DSL*s2",[2]OUT_TransportEnergyCons!$A$4:$A$10000))*1,[2]OUT_TransportEnergyCons!H$4:H$10000))*1000</f>
        <v>0</v>
      </c>
      <c r="K2205" s="1" cm="1">
        <f t="array" ref="K2205">(SUMPRODUCT(("var_ncap"=[2]OUT_TransportEnergyCons!$B$4:$B$10000)*1,ISNUMBER(SEARCH("T_b_c*ICE*DSL*s2",[2]OUT_TransportEnergyCons!$A$4:$A$10000))*1,[2]OUT_TransportEnergyCons!I$4:I$10000))*1000</f>
        <v>0</v>
      </c>
      <c r="L2205" s="1" cm="1">
        <f t="array" ref="L2205">(SUMPRODUCT(("var_ncap"=[2]OUT_TransportEnergyCons!$B$4:$B$10000)*1,ISNUMBER(SEARCH("T_b_c*ICE*DSL*s2",[2]OUT_TransportEnergyCons!$A$4:$A$10000))*1,[2]OUT_TransportEnergyCons!J$4:J$10000))*1000</f>
        <v>0</v>
      </c>
      <c r="N2205" s="1"/>
    </row>
    <row r="2206" spans="2:14" x14ac:dyDescent="0.35">
      <c r="B2206" s="5" t="str">
        <f t="shared" si="2127"/>
        <v>SPS1</v>
      </c>
      <c r="C2206" s="5" t="str">
        <f t="shared" si="2128"/>
        <v>CH</v>
      </c>
      <c r="D2206" t="s">
        <v>2335</v>
      </c>
      <c r="E2206" t="s">
        <v>1999</v>
      </c>
      <c r="F2206" s="1" cm="1">
        <f t="array" ref="F2206">(SUMPRODUCT(("var_ncap"=[1]OUT_TransportEnergyCons!$B$4:$B$10000)*1,ISNUMBER(SEARCH("T_b_c*ICE*DSL*s3",[1]OUT_TransportEnergyCons!$A$4:$A$10000))*1,[1]OUT_TransportEnergyCons!D$4:D$10000))*1000</f>
        <v>0</v>
      </c>
      <c r="G2206" s="1" cm="1">
        <f t="array" ref="G2206">(SUMPRODUCT(("var_ncap"=[1]OUT_TransportEnergyCons!$B$4:$B$10000)*1,ISNUMBER(SEARCH("T_b_c*ICE*DSL*s3",[1]OUT_TransportEnergyCons!$A$4:$A$10000))*1,[1]OUT_TransportEnergyCons!E$4:E$10000))*1000</f>
        <v>1.13588232456042E-4</v>
      </c>
      <c r="H2206" s="1" cm="1">
        <f t="array" ref="H2206">(SUMPRODUCT(("var_ncap"=[1]OUT_TransportEnergyCons!$B$4:$B$10000)*1,ISNUMBER(SEARCH("T_b_c*ICE*DSL*s3",[1]OUT_TransportEnergyCons!$A$4:$A$10000))*1,[1]OUT_TransportEnergyCons!F$4:F$10000))*1000</f>
        <v>1.2076127645651399E-4</v>
      </c>
      <c r="I2206" s="1" cm="1">
        <f t="array" ref="I2206">(SUMPRODUCT(("var_ncap"=[1]OUT_TransportEnergyCons!$B$4:$B$10000)*1,ISNUMBER(SEARCH("T_b_c*ICE*DSL*s3",[1]OUT_TransportEnergyCons!$A$4:$A$10000))*1,[1]OUT_TransportEnergyCons!G$4:G$10000))*1000</f>
        <v>0</v>
      </c>
      <c r="J2206" s="1" cm="1">
        <f t="array" ref="J2206">(SUMPRODUCT(("var_ncap"=[2]OUT_TransportEnergyCons!$B$4:$B$10000)*1,ISNUMBER(SEARCH("T_b_c*ICE*DSL*s3",[2]OUT_TransportEnergyCons!$A$4:$A$10000))*1,[2]OUT_TransportEnergyCons!H$4:H$10000))*1000</f>
        <v>0</v>
      </c>
      <c r="K2206" s="1" cm="1">
        <f t="array" ref="K2206">(SUMPRODUCT(("var_ncap"=[2]OUT_TransportEnergyCons!$B$4:$B$10000)*1,ISNUMBER(SEARCH("T_b_c*ICE*DSL*s3",[2]OUT_TransportEnergyCons!$A$4:$A$10000))*1,[2]OUT_TransportEnergyCons!I$4:I$10000))*1000</f>
        <v>0</v>
      </c>
      <c r="L2206" s="1" cm="1">
        <f t="array" ref="L2206">(SUMPRODUCT(("var_ncap"=[2]OUT_TransportEnergyCons!$B$4:$B$10000)*1,ISNUMBER(SEARCH("T_b_c*ICE*DSL*s3",[2]OUT_TransportEnergyCons!$A$4:$A$10000))*1,[2]OUT_TransportEnergyCons!J$4:J$10000))*1000</f>
        <v>0</v>
      </c>
      <c r="N2206" s="1"/>
    </row>
    <row r="2207" spans="2:14" x14ac:dyDescent="0.35">
      <c r="B2207" s="5" t="str">
        <f t="shared" si="2127"/>
        <v>SPS1</v>
      </c>
      <c r="C2207" s="5" t="str">
        <f t="shared" si="2128"/>
        <v>CH</v>
      </c>
      <c r="D2207" t="s">
        <v>2336</v>
      </c>
      <c r="E2207" t="s">
        <v>1999</v>
      </c>
      <c r="F2207" s="1" cm="1">
        <f t="array" ref="F2207">(SUMPRODUCT(("var_ncap"=[1]OUT_TransportEnergyCons!$B$4:$B$10000)*1,ISNUMBER(SEARCH("T_b_c*ICE*DSL*s4",[1]OUT_TransportEnergyCons!$A$4:$A$10000))*1,[1]OUT_TransportEnergyCons!D$4:D$10000))*1000</f>
        <v>0</v>
      </c>
      <c r="G2207" s="1" cm="1">
        <f t="array" ref="G2207">(SUMPRODUCT(("var_ncap"=[1]OUT_TransportEnergyCons!$B$4:$B$10000)*1,ISNUMBER(SEARCH("T_b_c*ICE*DSL*s4",[1]OUT_TransportEnergyCons!$A$4:$A$10000))*1,[1]OUT_TransportEnergyCons!E$4:E$10000))*1000</f>
        <v>0</v>
      </c>
      <c r="H2207" s="1" cm="1">
        <f t="array" ref="H2207">(SUMPRODUCT(("var_ncap"=[1]OUT_TransportEnergyCons!$B$4:$B$10000)*1,ISNUMBER(SEARCH("T_b_c*ICE*DSL*s4",[1]OUT_TransportEnergyCons!$A$4:$A$10000))*1,[1]OUT_TransportEnergyCons!F$4:F$10000))*1000</f>
        <v>0</v>
      </c>
      <c r="I2207" s="1" cm="1">
        <f t="array" ref="I2207">(SUMPRODUCT(("var_ncap"=[1]OUT_TransportEnergyCons!$B$4:$B$10000)*1,ISNUMBER(SEARCH("T_b_c*ICE*DSL*s4",[1]OUT_TransportEnergyCons!$A$4:$A$10000))*1,[1]OUT_TransportEnergyCons!G$4:G$10000))*1000</f>
        <v>0</v>
      </c>
      <c r="J2207" s="1" cm="1">
        <f t="array" ref="J2207">(SUMPRODUCT(("var_ncap"=[2]OUT_TransportEnergyCons!$B$4:$B$10000)*1,ISNUMBER(SEARCH("T_b_c*ICE*DSL*s4",[2]OUT_TransportEnergyCons!$A$4:$A$10000))*1,[2]OUT_TransportEnergyCons!H$4:H$10000))*1000</f>
        <v>0</v>
      </c>
      <c r="K2207" s="1" cm="1">
        <f t="array" ref="K2207">(SUMPRODUCT(("var_ncap"=[2]OUT_TransportEnergyCons!$B$4:$B$10000)*1,ISNUMBER(SEARCH("T_b_c*ICE*DSL*s4",[2]OUT_TransportEnergyCons!$A$4:$A$10000))*1,[2]OUT_TransportEnergyCons!I$4:I$10000))*1000</f>
        <v>0</v>
      </c>
      <c r="L2207" s="1" cm="1">
        <f t="array" ref="L2207">(SUMPRODUCT(("var_ncap"=[2]OUT_TransportEnergyCons!$B$4:$B$10000)*1,ISNUMBER(SEARCH("T_b_c*ICE*DSL*s4",[2]OUT_TransportEnergyCons!$A$4:$A$10000))*1,[2]OUT_TransportEnergyCons!J$4:J$10000))*1000</f>
        <v>0</v>
      </c>
      <c r="N2207" s="1"/>
    </row>
    <row r="2208" spans="2:14" x14ac:dyDescent="0.35">
      <c r="B2208" s="5" t="str">
        <f t="shared" si="2127"/>
        <v>SPS1</v>
      </c>
      <c r="C2208" s="5" t="str">
        <f t="shared" si="2128"/>
        <v>CH</v>
      </c>
      <c r="D2208" t="s">
        <v>2337</v>
      </c>
      <c r="E2208" t="s">
        <v>1999</v>
      </c>
      <c r="F2208" s="1" cm="1">
        <f t="array" ref="F2208">(SUMPRODUCT(("var_ncap"=[1]OUT_TransportEnergyCons!$B$4:$B$10000)*1,ISNUMBER(SEARCH("T_b_c*ICE*nga*ext",[1]OUT_TransportEnergyCons!$A$4:$A$10000))*1,[1]OUT_TransportEnergyCons!D$4:D$10000))*1000</f>
        <v>0</v>
      </c>
      <c r="G2208" s="1" cm="1">
        <f t="array" ref="G2208">(SUMPRODUCT(("var_ncap"=[1]OUT_TransportEnergyCons!$B$4:$B$10000)*1,ISNUMBER(SEARCH("T_b_c*ICE*nga*ext",[1]OUT_TransportEnergyCons!$A$4:$A$10000))*1,[1]OUT_TransportEnergyCons!E$4:E$10000))*1000</f>
        <v>0</v>
      </c>
      <c r="H2208" s="1" cm="1">
        <f t="array" ref="H2208">(SUMPRODUCT(("var_ncap"=[1]OUT_TransportEnergyCons!$B$4:$B$10000)*1,ISNUMBER(SEARCH("T_b_c*ICE*nga*ext",[1]OUT_TransportEnergyCons!$A$4:$A$10000))*1,[1]OUT_TransportEnergyCons!F$4:F$10000))*1000</f>
        <v>0</v>
      </c>
      <c r="I2208" s="1" cm="1">
        <f t="array" ref="I2208">(SUMPRODUCT(("var_ncap"=[1]OUT_TransportEnergyCons!$B$4:$B$10000)*1,ISNUMBER(SEARCH("T_b_c*ICE*nga*ext",[1]OUT_TransportEnergyCons!$A$4:$A$10000))*1,[1]OUT_TransportEnergyCons!G$4:G$10000))*1000</f>
        <v>0</v>
      </c>
      <c r="J2208" s="1" cm="1">
        <f t="array" ref="J2208">(SUMPRODUCT(("var_ncap"=[2]OUT_TransportEnergyCons!$B$4:$B$10000)*1,ISNUMBER(SEARCH("T_b_c*ICE*nga*ext",[2]OUT_TransportEnergyCons!$A$4:$A$10000))*1,[2]OUT_TransportEnergyCons!H$4:H$10000))*1000</f>
        <v>0</v>
      </c>
      <c r="K2208" s="1" cm="1">
        <f t="array" ref="K2208">(SUMPRODUCT(("var_ncap"=[2]OUT_TransportEnergyCons!$B$4:$B$10000)*1,ISNUMBER(SEARCH("T_b_c*ICE*nga*ext",[2]OUT_TransportEnergyCons!$A$4:$A$10000))*1,[2]OUT_TransportEnergyCons!I$4:I$10000))*1000</f>
        <v>0</v>
      </c>
      <c r="L2208" s="1" cm="1">
        <f t="array" ref="L2208">(SUMPRODUCT(("var_ncap"=[2]OUT_TransportEnergyCons!$B$4:$B$10000)*1,ISNUMBER(SEARCH("T_b_c*ICE*nga*ext",[2]OUT_TransportEnergyCons!$A$4:$A$10000))*1,[2]OUT_TransportEnergyCons!J$4:J$10000))*1000</f>
        <v>0</v>
      </c>
      <c r="N2208" s="1"/>
    </row>
    <row r="2209" spans="2:14" x14ac:dyDescent="0.35">
      <c r="B2209" s="5" t="str">
        <f t="shared" si="2127"/>
        <v>SPS1</v>
      </c>
      <c r="C2209" s="5" t="str">
        <f t="shared" si="2128"/>
        <v>CH</v>
      </c>
      <c r="D2209" t="s">
        <v>2338</v>
      </c>
      <c r="E2209" t="s">
        <v>1999</v>
      </c>
      <c r="F2209" s="1" cm="1">
        <f t="array" ref="F2209">(SUMPRODUCT(("var_ncap"=[1]OUT_TransportEnergyCons!$B$4:$B$10000)*1,ISNUMBER(SEARCH("T_b_c*ICE*nga*s1",[1]OUT_TransportEnergyCons!$A$4:$A$10000))*1,[1]OUT_TransportEnergyCons!D$4:D$10000))*1000</f>
        <v>0</v>
      </c>
      <c r="G2209" s="1" cm="1">
        <f t="array" ref="G2209">(SUMPRODUCT(("var_ncap"=[1]OUT_TransportEnergyCons!$B$4:$B$10000)*1,ISNUMBER(SEARCH("T_b_c*ICE*nga*s1",[1]OUT_TransportEnergyCons!$A$4:$A$10000))*1,[1]OUT_TransportEnergyCons!E$4:E$10000))*1000</f>
        <v>1.7999395863691002E-4</v>
      </c>
      <c r="H2209" s="1" cm="1">
        <f t="array" ref="H2209">(SUMPRODUCT(("var_ncap"=[1]OUT_TransportEnergyCons!$B$4:$B$10000)*1,ISNUMBER(SEARCH("T_b_c*ICE*nga*s1",[1]OUT_TransportEnergyCons!$A$4:$A$10000))*1,[1]OUT_TransportEnergyCons!F$4:F$10000))*1000</f>
        <v>5.1354505489004804E-4</v>
      </c>
      <c r="I2209" s="1" cm="1">
        <f t="array" ref="I2209">(SUMPRODUCT(("var_ncap"=[1]OUT_TransportEnergyCons!$B$4:$B$10000)*1,ISNUMBER(SEARCH("T_b_c*ICE*nga*s1",[1]OUT_TransportEnergyCons!$A$4:$A$10000))*1,[1]OUT_TransportEnergyCons!G$4:G$10000))*1000</f>
        <v>0</v>
      </c>
      <c r="J2209" s="1" cm="1">
        <f t="array" ref="J2209">(SUMPRODUCT(("var_ncap"=[2]OUT_TransportEnergyCons!$B$4:$B$10000)*1,ISNUMBER(SEARCH("T_b_c*ICE*nga*s1",[2]OUT_TransportEnergyCons!$A$4:$A$10000))*1,[2]OUT_TransportEnergyCons!H$4:H$10000))*1000</f>
        <v>0</v>
      </c>
      <c r="K2209" s="1" cm="1">
        <f t="array" ref="K2209">(SUMPRODUCT(("var_ncap"=[2]OUT_TransportEnergyCons!$B$4:$B$10000)*1,ISNUMBER(SEARCH("T_b_c*ICE*nga*s1",[2]OUT_TransportEnergyCons!$A$4:$A$10000))*1,[2]OUT_TransportEnergyCons!I$4:I$10000))*1000</f>
        <v>0</v>
      </c>
      <c r="L2209" s="1" cm="1">
        <f t="array" ref="L2209">(SUMPRODUCT(("var_ncap"=[2]OUT_TransportEnergyCons!$B$4:$B$10000)*1,ISNUMBER(SEARCH("T_b_c*ICE*nga*s1",[2]OUT_TransportEnergyCons!$A$4:$A$10000))*1,[2]OUT_TransportEnergyCons!J$4:J$10000))*1000</f>
        <v>0</v>
      </c>
      <c r="N2209" s="1"/>
    </row>
    <row r="2210" spans="2:14" x14ac:dyDescent="0.35">
      <c r="B2210" s="5" t="str">
        <f t="shared" si="2127"/>
        <v>SPS1</v>
      </c>
      <c r="C2210" s="5" t="str">
        <f t="shared" si="2128"/>
        <v>CH</v>
      </c>
      <c r="D2210" t="s">
        <v>2339</v>
      </c>
      <c r="E2210" t="s">
        <v>1999</v>
      </c>
      <c r="F2210" s="1" cm="1">
        <f t="array" ref="F2210">(SUMPRODUCT(("var_ncap"=[1]OUT_TransportEnergyCons!$B$4:$B$10000)*1,ISNUMBER(SEARCH("T_b_c*ICE*nga*s2",[1]OUT_TransportEnergyCons!$A$4:$A$10000))*1,[1]OUT_TransportEnergyCons!D$4:D$10000))*1000</f>
        <v>0</v>
      </c>
      <c r="G2210" s="1" cm="1">
        <f t="array" ref="G2210">(SUMPRODUCT(("var_ncap"=[1]OUT_TransportEnergyCons!$B$4:$B$10000)*1,ISNUMBER(SEARCH("T_b_c*ICE*nga*s2",[1]OUT_TransportEnergyCons!$A$4:$A$10000))*1,[1]OUT_TransportEnergyCons!E$4:E$10000))*1000</f>
        <v>7.5911905366828612E-5</v>
      </c>
      <c r="H2210" s="1" cm="1">
        <f t="array" ref="H2210">(SUMPRODUCT(("var_ncap"=[1]OUT_TransportEnergyCons!$B$4:$B$10000)*1,ISNUMBER(SEARCH("T_b_c*ICE*nga*s2",[1]OUT_TransportEnergyCons!$A$4:$A$10000))*1,[1]OUT_TransportEnergyCons!F$4:F$10000))*1000</f>
        <v>2.8272144483027401E-4</v>
      </c>
      <c r="I2210" s="1" cm="1">
        <f t="array" ref="I2210">(SUMPRODUCT(("var_ncap"=[1]OUT_TransportEnergyCons!$B$4:$B$10000)*1,ISNUMBER(SEARCH("T_b_c*ICE*nga*s2",[1]OUT_TransportEnergyCons!$A$4:$A$10000))*1,[1]OUT_TransportEnergyCons!G$4:G$10000))*1000</f>
        <v>0</v>
      </c>
      <c r="J2210" s="1" cm="1">
        <f t="array" ref="J2210">(SUMPRODUCT(("var_ncap"=[2]OUT_TransportEnergyCons!$B$4:$B$10000)*1,ISNUMBER(SEARCH("T_b_c*ICE*nga*s2",[2]OUT_TransportEnergyCons!$A$4:$A$10000))*1,[2]OUT_TransportEnergyCons!H$4:H$10000))*1000</f>
        <v>0</v>
      </c>
      <c r="K2210" s="1" cm="1">
        <f t="array" ref="K2210">(SUMPRODUCT(("var_ncap"=[2]OUT_TransportEnergyCons!$B$4:$B$10000)*1,ISNUMBER(SEARCH("T_b_c*ICE*nga*s2",[2]OUT_TransportEnergyCons!$A$4:$A$10000))*1,[2]OUT_TransportEnergyCons!I$4:I$10000))*1000</f>
        <v>0</v>
      </c>
      <c r="L2210" s="1" cm="1">
        <f t="array" ref="L2210">(SUMPRODUCT(("var_ncap"=[2]OUT_TransportEnergyCons!$B$4:$B$10000)*1,ISNUMBER(SEARCH("T_b_c*ICE*nga*s2",[2]OUT_TransportEnergyCons!$A$4:$A$10000))*1,[2]OUT_TransportEnergyCons!J$4:J$10000))*1000</f>
        <v>0</v>
      </c>
      <c r="N2210" s="1"/>
    </row>
    <row r="2211" spans="2:14" x14ac:dyDescent="0.35">
      <c r="B2211" s="5" t="str">
        <f t="shared" si="2127"/>
        <v>SPS1</v>
      </c>
      <c r="C2211" s="5" t="str">
        <f t="shared" si="2128"/>
        <v>CH</v>
      </c>
      <c r="D2211" t="s">
        <v>2340</v>
      </c>
      <c r="E2211" t="s">
        <v>1999</v>
      </c>
      <c r="F2211" s="1" cm="1">
        <f t="array" ref="F2211">(SUMPRODUCT(("var_ncap"=[1]OUT_TransportEnergyCons!$B$4:$B$10000)*1,ISNUMBER(SEARCH("T_b_c*ICE*nga*s3",[1]OUT_TransportEnergyCons!$A$4:$A$10000))*1,[1]OUT_TransportEnergyCons!D$4:D$10000))*1000</f>
        <v>0</v>
      </c>
      <c r="G2211" s="1" cm="1">
        <f t="array" ref="G2211">(SUMPRODUCT(("var_ncap"=[1]OUT_TransportEnergyCons!$B$4:$B$10000)*1,ISNUMBER(SEARCH("T_b_c*ICE*nga*s3",[1]OUT_TransportEnergyCons!$A$4:$A$10000))*1,[1]OUT_TransportEnergyCons!E$4:E$10000))*1000</f>
        <v>4.3222674324862402E-5</v>
      </c>
      <c r="H2211" s="1" cm="1">
        <f t="array" ref="H2211">(SUMPRODUCT(("var_ncap"=[1]OUT_TransportEnergyCons!$B$4:$B$10000)*1,ISNUMBER(SEARCH("T_b_c*ICE*nga*s3",[1]OUT_TransportEnergyCons!$A$4:$A$10000))*1,[1]OUT_TransportEnergyCons!F$4:F$10000))*1000</f>
        <v>1.2967786162524899E-4</v>
      </c>
      <c r="I2211" s="1" cm="1">
        <f t="array" ref="I2211">(SUMPRODUCT(("var_ncap"=[1]OUT_TransportEnergyCons!$B$4:$B$10000)*1,ISNUMBER(SEARCH("T_b_c*ICE*nga*s3",[1]OUT_TransportEnergyCons!$A$4:$A$10000))*1,[1]OUT_TransportEnergyCons!G$4:G$10000))*1000</f>
        <v>0</v>
      </c>
      <c r="J2211" s="1" cm="1">
        <f t="array" ref="J2211">(SUMPRODUCT(("var_ncap"=[2]OUT_TransportEnergyCons!$B$4:$B$10000)*1,ISNUMBER(SEARCH("T_b_c*ICE*nga*s3",[2]OUT_TransportEnergyCons!$A$4:$A$10000))*1,[2]OUT_TransportEnergyCons!H$4:H$10000))*1000</f>
        <v>0</v>
      </c>
      <c r="K2211" s="1" cm="1">
        <f t="array" ref="K2211">(SUMPRODUCT(("var_ncap"=[2]OUT_TransportEnergyCons!$B$4:$B$10000)*1,ISNUMBER(SEARCH("T_b_c*ICE*nga*s3",[2]OUT_TransportEnergyCons!$A$4:$A$10000))*1,[2]OUT_TransportEnergyCons!I$4:I$10000))*1000</f>
        <v>0</v>
      </c>
      <c r="L2211" s="1" cm="1">
        <f t="array" ref="L2211">(SUMPRODUCT(("var_ncap"=[2]OUT_TransportEnergyCons!$B$4:$B$10000)*1,ISNUMBER(SEARCH("T_b_c*ICE*nga*s3",[2]OUT_TransportEnergyCons!$A$4:$A$10000))*1,[2]OUT_TransportEnergyCons!J$4:J$10000))*1000</f>
        <v>0</v>
      </c>
      <c r="N2211" s="1"/>
    </row>
    <row r="2212" spans="2:14" x14ac:dyDescent="0.35">
      <c r="B2212" s="5" t="str">
        <f t="shared" si="2127"/>
        <v>SPS1</v>
      </c>
      <c r="C2212" s="5" t="str">
        <f t="shared" si="2128"/>
        <v>CH</v>
      </c>
      <c r="D2212" t="s">
        <v>2341</v>
      </c>
      <c r="E2212" t="s">
        <v>1999</v>
      </c>
      <c r="F2212" s="1" cm="1">
        <f t="array" ref="F2212">(SUMPRODUCT(("var_ncap"=[1]OUT_TransportEnergyCons!$B$4:$B$10000)*1,ISNUMBER(SEARCH("T_b_c*ICE*nga*s4",[1]OUT_TransportEnergyCons!$A$4:$A$10000))*1,[1]OUT_TransportEnergyCons!D$4:D$10000))*1000</f>
        <v>0</v>
      </c>
      <c r="G2212" s="1" cm="1">
        <f t="array" ref="G2212">(SUMPRODUCT(("var_ncap"=[1]OUT_TransportEnergyCons!$B$4:$B$10000)*1,ISNUMBER(SEARCH("T_b_c*ICE*nga*s4",[1]OUT_TransportEnergyCons!$A$4:$A$10000))*1,[1]OUT_TransportEnergyCons!E$4:E$10000))*1000</f>
        <v>0</v>
      </c>
      <c r="H2212" s="1" cm="1">
        <f t="array" ref="H2212">(SUMPRODUCT(("var_ncap"=[1]OUT_TransportEnergyCons!$B$4:$B$10000)*1,ISNUMBER(SEARCH("T_b_c*ICE*nga*s4",[1]OUT_TransportEnergyCons!$A$4:$A$10000))*1,[1]OUT_TransportEnergyCons!F$4:F$10000))*1000</f>
        <v>1.01729772787622E-5</v>
      </c>
      <c r="I2212" s="1" cm="1">
        <f t="array" ref="I2212">(SUMPRODUCT(("var_ncap"=[1]OUT_TransportEnergyCons!$B$4:$B$10000)*1,ISNUMBER(SEARCH("T_b_c*ICE*nga*s4",[1]OUT_TransportEnergyCons!$A$4:$A$10000))*1,[1]OUT_TransportEnergyCons!G$4:G$10000))*1000</f>
        <v>0</v>
      </c>
      <c r="J2212" s="1" cm="1">
        <f t="array" ref="J2212">(SUMPRODUCT(("var_ncap"=[2]OUT_TransportEnergyCons!$B$4:$B$10000)*1,ISNUMBER(SEARCH("T_b_c*ICE*nga*s4",[2]OUT_TransportEnergyCons!$A$4:$A$10000))*1,[2]OUT_TransportEnergyCons!H$4:H$10000))*1000</f>
        <v>0</v>
      </c>
      <c r="K2212" s="1" cm="1">
        <f t="array" ref="K2212">(SUMPRODUCT(("var_ncap"=[2]OUT_TransportEnergyCons!$B$4:$B$10000)*1,ISNUMBER(SEARCH("T_b_c*ICE*nga*s4",[2]OUT_TransportEnergyCons!$A$4:$A$10000))*1,[2]OUT_TransportEnergyCons!I$4:I$10000))*1000</f>
        <v>0</v>
      </c>
      <c r="L2212" s="1" cm="1">
        <f t="array" ref="L2212">(SUMPRODUCT(("var_ncap"=[2]OUT_TransportEnergyCons!$B$4:$B$10000)*1,ISNUMBER(SEARCH("T_b_c*ICE*nga*s4",[2]OUT_TransportEnergyCons!$A$4:$A$10000))*1,[2]OUT_TransportEnergyCons!J$4:J$10000))*1000</f>
        <v>0</v>
      </c>
      <c r="N2212" s="1"/>
    </row>
    <row r="2213" spans="2:14" x14ac:dyDescent="0.35">
      <c r="B2213" s="5" t="str">
        <f t="shared" si="2127"/>
        <v>SPS1</v>
      </c>
      <c r="C2213" s="5" t="str">
        <f t="shared" si="2128"/>
        <v>CH</v>
      </c>
      <c r="D2213" s="2" t="s">
        <v>2342</v>
      </c>
      <c r="E2213" s="2" t="s">
        <v>1999</v>
      </c>
      <c r="F2213" s="3">
        <f t="shared" ref="F2213:K2213" si="2129">SUM(F2214:F2222)</f>
        <v>0</v>
      </c>
      <c r="G2213" s="3">
        <f t="shared" si="2129"/>
        <v>15.04066338571038</v>
      </c>
      <c r="H2213" s="3">
        <f t="shared" si="2129"/>
        <v>62.963821223369379</v>
      </c>
      <c r="I2213" s="3">
        <f t="shared" si="2129"/>
        <v>169.87971099483312</v>
      </c>
      <c r="J2213" s="3">
        <f t="shared" si="2129"/>
        <v>239.76152806052536</v>
      </c>
      <c r="K2213" s="3">
        <f t="shared" si="2129"/>
        <v>195.43965776161716</v>
      </c>
      <c r="L2213" s="3">
        <f t="shared" ref="L2213" si="2130">SUM(L2214:L2222)</f>
        <v>364.05974885482664</v>
      </c>
      <c r="N2213" s="1"/>
    </row>
    <row r="2214" spans="2:14" x14ac:dyDescent="0.35">
      <c r="B2214" s="5" t="str">
        <f t="shared" si="2127"/>
        <v>SPS1</v>
      </c>
      <c r="C2214" s="5" t="str">
        <f t="shared" si="2128"/>
        <v>CH</v>
      </c>
      <c r="D2214" t="s">
        <v>2343</v>
      </c>
      <c r="E2214" t="s">
        <v>1999</v>
      </c>
      <c r="F2214" s="1" cm="1">
        <f t="array" ref="F2214">(SUMPRODUCT(("var_ncap"=[1]OUT_TransportEnergyCons!$B$4:$B$10000)*1,("-"=[1]OUT_TransportEnergyCons!$C$4:$C$10000)*1,ISNUMBER(SEARCH("tfl*bev*ext",[1]OUT_TransportEnergyCons!$A$4:$A$10000))*1,[1]OUT_TransportEnergyCons!D$4:D$10000))*1000</f>
        <v>0</v>
      </c>
      <c r="G2214" s="1" cm="1">
        <f t="array" ref="G2214">(SUMPRODUCT(("var_ncap"=[1]OUT_TransportEnergyCons!$B$4:$B$10000)*1,("-"=[1]OUT_TransportEnergyCons!$C$4:$C$10000)*1,ISNUMBER(SEARCH("tfl*bev*ext",[1]OUT_TransportEnergyCons!$A$4:$A$10000))*1,[1]OUT_TransportEnergyCons!E$4:E$10000))*1000</f>
        <v>0</v>
      </c>
      <c r="H2214" s="1" cm="1">
        <f t="array" ref="H2214">(SUMPRODUCT(("var_ncap"=[1]OUT_TransportEnergyCons!$B$4:$B$10000)*1,("-"=[1]OUT_TransportEnergyCons!$C$4:$C$10000)*1,ISNUMBER(SEARCH("tfl*bev*ext",[1]OUT_TransportEnergyCons!$A$4:$A$10000))*1,[1]OUT_TransportEnergyCons!F$4:F$10000))*1000</f>
        <v>0</v>
      </c>
      <c r="I2214" s="1" cm="1">
        <f t="array" ref="I2214">(SUMPRODUCT(("var_ncap"=[1]OUT_TransportEnergyCons!$B$4:$B$10000)*1,("-"=[1]OUT_TransportEnergyCons!$C$4:$C$10000)*1,ISNUMBER(SEARCH("tfl*bev*ext",[1]OUT_TransportEnergyCons!$A$4:$A$10000))*1,[1]OUT_TransportEnergyCons!G$4:G$10000))*1000</f>
        <v>0</v>
      </c>
      <c r="J2214" s="1" cm="1">
        <f t="array" ref="J2214">(SUMPRODUCT(("var_ncap"=[2]OUT_TransportEnergyCons!$B$4:$B$10000)*1,("-"=[2]OUT_TransportEnergyCons!$C$4:$C$10000)*1,ISNUMBER(SEARCH("tfl*bev*ext",[2]OUT_TransportEnergyCons!$A$4:$A$10000))*1,[2]OUT_TransportEnergyCons!H$4:H$10000))*1000</f>
        <v>0</v>
      </c>
      <c r="K2214" s="1" cm="1">
        <f t="array" ref="K2214">(SUMPRODUCT(("var_ncap"=[2]OUT_TransportEnergyCons!$B$4:$B$10000)*1,("-"=[2]OUT_TransportEnergyCons!$C$4:$C$10000)*1,ISNUMBER(SEARCH("tfl*bev*ext",[2]OUT_TransportEnergyCons!$A$4:$A$10000))*1,[2]OUT_TransportEnergyCons!I$4:I$10000))*1000</f>
        <v>0</v>
      </c>
      <c r="L2214" s="1" cm="1">
        <f t="array" ref="L2214">(SUMPRODUCT(("var_ncap"=[2]OUT_TransportEnergyCons!$B$4:$B$10000)*1,("-"=[2]OUT_TransportEnergyCons!$C$4:$C$10000)*1,ISNUMBER(SEARCH("tfl*bev*ext",[2]OUT_TransportEnergyCons!$A$4:$A$10000))*1,[2]OUT_TransportEnergyCons!J$4:J$10000))*1000</f>
        <v>0</v>
      </c>
      <c r="N2214" s="1"/>
    </row>
    <row r="2215" spans="2:14" x14ac:dyDescent="0.35">
      <c r="B2215" s="5" t="str">
        <f t="shared" si="2127"/>
        <v>SPS1</v>
      </c>
      <c r="C2215" s="5" t="str">
        <f t="shared" si="2128"/>
        <v>CH</v>
      </c>
      <c r="D2215" t="s">
        <v>2344</v>
      </c>
      <c r="E2215" t="s">
        <v>1999</v>
      </c>
      <c r="F2215" s="1" cm="1">
        <f t="array" ref="F2215">(SUMPRODUCT(("var_ncap"=[1]OUT_TransportEnergyCons!$B$4:$B$10000)*1,("-"=[1]OUT_TransportEnergyCons!$C$4:$C$10000)*1,ISNUMBER(SEARCH("tfl*bev*",[1]OUT_TransportEnergyCons!$A$4:$A$10000))*1,[1]OUT_TransportEnergyCons!D$4:D$10000))*1000-F2214</f>
        <v>0</v>
      </c>
      <c r="G2215" s="1" cm="1">
        <f t="array" ref="G2215">(SUMPRODUCT(("var_ncap"=[1]OUT_TransportEnergyCons!$B$4:$B$10000)*1,("-"=[1]OUT_TransportEnergyCons!$C$4:$C$10000)*1,ISNUMBER(SEARCH("tfl*bev*",[1]OUT_TransportEnergyCons!$A$4:$A$10000))*1,[1]OUT_TransportEnergyCons!E$4:E$10000))*1000-G2214</f>
        <v>1.1555470895387201</v>
      </c>
      <c r="H2215" s="1" cm="1">
        <f t="array" ref="H2215">(SUMPRODUCT(("var_ncap"=[1]OUT_TransportEnergyCons!$B$4:$B$10000)*1,("-"=[1]OUT_TransportEnergyCons!$C$4:$C$10000)*1,ISNUMBER(SEARCH("tfl*bev*",[1]OUT_TransportEnergyCons!$A$4:$A$10000))*1,[1]OUT_TransportEnergyCons!F$4:F$10000))*1000-H2214</f>
        <v>10.952333206305001</v>
      </c>
      <c r="I2215" s="1" cm="1">
        <f t="array" ref="I2215">(SUMPRODUCT(("var_ncap"=[1]OUT_TransportEnergyCons!$B$4:$B$10000)*1,("-"=[1]OUT_TransportEnergyCons!$C$4:$C$10000)*1,ISNUMBER(SEARCH("tfl*bev*",[1]OUT_TransportEnergyCons!$A$4:$A$10000))*1,[1]OUT_TransportEnergyCons!G$4:G$10000))*1000-I2214</f>
        <v>45.965139197477299</v>
      </c>
      <c r="J2215" s="1" cm="1">
        <f t="array" ref="J2215">(SUMPRODUCT(("var_ncap"=[2]OUT_TransportEnergyCons!$B$4:$B$10000)*1,("-"=[2]OUT_TransportEnergyCons!$C$4:$C$10000)*1,ISNUMBER(SEARCH("tfl*bev*",[2]OUT_TransportEnergyCons!$A$4:$A$10000))*1,[2]OUT_TransportEnergyCons!H$4:H$10000))*1000-J2214</f>
        <v>112.93426669725801</v>
      </c>
      <c r="K2215" s="1" cm="1">
        <f t="array" ref="K2215">(SUMPRODUCT(("var_ncap"=[2]OUT_TransportEnergyCons!$B$4:$B$10000)*1,("-"=[2]OUT_TransportEnergyCons!$C$4:$C$10000)*1,ISNUMBER(SEARCH("tfl*bev*",[2]OUT_TransportEnergyCons!$A$4:$A$10000))*1,[2]OUT_TransportEnergyCons!I$4:I$10000))*1000-K2214</f>
        <v>195.351964523899</v>
      </c>
      <c r="L2215" s="1" cm="1">
        <f t="array" ref="L2215">(SUMPRODUCT(("var_ncap"=[2]OUT_TransportEnergyCons!$B$4:$B$10000)*1,("-"=[2]OUT_TransportEnergyCons!$C$4:$C$10000)*1,ISNUMBER(SEARCH("tfl*bev*",[2]OUT_TransportEnergyCons!$A$4:$A$10000))*1,[2]OUT_TransportEnergyCons!J$4:J$10000))*1000-L2214</f>
        <v>221.28365583188202</v>
      </c>
      <c r="N2215" s="1"/>
    </row>
    <row r="2216" spans="2:14" x14ac:dyDescent="0.35">
      <c r="B2216" s="5" t="str">
        <f t="shared" si="2127"/>
        <v>SPS1</v>
      </c>
      <c r="C2216" s="5" t="str">
        <f t="shared" si="2128"/>
        <v>CH</v>
      </c>
      <c r="D2216" t="s">
        <v>2345</v>
      </c>
      <c r="E2216" t="s">
        <v>1999</v>
      </c>
      <c r="F2216" s="1" cm="1">
        <f t="array" ref="F2216">(SUMPRODUCT(("var_ncap"=[1]OUT_TransportEnergyCons!$B$4:$B$10000)*1,("-"=[1]OUT_TransportEnergyCons!$C$4:$C$10000)*1,ISNUMBER(SEARCH("tfl*h2o*",[1]OUT_TransportEnergyCons!$A$4:$A$10000))*1,[1]OUT_TransportEnergyCons!D$4:D$10000))*1000</f>
        <v>0</v>
      </c>
      <c r="G2216" s="1" cm="1">
        <f t="array" ref="G2216">(SUMPRODUCT(("var_ncap"=[1]OUT_TransportEnergyCons!$B$4:$B$10000)*1,("-"=[1]OUT_TransportEnergyCons!$C$4:$C$10000)*1,ISNUMBER(SEARCH("tfl*h2o*",[1]OUT_TransportEnergyCons!$A$4:$A$10000))*1,[1]OUT_TransportEnergyCons!E$4:E$10000))*1000</f>
        <v>4.4341685067665403E-4</v>
      </c>
      <c r="H2216" s="1" cm="1">
        <f t="array" ref="H2216">(SUMPRODUCT(("var_ncap"=[1]OUT_TransportEnergyCons!$B$4:$B$10000)*1,("-"=[1]OUT_TransportEnergyCons!$C$4:$C$10000)*1,ISNUMBER(SEARCH("tfl*h2o*",[1]OUT_TransportEnergyCons!$A$4:$A$10000))*1,[1]OUT_TransportEnergyCons!F$4:F$10000))*1000</f>
        <v>2.9752782103897304E-4</v>
      </c>
      <c r="I2216" s="1" cm="1">
        <f t="array" ref="I2216">(SUMPRODUCT(("var_ncap"=[1]OUT_TransportEnergyCons!$B$4:$B$10000)*1,("-"=[1]OUT_TransportEnergyCons!$C$4:$C$10000)*1,ISNUMBER(SEARCH("tfl*h2o*",[1]OUT_TransportEnergyCons!$A$4:$A$10000))*1,[1]OUT_TransportEnergyCons!G$4:G$10000))*1000</f>
        <v>9.2160417662786895E-5</v>
      </c>
      <c r="J2216" s="1" cm="1">
        <f t="array" ref="J2216">(SUMPRODUCT(("var_ncap"=[2]OUT_TransportEnergyCons!$B$4:$B$10000)*1,("-"=[2]OUT_TransportEnergyCons!$C$4:$C$10000)*1,ISNUMBER(SEARCH("tfl*h2o*",[2]OUT_TransportEnergyCons!$A$4:$A$10000))*1,[2]OUT_TransportEnergyCons!H$4:H$10000))*1000</f>
        <v>1.38153772018261E-4</v>
      </c>
      <c r="K2216" s="1" cm="1">
        <f t="array" ref="K2216">(SUMPRODUCT(("var_ncap"=[2]OUT_TransportEnergyCons!$B$4:$B$10000)*1,("-"=[2]OUT_TransportEnergyCons!$C$4:$C$10000)*1,ISNUMBER(SEARCH("tfl*h2o*",[2]OUT_TransportEnergyCons!$A$4:$A$10000))*1,[2]OUT_TransportEnergyCons!I$4:I$10000))*1000</f>
        <v>1.6057410034906001E-4</v>
      </c>
      <c r="L2216" s="1" cm="1">
        <f t="array" ref="L2216">(SUMPRODUCT(("var_ncap"=[2]OUT_TransportEnergyCons!$B$4:$B$10000)*1,("-"=[2]OUT_TransportEnergyCons!$C$4:$C$10000)*1,ISNUMBER(SEARCH("tfl*h2o*",[2]OUT_TransportEnergyCons!$A$4:$A$10000))*1,[2]OUT_TransportEnergyCons!J$4:J$10000))*1000</f>
        <v>1.9301677655686499E-4</v>
      </c>
      <c r="N2216" s="1"/>
    </row>
    <row r="2217" spans="2:14" x14ac:dyDescent="0.35">
      <c r="B2217" s="5" t="str">
        <f t="shared" si="2127"/>
        <v>SPS1</v>
      </c>
      <c r="C2217" s="5" t="str">
        <f t="shared" si="2128"/>
        <v>CH</v>
      </c>
      <c r="D2217" t="s">
        <v>2346</v>
      </c>
      <c r="E2217" t="s">
        <v>1999</v>
      </c>
      <c r="F2217" s="1" cm="1">
        <f t="array" ref="F2217">(SUMPRODUCT(("var_ncap"=[1]OUT_TransportEnergyCons!$B$4:$B$10000)*1,("-"=[1]OUT_TransportEnergyCons!$C$4:$C$10000)*1,ISNUMBER(SEARCH("TfL*ICE*GSL*ext",[1]OUT_TransportEnergyCons!$A$4:$A$10000))*1,[1]OUT_TransportEnergyCons!D$4:D$10000))*1000</f>
        <v>0</v>
      </c>
      <c r="G2217" s="1" cm="1">
        <f t="array" ref="G2217">(SUMPRODUCT(("var_ncap"=[1]OUT_TransportEnergyCons!$B$4:$B$10000)*1,("-"=[1]OUT_TransportEnergyCons!$C$4:$C$10000)*1,ISNUMBER(SEARCH("TfL*ICE*GSL*ext",[1]OUT_TransportEnergyCons!$A$4:$A$10000))*1,[1]OUT_TransportEnergyCons!E$4:E$10000))*1000</f>
        <v>0</v>
      </c>
      <c r="H2217" s="1" cm="1">
        <f t="array" ref="H2217">(SUMPRODUCT(("var_ncap"=[1]OUT_TransportEnergyCons!$B$4:$B$10000)*1,("-"=[1]OUT_TransportEnergyCons!$C$4:$C$10000)*1,ISNUMBER(SEARCH("TfL*ICE*GSL*ext",[1]OUT_TransportEnergyCons!$A$4:$A$10000))*1,[1]OUT_TransportEnergyCons!F$4:F$10000))*1000</f>
        <v>0</v>
      </c>
      <c r="I2217" s="1" cm="1">
        <f t="array" ref="I2217">(SUMPRODUCT(("var_ncap"=[1]OUT_TransportEnergyCons!$B$4:$B$10000)*1,("-"=[1]OUT_TransportEnergyCons!$C$4:$C$10000)*1,ISNUMBER(SEARCH("TfL*ICE*GSL*ext",[1]OUT_TransportEnergyCons!$A$4:$A$10000))*1,[1]OUT_TransportEnergyCons!G$4:G$10000))*1000</f>
        <v>0</v>
      </c>
      <c r="J2217" s="1" cm="1">
        <f t="array" ref="J2217">(SUMPRODUCT(("var_ncap"=[2]OUT_TransportEnergyCons!$B$4:$B$10000)*1,("-"=[2]OUT_TransportEnergyCons!$C$4:$C$10000)*1,ISNUMBER(SEARCH("TfL*ICE*GSL*ext",[2]OUT_TransportEnergyCons!$A$4:$A$10000))*1,[2]OUT_TransportEnergyCons!H$4:H$10000))*1000</f>
        <v>0</v>
      </c>
      <c r="K2217" s="1" cm="1">
        <f t="array" ref="K2217">(SUMPRODUCT(("var_ncap"=[2]OUT_TransportEnergyCons!$B$4:$B$10000)*1,("-"=[2]OUT_TransportEnergyCons!$C$4:$C$10000)*1,ISNUMBER(SEARCH("TfL*ICE*GSL*ext",[2]OUT_TransportEnergyCons!$A$4:$A$10000))*1,[2]OUT_TransportEnergyCons!I$4:I$10000))*1000</f>
        <v>0</v>
      </c>
      <c r="L2217" s="1" cm="1">
        <f t="array" ref="L2217">(SUMPRODUCT(("var_ncap"=[2]OUT_TransportEnergyCons!$B$4:$B$10000)*1,("-"=[2]OUT_TransportEnergyCons!$C$4:$C$10000)*1,ISNUMBER(SEARCH("TfL*ICE*GSL*ext",[2]OUT_TransportEnergyCons!$A$4:$A$10000))*1,[2]OUT_TransportEnergyCons!J$4:J$10000))*1000</f>
        <v>0</v>
      </c>
      <c r="N2217" s="1"/>
    </row>
    <row r="2218" spans="2:14" x14ac:dyDescent="0.35">
      <c r="B2218" s="5" t="str">
        <f t="shared" si="2127"/>
        <v>SPS1</v>
      </c>
      <c r="C2218" s="5" t="str">
        <f t="shared" si="2128"/>
        <v>CH</v>
      </c>
      <c r="D2218" t="s">
        <v>2347</v>
      </c>
      <c r="E2218" t="s">
        <v>1999</v>
      </c>
      <c r="F2218" s="1" cm="1">
        <f t="array" ref="F2218">(SUMPRODUCT(("var_ncap"=[1]OUT_TransportEnergyCons!$B$4:$B$10000)*1,("-"=[1]OUT_TransportEnergyCons!$C$4:$C$10000)*1,ISNUMBER(SEARCH("TfL*ICE*GSL*",[1]OUT_TransportEnergyCons!$A$4:$A$10000))*1,[1]OUT_TransportEnergyCons!D$4:D$10000))*1000-F2217</f>
        <v>0</v>
      </c>
      <c r="G2218" s="1" cm="1">
        <f t="array" ref="G2218">(SUMPRODUCT(("var_ncap"=[1]OUT_TransportEnergyCons!$B$4:$B$10000)*1,("-"=[1]OUT_TransportEnergyCons!$C$4:$C$10000)*1,ISNUMBER(SEARCH("TfL*ICE*GSL*",[1]OUT_TransportEnergyCons!$A$4:$A$10000))*1,[1]OUT_TransportEnergyCons!E$4:E$10000))*1000-G2217</f>
        <v>3.6079798744418003E-2</v>
      </c>
      <c r="H2218" s="1" cm="1">
        <f t="array" ref="H2218">(SUMPRODUCT(("var_ncap"=[1]OUT_TransportEnergyCons!$B$4:$B$10000)*1,("-"=[1]OUT_TransportEnergyCons!$C$4:$C$10000)*1,ISNUMBER(SEARCH("TfL*ICE*GSL*",[1]OUT_TransportEnergyCons!$A$4:$A$10000))*1,[1]OUT_TransportEnergyCons!F$4:F$10000))*1000-H2217</f>
        <v>12.380986188723298</v>
      </c>
      <c r="I2218" s="1" cm="1">
        <f t="array" ref="I2218">(SUMPRODUCT(("var_ncap"=[1]OUT_TransportEnergyCons!$B$4:$B$10000)*1,("-"=[1]OUT_TransportEnergyCons!$C$4:$C$10000)*1,ISNUMBER(SEARCH("TfL*ICE*GSL*",[1]OUT_TransportEnergyCons!$A$4:$A$10000))*1,[1]OUT_TransportEnergyCons!G$4:G$10000))*1000-I2217</f>
        <v>27.486610540009799</v>
      </c>
      <c r="J2218" s="1" cm="1">
        <f t="array" ref="J2218">(SUMPRODUCT(("var_ncap"=[2]OUT_TransportEnergyCons!$B$4:$B$10000)*1,("-"=[2]OUT_TransportEnergyCons!$C$4:$C$10000)*1,ISNUMBER(SEARCH("TfL*ICE*GSL*",[2]OUT_TransportEnergyCons!$A$4:$A$10000))*1,[2]OUT_TransportEnergyCons!H$4:H$10000))*1000-J2217</f>
        <v>35.4944878283222</v>
      </c>
      <c r="K2218" s="1" cm="1">
        <f t="array" ref="K2218">(SUMPRODUCT(("var_ncap"=[2]OUT_TransportEnergyCons!$B$4:$B$10000)*1,("-"=[2]OUT_TransportEnergyCons!$C$4:$C$10000)*1,ISNUMBER(SEARCH("TfL*ICE*GSL*",[2]OUT_TransportEnergyCons!$A$4:$A$10000))*1,[2]OUT_TransportEnergyCons!I$4:I$10000))*1000-K2217</f>
        <v>3.5914376440772597E-2</v>
      </c>
      <c r="L2218" s="1" cm="1">
        <f t="array" ref="L2218">(SUMPRODUCT(("var_ncap"=[2]OUT_TransportEnergyCons!$B$4:$B$10000)*1,("-"=[2]OUT_TransportEnergyCons!$C$4:$C$10000)*1,ISNUMBER(SEARCH("TfL*ICE*GSL*",[2]OUT_TransportEnergyCons!$A$4:$A$10000))*1,[2]OUT_TransportEnergyCons!J$4:J$10000))*1000-L2217</f>
        <v>34.248074192767</v>
      </c>
      <c r="N2218" s="1"/>
    </row>
    <row r="2219" spans="2:14" x14ac:dyDescent="0.35">
      <c r="B2219" s="5" t="str">
        <f t="shared" si="2127"/>
        <v>SPS1</v>
      </c>
      <c r="C2219" s="5" t="str">
        <f t="shared" si="2128"/>
        <v>CH</v>
      </c>
      <c r="D2219" t="s">
        <v>2348</v>
      </c>
      <c r="E2219" t="s">
        <v>1999</v>
      </c>
      <c r="F2219" s="1" cm="1">
        <f t="array" ref="F2219">(SUMPRODUCT(("var_ncap"=[1]OUT_TransportEnergyCons!$B$4:$B$10000)*1,("-"=[1]OUT_TransportEnergyCons!$C$4:$C$10000)*1,ISNUMBER(SEARCH("tfl*ICE*DSL*ext",[1]OUT_TransportEnergyCons!$A$4:$A$10000))*1,[1]OUT_TransportEnergyCons!D$4:D$10000))*1000</f>
        <v>0</v>
      </c>
      <c r="G2219" s="1" cm="1">
        <f t="array" ref="G2219">(SUMPRODUCT(("var_ncap"=[1]OUT_TransportEnergyCons!$B$4:$B$10000)*1,("-"=[1]OUT_TransportEnergyCons!$C$4:$C$10000)*1,ISNUMBER(SEARCH("tfl*ICE*DSL*ext",[1]OUT_TransportEnergyCons!$A$4:$A$10000))*1,[1]OUT_TransportEnergyCons!E$4:E$10000))*1000</f>
        <v>0</v>
      </c>
      <c r="H2219" s="1" cm="1">
        <f t="array" ref="H2219">(SUMPRODUCT(("var_ncap"=[1]OUT_TransportEnergyCons!$B$4:$B$10000)*1,("-"=[1]OUT_TransportEnergyCons!$C$4:$C$10000)*1,ISNUMBER(SEARCH("tfl*ICE*DSL*ext",[1]OUT_TransportEnergyCons!$A$4:$A$10000))*1,[1]OUT_TransportEnergyCons!F$4:F$10000))*1000</f>
        <v>0</v>
      </c>
      <c r="I2219" s="1" cm="1">
        <f t="array" ref="I2219">(SUMPRODUCT(("var_ncap"=[1]OUT_TransportEnergyCons!$B$4:$B$10000)*1,("-"=[1]OUT_TransportEnergyCons!$C$4:$C$10000)*1,ISNUMBER(SEARCH("tfl*ICE*DSL*ext",[1]OUT_TransportEnergyCons!$A$4:$A$10000))*1,[1]OUT_TransportEnergyCons!G$4:G$10000))*1000</f>
        <v>0</v>
      </c>
      <c r="J2219" s="1" cm="1">
        <f t="array" ref="J2219">(SUMPRODUCT(("var_ncap"=[2]OUT_TransportEnergyCons!$B$4:$B$10000)*1,("-"=[2]OUT_TransportEnergyCons!$C$4:$C$10000)*1,ISNUMBER(SEARCH("tfl*ICE*DSL*ext",[2]OUT_TransportEnergyCons!$A$4:$A$10000))*1,[2]OUT_TransportEnergyCons!H$4:H$10000))*1000</f>
        <v>0</v>
      </c>
      <c r="K2219" s="1" cm="1">
        <f t="array" ref="K2219">(SUMPRODUCT(("var_ncap"=[2]OUT_TransportEnergyCons!$B$4:$B$10000)*1,("-"=[2]OUT_TransportEnergyCons!$C$4:$C$10000)*1,ISNUMBER(SEARCH("tfl*ICE*DSL*ext",[2]OUT_TransportEnergyCons!$A$4:$A$10000))*1,[2]OUT_TransportEnergyCons!I$4:I$10000))*1000</f>
        <v>0</v>
      </c>
      <c r="L2219" s="1" cm="1">
        <f t="array" ref="L2219">(SUMPRODUCT(("var_ncap"=[2]OUT_TransportEnergyCons!$B$4:$B$10000)*1,("-"=[2]OUT_TransportEnergyCons!$C$4:$C$10000)*1,ISNUMBER(SEARCH("tfl*ICE*DSL*ext",[2]OUT_TransportEnergyCons!$A$4:$A$10000))*1,[2]OUT_TransportEnergyCons!J$4:J$10000))*1000</f>
        <v>0</v>
      </c>
      <c r="N2219" s="1"/>
    </row>
    <row r="2220" spans="2:14" x14ac:dyDescent="0.35">
      <c r="B2220" s="5" t="str">
        <f t="shared" si="2127"/>
        <v>SPS1</v>
      </c>
      <c r="C2220" s="5" t="str">
        <f t="shared" si="2128"/>
        <v>CH</v>
      </c>
      <c r="D2220" t="s">
        <v>2349</v>
      </c>
      <c r="E2220" t="s">
        <v>1999</v>
      </c>
      <c r="F2220" s="1" cm="1">
        <f t="array" ref="F2220">(SUMPRODUCT(("var_ncap"=[1]OUT_TransportEnergyCons!$B$4:$B$10000)*1,("-"=[1]OUT_TransportEnergyCons!$C$4:$C$10000)*1,ISNUMBER(SEARCH("tfl*ICE*DSL*",[1]OUT_TransportEnergyCons!$A$4:$A$10000))*1,[1]OUT_TransportEnergyCons!D$4:D$10000))*1000-F2219</f>
        <v>0</v>
      </c>
      <c r="G2220" s="1" cm="1">
        <f t="array" ref="G2220">(SUMPRODUCT(("var_ncap"=[1]OUT_TransportEnergyCons!$B$4:$B$10000)*1,("-"=[1]OUT_TransportEnergyCons!$C$4:$C$10000)*1,ISNUMBER(SEARCH("tfl*ICE*DSL*",[1]OUT_TransportEnergyCons!$A$4:$A$10000))*1,[1]OUT_TransportEnergyCons!E$4:E$10000))*1000-G2219</f>
        <v>6.4801825791146296E-3</v>
      </c>
      <c r="H2220" s="1" cm="1">
        <f t="array" ref="H2220">(SUMPRODUCT(("var_ncap"=[1]OUT_TransportEnergyCons!$B$4:$B$10000)*1,("-"=[1]OUT_TransportEnergyCons!$C$4:$C$10000)*1,ISNUMBER(SEARCH("tfl*ICE*DSL*",[1]OUT_TransportEnergyCons!$A$4:$A$10000))*1,[1]OUT_TransportEnergyCons!F$4:F$10000))*1000-H2219</f>
        <v>1.7620567205521999E-2</v>
      </c>
      <c r="I2220" s="1" cm="1">
        <f t="array" ref="I2220">(SUMPRODUCT(("var_ncap"=[1]OUT_TransportEnergyCons!$B$4:$B$10000)*1,("-"=[1]OUT_TransportEnergyCons!$C$4:$C$10000)*1,ISNUMBER(SEARCH("tfl*ICE*DSL*",[1]OUT_TransportEnergyCons!$A$4:$A$10000))*1,[1]OUT_TransportEnergyCons!G$4:G$10000))*1000-I2219</f>
        <v>2.1002969688309499E-2</v>
      </c>
      <c r="J2220" s="1" cm="1">
        <f t="array" ref="J2220">(SUMPRODUCT(("var_ncap"=[2]OUT_TransportEnergyCons!$B$4:$B$10000)*1,("-"=[2]OUT_TransportEnergyCons!$C$4:$C$10000)*1,ISNUMBER(SEARCH("tfl*ICE*DSL*",[2]OUT_TransportEnergyCons!$A$4:$A$10000))*1,[2]OUT_TransportEnergyCons!H$4:H$10000))*1000-J2219</f>
        <v>0.11472260073760801</v>
      </c>
      <c r="K2220" s="1" cm="1">
        <f t="array" ref="K2220">(SUMPRODUCT(("var_ncap"=[2]OUT_TransportEnergyCons!$B$4:$B$10000)*1,("-"=[2]OUT_TransportEnergyCons!$C$4:$C$10000)*1,ISNUMBER(SEARCH("tfl*ICE*DSL*",[2]OUT_TransportEnergyCons!$A$4:$A$10000))*1,[2]OUT_TransportEnergyCons!I$4:I$10000))*1000-K2219</f>
        <v>1.9555361599437E-2</v>
      </c>
      <c r="L2220" s="1" cm="1">
        <f t="array" ref="L2220">(SUMPRODUCT(("var_ncap"=[2]OUT_TransportEnergyCons!$B$4:$B$10000)*1,("-"=[2]OUT_TransportEnergyCons!$C$4:$C$10000)*1,ISNUMBER(SEARCH("tfl*ICE*DSL*",[2]OUT_TransportEnergyCons!$A$4:$A$10000))*1,[2]OUT_TransportEnergyCons!J$4:J$10000))*1000-L2219</f>
        <v>2.17800382633393E-2</v>
      </c>
      <c r="N2220" s="1"/>
    </row>
    <row r="2221" spans="2:14" x14ac:dyDescent="0.35">
      <c r="B2221" s="5" t="str">
        <f t="shared" si="2127"/>
        <v>SPS1</v>
      </c>
      <c r="C2221" s="5" t="str">
        <f t="shared" si="2128"/>
        <v>CH</v>
      </c>
      <c r="D2221" t="s">
        <v>2350</v>
      </c>
      <c r="E2221" t="s">
        <v>1999</v>
      </c>
      <c r="F2221" s="1" cm="1">
        <f t="array" ref="F2221">(SUMPRODUCT(("var_ncap"=[1]OUT_TransportEnergyCons!$B$4:$B$10000)*1,("-"=[1]OUT_TransportEnergyCons!$C$4:$C$10000)*1,ISNUMBER(SEARCH("tfl*hyb*DSL*",[1]OUT_TransportEnergyCons!$A$4:$A$10000))*1,[1]OUT_TransportEnergyCons!D$4:D$10000))*1000</f>
        <v>0</v>
      </c>
      <c r="G2221" s="1" cm="1">
        <f t="array" ref="G2221">(SUMPRODUCT(("var_ncap"=[1]OUT_TransportEnergyCons!$B$4:$B$10000)*1,("-"=[1]OUT_TransportEnergyCons!$C$4:$C$10000)*1,ISNUMBER(SEARCH("tfl*hyb*DSL*",[1]OUT_TransportEnergyCons!$A$4:$A$10000))*1,[1]OUT_TransportEnergyCons!E$4:E$10000))*1000</f>
        <v>13.8414648244266</v>
      </c>
      <c r="H2221" s="1" cm="1">
        <f t="array" ref="H2221">(SUMPRODUCT(("var_ncap"=[1]OUT_TransportEnergyCons!$B$4:$B$10000)*1,("-"=[1]OUT_TransportEnergyCons!$C$4:$C$10000)*1,ISNUMBER(SEARCH("tfl*hyb*DSL*",[1]OUT_TransportEnergyCons!$A$4:$A$10000))*1,[1]OUT_TransportEnergyCons!F$4:F$10000))*1000</f>
        <v>39.611886500138901</v>
      </c>
      <c r="I2221" s="1" cm="1">
        <f t="array" ref="I2221">(SUMPRODUCT(("var_ncap"=[1]OUT_TransportEnergyCons!$B$4:$B$10000)*1,("-"=[1]OUT_TransportEnergyCons!$C$4:$C$10000)*1,ISNUMBER(SEARCH("tfl*hyb*DSL*",[1]OUT_TransportEnergyCons!$A$4:$A$10000))*1,[1]OUT_TransportEnergyCons!G$4:G$10000))*1000</f>
        <v>96.406261831947006</v>
      </c>
      <c r="J2221" s="1" cm="1">
        <f t="array" ref="J2221">(SUMPRODUCT(("var_ncap"=[2]OUT_TransportEnergyCons!$B$4:$B$10000)*1,("-"=[2]OUT_TransportEnergyCons!$C$4:$C$10000)*1,ISNUMBER(SEARCH("tfl*hyb*DSL*",[2]OUT_TransportEnergyCons!$A$4:$A$10000))*1,[2]OUT_TransportEnergyCons!H$4:H$10000))*1000</f>
        <v>91.215469672821399</v>
      </c>
      <c r="K2221" s="1" cm="1">
        <f t="array" ref="K2221">(SUMPRODUCT(("var_ncap"=[2]OUT_TransportEnergyCons!$B$4:$B$10000)*1,("-"=[2]OUT_TransportEnergyCons!$C$4:$C$10000)*1,ISNUMBER(SEARCH("tfl*hyb*DSL*",[2]OUT_TransportEnergyCons!$A$4:$A$10000))*1,[2]OUT_TransportEnergyCons!I$4:I$10000))*1000</f>
        <v>3.0677319912189197E-2</v>
      </c>
      <c r="L2221" s="1" cm="1">
        <f t="array" ref="L2221">(SUMPRODUCT(("var_ncap"=[2]OUT_TransportEnergyCons!$B$4:$B$10000)*1,("-"=[2]OUT_TransportEnergyCons!$C$4:$C$10000)*1,ISNUMBER(SEARCH("tfl*hyb*DSL*",[2]OUT_TransportEnergyCons!$A$4:$A$10000))*1,[2]OUT_TransportEnergyCons!J$4:J$10000))*1000</f>
        <v>108.50388994144899</v>
      </c>
      <c r="N2221" s="1"/>
    </row>
    <row r="2222" spans="2:14" x14ac:dyDescent="0.35">
      <c r="B2222" s="5" t="str">
        <f t="shared" si="2127"/>
        <v>SPS1</v>
      </c>
      <c r="C2222" s="5" t="str">
        <f t="shared" si="2128"/>
        <v>CH</v>
      </c>
      <c r="D2222" t="s">
        <v>2351</v>
      </c>
      <c r="E2222" t="s">
        <v>1999</v>
      </c>
      <c r="F2222" s="1" cm="1">
        <f t="array" ref="F2222">(SUMPRODUCT(("var_ncap"=[1]OUT_TransportEnergyCons!$B$4:$B$10000)*1,("-"=[1]OUT_TransportEnergyCons!$C$4:$C$10000)*1,ISNUMBER(SEARCH("tfl*ice*nga*",[1]OUT_TransportEnergyCons!$A$4:$A$10000))*1,[1]OUT_TransportEnergyCons!D$4:D$10000))*1000</f>
        <v>0</v>
      </c>
      <c r="G2222" s="1" cm="1">
        <f t="array" ref="G2222">(SUMPRODUCT(("var_ncap"=[1]OUT_TransportEnergyCons!$B$4:$B$10000)*1,("-"=[1]OUT_TransportEnergyCons!$C$4:$C$10000)*1,ISNUMBER(SEARCH("tfl*ice*nga*",[1]OUT_TransportEnergyCons!$A$4:$A$10000))*1,[1]OUT_TransportEnergyCons!E$4:E$10000))*1000</f>
        <v>6.4807357085049707E-4</v>
      </c>
      <c r="H2222" s="1" cm="1">
        <f t="array" ref="H2222">(SUMPRODUCT(("var_ncap"=[1]OUT_TransportEnergyCons!$B$4:$B$10000)*1,("-"=[1]OUT_TransportEnergyCons!$C$4:$C$10000)*1,ISNUMBER(SEARCH("tfl*ice*nga*",[1]OUT_TransportEnergyCons!$A$4:$A$10000))*1,[1]OUT_TransportEnergyCons!F$4:F$10000))*1000</f>
        <v>6.9723317561522398E-4</v>
      </c>
      <c r="I2222" s="1" cm="1">
        <f t="array" ref="I2222">(SUMPRODUCT(("var_ncap"=[1]OUT_TransportEnergyCons!$B$4:$B$10000)*1,("-"=[1]OUT_TransportEnergyCons!$C$4:$C$10000)*1,ISNUMBER(SEARCH("tfl*ice*nga*",[1]OUT_TransportEnergyCons!$A$4:$A$10000))*1,[1]OUT_TransportEnergyCons!G$4:G$10000))*1000</f>
        <v>6.0429529304390102E-4</v>
      </c>
      <c r="J2222" s="1" cm="1">
        <f t="array" ref="J2222">(SUMPRODUCT(("var_ncap"=[2]OUT_TransportEnergyCons!$B$4:$B$10000)*1,("-"=[2]OUT_TransportEnergyCons!$C$4:$C$10000)*1,ISNUMBER(SEARCH("tfl*ice*nga*",[2]OUT_TransportEnergyCons!$A$4:$A$10000))*1,[2]OUT_TransportEnergyCons!H$4:H$10000))*1000</f>
        <v>2.4431076141181902E-3</v>
      </c>
      <c r="K2222" s="1" cm="1">
        <f t="array" ref="K2222">(SUMPRODUCT(("var_ncap"=[2]OUT_TransportEnergyCons!$B$4:$B$10000)*1,("-"=[2]OUT_TransportEnergyCons!$C$4:$C$10000)*1,ISNUMBER(SEARCH("tfl*ice*nga*",[2]OUT_TransportEnergyCons!$A$4:$A$10000))*1,[2]OUT_TransportEnergyCons!I$4:I$10000))*1000</f>
        <v>1.3856056653712102E-3</v>
      </c>
      <c r="L2222" s="1" cm="1">
        <f t="array" ref="L2222">(SUMPRODUCT(("var_ncap"=[2]OUT_TransportEnergyCons!$B$4:$B$10000)*1,("-"=[2]OUT_TransportEnergyCons!$C$4:$C$10000)*1,ISNUMBER(SEARCH("tfl*ice*nga*",[2]OUT_TransportEnergyCons!$A$4:$A$10000))*1,[2]OUT_TransportEnergyCons!J$4:J$10000))*1000</f>
        <v>2.15583368873647E-3</v>
      </c>
      <c r="N2222" s="1"/>
    </row>
    <row r="2223" spans="2:14" x14ac:dyDescent="0.35">
      <c r="B2223" s="5" t="str">
        <f t="shared" si="2127"/>
        <v>SPS1</v>
      </c>
      <c r="C2223" s="5" t="str">
        <f t="shared" si="2128"/>
        <v>CH</v>
      </c>
      <c r="D2223" s="2" t="s">
        <v>2352</v>
      </c>
      <c r="E2223" s="2" t="s">
        <v>1999</v>
      </c>
      <c r="F2223" s="3">
        <f t="shared" ref="F2223:K2223" si="2131">SUM(F2224:F2232)</f>
        <v>0</v>
      </c>
      <c r="G2223" s="3">
        <f t="shared" si="2131"/>
        <v>6.4477812153244489</v>
      </c>
      <c r="H2223" s="3">
        <f t="shared" si="2131"/>
        <v>7.4068033042038675</v>
      </c>
      <c r="I2223" s="3">
        <f t="shared" si="2131"/>
        <v>26.976927478110948</v>
      </c>
      <c r="J2223" s="3">
        <f t="shared" si="2131"/>
        <v>40.161367255002467</v>
      </c>
      <c r="K2223" s="3">
        <f t="shared" si="2131"/>
        <v>21.638901170524829</v>
      </c>
      <c r="L2223" s="3">
        <f t="shared" ref="L2223" si="2132">SUM(L2224:L2232)</f>
        <v>49.259211690783296</v>
      </c>
      <c r="M2223" s="3"/>
      <c r="N2223" s="1"/>
    </row>
    <row r="2224" spans="2:14" x14ac:dyDescent="0.35">
      <c r="B2224" s="5" t="str">
        <f t="shared" si="2127"/>
        <v>SPS1</v>
      </c>
      <c r="C2224" s="5" t="str">
        <f t="shared" si="2128"/>
        <v>CH</v>
      </c>
      <c r="D2224" t="s">
        <v>2353</v>
      </c>
      <c r="E2224" t="s">
        <v>1999</v>
      </c>
      <c r="F2224" s="1" cm="1">
        <f t="array" ref="F2224">(SUMPRODUCT(("var_ncap"=[1]OUT_TransportEnergyCons!$B$4:$B$10000)*1,("-"=[1]OUT_TransportEnergyCons!$C$4:$C$10000)*1,ISNUMBER(SEARCH("tfh*bev*ext",[1]OUT_TransportEnergyCons!$A$4:$A$10000))*1,[1]OUT_TransportEnergyCons!D$4:D$10000))*1000</f>
        <v>0</v>
      </c>
      <c r="G2224" s="1" cm="1">
        <f t="array" ref="G2224">(SUMPRODUCT(("var_ncap"=[1]OUT_TransportEnergyCons!$B$4:$B$10000)*1,("-"=[1]OUT_TransportEnergyCons!$C$4:$C$10000)*1,ISNUMBER(SEARCH("tfh*bev*ext",[1]OUT_TransportEnergyCons!$A$4:$A$10000))*1,[1]OUT_TransportEnergyCons!E$4:E$10000))*1000</f>
        <v>0</v>
      </c>
      <c r="H2224" s="1" cm="1">
        <f t="array" ref="H2224">(SUMPRODUCT(("var_ncap"=[1]OUT_TransportEnergyCons!$B$4:$B$10000)*1,("-"=[1]OUT_TransportEnergyCons!$C$4:$C$10000)*1,ISNUMBER(SEARCH("tfh*bev*ext",[1]OUT_TransportEnergyCons!$A$4:$A$10000))*1,[1]OUT_TransportEnergyCons!F$4:F$10000))*1000</f>
        <v>0</v>
      </c>
      <c r="I2224" s="1" cm="1">
        <f t="array" ref="I2224">(SUMPRODUCT(("var_ncap"=[1]OUT_TransportEnergyCons!$B$4:$B$10000)*1,("-"=[1]OUT_TransportEnergyCons!$C$4:$C$10000)*1,ISNUMBER(SEARCH("tfh*bev*ext",[1]OUT_TransportEnergyCons!$A$4:$A$10000))*1,[1]OUT_TransportEnergyCons!G$4:G$10000))*1000</f>
        <v>0</v>
      </c>
      <c r="J2224" s="1" cm="1">
        <f t="array" ref="J2224">(SUMPRODUCT(("var_ncap"=[2]OUT_TransportEnergyCons!$B$4:$B$10000)*1,("-"=[2]OUT_TransportEnergyCons!$C$4:$C$10000)*1,ISNUMBER(SEARCH("tfh*bev*ext",[2]OUT_TransportEnergyCons!$A$4:$A$10000))*1,[2]OUT_TransportEnergyCons!H$4:H$10000))*1000</f>
        <v>0</v>
      </c>
      <c r="K2224" s="1" cm="1">
        <f t="array" ref="K2224">(SUMPRODUCT(("var_ncap"=[2]OUT_TransportEnergyCons!$B$4:$B$10000)*1,("-"=[2]OUT_TransportEnergyCons!$C$4:$C$10000)*1,ISNUMBER(SEARCH("tfh*bev*ext",[2]OUT_TransportEnergyCons!$A$4:$A$10000))*1,[2]OUT_TransportEnergyCons!I$4:I$10000))*1000</f>
        <v>0</v>
      </c>
      <c r="L2224" s="1" cm="1">
        <f t="array" ref="L2224">(SUMPRODUCT(("var_ncap"=[2]OUT_TransportEnergyCons!$B$4:$B$10000)*1,("-"=[2]OUT_TransportEnergyCons!$C$4:$C$10000)*1,ISNUMBER(SEARCH("tfh*bev*ext",[2]OUT_TransportEnergyCons!$A$4:$A$10000))*1,[2]OUT_TransportEnergyCons!J$4:J$10000))*1000</f>
        <v>0</v>
      </c>
      <c r="N2224" s="1"/>
    </row>
    <row r="2225" spans="2:14" x14ac:dyDescent="0.35">
      <c r="B2225" s="5" t="str">
        <f t="shared" si="2127"/>
        <v>SPS1</v>
      </c>
      <c r="C2225" s="5" t="str">
        <f t="shared" si="2128"/>
        <v>CH</v>
      </c>
      <c r="D2225" t="s">
        <v>2354</v>
      </c>
      <c r="E2225" t="s">
        <v>1999</v>
      </c>
      <c r="F2225" s="1" cm="1">
        <f t="array" ref="F2225">(SUMPRODUCT(("var_ncap"=[1]OUT_TransportEnergyCons!$B$4:$B$10000)*1,("-"=[1]OUT_TransportEnergyCons!$C$4:$C$10000)*1,ISNUMBER(SEARCH("tfh*bev*",[1]OUT_TransportEnergyCons!$A$4:$A$10000))*1,[1]OUT_TransportEnergyCons!D$4:D$10000))*1000-F2224</f>
        <v>0</v>
      </c>
      <c r="G2225" s="1" cm="1">
        <f t="array" ref="G2225">(SUMPRODUCT(("var_ncap"=[1]OUT_TransportEnergyCons!$B$4:$B$10000)*1,("-"=[1]OUT_TransportEnergyCons!$C$4:$C$10000)*1,ISNUMBER(SEARCH("tfh*bev*",[1]OUT_TransportEnergyCons!$A$4:$A$10000))*1,[1]OUT_TransportEnergyCons!E$4:E$10000))*1000-G2224</f>
        <v>1.4009220276557301E-2</v>
      </c>
      <c r="H2225" s="1" cm="1">
        <f t="array" ref="H2225">(SUMPRODUCT(("var_ncap"=[1]OUT_TransportEnergyCons!$B$4:$B$10000)*1,("-"=[1]OUT_TransportEnergyCons!$C$4:$C$10000)*1,ISNUMBER(SEARCH("tfh*bev*",[1]OUT_TransportEnergyCons!$A$4:$A$10000))*1,[1]OUT_TransportEnergyCons!F$4:F$10000))*1000-H2224</f>
        <v>2.7543807978154399E-3</v>
      </c>
      <c r="I2225" s="1" cm="1">
        <f t="array" ref="I2225">(SUMPRODUCT(("var_ncap"=[1]OUT_TransportEnergyCons!$B$4:$B$10000)*1,("-"=[1]OUT_TransportEnergyCons!$C$4:$C$10000)*1,ISNUMBER(SEARCH("tfh*bev*",[1]OUT_TransportEnergyCons!$A$4:$A$10000))*1,[1]OUT_TransportEnergyCons!G$4:G$10000))*1000-I2224</f>
        <v>3.14329439893898E-3</v>
      </c>
      <c r="J2225" s="1" cm="1">
        <f t="array" ref="J2225">(SUMPRODUCT(("var_ncap"=[2]OUT_TransportEnergyCons!$B$4:$B$10000)*1,("-"=[2]OUT_TransportEnergyCons!$C$4:$C$10000)*1,ISNUMBER(SEARCH("tfh*bev*",[2]OUT_TransportEnergyCons!$A$4:$A$10000))*1,[2]OUT_TransportEnergyCons!H$4:H$10000))*1000-J2224</f>
        <v>4.3657403554179198E-3</v>
      </c>
      <c r="K2225" s="1" cm="1">
        <f t="array" ref="K2225">(SUMPRODUCT(("var_ncap"=[2]OUT_TransportEnergyCons!$B$4:$B$10000)*1,("-"=[2]OUT_TransportEnergyCons!$C$4:$C$10000)*1,ISNUMBER(SEARCH("tfh*bev*",[2]OUT_TransportEnergyCons!$A$4:$A$10000))*1,[2]OUT_TransportEnergyCons!I$4:I$10000))*1000-K2224</f>
        <v>5.3088573368674898E-3</v>
      </c>
      <c r="L2225" s="1" cm="1">
        <f t="array" ref="L2225">(SUMPRODUCT(("var_ncap"=[2]OUT_TransportEnergyCons!$B$4:$B$10000)*1,("-"=[2]OUT_TransportEnergyCons!$C$4:$C$10000)*1,ISNUMBER(SEARCH("tfh*bev*",[2]OUT_TransportEnergyCons!$A$4:$A$10000))*1,[2]OUT_TransportEnergyCons!J$4:J$10000))*1000-L2224</f>
        <v>3.5123855049201597E-3</v>
      </c>
      <c r="N2225" s="1"/>
    </row>
    <row r="2226" spans="2:14" x14ac:dyDescent="0.35">
      <c r="B2226" s="5" t="str">
        <f t="shared" si="2127"/>
        <v>SPS1</v>
      </c>
      <c r="C2226" s="5" t="str">
        <f t="shared" si="2128"/>
        <v>CH</v>
      </c>
      <c r="D2226" t="s">
        <v>2355</v>
      </c>
      <c r="E2226" t="s">
        <v>1999</v>
      </c>
      <c r="F2226" s="1" cm="1">
        <f t="array" ref="F2226">(SUMPRODUCT(("var_ncap"=[1]OUT_TransportEnergyCons!$B$4:$B$10000)*1,("-"=[1]OUT_TransportEnergyCons!$C$4:$C$10000)*1,ISNUMBER(SEARCH("tfh*h2o*",[1]OUT_TransportEnergyCons!$A$4:$A$10000))*1,[1]OUT_TransportEnergyCons!D$4:D$10000))*1000</f>
        <v>0</v>
      </c>
      <c r="G2226" s="1" cm="1">
        <f t="array" ref="G2226">(SUMPRODUCT(("var_ncap"=[1]OUT_TransportEnergyCons!$B$4:$B$10000)*1,("-"=[1]OUT_TransportEnergyCons!$C$4:$C$10000)*1,ISNUMBER(SEARCH("tfh*h2o*",[1]OUT_TransportEnergyCons!$A$4:$A$10000))*1,[1]OUT_TransportEnergyCons!E$4:E$10000))*1000</f>
        <v>5.2861649910015E-5</v>
      </c>
      <c r="H2226" s="1" cm="1">
        <f t="array" ref="H2226">(SUMPRODUCT(("var_ncap"=[1]OUT_TransportEnergyCons!$B$4:$B$10000)*1,("-"=[1]OUT_TransportEnergyCons!$C$4:$C$10000)*1,ISNUMBER(SEARCH("tfh*h2o*",[1]OUT_TransportEnergyCons!$A$4:$A$10000))*1,[1]OUT_TransportEnergyCons!F$4:F$10000))*1000</f>
        <v>7.6946574749555598E-5</v>
      </c>
      <c r="I2226" s="1" cm="1">
        <f t="array" ref="I2226">(SUMPRODUCT(("var_ncap"=[1]OUT_TransportEnergyCons!$B$4:$B$10000)*1,("-"=[1]OUT_TransportEnergyCons!$C$4:$C$10000)*1,ISNUMBER(SEARCH("tfh*h2o*",[1]OUT_TransportEnergyCons!$A$4:$A$10000))*1,[1]OUT_TransportEnergyCons!G$4:G$10000))*1000</f>
        <v>1.7858519884530902E-4</v>
      </c>
      <c r="J2226" s="1" cm="1">
        <f t="array" ref="J2226">(SUMPRODUCT(("var_ncap"=[2]OUT_TransportEnergyCons!$B$4:$B$10000)*1,("-"=[2]OUT_TransportEnergyCons!$C$4:$C$10000)*1,ISNUMBER(SEARCH("tfh*h2o*",[2]OUT_TransportEnergyCons!$A$4:$A$10000))*1,[2]OUT_TransportEnergyCons!H$4:H$10000))*1000</f>
        <v>3.9580786276829298E-4</v>
      </c>
      <c r="K2226" s="1" cm="1">
        <f t="array" ref="K2226">(SUMPRODUCT(("var_ncap"=[2]OUT_TransportEnergyCons!$B$4:$B$10000)*1,("-"=[2]OUT_TransportEnergyCons!$C$4:$C$10000)*1,ISNUMBER(SEARCH("tfh*h2o*",[2]OUT_TransportEnergyCons!$A$4:$A$10000))*1,[2]OUT_TransportEnergyCons!I$4:I$10000))*1000</f>
        <v>2.2745993497850801E-4</v>
      </c>
      <c r="L2226" s="1" cm="1">
        <f t="array" ref="L2226">(SUMPRODUCT(("var_ncap"=[2]OUT_TransportEnergyCons!$B$4:$B$10000)*1,("-"=[2]OUT_TransportEnergyCons!$C$4:$C$10000)*1,ISNUMBER(SEARCH("tfh*h2o*",[2]OUT_TransportEnergyCons!$A$4:$A$10000))*1,[2]OUT_TransportEnergyCons!J$4:J$10000))*1000</f>
        <v>3.6664489562915798E-4</v>
      </c>
      <c r="N2226" s="1"/>
    </row>
    <row r="2227" spans="2:14" x14ac:dyDescent="0.35">
      <c r="B2227" s="5" t="str">
        <f t="shared" si="2127"/>
        <v>SPS1</v>
      </c>
      <c r="C2227" s="5" t="str">
        <f t="shared" si="2128"/>
        <v>CH</v>
      </c>
      <c r="D2227" t="s">
        <v>2356</v>
      </c>
      <c r="E2227" t="s">
        <v>1999</v>
      </c>
      <c r="F2227" s="1" cm="1">
        <f t="array" ref="F2227">(SUMPRODUCT(("var_ncap"=[1]OUT_TransportEnergyCons!$B$4:$B$10000)*1,("-"=[1]OUT_TransportEnergyCons!$C$4:$C$10000)*1,ISNUMBER(SEARCH("tfh*ICE*GSL*ext",[1]OUT_TransportEnergyCons!$A$4:$A$10000))*1,[1]OUT_TransportEnergyCons!D$4:D$10000))*1000</f>
        <v>0</v>
      </c>
      <c r="G2227" s="1" cm="1">
        <f t="array" ref="G2227">(SUMPRODUCT(("var_ncap"=[1]OUT_TransportEnergyCons!$B$4:$B$10000)*1,("-"=[1]OUT_TransportEnergyCons!$C$4:$C$10000)*1,ISNUMBER(SEARCH("tfh*ICE*GSL*ext",[1]OUT_TransportEnergyCons!$A$4:$A$10000))*1,[1]OUT_TransportEnergyCons!E$4:E$10000))*1000</f>
        <v>0</v>
      </c>
      <c r="H2227" s="1" cm="1">
        <f t="array" ref="H2227">(SUMPRODUCT(("var_ncap"=[1]OUT_TransportEnergyCons!$B$4:$B$10000)*1,("-"=[1]OUT_TransportEnergyCons!$C$4:$C$10000)*1,ISNUMBER(SEARCH("tfh*ICE*GSL*ext",[1]OUT_TransportEnergyCons!$A$4:$A$10000))*1,[1]OUT_TransportEnergyCons!F$4:F$10000))*1000</f>
        <v>0</v>
      </c>
      <c r="I2227" s="1" cm="1">
        <f t="array" ref="I2227">(SUMPRODUCT(("var_ncap"=[1]OUT_TransportEnergyCons!$B$4:$B$10000)*1,("-"=[1]OUT_TransportEnergyCons!$C$4:$C$10000)*1,ISNUMBER(SEARCH("tfh*ICE*GSL*ext",[1]OUT_TransportEnergyCons!$A$4:$A$10000))*1,[1]OUT_TransportEnergyCons!G$4:G$10000))*1000</f>
        <v>0</v>
      </c>
      <c r="J2227" s="1" cm="1">
        <f t="array" ref="J2227">(SUMPRODUCT(("var_ncap"=[2]OUT_TransportEnergyCons!$B$4:$B$10000)*1,("-"=[2]OUT_TransportEnergyCons!$C$4:$C$10000)*1,ISNUMBER(SEARCH("tfh*ICE*GSL*ext",[2]OUT_TransportEnergyCons!$A$4:$A$10000))*1,[2]OUT_TransportEnergyCons!H$4:H$10000))*1000</f>
        <v>0</v>
      </c>
      <c r="K2227" s="1" cm="1">
        <f t="array" ref="K2227">(SUMPRODUCT(("var_ncap"=[2]OUT_TransportEnergyCons!$B$4:$B$10000)*1,("-"=[2]OUT_TransportEnergyCons!$C$4:$C$10000)*1,ISNUMBER(SEARCH("tfh*ICE*GSL*ext",[2]OUT_TransportEnergyCons!$A$4:$A$10000))*1,[2]OUT_TransportEnergyCons!I$4:I$10000))*1000</f>
        <v>0</v>
      </c>
      <c r="L2227" s="1" cm="1">
        <f t="array" ref="L2227">(SUMPRODUCT(("var_ncap"=[2]OUT_TransportEnergyCons!$B$4:$B$10000)*1,("-"=[2]OUT_TransportEnergyCons!$C$4:$C$10000)*1,ISNUMBER(SEARCH("tfh*ICE*GSL*ext",[2]OUT_TransportEnergyCons!$A$4:$A$10000))*1,[2]OUT_TransportEnergyCons!J$4:J$10000))*1000</f>
        <v>0</v>
      </c>
      <c r="N2227" s="1"/>
    </row>
    <row r="2228" spans="2:14" x14ac:dyDescent="0.35">
      <c r="B2228" s="5" t="str">
        <f t="shared" si="2127"/>
        <v>SPS1</v>
      </c>
      <c r="C2228" s="5" t="str">
        <f t="shared" si="2128"/>
        <v>CH</v>
      </c>
      <c r="D2228" t="s">
        <v>2357</v>
      </c>
      <c r="E2228" t="s">
        <v>1999</v>
      </c>
      <c r="F2228" s="1" cm="1">
        <f t="array" ref="F2228">(SUMPRODUCT(("var_ncap"=[1]OUT_TransportEnergyCons!$B$4:$B$10000)*1,("-"=[1]OUT_TransportEnergyCons!$C$4:$C$10000)*1,ISNUMBER(SEARCH("tfh*ICE*GSL*",[1]OUT_TransportEnergyCons!$A$4:$A$10000))*1,[1]OUT_TransportEnergyCons!D$4:D$10000))*1000-F2227</f>
        <v>0</v>
      </c>
      <c r="G2228" s="1" cm="1">
        <f t="array" ref="G2228">(SUMPRODUCT(("var_ncap"=[1]OUT_TransportEnergyCons!$B$4:$B$10000)*1,("-"=[1]OUT_TransportEnergyCons!$C$4:$C$10000)*1,ISNUMBER(SEARCH("tfh*ICE*GSL*",[1]OUT_TransportEnergyCons!$A$4:$A$10000))*1,[1]OUT_TransportEnergyCons!E$4:E$10000))*1000-G2227</f>
        <v>0</v>
      </c>
      <c r="H2228" s="1" cm="1">
        <f t="array" ref="H2228">(SUMPRODUCT(("var_ncap"=[1]OUT_TransportEnergyCons!$B$4:$B$10000)*1,("-"=[1]OUT_TransportEnergyCons!$C$4:$C$10000)*1,ISNUMBER(SEARCH("tfh*ICE*GSL*",[1]OUT_TransportEnergyCons!$A$4:$A$10000))*1,[1]OUT_TransportEnergyCons!F$4:F$10000))*1000-H2227</f>
        <v>0</v>
      </c>
      <c r="I2228" s="1" cm="1">
        <f t="array" ref="I2228">(SUMPRODUCT(("var_ncap"=[1]OUT_TransportEnergyCons!$B$4:$B$10000)*1,("-"=[1]OUT_TransportEnergyCons!$C$4:$C$10000)*1,ISNUMBER(SEARCH("tfh*ICE*GSL*",[1]OUT_TransportEnergyCons!$A$4:$A$10000))*1,[1]OUT_TransportEnergyCons!G$4:G$10000))*1000-I2227</f>
        <v>0</v>
      </c>
      <c r="J2228" s="1" cm="1">
        <f t="array" ref="J2228">(SUMPRODUCT(("var_ncap"=[2]OUT_TransportEnergyCons!$B$4:$B$10000)*1,("-"=[2]OUT_TransportEnergyCons!$C$4:$C$10000)*1,ISNUMBER(SEARCH("tfh*ICE*GSL*",[2]OUT_TransportEnergyCons!$A$4:$A$10000))*1,[2]OUT_TransportEnergyCons!H$4:H$10000))*1000-J2227</f>
        <v>0</v>
      </c>
      <c r="K2228" s="1" cm="1">
        <f t="array" ref="K2228">(SUMPRODUCT(("var_ncap"=[2]OUT_TransportEnergyCons!$B$4:$B$10000)*1,("-"=[2]OUT_TransportEnergyCons!$C$4:$C$10000)*1,ISNUMBER(SEARCH("tfh*ICE*GSL*",[2]OUT_TransportEnergyCons!$A$4:$A$10000))*1,[2]OUT_TransportEnergyCons!I$4:I$10000))*1000-K2227</f>
        <v>0</v>
      </c>
      <c r="L2228" s="1" cm="1">
        <f t="array" ref="L2228">(SUMPRODUCT(("var_ncap"=[2]OUT_TransportEnergyCons!$B$4:$B$10000)*1,("-"=[2]OUT_TransportEnergyCons!$C$4:$C$10000)*1,ISNUMBER(SEARCH("tfh*ICE*GSL*",[2]OUT_TransportEnergyCons!$A$4:$A$10000))*1,[2]OUT_TransportEnergyCons!J$4:J$10000))*1000-L2227</f>
        <v>0</v>
      </c>
      <c r="N2228" s="1"/>
    </row>
    <row r="2229" spans="2:14" x14ac:dyDescent="0.35">
      <c r="B2229" s="5" t="str">
        <f t="shared" si="2127"/>
        <v>SPS1</v>
      </c>
      <c r="C2229" s="5" t="str">
        <f t="shared" si="2128"/>
        <v>CH</v>
      </c>
      <c r="D2229" t="s">
        <v>2358</v>
      </c>
      <c r="E2229" t="s">
        <v>1999</v>
      </c>
      <c r="F2229" s="1" cm="1">
        <f t="array" ref="F2229">(SUMPRODUCT(("var_ncap"=[1]OUT_TransportEnergyCons!$B$4:$B$10000)*1,("-"=[1]OUT_TransportEnergyCons!$C$4:$C$10000)*1,ISNUMBER(SEARCH("tfh*ICE*DSL*ext",[1]OUT_TransportEnergyCons!$A$4:$A$10000))*1,[1]OUT_TransportEnergyCons!D$4:D$10000))*1000</f>
        <v>0</v>
      </c>
      <c r="G2229" s="1" cm="1">
        <f t="array" ref="G2229">(SUMPRODUCT(("var_ncap"=[1]OUT_TransportEnergyCons!$B$4:$B$10000)*1,("-"=[1]OUT_TransportEnergyCons!$C$4:$C$10000)*1,ISNUMBER(SEARCH("tfh*ICE*DSL*ext",[1]OUT_TransportEnergyCons!$A$4:$A$10000))*1,[1]OUT_TransportEnergyCons!E$4:E$10000))*1000</f>
        <v>0</v>
      </c>
      <c r="H2229" s="1" cm="1">
        <f t="array" ref="H2229">(SUMPRODUCT(("var_ncap"=[1]OUT_TransportEnergyCons!$B$4:$B$10000)*1,("-"=[1]OUT_TransportEnergyCons!$C$4:$C$10000)*1,ISNUMBER(SEARCH("tfh*ICE*DSL*ext",[1]OUT_TransportEnergyCons!$A$4:$A$10000))*1,[1]OUT_TransportEnergyCons!F$4:F$10000))*1000</f>
        <v>0</v>
      </c>
      <c r="I2229" s="1" cm="1">
        <f t="array" ref="I2229">(SUMPRODUCT(("var_ncap"=[1]OUT_TransportEnergyCons!$B$4:$B$10000)*1,("-"=[1]OUT_TransportEnergyCons!$C$4:$C$10000)*1,ISNUMBER(SEARCH("tfh*ICE*DSL*ext",[1]OUT_TransportEnergyCons!$A$4:$A$10000))*1,[1]OUT_TransportEnergyCons!G$4:G$10000))*1000</f>
        <v>0</v>
      </c>
      <c r="J2229" s="1" cm="1">
        <f t="array" ref="J2229">(SUMPRODUCT(("var_ncap"=[2]OUT_TransportEnergyCons!$B$4:$B$10000)*1,("-"=[2]OUT_TransportEnergyCons!$C$4:$C$10000)*1,ISNUMBER(SEARCH("tfh*ICE*DSL*ext",[2]OUT_TransportEnergyCons!$A$4:$A$10000))*1,[2]OUT_TransportEnergyCons!H$4:H$10000))*1000</f>
        <v>0</v>
      </c>
      <c r="K2229" s="1" cm="1">
        <f t="array" ref="K2229">(SUMPRODUCT(("var_ncap"=[2]OUT_TransportEnergyCons!$B$4:$B$10000)*1,("-"=[2]OUT_TransportEnergyCons!$C$4:$C$10000)*1,ISNUMBER(SEARCH("tfh*ICE*DSL*ext",[2]OUT_TransportEnergyCons!$A$4:$A$10000))*1,[2]OUT_TransportEnergyCons!I$4:I$10000))*1000</f>
        <v>0</v>
      </c>
      <c r="L2229" s="1" cm="1">
        <f t="array" ref="L2229">(SUMPRODUCT(("var_ncap"=[2]OUT_TransportEnergyCons!$B$4:$B$10000)*1,("-"=[2]OUT_TransportEnergyCons!$C$4:$C$10000)*1,ISNUMBER(SEARCH("tfh*ICE*DSL*ext",[2]OUT_TransportEnergyCons!$A$4:$A$10000))*1,[2]OUT_TransportEnergyCons!J$4:J$10000))*1000</f>
        <v>0</v>
      </c>
      <c r="N2229" s="1"/>
    </row>
    <row r="2230" spans="2:14" x14ac:dyDescent="0.35">
      <c r="B2230" s="5" t="str">
        <f t="shared" si="2127"/>
        <v>SPS1</v>
      </c>
      <c r="C2230" s="5" t="str">
        <f t="shared" si="2128"/>
        <v>CH</v>
      </c>
      <c r="D2230" t="s">
        <v>2359</v>
      </c>
      <c r="E2230" t="s">
        <v>1999</v>
      </c>
      <c r="F2230" s="1" cm="1">
        <f t="array" ref="F2230">(SUMPRODUCT(("var_ncap"=[1]OUT_TransportEnergyCons!$B$4:$B$10000)*1,("-"=[1]OUT_TransportEnergyCons!$C$4:$C$10000)*1,ISNUMBER(SEARCH("tfh*ICE*DSL*",[1]OUT_TransportEnergyCons!$A$4:$A$10000))*1,[1]OUT_TransportEnergyCons!D$4:D$10000))*1000-F2229</f>
        <v>0</v>
      </c>
      <c r="G2230" s="1" cm="1">
        <f t="array" ref="G2230">(SUMPRODUCT(("var_ncap"=[1]OUT_TransportEnergyCons!$B$4:$B$10000)*1,("-"=[1]OUT_TransportEnergyCons!$C$4:$C$10000)*1,ISNUMBER(SEARCH("tfh*ICE*DSL*",[1]OUT_TransportEnergyCons!$A$4:$A$10000))*1,[1]OUT_TransportEnergyCons!E$4:E$10000))*1000-G2229</f>
        <v>3.1011678537834898E-4</v>
      </c>
      <c r="H2230" s="1" cm="1">
        <f t="array" ref="H2230">(SUMPRODUCT(("var_ncap"=[1]OUT_TransportEnergyCons!$B$4:$B$10000)*1,("-"=[1]OUT_TransportEnergyCons!$C$4:$C$10000)*1,ISNUMBER(SEARCH("tfh*ICE*DSL*",[1]OUT_TransportEnergyCons!$A$4:$A$10000))*1,[1]OUT_TransportEnergyCons!F$4:F$10000))*1000-H2229</f>
        <v>7.2667004273617593E-4</v>
      </c>
      <c r="I2230" s="1" cm="1">
        <f t="array" ref="I2230">(SUMPRODUCT(("var_ncap"=[1]OUT_TransportEnergyCons!$B$4:$B$10000)*1,("-"=[1]OUT_TransportEnergyCons!$C$4:$C$10000)*1,ISNUMBER(SEARCH("tfh*ICE*DSL*",[1]OUT_TransportEnergyCons!$A$4:$A$10000))*1,[1]OUT_TransportEnergyCons!G$4:G$10000))*1000-I2229</f>
        <v>7.8449196271040294E-4</v>
      </c>
      <c r="J2230" s="1" cm="1">
        <f t="array" ref="J2230">(SUMPRODUCT(("var_ncap"=[2]OUT_TransportEnergyCons!$B$4:$B$10000)*1,("-"=[2]OUT_TransportEnergyCons!$C$4:$C$10000)*1,ISNUMBER(SEARCH("tfh*ICE*DSL*",[2]OUT_TransportEnergyCons!$A$4:$A$10000))*1,[2]OUT_TransportEnergyCons!H$4:H$10000))*1000-J2229</f>
        <v>3.3443946318922101E-3</v>
      </c>
      <c r="K2230" s="1" cm="1">
        <f t="array" ref="K2230">(SUMPRODUCT(("var_ncap"=[2]OUT_TransportEnergyCons!$B$4:$B$10000)*1,("-"=[2]OUT_TransportEnergyCons!$C$4:$C$10000)*1,ISNUMBER(SEARCH("tfh*ICE*DSL*",[2]OUT_TransportEnergyCons!$A$4:$A$10000))*1,[2]OUT_TransportEnergyCons!I$4:I$10000))*1000-K2229</f>
        <v>3.4105708235978799E-3</v>
      </c>
      <c r="L2230" s="1" cm="1">
        <f t="array" ref="L2230">(SUMPRODUCT(("var_ncap"=[2]OUT_TransportEnergyCons!$B$4:$B$10000)*1,("-"=[2]OUT_TransportEnergyCons!$C$4:$C$10000)*1,ISNUMBER(SEARCH("tfh*ICE*DSL*",[2]OUT_TransportEnergyCons!$A$4:$A$10000))*1,[2]OUT_TransportEnergyCons!J$4:J$10000))*1000-L2229</f>
        <v>1.2060385759150099E-3</v>
      </c>
      <c r="N2230" s="1"/>
    </row>
    <row r="2231" spans="2:14" x14ac:dyDescent="0.35">
      <c r="B2231" s="5" t="str">
        <f t="shared" si="2127"/>
        <v>SPS1</v>
      </c>
      <c r="C2231" s="5" t="str">
        <f t="shared" si="2128"/>
        <v>CH</v>
      </c>
      <c r="D2231" t="s">
        <v>2360</v>
      </c>
      <c r="E2231" t="s">
        <v>1999</v>
      </c>
      <c r="F2231" s="1" cm="1">
        <f t="array" ref="F2231">(SUMPRODUCT(("var_ncap"=[1]OUT_TransportEnergyCons!$B$4:$B$10000)*1,("-"=[1]OUT_TransportEnergyCons!$C$4:$C$10000)*1,ISNUMBER(SEARCH("tfh*hyb*DSL*",[1]OUT_TransportEnergyCons!$A$4:$A$10000))*1,[1]OUT_TransportEnergyCons!D$4:D$10000))*1000</f>
        <v>0</v>
      </c>
      <c r="G2231" s="1" cm="1">
        <f t="array" ref="G2231">(SUMPRODUCT(("var_ncap"=[1]OUT_TransportEnergyCons!$B$4:$B$10000)*1,("-"=[1]OUT_TransportEnergyCons!$C$4:$C$10000)*1,ISNUMBER(SEARCH("tfh*hyb*DSL*",[1]OUT_TransportEnergyCons!$A$4:$A$10000))*1,[1]OUT_TransportEnergyCons!E$4:E$10000))*1000</f>
        <v>6.4332558358561203</v>
      </c>
      <c r="H2231" s="1" cm="1">
        <f t="array" ref="H2231">(SUMPRODUCT(("var_ncap"=[1]OUT_TransportEnergyCons!$B$4:$B$10000)*1,("-"=[1]OUT_TransportEnergyCons!$C$4:$C$10000)*1,ISNUMBER(SEARCH("tfh*hyb*DSL*",[1]OUT_TransportEnergyCons!$A$4:$A$10000))*1,[1]OUT_TransportEnergyCons!F$4:F$10000))*1000</f>
        <v>7.4029350501018696</v>
      </c>
      <c r="I2231" s="1" cm="1">
        <f t="array" ref="I2231">(SUMPRODUCT(("var_ncap"=[1]OUT_TransportEnergyCons!$B$4:$B$10000)*1,("-"=[1]OUT_TransportEnergyCons!$C$4:$C$10000)*1,ISNUMBER(SEARCH("tfh*hyb*DSL*",[1]OUT_TransportEnergyCons!$A$4:$A$10000))*1,[1]OUT_TransportEnergyCons!G$4:G$10000))*1000</f>
        <v>26.964790588607698</v>
      </c>
      <c r="J2231" s="1" cm="1">
        <f t="array" ref="J2231">(SUMPRODUCT(("var_ncap"=[2]OUT_TransportEnergyCons!$B$4:$B$10000)*1,("-"=[2]OUT_TransportEnergyCons!$C$4:$C$10000)*1,ISNUMBER(SEARCH("tfh*hyb*DSL*",[2]OUT_TransportEnergyCons!$A$4:$A$10000))*1,[2]OUT_TransportEnergyCons!H$4:H$10000))*1000</f>
        <v>40.147995587396103</v>
      </c>
      <c r="K2231" s="1" cm="1">
        <f t="array" ref="K2231">(SUMPRODUCT(("var_ncap"=[2]OUT_TransportEnergyCons!$B$4:$B$10000)*1,("-"=[2]OUT_TransportEnergyCons!$C$4:$C$10000)*1,ISNUMBER(SEARCH("tfh*hyb*DSL*",[2]OUT_TransportEnergyCons!$A$4:$A$10000))*1,[2]OUT_TransportEnergyCons!I$4:I$10000))*1000</f>
        <v>21.627004791702703</v>
      </c>
      <c r="L2231" s="1" cm="1">
        <f t="array" ref="L2231">(SUMPRODUCT(("var_ncap"=[2]OUT_TransportEnergyCons!$B$4:$B$10000)*1,("-"=[2]OUT_TransportEnergyCons!$C$4:$C$10000)*1,ISNUMBER(SEARCH("tfh*hyb*DSL*",[2]OUT_TransportEnergyCons!$A$4:$A$10000))*1,[2]OUT_TransportEnergyCons!J$4:J$10000))*1000</f>
        <v>49.248101424980497</v>
      </c>
      <c r="N2231" s="1"/>
    </row>
    <row r="2232" spans="2:14" x14ac:dyDescent="0.35">
      <c r="B2232" s="5" t="str">
        <f t="shared" si="2127"/>
        <v>SPS1</v>
      </c>
      <c r="C2232" s="5" t="str">
        <f t="shared" si="2128"/>
        <v>CH</v>
      </c>
      <c r="D2232" t="s">
        <v>2361</v>
      </c>
      <c r="E2232" t="s">
        <v>1999</v>
      </c>
      <c r="F2232" s="1" cm="1">
        <f t="array" ref="F2232">(SUMPRODUCT(("var_ncap"=[1]OUT_TransportEnergyCons!$B$4:$B$10000)*1,("-"=[1]OUT_TransportEnergyCons!$C$4:$C$10000)*1,ISNUMBER(SEARCH("tfh*ice*nga*",[1]OUT_TransportEnergyCons!$A$4:$A$10000))*1,[1]OUT_TransportEnergyCons!D$4:D$10000))*1000</f>
        <v>0</v>
      </c>
      <c r="G2232" s="1" cm="1">
        <f t="array" ref="G2232">(SUMPRODUCT(("var_ncap"=[1]OUT_TransportEnergyCons!$B$4:$B$10000)*1,("-"=[1]OUT_TransportEnergyCons!$C$4:$C$10000)*1,ISNUMBER(SEARCH("tfh*ice*nga*",[1]OUT_TransportEnergyCons!$A$4:$A$10000))*1,[1]OUT_TransportEnergyCons!E$4:E$10000))*1000</f>
        <v>1.53180756482405E-4</v>
      </c>
      <c r="H2232" s="1" cm="1">
        <f t="array" ref="H2232">(SUMPRODUCT(("var_ncap"=[1]OUT_TransportEnergyCons!$B$4:$B$10000)*1,("-"=[1]OUT_TransportEnergyCons!$C$4:$C$10000)*1,ISNUMBER(SEARCH("tfh*ice*nga*",[1]OUT_TransportEnergyCons!$A$4:$A$10000))*1,[1]OUT_TransportEnergyCons!F$4:F$10000))*1000</f>
        <v>3.10256686696705E-4</v>
      </c>
      <c r="I2232" s="1" cm="1">
        <f t="array" ref="I2232">(SUMPRODUCT(("var_ncap"=[1]OUT_TransportEnergyCons!$B$4:$B$10000)*1,("-"=[1]OUT_TransportEnergyCons!$C$4:$C$10000)*1,ISNUMBER(SEARCH("tfh*ice*nga*",[1]OUT_TransportEnergyCons!$A$4:$A$10000))*1,[1]OUT_TransportEnergyCons!G$4:G$10000))*1000</f>
        <v>8.0305179427540788E-3</v>
      </c>
      <c r="J2232" s="1" cm="1">
        <f t="array" ref="J2232">(SUMPRODUCT(("var_ncap"=[2]OUT_TransportEnergyCons!$B$4:$B$10000)*1,("-"=[2]OUT_TransportEnergyCons!$C$4:$C$10000)*1,ISNUMBER(SEARCH("tfh*ice*nga*",[2]OUT_TransportEnergyCons!$A$4:$A$10000))*1,[2]OUT_TransportEnergyCons!H$4:H$10000))*1000</f>
        <v>5.2657247562823096E-3</v>
      </c>
      <c r="K2232" s="1" cm="1">
        <f t="array" ref="K2232">(SUMPRODUCT(("var_ncap"=[2]OUT_TransportEnergyCons!$B$4:$B$10000)*1,("-"=[2]OUT_TransportEnergyCons!$C$4:$C$10000)*1,ISNUMBER(SEARCH("tfh*ice*nga*",[2]OUT_TransportEnergyCons!$A$4:$A$10000))*1,[2]OUT_TransportEnergyCons!I$4:I$10000))*1000</f>
        <v>2.9494907266798299E-3</v>
      </c>
      <c r="L2232" s="1" cm="1">
        <f t="array" ref="L2232">(SUMPRODUCT(("var_ncap"=[2]OUT_TransportEnergyCons!$B$4:$B$10000)*1,("-"=[2]OUT_TransportEnergyCons!$C$4:$C$10000)*1,ISNUMBER(SEARCH("tfh*ice*nga*",[2]OUT_TransportEnergyCons!$A$4:$A$10000))*1,[2]OUT_TransportEnergyCons!J$4:J$10000))*1000</f>
        <v>6.0251968263380301E-3</v>
      </c>
      <c r="N2232" s="1"/>
    </row>
    <row r="2233" spans="2:14" x14ac:dyDescent="0.35">
      <c r="B2233" s="5" t="str">
        <f>SPS4_FIN_Low!B1822</f>
        <v>SPS1</v>
      </c>
      <c r="C2233" s="5" t="str">
        <f>SPS4_FIN_Low!C1822</f>
        <v>CH</v>
      </c>
      <c r="D2233" s="2" t="s">
        <v>2367</v>
      </c>
      <c r="E2233" s="2" t="s">
        <v>1858</v>
      </c>
      <c r="F2233" s="3">
        <f t="shared" ref="F2233:K2233" si="2133">SUM(F2234,F2253)</f>
        <v>9.9817089533288345E-6</v>
      </c>
      <c r="G2233" s="3">
        <f t="shared" si="2133"/>
        <v>0.71020539183791265</v>
      </c>
      <c r="H2233" s="3">
        <f t="shared" si="2133"/>
        <v>1.7024596249884258</v>
      </c>
      <c r="I2233" s="3">
        <f t="shared" si="2133"/>
        <v>1.1152956168734554</v>
      </c>
      <c r="J2233" s="3">
        <f t="shared" si="2133"/>
        <v>4.1880356052588095</v>
      </c>
      <c r="K2233" s="3">
        <f t="shared" si="2133"/>
        <v>4.3585921352418655</v>
      </c>
      <c r="L2233" s="3">
        <f t="shared" ref="L2233" si="2134">SUM(L2234,L2253)</f>
        <v>4.6152736857214727</v>
      </c>
      <c r="N2233" s="1"/>
    </row>
    <row r="2234" spans="2:14" x14ac:dyDescent="0.35">
      <c r="B2234" s="5" t="str">
        <f>SPS4_FIN_Low!B1822</f>
        <v>SPS1</v>
      </c>
      <c r="C2234" s="5" t="str">
        <f>SPS4_FIN_Low!C1822</f>
        <v>CH</v>
      </c>
      <c r="D2234" t="s">
        <v>2368</v>
      </c>
      <c r="E2234" t="str">
        <f>E2233</f>
        <v>GWth/yr.</v>
      </c>
      <c r="F2234" s="1">
        <f t="shared" ref="F2234:K2234" si="2135">SUM(F2235,F2238,F2240,F2243,F2245,F2247,F2249,F2251)</f>
        <v>6.6110493975089247E-6</v>
      </c>
      <c r="G2234" s="1">
        <f t="shared" si="2135"/>
        <v>0.55362315858098399</v>
      </c>
      <c r="H2234" s="1">
        <f t="shared" si="2135"/>
        <v>1.5390965363262998</v>
      </c>
      <c r="I2234" s="1">
        <f t="shared" si="2135"/>
        <v>0.87063909006063567</v>
      </c>
      <c r="J2234" s="1">
        <f t="shared" si="2135"/>
        <v>3.3820035050485671</v>
      </c>
      <c r="K2234" s="1">
        <f t="shared" si="2135"/>
        <v>3.5182464704758614</v>
      </c>
      <c r="L2234" s="1">
        <f t="shared" ref="L2234" si="2136">SUM(L2235,L2238,L2240,L2243,L2245,L2247,L2249,L2251)</f>
        <v>3.4598592076650725</v>
      </c>
      <c r="N2234" s="1"/>
    </row>
    <row r="2235" spans="2:14" x14ac:dyDescent="0.35">
      <c r="B2235" s="5" t="str">
        <f>B2233</f>
        <v>SPS1</v>
      </c>
      <c r="C2235" s="5" t="str">
        <f>C2233</f>
        <v>CH</v>
      </c>
      <c r="D2235" t="s">
        <v>2369</v>
      </c>
      <c r="E2235" t="str">
        <f>E2233</f>
        <v>GWth/yr.</v>
      </c>
      <c r="F2235" s="1">
        <f t="shared" ref="F2235:K2235" si="2137">SUM(F2236:F2237)</f>
        <v>5.3487070186250874E-7</v>
      </c>
      <c r="G2235" s="1">
        <f t="shared" si="2137"/>
        <v>0.27023171037858246</v>
      </c>
      <c r="H2235" s="1">
        <f t="shared" si="2137"/>
        <v>0.89048471171848487</v>
      </c>
      <c r="I2235" s="1">
        <f t="shared" si="2137"/>
        <v>0.49606677372122265</v>
      </c>
      <c r="J2235" s="1">
        <f t="shared" si="2137"/>
        <v>1.5093591556276149</v>
      </c>
      <c r="K2235" s="1">
        <f t="shared" si="2137"/>
        <v>1.637551568253691</v>
      </c>
      <c r="L2235" s="1">
        <f t="shared" ref="L2235" si="2138">SUM(L2236:L2237)</f>
        <v>2.3234099895882516</v>
      </c>
      <c r="N2235" s="1"/>
    </row>
    <row r="2236" spans="2:14" x14ac:dyDescent="0.35">
      <c r="B2236" s="5" t="str">
        <f t="shared" ref="B2236:B2267" si="2139">B2235</f>
        <v>SPS1</v>
      </c>
      <c r="C2236" s="5" t="str">
        <f t="shared" ref="C2236:C2267" si="2140">C2235</f>
        <v>CH</v>
      </c>
      <c r="D2236" t="s">
        <v>2370</v>
      </c>
      <c r="E2236" t="str">
        <f t="shared" ref="E2236:E2267" si="2141">E2235</f>
        <v>GWth/yr.</v>
      </c>
      <c r="F2236" s="1" cm="1">
        <f t="array" ref="F2236">SUMPRODUCT(([1]OUT_FinalEnergyCons!$B$4:$B$10000="var_ncap")*1,(ISNUMBER(SEARCH("RH*-SHELCBR",[1]OUT_FinalEnergyCons!$A$4:$A$10000)))*1,[1]OUT_FinalEnergyCons!D$4:D$10000)</f>
        <v>2.2038744962453998E-7</v>
      </c>
      <c r="G2236" s="1" cm="1">
        <f t="array" ref="G2236">SUMPRODUCT(([1]OUT_FinalEnergyCons!$B$4:$B$10000="var_ncap")*1,(ISNUMBER(SEARCH("RH*-SHELCBR",[1]OUT_FinalEnergyCons!$A$4:$A$10000)))*1,[1]OUT_FinalEnergyCons!E$4:E$10000)</f>
        <v>4.5956448960438809E-2</v>
      </c>
      <c r="H2236" s="1" cm="1">
        <f t="array" ref="H2236">SUMPRODUCT(([1]OUT_FinalEnergyCons!$B$4:$B$10000="var_ncap")*1,(ISNUMBER(SEARCH("RH*-SHELCBR",[1]OUT_FinalEnergyCons!$A$4:$A$10000)))*1,[1]OUT_FinalEnergyCons!F$4:F$10000)</f>
        <v>9.5664441601308994E-8</v>
      </c>
      <c r="I2236" s="1" cm="1">
        <f t="array" ref="I2236">SUMPRODUCT(([1]OUT_FinalEnergyCons!$B$4:$B$10000="var_ncap")*1,(ISNUMBER(SEARCH("RH*-SHELCBR",[1]OUT_FinalEnergyCons!$A$4:$A$10000)))*1,[1]OUT_FinalEnergyCons!G$4:G$10000)</f>
        <v>1.7665214151500659E-7</v>
      </c>
      <c r="J2236" s="1" cm="1">
        <f t="array" ref="J2236">SUMPRODUCT(([2]OUT_FinalEnergyCons!$B$4:$B$10000="var_ncap")*1,(ISNUMBER(SEARCH("RH*-SHELCBR",[2]OUT_FinalEnergyCons!$A$4:$A$10000)))*1,[2]OUT_FinalEnergyCons!H$4:H$10000)</f>
        <v>9.1507431923250285E-3</v>
      </c>
      <c r="K2236" s="1" cm="1">
        <f t="array" ref="K2236">SUMPRODUCT(([2]OUT_FinalEnergyCons!$B$4:$B$10000="var_ncap")*1,(ISNUMBER(SEARCH("RH*-SHELCBR",[2]OUT_FinalEnergyCons!$A$4:$A$10000)))*1,[2]OUT_FinalEnergyCons!I$4:I$10000)</f>
        <v>5.98037551756886E-4</v>
      </c>
      <c r="L2236" s="1" cm="1">
        <f t="array" ref="L2236">SUMPRODUCT(([2]OUT_FinalEnergyCons!$B$4:$B$10000="var_ncap")*1,(ISNUMBER(SEARCH("RH*-SHELCBR",[2]OUT_FinalEnergyCons!$A$4:$A$10000)))*1,[2]OUT_FinalEnergyCons!J$4:J$10000)</f>
        <v>1.255767029457088E-6</v>
      </c>
      <c r="N2236" s="1"/>
    </row>
    <row r="2237" spans="2:14" x14ac:dyDescent="0.35">
      <c r="B2237" s="5" t="str">
        <f t="shared" si="2139"/>
        <v>SPS1</v>
      </c>
      <c r="C2237" s="5" t="str">
        <f t="shared" si="2140"/>
        <v>CH</v>
      </c>
      <c r="D2237" t="s">
        <v>2371</v>
      </c>
      <c r="E2237" t="str">
        <f t="shared" si="2141"/>
        <v>GWth/yr.</v>
      </c>
      <c r="F2237" s="1" cm="1">
        <f t="array" ref="F2237">SUMPRODUCT(([1]OUT_FinalEnergyCons!$B$4:$B$10000="var_ncap")*1,ISNUMBER(SEARCH("RH*-SHELCHP",[1]OUT_FinalEnergyCons!$A$4:$A$10000))*1,[1]OUT_FinalEnergyCons!D$4:D$10000)</f>
        <v>3.1448325223796876E-7</v>
      </c>
      <c r="G2237" s="1" cm="1">
        <f t="array" ref="G2237">SUMPRODUCT(([1]OUT_FinalEnergyCons!$B$4:$B$10000="var_ncap")*1,ISNUMBER(SEARCH("RH*-SHELCHP",[1]OUT_FinalEnergyCons!$A$4:$A$10000))*1,[1]OUT_FinalEnergyCons!E$4:E$10000)</f>
        <v>0.22427526141814363</v>
      </c>
      <c r="H2237" s="1" cm="1">
        <f t="array" ref="H2237">SUMPRODUCT(([1]OUT_FinalEnergyCons!$B$4:$B$10000="var_ncap")*1,ISNUMBER(SEARCH("RH*-SHELCHP",[1]OUT_FinalEnergyCons!$A$4:$A$10000))*1,[1]OUT_FinalEnergyCons!F$4:F$10000)</f>
        <v>0.89048461605404328</v>
      </c>
      <c r="I2237" s="1" cm="1">
        <f t="array" ref="I2237">SUMPRODUCT(([1]OUT_FinalEnergyCons!$B$4:$B$10000="var_ncap")*1,ISNUMBER(SEARCH("RH*-SHELCHP",[1]OUT_FinalEnergyCons!$A$4:$A$10000))*1,[1]OUT_FinalEnergyCons!G$4:G$10000)</f>
        <v>0.49606659706908113</v>
      </c>
      <c r="J2237" s="1" cm="1">
        <f t="array" ref="J2237">SUMPRODUCT(([2]OUT_FinalEnergyCons!$B$4:$B$10000="var_ncap")*1,ISNUMBER(SEARCH("RH*-SHELCHP",[2]OUT_FinalEnergyCons!$A$4:$A$10000))*1,[2]OUT_FinalEnergyCons!H$4:H$10000)</f>
        <v>1.5002084124352899</v>
      </c>
      <c r="K2237" s="1" cm="1">
        <f t="array" ref="K2237">SUMPRODUCT(([2]OUT_FinalEnergyCons!$B$4:$B$10000="var_ncap")*1,ISNUMBER(SEARCH("RH*-SHELCHP",[2]OUT_FinalEnergyCons!$A$4:$A$10000))*1,[2]OUT_FinalEnergyCons!I$4:I$10000)</f>
        <v>1.6369535307019341</v>
      </c>
      <c r="L2237" s="1" cm="1">
        <f t="array" ref="L2237">SUMPRODUCT(([2]OUT_FinalEnergyCons!$B$4:$B$10000="var_ncap")*1,ISNUMBER(SEARCH("RH*-SHELCHP",[2]OUT_FinalEnergyCons!$A$4:$A$10000))*1,[2]OUT_FinalEnergyCons!J$4:J$10000)</f>
        <v>2.3234087338212221</v>
      </c>
      <c r="N2237" s="1"/>
    </row>
    <row r="2238" spans="2:14" x14ac:dyDescent="0.35">
      <c r="B2238" s="5" t="str">
        <f t="shared" si="2139"/>
        <v>SPS1</v>
      </c>
      <c r="C2238" s="5" t="str">
        <f t="shared" si="2140"/>
        <v>CH</v>
      </c>
      <c r="D2238" t="s">
        <v>2372</v>
      </c>
      <c r="E2238" t="str">
        <f t="shared" si="2141"/>
        <v>GWth/yr.</v>
      </c>
      <c r="F2238" s="1">
        <f t="shared" ref="F2238:L2238" si="2142">F2239</f>
        <v>0</v>
      </c>
      <c r="G2238" s="1">
        <f t="shared" si="2142"/>
        <v>1.0425824406281808E-5</v>
      </c>
      <c r="H2238" s="1">
        <f t="shared" si="2142"/>
        <v>0.10579593277073784</v>
      </c>
      <c r="I2238" s="1">
        <f t="shared" si="2142"/>
        <v>1.0282541743129769E-7</v>
      </c>
      <c r="J2238" s="1">
        <f t="shared" si="2142"/>
        <v>0.43229887119475202</v>
      </c>
      <c r="K2238" s="1">
        <f t="shared" si="2142"/>
        <v>0.54541257539953203</v>
      </c>
      <c r="L2238" s="1">
        <f t="shared" si="2142"/>
        <v>1.620516846868282E-7</v>
      </c>
      <c r="N2238" s="1"/>
    </row>
    <row r="2239" spans="2:14" x14ac:dyDescent="0.35">
      <c r="B2239" s="5" t="str">
        <f t="shared" si="2139"/>
        <v>SPS1</v>
      </c>
      <c r="C2239" s="5" t="str">
        <f t="shared" si="2140"/>
        <v>CH</v>
      </c>
      <c r="D2239" t="s">
        <v>2373</v>
      </c>
      <c r="E2239" t="str">
        <f t="shared" si="2141"/>
        <v>GWth/yr.</v>
      </c>
      <c r="F2239" s="1" cm="1">
        <f t="array" ref="F2239">SUMPRODUCT(([1]OUT_FinalEnergyCons!$B$4:$B$10000="var_ncap")*1, (ISNUMBER(SEARCH("RH*-SHLFOBR",[1]OUT_FinalEnergyCons!$A$4:$A$10000)))*1,[1]OUT_FinalEnergyCons!D$4:D$10000)</f>
        <v>0</v>
      </c>
      <c r="G2239" s="1" cm="1">
        <f t="array" ref="G2239">SUMPRODUCT(([1]OUT_FinalEnergyCons!$B$4:$B$10000="var_ncap")*1, (ISNUMBER(SEARCH("RH*-SHLFOBR",[1]OUT_FinalEnergyCons!$A$4:$A$10000)))*1,[1]OUT_FinalEnergyCons!E$4:E$10000)</f>
        <v>1.0425824406281808E-5</v>
      </c>
      <c r="H2239" s="1" cm="1">
        <f t="array" ref="H2239">SUMPRODUCT(([1]OUT_FinalEnergyCons!$B$4:$B$10000="var_ncap")*1, (ISNUMBER(SEARCH("RH*-SHLFOBR",[1]OUT_FinalEnergyCons!$A$4:$A$10000)))*1,[1]OUT_FinalEnergyCons!F$4:F$10000)</f>
        <v>0.10579593277073784</v>
      </c>
      <c r="I2239" s="1" cm="1">
        <f t="array" ref="I2239">SUMPRODUCT(([1]OUT_FinalEnergyCons!$B$4:$B$10000="var_ncap")*1, (ISNUMBER(SEARCH("RH*-SHLFOBR",[1]OUT_FinalEnergyCons!$A$4:$A$10000)))*1,[1]OUT_FinalEnergyCons!G$4:G$10000)</f>
        <v>1.0282541743129769E-7</v>
      </c>
      <c r="J2239" s="1" cm="1">
        <f t="array" ref="J2239">SUMPRODUCT(([2]OUT_FinalEnergyCons!$B$4:$B$10000="var_ncap")*1, (ISNUMBER(SEARCH("RH*-SHLFOBR",[2]OUT_FinalEnergyCons!$A$4:$A$10000)))*1,[2]OUT_FinalEnergyCons!H$4:H$10000)</f>
        <v>0.43229887119475202</v>
      </c>
      <c r="K2239" s="1" cm="1">
        <f t="array" ref="K2239">SUMPRODUCT(([2]OUT_FinalEnergyCons!$B$4:$B$10000="var_ncap")*1, (ISNUMBER(SEARCH("RH*-SHLFOBR",[2]OUT_FinalEnergyCons!$A$4:$A$10000)))*1,[2]OUT_FinalEnergyCons!I$4:I$10000)</f>
        <v>0.54541257539953203</v>
      </c>
      <c r="L2239" s="1" cm="1">
        <f t="array" ref="L2239">SUMPRODUCT(([2]OUT_FinalEnergyCons!$B$4:$B$10000="var_ncap")*1, (ISNUMBER(SEARCH("RH*-SHLFOBR",[2]OUT_FinalEnergyCons!$A$4:$A$10000)))*1,[2]OUT_FinalEnergyCons!J$4:J$10000)</f>
        <v>1.620516846868282E-7</v>
      </c>
      <c r="N2239" s="1"/>
    </row>
    <row r="2240" spans="2:14" x14ac:dyDescent="0.35">
      <c r="B2240" s="5" t="str">
        <f t="shared" si="2139"/>
        <v>SPS1</v>
      </c>
      <c r="C2240" s="5" t="str">
        <f t="shared" si="2140"/>
        <v>CH</v>
      </c>
      <c r="D2240" t="s">
        <v>2374</v>
      </c>
      <c r="E2240" t="str">
        <f t="shared" si="2141"/>
        <v>GWth/yr.</v>
      </c>
      <c r="F2240" s="1">
        <f t="shared" ref="F2240:K2240" si="2143">SUM(F2241:F2242)</f>
        <v>2.59208192242828E-8</v>
      </c>
      <c r="G2240" s="1">
        <f t="shared" si="2143"/>
        <v>0.1639715750328116</v>
      </c>
      <c r="H2240" s="1">
        <f t="shared" si="2143"/>
        <v>0.52844827182019349</v>
      </c>
      <c r="I2240" s="1">
        <f t="shared" si="2143"/>
        <v>0.3742931095712877</v>
      </c>
      <c r="J2240" s="1">
        <f t="shared" si="2143"/>
        <v>0.88397586014531981</v>
      </c>
      <c r="K2240" s="1">
        <f t="shared" si="2143"/>
        <v>1.1657152426233379</v>
      </c>
      <c r="L2240" s="1">
        <f t="shared" ref="L2240" si="2144">SUM(L2241:L2242)</f>
        <v>0.94655622853009513</v>
      </c>
      <c r="N2240" s="1"/>
    </row>
    <row r="2241" spans="2:14" x14ac:dyDescent="0.35">
      <c r="B2241" s="5" t="str">
        <f t="shared" si="2139"/>
        <v>SPS1</v>
      </c>
      <c r="C2241" s="5" t="str">
        <f t="shared" si="2140"/>
        <v>CH</v>
      </c>
      <c r="D2241" t="s">
        <v>2375</v>
      </c>
      <c r="E2241" t="str">
        <f t="shared" si="2141"/>
        <v>GWth/yr.</v>
      </c>
      <c r="F2241" s="1" cm="1">
        <f t="array" ref="F2241">SUMPRODUCT(([1]OUT_FinalEnergyCons!$B$4:$B$10000="var_ncap")*1, (ISNUMBER(SEARCH("RH*-SHNGABR",[1]OUT_FinalEnergyCons!$A$4:$A$10000)))*1,[1]OUT_FinalEnergyCons!D$4:D$10000)</f>
        <v>0</v>
      </c>
      <c r="G2241" s="1" cm="1">
        <f t="array" ref="G2241">SUMPRODUCT(([1]OUT_FinalEnergyCons!$B$4:$B$10000="var_ncap")*1, (ISNUMBER(SEARCH("RH*-SHNGABR",[1]OUT_FinalEnergyCons!$A$4:$A$10000)))*1,[1]OUT_FinalEnergyCons!E$4:E$10000)</f>
        <v>0.16397122747522824</v>
      </c>
      <c r="H2241" s="1" cm="1">
        <f t="array" ref="H2241">SUMPRODUCT(([1]OUT_FinalEnergyCons!$B$4:$B$10000="var_ncap")*1, (ISNUMBER(SEARCH("RH*-SHNGABR",[1]OUT_FinalEnergyCons!$A$4:$A$10000)))*1,[1]OUT_FinalEnergyCons!F$4:F$10000)</f>
        <v>0.19522815025575299</v>
      </c>
      <c r="I2241" s="1" cm="1">
        <f t="array" ref="I2241">SUMPRODUCT(([1]OUT_FinalEnergyCons!$B$4:$B$10000="var_ncap")*1, (ISNUMBER(SEARCH("RH*-SHNGABR",[1]OUT_FinalEnergyCons!$A$4:$A$10000)))*1,[1]OUT_FinalEnergyCons!G$4:G$10000)</f>
        <v>7.9213825134991339E-4</v>
      </c>
      <c r="J2241" s="1" cm="1">
        <f t="array" ref="J2241">SUMPRODUCT(([2]OUT_FinalEnergyCons!$B$4:$B$10000="var_ncap")*1, (ISNUMBER(SEARCH("RH*-SHNGABR",[2]OUT_FinalEnergyCons!$A$4:$A$10000)))*1,[2]OUT_FinalEnergyCons!H$4:H$10000)</f>
        <v>0.69136075404329866</v>
      </c>
      <c r="K2241" s="1" cm="1">
        <f t="array" ref="K2241">SUMPRODUCT(([2]OUT_FinalEnergyCons!$B$4:$B$10000="var_ncap")*1, (ISNUMBER(SEARCH("RH*-SHNGABR",[2]OUT_FinalEnergyCons!$A$4:$A$10000)))*1,[2]OUT_FinalEnergyCons!I$4:I$10000)</f>
        <v>0.59278088019582809</v>
      </c>
      <c r="L2241" s="1" cm="1">
        <f t="array" ref="L2241">SUMPRODUCT(([2]OUT_FinalEnergyCons!$B$4:$B$10000="var_ncap")*1, (ISNUMBER(SEARCH("RH*-SHNGABR",[2]OUT_FinalEnergyCons!$A$4:$A$10000)))*1,[2]OUT_FinalEnergyCons!J$4:J$10000)</f>
        <v>1.2997951971936509E-2</v>
      </c>
      <c r="N2241" s="1"/>
    </row>
    <row r="2242" spans="2:14" x14ac:dyDescent="0.35">
      <c r="B2242" s="5" t="str">
        <f t="shared" si="2139"/>
        <v>SPS1</v>
      </c>
      <c r="C2242" s="5" t="str">
        <f t="shared" si="2140"/>
        <v>CH</v>
      </c>
      <c r="D2242" t="s">
        <v>2376</v>
      </c>
      <c r="E2242" t="str">
        <f t="shared" si="2141"/>
        <v>GWth/yr.</v>
      </c>
      <c r="F2242" s="1" cm="1">
        <f t="array" ref="F2242">SUMPRODUCT(([1]OUT_FinalEnergyCons!$B$4:$B$10000="var_ncap")*1,ISNUMBER(SEARCH("RH*-SHngahp",[1]OUT_FinalEnergyCons!$A$4:$A$10000))*1,[1]OUT_FinalEnergyCons!D$4:D$10000)</f>
        <v>2.59208192242828E-8</v>
      </c>
      <c r="G2242" s="1" cm="1">
        <f t="array" ref="G2242">SUMPRODUCT(([1]OUT_FinalEnergyCons!$B$4:$B$10000="var_ncap")*1,ISNUMBER(SEARCH("RH*-SHngahp",[1]OUT_FinalEnergyCons!$A$4:$A$10000))*1,[1]OUT_FinalEnergyCons!E$4:E$10000)</f>
        <v>3.4755758334358726E-7</v>
      </c>
      <c r="H2242" s="1" cm="1">
        <f t="array" ref="H2242">SUMPRODUCT(([1]OUT_FinalEnergyCons!$B$4:$B$10000="var_ncap")*1,ISNUMBER(SEARCH("RH*-SHngahp",[1]OUT_FinalEnergyCons!$A$4:$A$10000))*1,[1]OUT_FinalEnergyCons!F$4:F$10000)</f>
        <v>0.33322012156444047</v>
      </c>
      <c r="I2242" s="1" cm="1">
        <f t="array" ref="I2242">SUMPRODUCT(([1]OUT_FinalEnergyCons!$B$4:$B$10000="var_ncap")*1,ISNUMBER(SEARCH("RH*-SHngahp",[1]OUT_FinalEnergyCons!$A$4:$A$10000))*1,[1]OUT_FinalEnergyCons!G$4:G$10000)</f>
        <v>0.37350097131993776</v>
      </c>
      <c r="J2242" s="1" cm="1">
        <f t="array" ref="J2242">SUMPRODUCT(([2]OUT_FinalEnergyCons!$B$4:$B$10000="var_ncap")*1,ISNUMBER(SEARCH("RH*-SHngahp",[2]OUT_FinalEnergyCons!$A$4:$A$10000))*1,[2]OUT_FinalEnergyCons!H$4:H$10000)</f>
        <v>0.19261510610202109</v>
      </c>
      <c r="K2242" s="1" cm="1">
        <f t="array" ref="K2242">SUMPRODUCT(([2]OUT_FinalEnergyCons!$B$4:$B$10000="var_ncap")*1,ISNUMBER(SEARCH("RH*-SHngahp",[2]OUT_FinalEnergyCons!$A$4:$A$10000))*1,[2]OUT_FinalEnergyCons!I$4:I$10000)</f>
        <v>0.57293436242750972</v>
      </c>
      <c r="L2242" s="1" cm="1">
        <f t="array" ref="L2242">SUMPRODUCT(([2]OUT_FinalEnergyCons!$B$4:$B$10000="var_ncap")*1,ISNUMBER(SEARCH("RH*-SHngahp",[2]OUT_FinalEnergyCons!$A$4:$A$10000))*1,[2]OUT_FinalEnergyCons!J$4:J$10000)</f>
        <v>0.9335582765581586</v>
      </c>
      <c r="N2242" s="1"/>
    </row>
    <row r="2243" spans="2:14" x14ac:dyDescent="0.35">
      <c r="B2243" s="5" t="str">
        <f t="shared" si="2139"/>
        <v>SPS1</v>
      </c>
      <c r="C2243" s="5" t="str">
        <f t="shared" si="2140"/>
        <v>CH</v>
      </c>
      <c r="D2243" t="s">
        <v>2377</v>
      </c>
      <c r="E2243" t="str">
        <f t="shared" si="2141"/>
        <v>GWth/yr.</v>
      </c>
      <c r="F2243" s="1">
        <f t="shared" ref="F2243:L2243" si="2145">F2244</f>
        <v>0</v>
      </c>
      <c r="G2243" s="1">
        <f t="shared" si="2145"/>
        <v>0</v>
      </c>
      <c r="H2243" s="1">
        <f t="shared" si="2145"/>
        <v>0</v>
      </c>
      <c r="I2243" s="1">
        <f t="shared" si="2145"/>
        <v>0</v>
      </c>
      <c r="J2243" s="1">
        <f t="shared" si="2145"/>
        <v>0</v>
      </c>
      <c r="K2243" s="1">
        <f t="shared" si="2145"/>
        <v>0</v>
      </c>
      <c r="L2243" s="1">
        <f t="shared" si="2145"/>
        <v>0</v>
      </c>
      <c r="N2243" s="1"/>
    </row>
    <row r="2244" spans="2:14" x14ac:dyDescent="0.35">
      <c r="B2244" s="5" t="str">
        <f t="shared" si="2139"/>
        <v>SPS1</v>
      </c>
      <c r="C2244" s="5" t="str">
        <f t="shared" si="2140"/>
        <v>CH</v>
      </c>
      <c r="D2244" t="s">
        <v>2378</v>
      </c>
      <c r="E2244" t="str">
        <f t="shared" si="2141"/>
        <v>GWth/yr.</v>
      </c>
      <c r="F2244" s="1" cm="1">
        <f t="array" ref="F2244">SUMPRODUCT(([1]OUT_FinalEnergyCons!$B$4:$B$10000="var_ncap")*1, (ISNUMBER(SEARCH("RH*-SHCOABR",[1]OUT_FinalEnergyCons!$A$4:$A$10000)))*1,[1]OUT_FinalEnergyCons!D$4:D$10000)</f>
        <v>0</v>
      </c>
      <c r="G2244" s="1" cm="1">
        <f t="array" ref="G2244">SUMPRODUCT(([1]OUT_FinalEnergyCons!$B$4:$B$10000="var_ncap")*1, (ISNUMBER(SEARCH("RH*-SHCOABR",[1]OUT_FinalEnergyCons!$A$4:$A$10000)))*1,[1]OUT_FinalEnergyCons!E$4:E$10000)</f>
        <v>0</v>
      </c>
      <c r="H2244" s="1" cm="1">
        <f t="array" ref="H2244">SUMPRODUCT(([1]OUT_FinalEnergyCons!$B$4:$B$10000="var_ncap")*1, (ISNUMBER(SEARCH("RH*-SHCOABR",[1]OUT_FinalEnergyCons!$A$4:$A$10000)))*1,[1]OUT_FinalEnergyCons!F$4:F$10000)</f>
        <v>0</v>
      </c>
      <c r="I2244" s="1" cm="1">
        <f t="array" ref="I2244">SUMPRODUCT(([1]OUT_FinalEnergyCons!$B$4:$B$10000="var_ncap")*1, (ISNUMBER(SEARCH("RH*-SHCOABR",[1]OUT_FinalEnergyCons!$A$4:$A$10000)))*1,[1]OUT_FinalEnergyCons!G$4:G$10000)</f>
        <v>0</v>
      </c>
      <c r="J2244" s="1" cm="1">
        <f t="array" ref="J2244">SUMPRODUCT(([2]OUT_FinalEnergyCons!$B$4:$B$10000="var_ncap")*1, (ISNUMBER(SEARCH("RH*-SHCOABR",[2]OUT_FinalEnergyCons!$A$4:$A$10000)))*1,[2]OUT_FinalEnergyCons!H$4:H$10000)</f>
        <v>0</v>
      </c>
      <c r="K2244" s="1" cm="1">
        <f t="array" ref="K2244">SUMPRODUCT(([2]OUT_FinalEnergyCons!$B$4:$B$10000="var_ncap")*1, (ISNUMBER(SEARCH("RH*-SHCOABR",[2]OUT_FinalEnergyCons!$A$4:$A$10000)))*1,[2]OUT_FinalEnergyCons!I$4:I$10000)</f>
        <v>0</v>
      </c>
      <c r="L2244" s="1" cm="1">
        <f t="array" ref="L2244">SUMPRODUCT(([2]OUT_FinalEnergyCons!$B$4:$B$10000="var_ncap")*1, (ISNUMBER(SEARCH("RH*-SHCOABR",[2]OUT_FinalEnergyCons!$A$4:$A$10000)))*1,[2]OUT_FinalEnergyCons!J$4:J$10000)</f>
        <v>0</v>
      </c>
      <c r="N2244" s="1"/>
    </row>
    <row r="2245" spans="2:14" x14ac:dyDescent="0.35">
      <c r="B2245" s="5" t="str">
        <f t="shared" si="2139"/>
        <v>SPS1</v>
      </c>
      <c r="C2245" s="5" t="str">
        <f t="shared" si="2140"/>
        <v>CH</v>
      </c>
      <c r="D2245" t="s">
        <v>2379</v>
      </c>
      <c r="E2245" t="str">
        <f t="shared" si="2141"/>
        <v>GWth/yr.</v>
      </c>
      <c r="F2245" s="1">
        <f t="shared" ref="F2245:L2245" si="2146">F2246</f>
        <v>1.07410737776391E-7</v>
      </c>
      <c r="G2245" s="1">
        <f t="shared" si="2146"/>
        <v>6.0544616294365264E-2</v>
      </c>
      <c r="H2245" s="1">
        <f t="shared" si="2146"/>
        <v>1.416886180051154E-2</v>
      </c>
      <c r="I2245" s="1">
        <f t="shared" si="2146"/>
        <v>1.8859104093816671E-7</v>
      </c>
      <c r="J2245" s="1">
        <f t="shared" si="2146"/>
        <v>0.5278954740777646</v>
      </c>
      <c r="K2245" s="1">
        <f t="shared" si="2146"/>
        <v>0.13516649569429462</v>
      </c>
      <c r="L2245" s="1">
        <f t="shared" si="2146"/>
        <v>0.15200987198207849</v>
      </c>
      <c r="N2245" s="1"/>
    </row>
    <row r="2246" spans="2:14" x14ac:dyDescent="0.35">
      <c r="B2246" s="5" t="str">
        <f t="shared" si="2139"/>
        <v>SPS1</v>
      </c>
      <c r="C2246" s="5" t="str">
        <f t="shared" si="2140"/>
        <v>CH</v>
      </c>
      <c r="D2246" t="s">
        <v>2380</v>
      </c>
      <c r="E2246" t="str">
        <f t="shared" si="2141"/>
        <v>GWth/yr.</v>
      </c>
      <c r="F2246" s="1" cm="1">
        <f t="array" ref="F2246">SUMPRODUCT(([1]OUT_FinalEnergyCons!$B$4:$B$10000="var_ncap")*1, (ISNUMBER(SEARCH("RH*-SHWODBR",[1]OUT_FinalEnergyCons!$A$4:$A$10000)))*1,[1]OUT_FinalEnergyCons!D$4:D$10000)</f>
        <v>1.07410737776391E-7</v>
      </c>
      <c r="G2246" s="1" cm="1">
        <f t="array" ref="G2246">SUMPRODUCT(([1]OUT_FinalEnergyCons!$B$4:$B$10000="var_ncap")*1, (ISNUMBER(SEARCH("RH*-SHWODBR",[1]OUT_FinalEnergyCons!$A$4:$A$10000)))*1,[1]OUT_FinalEnergyCons!E$4:E$10000)</f>
        <v>6.0544616294365264E-2</v>
      </c>
      <c r="H2246" s="1" cm="1">
        <f t="array" ref="H2246">SUMPRODUCT(([1]OUT_FinalEnergyCons!$B$4:$B$10000="var_ncap")*1, (ISNUMBER(SEARCH("RH*-SHWODBR",[1]OUT_FinalEnergyCons!$A$4:$A$10000)))*1,[1]OUT_FinalEnergyCons!F$4:F$10000)</f>
        <v>1.416886180051154E-2</v>
      </c>
      <c r="I2246" s="1" cm="1">
        <f t="array" ref="I2246">SUMPRODUCT(([1]OUT_FinalEnergyCons!$B$4:$B$10000="var_ncap")*1, (ISNUMBER(SEARCH("RH*-SHWODBR",[1]OUT_FinalEnergyCons!$A$4:$A$10000)))*1,[1]OUT_FinalEnergyCons!G$4:G$10000)</f>
        <v>1.8859104093816671E-7</v>
      </c>
      <c r="J2246" s="1" cm="1">
        <f t="array" ref="J2246">SUMPRODUCT(([2]OUT_FinalEnergyCons!$B$4:$B$10000="var_ncap")*1, (ISNUMBER(SEARCH("RH*-SHWODBR",[2]OUT_FinalEnergyCons!$A$4:$A$10000)))*1,[2]OUT_FinalEnergyCons!H$4:H$10000)</f>
        <v>0.5278954740777646</v>
      </c>
      <c r="K2246" s="1" cm="1">
        <f t="array" ref="K2246">SUMPRODUCT(([2]OUT_FinalEnergyCons!$B$4:$B$10000="var_ncap")*1, (ISNUMBER(SEARCH("RH*-SHWODBR",[2]OUT_FinalEnergyCons!$A$4:$A$10000)))*1,[2]OUT_FinalEnergyCons!I$4:I$10000)</f>
        <v>0.13516649569429462</v>
      </c>
      <c r="L2246" s="1" cm="1">
        <f t="array" ref="L2246">SUMPRODUCT(([2]OUT_FinalEnergyCons!$B$4:$B$10000="var_ncap")*1, (ISNUMBER(SEARCH("RH*-SHWODBR",[2]OUT_FinalEnergyCons!$A$4:$A$10000)))*1,[2]OUT_FinalEnergyCons!J$4:J$10000)</f>
        <v>0.15200987198207849</v>
      </c>
      <c r="N2246" s="1"/>
    </row>
    <row r="2247" spans="2:14" x14ac:dyDescent="0.35">
      <c r="B2247" s="5" t="str">
        <f t="shared" si="2139"/>
        <v>SPS1</v>
      </c>
      <c r="C2247" s="5" t="str">
        <f t="shared" si="2140"/>
        <v>CH</v>
      </c>
      <c r="D2247" t="s">
        <v>2381</v>
      </c>
      <c r="E2247" t="str">
        <f t="shared" si="2141"/>
        <v>GWth/yr.</v>
      </c>
      <c r="F2247" s="1">
        <f t="shared" ref="F2247:L2247" si="2147">F2248</f>
        <v>3.7991799592735201E-7</v>
      </c>
      <c r="G2247" s="1">
        <f t="shared" si="2147"/>
        <v>3.5904102152338094E-2</v>
      </c>
      <c r="H2247" s="1">
        <f t="shared" si="2147"/>
        <v>1.9822371648912866E-4</v>
      </c>
      <c r="I2247" s="1">
        <f t="shared" si="2147"/>
        <v>2.7770860434459373E-4</v>
      </c>
      <c r="J2247" s="1">
        <f t="shared" si="2147"/>
        <v>2.8267664544526405E-2</v>
      </c>
      <c r="K2247" s="1">
        <f t="shared" si="2147"/>
        <v>2.8646823925836295E-2</v>
      </c>
      <c r="L2247" s="1">
        <f t="shared" si="2147"/>
        <v>3.6037059935047473E-2</v>
      </c>
      <c r="N2247" s="1"/>
    </row>
    <row r="2248" spans="2:14" x14ac:dyDescent="0.35">
      <c r="B2248" s="5" t="str">
        <f t="shared" si="2139"/>
        <v>SPS1</v>
      </c>
      <c r="C2248" s="5" t="str">
        <f t="shared" si="2140"/>
        <v>CH</v>
      </c>
      <c r="D2248" t="s">
        <v>2382</v>
      </c>
      <c r="E2248" t="str">
        <f t="shared" si="2141"/>
        <v>GWth/yr.</v>
      </c>
      <c r="F2248" s="1" cm="1">
        <f t="array" ref="F2248">SUMPRODUCT(([1]OUT_FinalEnergyCons!$B$4:$B$10000="var_ncap")*1, (ISNUMBER(SEARCH("RH*-SHPLTBR",[1]OUT_FinalEnergyCons!$A$4:$A$10000)))*1,[1]OUT_FinalEnergyCons!D$4:D$10000)</f>
        <v>3.7991799592735201E-7</v>
      </c>
      <c r="G2248" s="1" cm="1">
        <f t="array" ref="G2248">SUMPRODUCT(([1]OUT_FinalEnergyCons!$B$4:$B$10000="var_ncap")*1, (ISNUMBER(SEARCH("RH*-SHPLTBR",[1]OUT_FinalEnergyCons!$A$4:$A$10000)))*1,[1]OUT_FinalEnergyCons!E$4:E$10000)</f>
        <v>3.5904102152338094E-2</v>
      </c>
      <c r="H2248" s="1" cm="1">
        <f t="array" ref="H2248">SUMPRODUCT(([1]OUT_FinalEnergyCons!$B$4:$B$10000="var_ncap")*1, (ISNUMBER(SEARCH("RH*-SHPLTBR",[1]OUT_FinalEnergyCons!$A$4:$A$10000)))*1,[1]OUT_FinalEnergyCons!F$4:F$10000)</f>
        <v>1.9822371648912866E-4</v>
      </c>
      <c r="I2248" s="1" cm="1">
        <f t="array" ref="I2248">SUMPRODUCT(([1]OUT_FinalEnergyCons!$B$4:$B$10000="var_ncap")*1, (ISNUMBER(SEARCH("RH*-SHPLTBR",[1]OUT_FinalEnergyCons!$A$4:$A$10000)))*1,[1]OUT_FinalEnergyCons!G$4:G$10000)</f>
        <v>2.7770860434459373E-4</v>
      </c>
      <c r="J2248" s="1" cm="1">
        <f t="array" ref="J2248">SUMPRODUCT(([2]OUT_FinalEnergyCons!$B$4:$B$10000="var_ncap")*1, (ISNUMBER(SEARCH("RH*-SHPLTBR",[2]OUT_FinalEnergyCons!$A$4:$A$10000)))*1,[2]OUT_FinalEnergyCons!H$4:H$10000)</f>
        <v>2.8267664544526405E-2</v>
      </c>
      <c r="K2248" s="1" cm="1">
        <f t="array" ref="K2248">SUMPRODUCT(([2]OUT_FinalEnergyCons!$B$4:$B$10000="var_ncap")*1, (ISNUMBER(SEARCH("RH*-SHPLTBR",[2]OUT_FinalEnergyCons!$A$4:$A$10000)))*1,[2]OUT_FinalEnergyCons!I$4:I$10000)</f>
        <v>2.8646823925836295E-2</v>
      </c>
      <c r="L2248" s="1" cm="1">
        <f t="array" ref="L2248">SUMPRODUCT(([2]OUT_FinalEnergyCons!$B$4:$B$10000="var_ncap")*1, (ISNUMBER(SEARCH("RH*-SHPLTBR",[2]OUT_FinalEnergyCons!$A$4:$A$10000)))*1,[2]OUT_FinalEnergyCons!J$4:J$10000)</f>
        <v>3.6037059935047473E-2</v>
      </c>
      <c r="N2248" s="1"/>
    </row>
    <row r="2249" spans="2:14" x14ac:dyDescent="0.35">
      <c r="B2249" s="5" t="str">
        <f t="shared" si="2139"/>
        <v>SPS1</v>
      </c>
      <c r="C2249" s="5" t="str">
        <f t="shared" si="2140"/>
        <v>CH</v>
      </c>
      <c r="D2249" t="s">
        <v>2383</v>
      </c>
      <c r="E2249" t="str">
        <f t="shared" si="2141"/>
        <v>GWth/yr.</v>
      </c>
      <c r="F2249" s="1">
        <f t="shared" ref="F2249:L2249" si="2148">F2250</f>
        <v>5.5629291427183904E-6</v>
      </c>
      <c r="G2249" s="1">
        <f t="shared" si="2148"/>
        <v>2.296072889848029E-2</v>
      </c>
      <c r="H2249" s="1">
        <f t="shared" si="2148"/>
        <v>5.3449988293447409E-7</v>
      </c>
      <c r="I2249" s="1">
        <f t="shared" si="2148"/>
        <v>1.2067473223160121E-6</v>
      </c>
      <c r="J2249" s="1">
        <f t="shared" si="2148"/>
        <v>2.0647945858932157E-4</v>
      </c>
      <c r="K2249" s="1">
        <f t="shared" si="2148"/>
        <v>5.753764579169875E-3</v>
      </c>
      <c r="L2249" s="1">
        <f t="shared" si="2148"/>
        <v>1.8458955779150851E-3</v>
      </c>
      <c r="N2249" s="1"/>
    </row>
    <row r="2250" spans="2:14" x14ac:dyDescent="0.35">
      <c r="B2250" s="5" t="str">
        <f t="shared" si="2139"/>
        <v>SPS1</v>
      </c>
      <c r="C2250" s="5" t="str">
        <f t="shared" si="2140"/>
        <v>CH</v>
      </c>
      <c r="D2250" t="s">
        <v>2384</v>
      </c>
      <c r="E2250" t="str">
        <f t="shared" si="2141"/>
        <v>GWth/yr.</v>
      </c>
      <c r="F2250" s="1" cm="1">
        <f t="array" ref="F2250">SUMPRODUCT(([1]OUT_FinalEnergyCons!$B$4:$B$10000="var_ncap")*1, (ISNUMBER(SEARCH("RH*-SHSOLBR",[1]OUT_FinalEnergyCons!$A$4:$A$10000)))*1,[1]OUT_FinalEnergyCons!D$4:D$10000)</f>
        <v>5.5629291427183904E-6</v>
      </c>
      <c r="G2250" s="1" cm="1">
        <f t="array" ref="G2250">SUMPRODUCT(([1]OUT_FinalEnergyCons!$B$4:$B$10000="var_ncap")*1, (ISNUMBER(SEARCH("RH*-SHSOLBR",[1]OUT_FinalEnergyCons!$A$4:$A$10000)))*1,[1]OUT_FinalEnergyCons!E$4:E$10000)</f>
        <v>2.296072889848029E-2</v>
      </c>
      <c r="H2250" s="1" cm="1">
        <f t="array" ref="H2250">SUMPRODUCT(([1]OUT_FinalEnergyCons!$B$4:$B$10000="var_ncap")*1, (ISNUMBER(SEARCH("RH*-SHSOLBR",[1]OUT_FinalEnergyCons!$A$4:$A$10000)))*1,[1]OUT_FinalEnergyCons!F$4:F$10000)</f>
        <v>5.3449988293447409E-7</v>
      </c>
      <c r="I2250" s="1" cm="1">
        <f t="array" ref="I2250">SUMPRODUCT(([1]OUT_FinalEnergyCons!$B$4:$B$10000="var_ncap")*1, (ISNUMBER(SEARCH("RH*-SHSOLBR",[1]OUT_FinalEnergyCons!$A$4:$A$10000)))*1,[1]OUT_FinalEnergyCons!G$4:G$10000)</f>
        <v>1.2067473223160121E-6</v>
      </c>
      <c r="J2250" s="1" cm="1">
        <f t="array" ref="J2250">SUMPRODUCT(([2]OUT_FinalEnergyCons!$B$4:$B$10000="var_ncap")*1, (ISNUMBER(SEARCH("RH*-SHSOLBR",[2]OUT_FinalEnergyCons!$A$4:$A$10000)))*1,[2]OUT_FinalEnergyCons!H$4:H$10000)</f>
        <v>2.0647945858932157E-4</v>
      </c>
      <c r="K2250" s="1" cm="1">
        <f t="array" ref="K2250">SUMPRODUCT(([2]OUT_FinalEnergyCons!$B$4:$B$10000="var_ncap")*1, (ISNUMBER(SEARCH("RH*-SHSOLBR",[2]OUT_FinalEnergyCons!$A$4:$A$10000)))*1,[2]OUT_FinalEnergyCons!I$4:I$10000)</f>
        <v>5.753764579169875E-3</v>
      </c>
      <c r="L2250" s="1" cm="1">
        <f t="array" ref="L2250">SUMPRODUCT(([2]OUT_FinalEnergyCons!$B$4:$B$10000="var_ncap")*1, (ISNUMBER(SEARCH("RH*-SHSOLBR",[2]OUT_FinalEnergyCons!$A$4:$A$10000)))*1,[2]OUT_FinalEnergyCons!J$4:J$10000)</f>
        <v>1.8458955779150851E-3</v>
      </c>
      <c r="N2250" s="1"/>
    </row>
    <row r="2251" spans="2:14" x14ac:dyDescent="0.35">
      <c r="B2251" s="5" t="str">
        <f t="shared" si="2139"/>
        <v>SPS1</v>
      </c>
      <c r="C2251" s="5" t="str">
        <f t="shared" si="2140"/>
        <v>CH</v>
      </c>
      <c r="D2251" t="s">
        <v>2385</v>
      </c>
      <c r="E2251" t="str">
        <f t="shared" si="2141"/>
        <v>GWth/yr.</v>
      </c>
      <c r="F2251" s="1">
        <f t="shared" ref="F2251:L2251" si="2149">F2252</f>
        <v>0</v>
      </c>
      <c r="G2251" s="1">
        <f t="shared" si="2149"/>
        <v>0</v>
      </c>
      <c r="H2251" s="1">
        <f t="shared" si="2149"/>
        <v>0</v>
      </c>
      <c r="I2251" s="1">
        <f t="shared" si="2149"/>
        <v>0</v>
      </c>
      <c r="J2251" s="1">
        <f t="shared" si="2149"/>
        <v>0</v>
      </c>
      <c r="K2251" s="1">
        <f t="shared" si="2149"/>
        <v>0</v>
      </c>
      <c r="L2251" s="1">
        <f t="shared" si="2149"/>
        <v>0</v>
      </c>
      <c r="N2251" s="1"/>
    </row>
    <row r="2252" spans="2:14" x14ac:dyDescent="0.35">
      <c r="B2252" s="5" t="str">
        <f t="shared" si="2139"/>
        <v>SPS1</v>
      </c>
      <c r="C2252" s="5" t="str">
        <f t="shared" si="2140"/>
        <v>CH</v>
      </c>
      <c r="D2252" t="s">
        <v>2386</v>
      </c>
      <c r="E2252" t="str">
        <f t="shared" si="2141"/>
        <v>GWth/yr.</v>
      </c>
      <c r="F2252" s="1" cm="1">
        <f t="array" ref="F2252">SUMPRODUCT(([1]OUT_FinalEnergyCons!$B$4:$B$10000="var_ncap")*1, (ISNUMBER(SEARCH("RH*-SHH2BR",[1]OUT_FinalEnergyCons!$A$4:$A$10000)))*1,[1]OUT_FinalEnergyCons!D$4:D$10000)</f>
        <v>0</v>
      </c>
      <c r="G2252" s="1" cm="1">
        <f t="array" ref="G2252">SUMPRODUCT(([1]OUT_FinalEnergyCons!$B$4:$B$10000="var_ncap")*1, (ISNUMBER(SEARCH("RH*-SHH2BR",[1]OUT_FinalEnergyCons!$A$4:$A$10000)))*1,[1]OUT_FinalEnergyCons!E$4:E$10000)</f>
        <v>0</v>
      </c>
      <c r="H2252" s="1" cm="1">
        <f t="array" ref="H2252">SUMPRODUCT(([1]OUT_FinalEnergyCons!$B$4:$B$10000="var_ncap")*1, (ISNUMBER(SEARCH("RH*-SHH2BR",[1]OUT_FinalEnergyCons!$A$4:$A$10000)))*1,[1]OUT_FinalEnergyCons!F$4:F$10000)</f>
        <v>0</v>
      </c>
      <c r="I2252" s="1" cm="1">
        <f t="array" ref="I2252">SUMPRODUCT(([1]OUT_FinalEnergyCons!$B$4:$B$10000="var_ncap")*1, (ISNUMBER(SEARCH("RH*-SHH2BR",[1]OUT_FinalEnergyCons!$A$4:$A$10000)))*1,[1]OUT_FinalEnergyCons!G$4:G$10000)</f>
        <v>0</v>
      </c>
      <c r="J2252" s="1" cm="1">
        <f t="array" ref="J2252">SUMPRODUCT(([2]OUT_FinalEnergyCons!$B$4:$B$10000="var_ncap")*1, (ISNUMBER(SEARCH("RH*-SHH2BR",[2]OUT_FinalEnergyCons!$A$4:$A$10000)))*1,[2]OUT_FinalEnergyCons!H$4:H$10000)</f>
        <v>0</v>
      </c>
      <c r="K2252" s="1" cm="1">
        <f t="array" ref="K2252">SUMPRODUCT(([2]OUT_FinalEnergyCons!$B$4:$B$10000="var_ncap")*1, (ISNUMBER(SEARCH("RH*-SHH2BR",[2]OUT_FinalEnergyCons!$A$4:$A$10000)))*1,[2]OUT_FinalEnergyCons!I$4:I$10000)</f>
        <v>0</v>
      </c>
      <c r="L2252" s="1" cm="1">
        <f t="array" ref="L2252">SUMPRODUCT(([2]OUT_FinalEnergyCons!$B$4:$B$10000="var_ncap")*1, (ISNUMBER(SEARCH("RH*-SHH2BR",[2]OUT_FinalEnergyCons!$A$4:$A$10000)))*1,[2]OUT_FinalEnergyCons!J$4:J$10000)</f>
        <v>0</v>
      </c>
      <c r="N2252" s="1"/>
    </row>
    <row r="2253" spans="2:14" x14ac:dyDescent="0.35">
      <c r="B2253" s="5" t="str">
        <f t="shared" si="2139"/>
        <v>SPS1</v>
      </c>
      <c r="C2253" s="5" t="str">
        <f t="shared" si="2140"/>
        <v>CH</v>
      </c>
      <c r="D2253" t="s">
        <v>2387</v>
      </c>
      <c r="E2253" t="str">
        <f t="shared" si="2141"/>
        <v>GWth/yr.</v>
      </c>
      <c r="F2253" s="1">
        <f t="shared" ref="F2253:K2253" si="2150">SUM(F2254,F2257,F2259,F2262,F2264,F2266,F2268,F2270)</f>
        <v>3.3706595558199098E-6</v>
      </c>
      <c r="G2253" s="1">
        <f t="shared" si="2150"/>
        <v>0.15658223325692866</v>
      </c>
      <c r="H2253" s="1">
        <f t="shared" si="2150"/>
        <v>0.16336308866212593</v>
      </c>
      <c r="I2253" s="1">
        <f t="shared" si="2150"/>
        <v>0.24465652681281969</v>
      </c>
      <c r="J2253" s="1">
        <f t="shared" si="2150"/>
        <v>0.80603210021024252</v>
      </c>
      <c r="K2253" s="1">
        <f t="shared" si="2150"/>
        <v>0.84034566476600392</v>
      </c>
      <c r="L2253" s="1">
        <f t="shared" ref="L2253" si="2151">SUM(L2254,L2257,L2259,L2262,L2264,L2266,L2268,L2270)</f>
        <v>1.1554144780564006</v>
      </c>
      <c r="N2253" s="1"/>
    </row>
    <row r="2254" spans="2:14" x14ac:dyDescent="0.35">
      <c r="B2254" s="5" t="str">
        <f t="shared" si="2139"/>
        <v>SPS1</v>
      </c>
      <c r="C2254" s="5" t="str">
        <f t="shared" si="2140"/>
        <v>CH</v>
      </c>
      <c r="D2254" t="s">
        <v>2388</v>
      </c>
      <c r="E2254" t="str">
        <f t="shared" si="2141"/>
        <v>GWth/yr.</v>
      </c>
      <c r="F2254" s="1">
        <f t="shared" ref="F2254:K2254" si="2152">SUM(F2255:F2256)</f>
        <v>3.3706595558199098E-6</v>
      </c>
      <c r="G2254" s="1">
        <f t="shared" si="2152"/>
        <v>6.6984198915960608E-2</v>
      </c>
      <c r="H2254" s="1">
        <f t="shared" si="2152"/>
        <v>6.7654678200574303E-2</v>
      </c>
      <c r="I2254" s="1">
        <f t="shared" si="2152"/>
        <v>0.1511064279427122</v>
      </c>
      <c r="J2254" s="1">
        <f t="shared" si="2152"/>
        <v>0.35792343209700184</v>
      </c>
      <c r="K2254" s="1">
        <f t="shared" si="2152"/>
        <v>0.36047189091815302</v>
      </c>
      <c r="L2254" s="1">
        <f t="shared" ref="L2254" si="2153">SUM(L2255:L2256)</f>
        <v>0.6281947387951462</v>
      </c>
      <c r="N2254" s="1"/>
    </row>
    <row r="2255" spans="2:14" x14ac:dyDescent="0.35">
      <c r="B2255" s="5" t="str">
        <f t="shared" si="2139"/>
        <v>SPS1</v>
      </c>
      <c r="C2255" s="5" t="str">
        <f t="shared" si="2140"/>
        <v>CH</v>
      </c>
      <c r="D2255" t="s">
        <v>2389</v>
      </c>
      <c r="E2255" t="str">
        <f t="shared" si="2141"/>
        <v>GWth/yr.</v>
      </c>
      <c r="F2255" s="1" cm="1">
        <f t="array" ref="F2255">SUMPRODUCT(([1]OUT_FinalEnergyCons!$B$4:$B$10000="var_ncap")*1,(ISNUMBER(SEARCH("RH*-WHELCBR",[1]OUT_FinalEnergyCons!$A$4:$A$10000)))*1,[1]OUT_FinalEnergyCons!D$4:D$10000)</f>
        <v>1.6636851702083401E-6</v>
      </c>
      <c r="G2255" s="1" cm="1">
        <f t="array" ref="G2255">SUMPRODUCT(([1]OUT_FinalEnergyCons!$B$4:$B$10000="var_ncap")*1,(ISNUMBER(SEARCH("RH*-WHELCBR",[1]OUT_FinalEnergyCons!$A$4:$A$10000)))*1,[1]OUT_FinalEnergyCons!E$4:E$10000)</f>
        <v>3.4215623050409899E-2</v>
      </c>
      <c r="H2255" s="1" cm="1">
        <f t="array" ref="H2255">SUMPRODUCT(([1]OUT_FinalEnergyCons!$B$4:$B$10000="var_ncap")*1,(ISNUMBER(SEARCH("RH*-WHELCBR",[1]OUT_FinalEnergyCons!$A$4:$A$10000)))*1,[1]OUT_FinalEnergyCons!F$4:F$10000)</f>
        <v>5.9377273408906301E-8</v>
      </c>
      <c r="I2255" s="1" cm="1">
        <f t="array" ref="I2255">SUMPRODUCT(([1]OUT_FinalEnergyCons!$B$4:$B$10000="var_ncap")*1,(ISNUMBER(SEARCH("RH*-WHELCBR",[1]OUT_FinalEnergyCons!$A$4:$A$10000)))*1,[1]OUT_FinalEnergyCons!G$4:G$10000)</f>
        <v>9.9758635224826499E-8</v>
      </c>
      <c r="J2255" s="1" cm="1">
        <f t="array" ref="J2255">SUMPRODUCT(([2]OUT_FinalEnergyCons!$B$4:$B$10000="var_ncap")*1,(ISNUMBER(SEARCH("RH*-WHELCBR",[2]OUT_FinalEnergyCons!$A$4:$A$10000)))*1,[2]OUT_FinalEnergyCons!H$4:H$10000)</f>
        <v>6.2386089853897798E-2</v>
      </c>
      <c r="K2255" s="1" cm="1">
        <f t="array" ref="K2255">SUMPRODUCT(([2]OUT_FinalEnergyCons!$B$4:$B$10000="var_ncap")*1,(ISNUMBER(SEARCH("RH*-WHELCBR",[2]OUT_FinalEnergyCons!$A$4:$A$10000)))*1,[2]OUT_FinalEnergyCons!I$4:I$10000)</f>
        <v>8.0157761280913994E-2</v>
      </c>
      <c r="L2255" s="1" cm="1">
        <f t="array" ref="L2255">SUMPRODUCT(([2]OUT_FinalEnergyCons!$B$4:$B$10000="var_ncap")*1,(ISNUMBER(SEARCH("RH*-WHELCBR",[2]OUT_FinalEnergyCons!$A$4:$A$10000)))*1,[2]OUT_FinalEnergyCons!J$4:J$10000)</f>
        <v>3.95839994064432E-2</v>
      </c>
      <c r="N2255" s="1"/>
    </row>
    <row r="2256" spans="2:14" x14ac:dyDescent="0.35">
      <c r="B2256" s="5" t="str">
        <f t="shared" si="2139"/>
        <v>SPS1</v>
      </c>
      <c r="C2256" s="5" t="str">
        <f t="shared" si="2140"/>
        <v>CH</v>
      </c>
      <c r="D2256" t="s">
        <v>2390</v>
      </c>
      <c r="E2256" t="str">
        <f t="shared" si="2141"/>
        <v>GWth/yr.</v>
      </c>
      <c r="F2256" s="1" cm="1">
        <f t="array" ref="F2256">SUMPRODUCT(([1]OUT_FinalEnergyCons!$B$4:$B$10000="var_ncap")*1,ISNUMBER(SEARCH("RH*-WHELCHP",[1]OUT_FinalEnergyCons!$A$4:$A$10000))*1,[1]OUT_FinalEnergyCons!D$4:D$10000)</f>
        <v>1.7069743856115699E-6</v>
      </c>
      <c r="G2256" s="1" cm="1">
        <f t="array" ref="G2256">SUMPRODUCT(([1]OUT_FinalEnergyCons!$B$4:$B$10000="var_ncap")*1,ISNUMBER(SEARCH("RH*-WHELCHP",[1]OUT_FinalEnergyCons!$A$4:$A$10000))*1,[1]OUT_FinalEnergyCons!E$4:E$10000)</f>
        <v>3.2768575865550702E-2</v>
      </c>
      <c r="H2256" s="1" cm="1">
        <f t="array" ref="H2256">SUMPRODUCT(([1]OUT_FinalEnergyCons!$B$4:$B$10000="var_ncap")*1,ISNUMBER(SEARCH("RH*-WHELCHP",[1]OUT_FinalEnergyCons!$A$4:$A$10000))*1,[1]OUT_FinalEnergyCons!F$4:F$10000)</f>
        <v>6.7654618823300899E-2</v>
      </c>
      <c r="I2256" s="1" cm="1">
        <f t="array" ref="I2256">SUMPRODUCT(([1]OUT_FinalEnergyCons!$B$4:$B$10000="var_ncap")*1,ISNUMBER(SEARCH("RH*-WHELCHP",[1]OUT_FinalEnergyCons!$A$4:$A$10000))*1,[1]OUT_FinalEnergyCons!G$4:G$10000)</f>
        <v>0.15110632818407699</v>
      </c>
      <c r="J2256" s="1" cm="1">
        <f t="array" ref="J2256">SUMPRODUCT(([2]OUT_FinalEnergyCons!$B$4:$B$10000="var_ncap")*1,ISNUMBER(SEARCH("RH*-WHELCHP",[2]OUT_FinalEnergyCons!$A$4:$A$10000))*1,[2]OUT_FinalEnergyCons!H$4:H$10000)</f>
        <v>0.29553734224310402</v>
      </c>
      <c r="K2256" s="1" cm="1">
        <f t="array" ref="K2256">SUMPRODUCT(([2]OUT_FinalEnergyCons!$B$4:$B$10000="var_ncap")*1,ISNUMBER(SEARCH("RH*-WHELCHP",[2]OUT_FinalEnergyCons!$A$4:$A$10000))*1,[2]OUT_FinalEnergyCons!I$4:I$10000)</f>
        <v>0.28031412963723901</v>
      </c>
      <c r="L2256" s="1" cm="1">
        <f t="array" ref="L2256">SUMPRODUCT(([2]OUT_FinalEnergyCons!$B$4:$B$10000="var_ncap")*1,ISNUMBER(SEARCH("RH*-WHELCHP",[2]OUT_FinalEnergyCons!$A$4:$A$10000))*1,[2]OUT_FinalEnergyCons!J$4:J$10000)</f>
        <v>0.58861073938870301</v>
      </c>
      <c r="N2256" s="1"/>
    </row>
    <row r="2257" spans="2:14" x14ac:dyDescent="0.35">
      <c r="B2257" s="5" t="str">
        <f t="shared" si="2139"/>
        <v>SPS1</v>
      </c>
      <c r="C2257" s="5" t="str">
        <f t="shared" si="2140"/>
        <v>CH</v>
      </c>
      <c r="D2257" t="s">
        <v>2391</v>
      </c>
      <c r="E2257" t="str">
        <f t="shared" si="2141"/>
        <v>GWth/yr.</v>
      </c>
      <c r="F2257" s="1">
        <f t="shared" ref="F2257:L2257" si="2154">F2258</f>
        <v>0</v>
      </c>
      <c r="G2257" s="1">
        <f t="shared" si="2154"/>
        <v>2.7822498894335399E-8</v>
      </c>
      <c r="H2257" s="1">
        <f t="shared" si="2154"/>
        <v>2.4241944666567001E-8</v>
      </c>
      <c r="I2257" s="1">
        <f t="shared" si="2154"/>
        <v>4.9853241502545902E-8</v>
      </c>
      <c r="J2257" s="1">
        <f t="shared" si="2154"/>
        <v>4.1636322733756601E-2</v>
      </c>
      <c r="K2257" s="1">
        <f t="shared" si="2154"/>
        <v>8.2608779462816001E-2</v>
      </c>
      <c r="L2257" s="1">
        <f t="shared" si="2154"/>
        <v>0</v>
      </c>
      <c r="N2257" s="1"/>
    </row>
    <row r="2258" spans="2:14" x14ac:dyDescent="0.35">
      <c r="B2258" s="5" t="str">
        <f t="shared" si="2139"/>
        <v>SPS1</v>
      </c>
      <c r="C2258" s="5" t="str">
        <f t="shared" si="2140"/>
        <v>CH</v>
      </c>
      <c r="D2258" t="s">
        <v>2392</v>
      </c>
      <c r="E2258" t="str">
        <f t="shared" si="2141"/>
        <v>GWth/yr.</v>
      </c>
      <c r="F2258" s="1" cm="1">
        <f t="array" ref="F2258">SUMPRODUCT(([1]OUT_FinalEnergyCons!$B$4:$B$10000="var_ncap")*1, (ISNUMBER(SEARCH("RH*-WHLFOBR",[1]OUT_FinalEnergyCons!$A$4:$A$10000)))*1,[1]OUT_FinalEnergyCons!D$4:D$10000)</f>
        <v>0</v>
      </c>
      <c r="G2258" s="1" cm="1">
        <f t="array" ref="G2258">SUMPRODUCT(([1]OUT_FinalEnergyCons!$B$4:$B$10000="var_ncap")*1, (ISNUMBER(SEARCH("RH*-WHLFOBR",[1]OUT_FinalEnergyCons!$A$4:$A$10000)))*1,[1]OUT_FinalEnergyCons!E$4:E$10000)</f>
        <v>2.7822498894335399E-8</v>
      </c>
      <c r="H2258" s="1" cm="1">
        <f t="array" ref="H2258">SUMPRODUCT(([1]OUT_FinalEnergyCons!$B$4:$B$10000="var_ncap")*1, (ISNUMBER(SEARCH("RH*-WHLFOBR",[1]OUT_FinalEnergyCons!$A$4:$A$10000)))*1,[1]OUT_FinalEnergyCons!F$4:F$10000)</f>
        <v>2.4241944666567001E-8</v>
      </c>
      <c r="I2258" s="1" cm="1">
        <f t="array" ref="I2258">SUMPRODUCT(([1]OUT_FinalEnergyCons!$B$4:$B$10000="var_ncap")*1, (ISNUMBER(SEARCH("RH*-WHLFOBR",[1]OUT_FinalEnergyCons!$A$4:$A$10000)))*1,[1]OUT_FinalEnergyCons!G$4:G$10000)</f>
        <v>4.9853241502545902E-8</v>
      </c>
      <c r="J2258" s="1" cm="1">
        <f t="array" ref="J2258">SUMPRODUCT(([2]OUT_FinalEnergyCons!$B$4:$B$10000="var_ncap")*1, (ISNUMBER(SEARCH("RH*-WHLFOBR",[2]OUT_FinalEnergyCons!$A$4:$A$10000)))*1,[2]OUT_FinalEnergyCons!H$4:H$10000)</f>
        <v>4.1636322733756601E-2</v>
      </c>
      <c r="K2258" s="1" cm="1">
        <f t="array" ref="K2258">SUMPRODUCT(([2]OUT_FinalEnergyCons!$B$4:$B$10000="var_ncap")*1, (ISNUMBER(SEARCH("RH*-WHLFOBR",[2]OUT_FinalEnergyCons!$A$4:$A$10000)))*1,[2]OUT_FinalEnergyCons!I$4:I$10000)</f>
        <v>8.2608779462816001E-2</v>
      </c>
      <c r="L2258" s="1" cm="1">
        <f t="array" ref="L2258">SUMPRODUCT(([2]OUT_FinalEnergyCons!$B$4:$B$10000="var_ncap")*1, (ISNUMBER(SEARCH("RH*-WHLFOBR",[2]OUT_FinalEnergyCons!$A$4:$A$10000)))*1,[2]OUT_FinalEnergyCons!J$4:J$10000)</f>
        <v>0</v>
      </c>
      <c r="N2258" s="1"/>
    </row>
    <row r="2259" spans="2:14" x14ac:dyDescent="0.35">
      <c r="B2259" s="5" t="str">
        <f t="shared" si="2139"/>
        <v>SPS1</v>
      </c>
      <c r="C2259" s="5" t="str">
        <f t="shared" si="2140"/>
        <v>CH</v>
      </c>
      <c r="D2259" t="s">
        <v>2393</v>
      </c>
      <c r="E2259" t="str">
        <f t="shared" si="2141"/>
        <v>GWth/yr.</v>
      </c>
      <c r="F2259" s="1">
        <f t="shared" ref="F2259:K2259" si="2155">SUM(F2260:F2261)</f>
        <v>0</v>
      </c>
      <c r="G2259" s="1">
        <f t="shared" si="2155"/>
        <v>1.137152427789316E-7</v>
      </c>
      <c r="H2259" s="1">
        <f t="shared" si="2155"/>
        <v>5.9459533720797528E-2</v>
      </c>
      <c r="I2259" s="1">
        <f t="shared" si="2155"/>
        <v>8.5647488070235298E-2</v>
      </c>
      <c r="J2259" s="1">
        <f t="shared" si="2155"/>
        <v>0.20772690333536242</v>
      </c>
      <c r="K2259" s="1">
        <f t="shared" si="2155"/>
        <v>0.21207727558938669</v>
      </c>
      <c r="L2259" s="1">
        <f t="shared" ref="L2259" si="2156">SUM(L2260:L2261)</f>
        <v>0.30165131181802152</v>
      </c>
      <c r="N2259" s="1"/>
    </row>
    <row r="2260" spans="2:14" x14ac:dyDescent="0.35">
      <c r="B2260" s="5" t="str">
        <f t="shared" si="2139"/>
        <v>SPS1</v>
      </c>
      <c r="C2260" s="5" t="str">
        <f t="shared" si="2140"/>
        <v>CH</v>
      </c>
      <c r="D2260" t="s">
        <v>2394</v>
      </c>
      <c r="E2260" t="str">
        <f t="shared" si="2141"/>
        <v>GWth/yr.</v>
      </c>
      <c r="F2260" s="1" cm="1">
        <f t="array" ref="F2260">SUMPRODUCT(([1]OUT_FinalEnergyCons!$B$4:$B$10000="var_ncap")*1, (ISNUMBER(SEARCH("RH*-WHNGABR",[1]OUT_FinalEnergyCons!$A$4:$A$10000)))*1,[1]OUT_FinalEnergyCons!D$4:D$10000)</f>
        <v>0</v>
      </c>
      <c r="G2260" s="1" cm="1">
        <f t="array" ref="G2260">SUMPRODUCT(([1]OUT_FinalEnergyCons!$B$4:$B$10000="var_ncap")*1, (ISNUMBER(SEARCH("RH*-WHNGABR",[1]OUT_FinalEnergyCons!$A$4:$A$10000)))*1,[1]OUT_FinalEnergyCons!E$4:E$10000)</f>
        <v>4.19565027487613E-8</v>
      </c>
      <c r="H2260" s="1" cm="1">
        <f t="array" ref="H2260">SUMPRODUCT(([1]OUT_FinalEnergyCons!$B$4:$B$10000="var_ncap")*1, (ISNUMBER(SEARCH("RH*-WHNGABR",[1]OUT_FinalEnergyCons!$A$4:$A$10000)))*1,[1]OUT_FinalEnergyCons!F$4:F$10000)</f>
        <v>4.8523353225387798E-8</v>
      </c>
      <c r="I2260" s="1" cm="1">
        <f t="array" ref="I2260">SUMPRODUCT(([1]OUT_FinalEnergyCons!$B$4:$B$10000="var_ncap")*1, (ISNUMBER(SEARCH("RH*-WHNGABR",[1]OUT_FinalEnergyCons!$A$4:$A$10000)))*1,[1]OUT_FinalEnergyCons!G$4:G$10000)</f>
        <v>5.8953645705452597E-8</v>
      </c>
      <c r="J2260" s="1" cm="1">
        <f t="array" ref="J2260">SUMPRODUCT(([2]OUT_FinalEnergyCons!$B$4:$B$10000="var_ncap")*1, (ISNUMBER(SEARCH("RH*-WHNGABR",[2]OUT_FinalEnergyCons!$A$4:$A$10000)))*1,[2]OUT_FinalEnergyCons!H$4:H$10000)</f>
        <v>0.14046788535112301</v>
      </c>
      <c r="K2260" s="1" cm="1">
        <f t="array" ref="K2260">SUMPRODUCT(([2]OUT_FinalEnergyCons!$B$4:$B$10000="var_ncap")*1, (ISNUMBER(SEARCH("RH*-WHNGABR",[2]OUT_FinalEnergyCons!$A$4:$A$10000)))*1,[2]OUT_FinalEnergyCons!I$4:I$10000)</f>
        <v>7.5208709019282699E-2</v>
      </c>
      <c r="L2260" s="1" cm="1">
        <f t="array" ref="L2260">SUMPRODUCT(([2]OUT_FinalEnergyCons!$B$4:$B$10000="var_ncap")*1, (ISNUMBER(SEARCH("RH*-WHNGABR",[2]OUT_FinalEnergyCons!$A$4:$A$10000)))*1,[2]OUT_FinalEnergyCons!J$4:J$10000)</f>
        <v>2.8219976318595501E-2</v>
      </c>
      <c r="N2260" s="1"/>
    </row>
    <row r="2261" spans="2:14" x14ac:dyDescent="0.35">
      <c r="B2261" s="5" t="str">
        <f t="shared" si="2139"/>
        <v>SPS1</v>
      </c>
      <c r="C2261" s="5" t="str">
        <f t="shared" si="2140"/>
        <v>CH</v>
      </c>
      <c r="D2261" t="s">
        <v>2395</v>
      </c>
      <c r="E2261" t="str">
        <f t="shared" si="2141"/>
        <v>GWth/yr.</v>
      </c>
      <c r="F2261" s="1" cm="1">
        <f t="array" ref="F2261">SUMPRODUCT(([1]OUT_FinalEnergyCons!$B$4:$B$10000="var_ncap")*1,ISNUMBER(SEARCH("RH*-WHngahp",[1]OUT_FinalEnergyCons!$A$4:$A$10000))*1,[1]OUT_FinalEnergyCons!D$4:D$10000)</f>
        <v>0</v>
      </c>
      <c r="G2261" s="1" cm="1">
        <f t="array" ref="G2261">SUMPRODUCT(([1]OUT_FinalEnergyCons!$B$4:$B$10000="var_ncap")*1,ISNUMBER(SEARCH("RH*-WHngahp",[1]OUT_FinalEnergyCons!$A$4:$A$10000))*1,[1]OUT_FinalEnergyCons!E$4:E$10000)</f>
        <v>7.1758740030170305E-8</v>
      </c>
      <c r="H2261" s="1" cm="1">
        <f t="array" ref="H2261">SUMPRODUCT(([1]OUT_FinalEnergyCons!$B$4:$B$10000="var_ncap")*1,ISNUMBER(SEARCH("RH*-WHngahp",[1]OUT_FinalEnergyCons!$A$4:$A$10000))*1,[1]OUT_FinalEnergyCons!F$4:F$10000)</f>
        <v>5.9459485197444303E-2</v>
      </c>
      <c r="I2261" s="1" cm="1">
        <f t="array" ref="I2261">SUMPRODUCT(([1]OUT_FinalEnergyCons!$B$4:$B$10000="var_ncap")*1,ISNUMBER(SEARCH("RH*-WHngahp",[1]OUT_FinalEnergyCons!$A$4:$A$10000))*1,[1]OUT_FinalEnergyCons!G$4:G$10000)</f>
        <v>8.5647429116589596E-2</v>
      </c>
      <c r="J2261" s="1" cm="1">
        <f t="array" ref="J2261">SUMPRODUCT(([2]OUT_FinalEnergyCons!$B$4:$B$10000="var_ncap")*1,ISNUMBER(SEARCH("RH*-WHngahp",[2]OUT_FinalEnergyCons!$A$4:$A$10000))*1,[2]OUT_FinalEnergyCons!H$4:H$10000)</f>
        <v>6.7259017984239403E-2</v>
      </c>
      <c r="K2261" s="1" cm="1">
        <f t="array" ref="K2261">SUMPRODUCT(([2]OUT_FinalEnergyCons!$B$4:$B$10000="var_ncap")*1,ISNUMBER(SEARCH("RH*-WHngahp",[2]OUT_FinalEnergyCons!$A$4:$A$10000))*1,[2]OUT_FinalEnergyCons!I$4:I$10000)</f>
        <v>0.13686856657010399</v>
      </c>
      <c r="L2261" s="1" cm="1">
        <f t="array" ref="L2261">SUMPRODUCT(([2]OUT_FinalEnergyCons!$B$4:$B$10000="var_ncap")*1,ISNUMBER(SEARCH("RH*-WHngahp",[2]OUT_FinalEnergyCons!$A$4:$A$10000))*1,[2]OUT_FinalEnergyCons!J$4:J$10000)</f>
        <v>0.273431335499426</v>
      </c>
      <c r="N2261" s="1"/>
    </row>
    <row r="2262" spans="2:14" x14ac:dyDescent="0.35">
      <c r="B2262" s="5" t="str">
        <f t="shared" si="2139"/>
        <v>SPS1</v>
      </c>
      <c r="C2262" s="5" t="str">
        <f t="shared" si="2140"/>
        <v>CH</v>
      </c>
      <c r="D2262" t="s">
        <v>2396</v>
      </c>
      <c r="E2262" t="str">
        <f t="shared" si="2141"/>
        <v>GWth/yr.</v>
      </c>
      <c r="F2262" s="1">
        <f t="shared" ref="F2262:L2262" si="2157">F2263</f>
        <v>0</v>
      </c>
      <c r="G2262" s="1">
        <f t="shared" si="2157"/>
        <v>0</v>
      </c>
      <c r="H2262" s="1">
        <f t="shared" si="2157"/>
        <v>0</v>
      </c>
      <c r="I2262" s="1">
        <f t="shared" si="2157"/>
        <v>0</v>
      </c>
      <c r="J2262" s="1">
        <f t="shared" si="2157"/>
        <v>0</v>
      </c>
      <c r="K2262" s="1">
        <f t="shared" si="2157"/>
        <v>0</v>
      </c>
      <c r="L2262" s="1">
        <f t="shared" si="2157"/>
        <v>0</v>
      </c>
      <c r="N2262" s="1"/>
    </row>
    <row r="2263" spans="2:14" x14ac:dyDescent="0.35">
      <c r="B2263" s="5" t="str">
        <f t="shared" si="2139"/>
        <v>SPS1</v>
      </c>
      <c r="C2263" s="5" t="str">
        <f t="shared" si="2140"/>
        <v>CH</v>
      </c>
      <c r="D2263" t="s">
        <v>2397</v>
      </c>
      <c r="E2263" t="str">
        <f t="shared" si="2141"/>
        <v>GWth/yr.</v>
      </c>
      <c r="F2263" s="1" cm="1">
        <f t="array" ref="F2263">SUMPRODUCT(([1]OUT_FinalEnergyCons!$B$4:$B$10000="var_ncap")*1, (ISNUMBER(SEARCH("RH*-WHCOABR",[1]OUT_FinalEnergyCons!$A$4:$A$10000)))*1,[1]OUT_FinalEnergyCons!D$4:D$10000)</f>
        <v>0</v>
      </c>
      <c r="G2263" s="1" cm="1">
        <f t="array" ref="G2263">SUMPRODUCT(([1]OUT_FinalEnergyCons!$B$4:$B$10000="var_ncap")*1, (ISNUMBER(SEARCH("RH*-WHCOABR",[1]OUT_FinalEnergyCons!$A$4:$A$10000)))*1,[1]OUT_FinalEnergyCons!E$4:E$10000)</f>
        <v>0</v>
      </c>
      <c r="H2263" s="1" cm="1">
        <f t="array" ref="H2263">SUMPRODUCT(([1]OUT_FinalEnergyCons!$B$4:$B$10000="var_ncap")*1, (ISNUMBER(SEARCH("RH*-WHCOABR",[1]OUT_FinalEnergyCons!$A$4:$A$10000)))*1,[1]OUT_FinalEnergyCons!F$4:F$10000)</f>
        <v>0</v>
      </c>
      <c r="I2263" s="1" cm="1">
        <f t="array" ref="I2263">SUMPRODUCT(([1]OUT_FinalEnergyCons!$B$4:$B$10000="var_ncap")*1, (ISNUMBER(SEARCH("RH*-WHCOABR",[1]OUT_FinalEnergyCons!$A$4:$A$10000)))*1,[1]OUT_FinalEnergyCons!G$4:G$10000)</f>
        <v>0</v>
      </c>
      <c r="J2263" s="1" cm="1">
        <f t="array" ref="J2263">SUMPRODUCT(([2]OUT_FinalEnergyCons!$B$4:$B$10000="var_ncap")*1, (ISNUMBER(SEARCH("RH*-WHCOABR",[2]OUT_FinalEnergyCons!$A$4:$A$10000)))*1,[2]OUT_FinalEnergyCons!H$4:H$10000)</f>
        <v>0</v>
      </c>
      <c r="K2263" s="1" cm="1">
        <f t="array" ref="K2263">SUMPRODUCT(([2]OUT_FinalEnergyCons!$B$4:$B$10000="var_ncap")*1, (ISNUMBER(SEARCH("RH*-WHCOABR",[2]OUT_FinalEnergyCons!$A$4:$A$10000)))*1,[2]OUT_FinalEnergyCons!I$4:I$10000)</f>
        <v>0</v>
      </c>
      <c r="L2263" s="1" cm="1">
        <f t="array" ref="L2263">SUMPRODUCT(([2]OUT_FinalEnergyCons!$B$4:$B$10000="var_ncap")*1, (ISNUMBER(SEARCH("RH*-WHCOABR",[2]OUT_FinalEnergyCons!$A$4:$A$10000)))*1,[2]OUT_FinalEnergyCons!J$4:J$10000)</f>
        <v>0</v>
      </c>
      <c r="N2263" s="1"/>
    </row>
    <row r="2264" spans="2:14" x14ac:dyDescent="0.35">
      <c r="B2264" s="5" t="str">
        <f t="shared" si="2139"/>
        <v>SPS1</v>
      </c>
      <c r="C2264" s="5" t="str">
        <f t="shared" si="2140"/>
        <v>CH</v>
      </c>
      <c r="D2264" t="s">
        <v>2398</v>
      </c>
      <c r="E2264" t="str">
        <f t="shared" si="2141"/>
        <v>GWth/yr.</v>
      </c>
      <c r="F2264" s="1">
        <f t="shared" ref="F2264:L2264" si="2158">F2265</f>
        <v>0</v>
      </c>
      <c r="G2264" s="1">
        <f t="shared" si="2158"/>
        <v>5.1141681915983003E-3</v>
      </c>
      <c r="H2264" s="1">
        <f t="shared" si="2158"/>
        <v>3.6248745382499503E-2</v>
      </c>
      <c r="I2264" s="1">
        <f t="shared" si="2158"/>
        <v>7.9021595161018199E-3</v>
      </c>
      <c r="J2264" s="1">
        <f t="shared" si="2158"/>
        <v>3.7562004273725601E-2</v>
      </c>
      <c r="K2264" s="1">
        <f t="shared" si="2158"/>
        <v>4.5007674989370201E-2</v>
      </c>
      <c r="L2264" s="1">
        <f t="shared" si="2158"/>
        <v>4.4837110193209698E-2</v>
      </c>
      <c r="N2264" s="1"/>
    </row>
    <row r="2265" spans="2:14" x14ac:dyDescent="0.35">
      <c r="B2265" s="5" t="str">
        <f t="shared" si="2139"/>
        <v>SPS1</v>
      </c>
      <c r="C2265" s="5" t="str">
        <f t="shared" si="2140"/>
        <v>CH</v>
      </c>
      <c r="D2265" t="s">
        <v>2399</v>
      </c>
      <c r="E2265" t="str">
        <f t="shared" si="2141"/>
        <v>GWth/yr.</v>
      </c>
      <c r="F2265" s="1" cm="1">
        <f t="array" ref="F2265">SUMPRODUCT(([1]OUT_FinalEnergyCons!$B$4:$B$10000="var_ncap")*1, (ISNUMBER(SEARCH("RH*-WHWODBR",[1]OUT_FinalEnergyCons!$A$4:$A$10000)))*1,[1]OUT_FinalEnergyCons!D$4:D$10000)</f>
        <v>0</v>
      </c>
      <c r="G2265" s="1" cm="1">
        <f t="array" ref="G2265">SUMPRODUCT(([1]OUT_FinalEnergyCons!$B$4:$B$10000="var_ncap")*1, (ISNUMBER(SEARCH("RH*-WHWODBR",[1]OUT_FinalEnergyCons!$A$4:$A$10000)))*1,[1]OUT_FinalEnergyCons!E$4:E$10000)</f>
        <v>5.1141681915983003E-3</v>
      </c>
      <c r="H2265" s="1" cm="1">
        <f t="array" ref="H2265">SUMPRODUCT(([1]OUT_FinalEnergyCons!$B$4:$B$10000="var_ncap")*1, (ISNUMBER(SEARCH("RH*-WHWODBR",[1]OUT_FinalEnergyCons!$A$4:$A$10000)))*1,[1]OUT_FinalEnergyCons!F$4:F$10000)</f>
        <v>3.6248745382499503E-2</v>
      </c>
      <c r="I2265" s="1" cm="1">
        <f t="array" ref="I2265">SUMPRODUCT(([1]OUT_FinalEnergyCons!$B$4:$B$10000="var_ncap")*1, (ISNUMBER(SEARCH("RH*-WHWODBR",[1]OUT_FinalEnergyCons!$A$4:$A$10000)))*1,[1]OUT_FinalEnergyCons!G$4:G$10000)</f>
        <v>7.9021595161018199E-3</v>
      </c>
      <c r="J2265" s="1" cm="1">
        <f t="array" ref="J2265">SUMPRODUCT(([2]OUT_FinalEnergyCons!$B$4:$B$10000="var_ncap")*1, (ISNUMBER(SEARCH("RH*-WHWODBR",[2]OUT_FinalEnergyCons!$A$4:$A$10000)))*1,[2]OUT_FinalEnergyCons!H$4:H$10000)</f>
        <v>3.7562004273725601E-2</v>
      </c>
      <c r="K2265" s="1" cm="1">
        <f t="array" ref="K2265">SUMPRODUCT(([2]OUT_FinalEnergyCons!$B$4:$B$10000="var_ncap")*1, (ISNUMBER(SEARCH("RH*-WHWODBR",[2]OUT_FinalEnergyCons!$A$4:$A$10000)))*1,[2]OUT_FinalEnergyCons!I$4:I$10000)</f>
        <v>4.5007674989370201E-2</v>
      </c>
      <c r="L2265" s="1" cm="1">
        <f t="array" ref="L2265">SUMPRODUCT(([2]OUT_FinalEnergyCons!$B$4:$B$10000="var_ncap")*1, (ISNUMBER(SEARCH("RH*-WHWODBR",[2]OUT_FinalEnergyCons!$A$4:$A$10000)))*1,[2]OUT_FinalEnergyCons!J$4:J$10000)</f>
        <v>4.4837110193209698E-2</v>
      </c>
      <c r="N2265" s="1"/>
    </row>
    <row r="2266" spans="2:14" x14ac:dyDescent="0.35">
      <c r="B2266" s="5" t="str">
        <f t="shared" si="2139"/>
        <v>SPS1</v>
      </c>
      <c r="C2266" s="5" t="str">
        <f t="shared" si="2140"/>
        <v>CH</v>
      </c>
      <c r="D2266" t="s">
        <v>2400</v>
      </c>
      <c r="E2266" t="str">
        <f t="shared" si="2141"/>
        <v>GWth/yr.</v>
      </c>
      <c r="F2266" s="1">
        <f t="shared" ref="F2266:L2266" si="2159">F2267</f>
        <v>0</v>
      </c>
      <c r="G2266" s="1">
        <f t="shared" si="2159"/>
        <v>1.95022187787249E-3</v>
      </c>
      <c r="H2266" s="1">
        <f t="shared" si="2159"/>
        <v>2.8862713371546399E-8</v>
      </c>
      <c r="I2266" s="1">
        <f t="shared" si="2159"/>
        <v>2.5657198421957902E-7</v>
      </c>
      <c r="J2266" s="1">
        <f t="shared" si="2159"/>
        <v>9.8142974034089499E-3</v>
      </c>
      <c r="K2266" s="1">
        <f t="shared" si="2159"/>
        <v>6.5165925999669397E-3</v>
      </c>
      <c r="L2266" s="1">
        <f t="shared" si="2159"/>
        <v>1.32610188758003E-2</v>
      </c>
      <c r="N2266" s="1"/>
    </row>
    <row r="2267" spans="2:14" x14ac:dyDescent="0.35">
      <c r="B2267" s="5" t="str">
        <f t="shared" si="2139"/>
        <v>SPS1</v>
      </c>
      <c r="C2267" s="5" t="str">
        <f t="shared" si="2140"/>
        <v>CH</v>
      </c>
      <c r="D2267" t="s">
        <v>2401</v>
      </c>
      <c r="E2267" t="str">
        <f t="shared" si="2141"/>
        <v>GWth/yr.</v>
      </c>
      <c r="F2267" s="1" cm="1">
        <f t="array" ref="F2267">SUMPRODUCT(([1]OUT_FinalEnergyCons!$B$4:$B$10000="var_ncap")*1, (ISNUMBER(SEARCH("RH*-WHPLTBR",[1]OUT_FinalEnergyCons!$A$4:$A$10000)))*1,[1]OUT_FinalEnergyCons!D$4:D$10000)</f>
        <v>0</v>
      </c>
      <c r="G2267" s="1" cm="1">
        <f t="array" ref="G2267">SUMPRODUCT(([1]OUT_FinalEnergyCons!$B$4:$B$10000="var_ncap")*1, (ISNUMBER(SEARCH("RH*-WHPLTBR",[1]OUT_FinalEnergyCons!$A$4:$A$10000)))*1,[1]OUT_FinalEnergyCons!E$4:E$10000)</f>
        <v>1.95022187787249E-3</v>
      </c>
      <c r="H2267" s="1" cm="1">
        <f t="array" ref="H2267">SUMPRODUCT(([1]OUT_FinalEnergyCons!$B$4:$B$10000="var_ncap")*1, (ISNUMBER(SEARCH("RH*-WHPLTBR",[1]OUT_FinalEnergyCons!$A$4:$A$10000)))*1,[1]OUT_FinalEnergyCons!F$4:F$10000)</f>
        <v>2.8862713371546399E-8</v>
      </c>
      <c r="I2267" s="1" cm="1">
        <f t="array" ref="I2267">SUMPRODUCT(([1]OUT_FinalEnergyCons!$B$4:$B$10000="var_ncap")*1, (ISNUMBER(SEARCH("RH*-WHPLTBR",[1]OUT_FinalEnergyCons!$A$4:$A$10000)))*1,[1]OUT_FinalEnergyCons!G$4:G$10000)</f>
        <v>2.5657198421957902E-7</v>
      </c>
      <c r="J2267" s="1" cm="1">
        <f t="array" ref="J2267">SUMPRODUCT(([2]OUT_FinalEnergyCons!$B$4:$B$10000="var_ncap")*1, (ISNUMBER(SEARCH("RH*-WHPLTBR",[2]OUT_FinalEnergyCons!$A$4:$A$10000)))*1,[2]OUT_FinalEnergyCons!H$4:H$10000)</f>
        <v>9.8142974034089499E-3</v>
      </c>
      <c r="K2267" s="1" cm="1">
        <f t="array" ref="K2267">SUMPRODUCT(([2]OUT_FinalEnergyCons!$B$4:$B$10000="var_ncap")*1, (ISNUMBER(SEARCH("RH*-WHPLTBR",[2]OUT_FinalEnergyCons!$A$4:$A$10000)))*1,[2]OUT_FinalEnergyCons!I$4:I$10000)</f>
        <v>6.5165925999669397E-3</v>
      </c>
      <c r="L2267" s="1" cm="1">
        <f t="array" ref="L2267">SUMPRODUCT(([2]OUT_FinalEnergyCons!$B$4:$B$10000="var_ncap")*1, (ISNUMBER(SEARCH("RH*-WHPLTBR",[2]OUT_FinalEnergyCons!$A$4:$A$10000)))*1,[2]OUT_FinalEnergyCons!J$4:J$10000)</f>
        <v>1.32610188758003E-2</v>
      </c>
      <c r="N2267" s="1"/>
    </row>
    <row r="2268" spans="2:14" x14ac:dyDescent="0.35">
      <c r="B2268" s="5" t="str">
        <f t="shared" ref="B2268:B2294" si="2160">B2267</f>
        <v>SPS1</v>
      </c>
      <c r="C2268" s="5" t="str">
        <f t="shared" ref="C2268:C2294" si="2161">C2267</f>
        <v>CH</v>
      </c>
      <c r="D2268" t="s">
        <v>2402</v>
      </c>
      <c r="E2268" t="str">
        <f t="shared" ref="E2268:E2299" si="2162">E2267</f>
        <v>GWth/yr.</v>
      </c>
      <c r="F2268" s="1">
        <f t="shared" ref="F2268:L2268" si="2163">F2269</f>
        <v>0</v>
      </c>
      <c r="G2268" s="1">
        <f t="shared" si="2163"/>
        <v>8.2533502733755607E-2</v>
      </c>
      <c r="H2268" s="1">
        <f t="shared" si="2163"/>
        <v>7.8253596569246703E-8</v>
      </c>
      <c r="I2268" s="1">
        <f t="shared" si="2163"/>
        <v>1.44858544624595E-7</v>
      </c>
      <c r="J2268" s="1">
        <f t="shared" si="2163"/>
        <v>0.15136914036698701</v>
      </c>
      <c r="K2268" s="1">
        <f t="shared" si="2163"/>
        <v>0.13366345120631101</v>
      </c>
      <c r="L2268" s="1">
        <f t="shared" si="2163"/>
        <v>0.167470298374223</v>
      </c>
      <c r="N2268" s="1"/>
    </row>
    <row r="2269" spans="2:14" x14ac:dyDescent="0.35">
      <c r="B2269" s="5" t="str">
        <f t="shared" si="2160"/>
        <v>SPS1</v>
      </c>
      <c r="C2269" s="5" t="str">
        <f t="shared" si="2161"/>
        <v>CH</v>
      </c>
      <c r="D2269" t="s">
        <v>2403</v>
      </c>
      <c r="E2269" t="str">
        <f t="shared" si="2162"/>
        <v>GWth/yr.</v>
      </c>
      <c r="F2269" s="1" cm="1">
        <f t="array" ref="F2269">SUMPRODUCT(([1]OUT_FinalEnergyCons!$B$4:$B$10000="var_ncap")*1, (ISNUMBER(SEARCH("RH*-WHSOLBR",[1]OUT_FinalEnergyCons!$A$4:$A$10000)))*1,[1]OUT_FinalEnergyCons!D$4:D$10000)</f>
        <v>0</v>
      </c>
      <c r="G2269" s="1" cm="1">
        <f t="array" ref="G2269">SUMPRODUCT(([1]OUT_FinalEnergyCons!$B$4:$B$10000="var_ncap")*1, (ISNUMBER(SEARCH("RH*-WHSOLBR",[1]OUT_FinalEnergyCons!$A$4:$A$10000)))*1,[1]OUT_FinalEnergyCons!E$4:E$10000)</f>
        <v>8.2533502733755607E-2</v>
      </c>
      <c r="H2269" s="1" cm="1">
        <f t="array" ref="H2269">SUMPRODUCT(([1]OUT_FinalEnergyCons!$B$4:$B$10000="var_ncap")*1, (ISNUMBER(SEARCH("RH*-WHSOLBR",[1]OUT_FinalEnergyCons!$A$4:$A$10000)))*1,[1]OUT_FinalEnergyCons!F$4:F$10000)</f>
        <v>7.8253596569246703E-8</v>
      </c>
      <c r="I2269" s="1" cm="1">
        <f t="array" ref="I2269">SUMPRODUCT(([1]OUT_FinalEnergyCons!$B$4:$B$10000="var_ncap")*1, (ISNUMBER(SEARCH("RH*-WHSOLBR",[1]OUT_FinalEnergyCons!$A$4:$A$10000)))*1,[1]OUT_FinalEnergyCons!G$4:G$10000)</f>
        <v>1.44858544624595E-7</v>
      </c>
      <c r="J2269" s="1" cm="1">
        <f t="array" ref="J2269">SUMPRODUCT(([2]OUT_FinalEnergyCons!$B$4:$B$10000="var_ncap")*1, (ISNUMBER(SEARCH("RH*-WHSOLBR",[2]OUT_FinalEnergyCons!$A$4:$A$10000)))*1,[2]OUT_FinalEnergyCons!H$4:H$10000)</f>
        <v>0.15136914036698701</v>
      </c>
      <c r="K2269" s="1" cm="1">
        <f t="array" ref="K2269">SUMPRODUCT(([2]OUT_FinalEnergyCons!$B$4:$B$10000="var_ncap")*1, (ISNUMBER(SEARCH("RH*-WHSOLBR",[2]OUT_FinalEnergyCons!$A$4:$A$10000)))*1,[2]OUT_FinalEnergyCons!I$4:I$10000)</f>
        <v>0.13366345120631101</v>
      </c>
      <c r="L2269" s="1" cm="1">
        <f t="array" ref="L2269">SUMPRODUCT(([2]OUT_FinalEnergyCons!$B$4:$B$10000="var_ncap")*1, (ISNUMBER(SEARCH("RH*-WHSOLBR",[2]OUT_FinalEnergyCons!$A$4:$A$10000)))*1,[2]OUT_FinalEnergyCons!J$4:J$10000)</f>
        <v>0.167470298374223</v>
      </c>
      <c r="N2269" s="1"/>
    </row>
    <row r="2270" spans="2:14" x14ac:dyDescent="0.35">
      <c r="B2270" s="5" t="str">
        <f t="shared" si="2160"/>
        <v>SPS1</v>
      </c>
      <c r="C2270" s="5" t="str">
        <f t="shared" si="2161"/>
        <v>CH</v>
      </c>
      <c r="D2270" t="s">
        <v>2404</v>
      </c>
      <c r="E2270" t="str">
        <f t="shared" si="2162"/>
        <v>GWth/yr.</v>
      </c>
      <c r="F2270" s="1">
        <f t="shared" ref="F2270:L2270" si="2164">F2271</f>
        <v>0</v>
      </c>
      <c r="G2270" s="1">
        <f t="shared" si="2164"/>
        <v>0</v>
      </c>
      <c r="H2270" s="1">
        <f t="shared" si="2164"/>
        <v>0</v>
      </c>
      <c r="I2270" s="1">
        <f t="shared" si="2164"/>
        <v>0</v>
      </c>
      <c r="J2270" s="1">
        <f t="shared" si="2164"/>
        <v>0</v>
      </c>
      <c r="K2270" s="1">
        <f t="shared" si="2164"/>
        <v>0</v>
      </c>
      <c r="L2270" s="1">
        <f t="shared" si="2164"/>
        <v>0</v>
      </c>
      <c r="N2270" s="1"/>
    </row>
    <row r="2271" spans="2:14" x14ac:dyDescent="0.35">
      <c r="B2271" s="5" t="str">
        <f t="shared" si="2160"/>
        <v>SPS1</v>
      </c>
      <c r="C2271" s="5" t="str">
        <f t="shared" si="2161"/>
        <v>CH</v>
      </c>
      <c r="D2271" t="s">
        <v>2405</v>
      </c>
      <c r="E2271" t="str">
        <f t="shared" si="2162"/>
        <v>GWth/yr.</v>
      </c>
      <c r="F2271" s="1" cm="1">
        <f t="array" ref="F2271">SUMPRODUCT(([1]OUT_FinalEnergyCons!$B$4:$B$10000="var_ncap")*1, (ISNUMBER(SEARCH("RH*-WHH2BR",[1]OUT_FinalEnergyCons!$A$4:$A$10000)))*1,[1]OUT_FinalEnergyCons!D$4:D$10000)</f>
        <v>0</v>
      </c>
      <c r="G2271" s="1" cm="1">
        <f t="array" ref="G2271">SUMPRODUCT(([1]OUT_FinalEnergyCons!$B$4:$B$10000="var_ncap")*1, (ISNUMBER(SEARCH("RH*-WHH2BR",[1]OUT_FinalEnergyCons!$A$4:$A$10000)))*1,[1]OUT_FinalEnergyCons!E$4:E$10000)</f>
        <v>0</v>
      </c>
      <c r="H2271" s="1" cm="1">
        <f t="array" ref="H2271">SUMPRODUCT(([1]OUT_FinalEnergyCons!$B$4:$B$10000="var_ncap")*1, (ISNUMBER(SEARCH("RH*-WHH2BR",[1]OUT_FinalEnergyCons!$A$4:$A$10000)))*1,[1]OUT_FinalEnergyCons!F$4:F$10000)</f>
        <v>0</v>
      </c>
      <c r="I2271" s="1" cm="1">
        <f t="array" ref="I2271">SUMPRODUCT(([1]OUT_FinalEnergyCons!$B$4:$B$10000="var_ncap")*1, (ISNUMBER(SEARCH("RH*-WHH2BR",[1]OUT_FinalEnergyCons!$A$4:$A$10000)))*1,[1]OUT_FinalEnergyCons!G$4:G$10000)</f>
        <v>0</v>
      </c>
      <c r="J2271" s="1" cm="1">
        <f t="array" ref="J2271">SUMPRODUCT(([2]OUT_FinalEnergyCons!$B$4:$B$10000="var_ncap")*1, (ISNUMBER(SEARCH("RH*-WHH2BR",[2]OUT_FinalEnergyCons!$A$4:$A$10000)))*1,[2]OUT_FinalEnergyCons!H$4:H$10000)</f>
        <v>0</v>
      </c>
      <c r="K2271" s="1" cm="1">
        <f t="array" ref="K2271">SUMPRODUCT(([2]OUT_FinalEnergyCons!$B$4:$B$10000="var_ncap")*1, (ISNUMBER(SEARCH("RH*-WHH2BR",[2]OUT_FinalEnergyCons!$A$4:$A$10000)))*1,[2]OUT_FinalEnergyCons!I$4:I$10000)</f>
        <v>0</v>
      </c>
      <c r="L2271" s="1" cm="1">
        <f t="array" ref="L2271">SUMPRODUCT(([2]OUT_FinalEnergyCons!$B$4:$B$10000="var_ncap")*1, (ISNUMBER(SEARCH("RH*-WHH2BR",[2]OUT_FinalEnergyCons!$A$4:$A$10000)))*1,[2]OUT_FinalEnergyCons!J$4:J$10000)</f>
        <v>0</v>
      </c>
      <c r="N2271" s="1"/>
    </row>
    <row r="2272" spans="2:14" x14ac:dyDescent="0.35">
      <c r="B2272" s="9" t="str">
        <f t="shared" si="2160"/>
        <v>SPS1</v>
      </c>
      <c r="C2272" s="9" t="str">
        <f t="shared" si="2161"/>
        <v>CH</v>
      </c>
      <c r="D2272" s="2" t="s">
        <v>2406</v>
      </c>
      <c r="E2272" s="9" t="str">
        <f t="shared" si="2162"/>
        <v>GWth/yr.</v>
      </c>
      <c r="F2272" s="17">
        <f t="shared" ref="F2272:K2272" si="2165">SUM(F2273,F2276,F2279,F2283,F2285,F2287,F2289,F2291,F2293)</f>
        <v>2.9589230913600799E-4</v>
      </c>
      <c r="G2272" s="17">
        <f t="shared" si="2165"/>
        <v>0.28308132899534766</v>
      </c>
      <c r="H2272" s="17">
        <f t="shared" si="2165"/>
        <v>3.1138570229710765E-2</v>
      </c>
      <c r="I2272" s="17">
        <f t="shared" si="2165"/>
        <v>0.21295441619119551</v>
      </c>
      <c r="J2272" s="17">
        <f t="shared" si="2165"/>
        <v>2.3020016076168486</v>
      </c>
      <c r="K2272" s="17">
        <f t="shared" si="2165"/>
        <v>1.010532013783134</v>
      </c>
      <c r="L2272" s="17">
        <f t="shared" ref="L2272" si="2166">SUM(L2273,L2276,L2279,L2283,L2285,L2287,L2289,L2291,L2293)</f>
        <v>1.4974136077420408</v>
      </c>
      <c r="N2272" s="1"/>
    </row>
    <row r="2273" spans="2:14" x14ac:dyDescent="0.35">
      <c r="B2273" s="5" t="str">
        <f t="shared" si="2160"/>
        <v>SPS1</v>
      </c>
      <c r="C2273" s="5" t="str">
        <f t="shared" si="2161"/>
        <v>CH</v>
      </c>
      <c r="D2273" t="s">
        <v>2407</v>
      </c>
      <c r="E2273" t="str">
        <f t="shared" si="2162"/>
        <v>GWth/yr.</v>
      </c>
      <c r="F2273" s="18">
        <f t="shared" ref="F2273:K2273" si="2167">SUM(F2274:F2275)</f>
        <v>0</v>
      </c>
      <c r="G2273" s="18">
        <f t="shared" si="2167"/>
        <v>0.2187045759140768</v>
      </c>
      <c r="H2273" s="18">
        <f t="shared" si="2167"/>
        <v>3.1093470319970621E-2</v>
      </c>
      <c r="I2273" s="18">
        <f t="shared" si="2167"/>
        <v>0.21292124627682568</v>
      </c>
      <c r="J2273" s="18">
        <f t="shared" si="2167"/>
        <v>0.67906003220427391</v>
      </c>
      <c r="K2273" s="18">
        <f t="shared" si="2167"/>
        <v>0.37478579226516262</v>
      </c>
      <c r="L2273" s="18">
        <f t="shared" ref="L2273" si="2168">SUM(L2274:L2275)</f>
        <v>1.0272604068691309</v>
      </c>
      <c r="N2273" s="1"/>
    </row>
    <row r="2274" spans="2:14" x14ac:dyDescent="0.35">
      <c r="B2274" s="5" t="str">
        <f t="shared" si="2160"/>
        <v>SPS1</v>
      </c>
      <c r="C2274" s="5" t="str">
        <f t="shared" si="2161"/>
        <v>CH</v>
      </c>
      <c r="D2274" t="s">
        <v>2408</v>
      </c>
      <c r="E2274" t="str">
        <f t="shared" si="2162"/>
        <v>GWth/yr.</v>
      </c>
      <c r="F2274" s="1" cm="1">
        <f t="array" ref="F2274">SUMPRODUCT(([1]OUT_FinalEnergyCons!$B$4:$B$10000="var_ncap")*1,  (ISNUMBER(SEARCH("ITOT-SWHELCBR",[1]OUT_FinalEnergyCons!$A$4:$A$10000)))*1,[1]OUT_FinalEnergyCons!D$4:D$10000)</f>
        <v>0</v>
      </c>
      <c r="G2274" s="1" cm="1">
        <f t="array" ref="G2274">SUMPRODUCT(([1]OUT_FinalEnergyCons!$B$4:$B$10000="var_ncap")*1,  (ISNUMBER(SEARCH("ITOT-SWHELCBR",[1]OUT_FinalEnergyCons!$A$4:$A$10000)))*1,[1]OUT_FinalEnergyCons!E$4:E$10000)</f>
        <v>0.20275052048390199</v>
      </c>
      <c r="H2274" s="1" cm="1">
        <f t="array" ref="H2274">SUMPRODUCT(([1]OUT_FinalEnergyCons!$B$4:$B$10000="var_ncap")*1,  (ISNUMBER(SEARCH("ITOT-SWHELCBR",[1]OUT_FinalEnergyCons!$A$4:$A$10000)))*1,[1]OUT_FinalEnergyCons!F$4:F$10000)</f>
        <v>3.10817300720851E-2</v>
      </c>
      <c r="I2274" s="1" cm="1">
        <f t="array" ref="I2274">SUMPRODUCT(([1]OUT_FinalEnergyCons!$B$4:$B$10000="var_ncap")*1,  (ISNUMBER(SEARCH("ITOT-SWHELCBR",[1]OUT_FinalEnergyCons!$A$4:$A$10000)))*1,[1]OUT_FinalEnergyCons!G$4:G$10000)</f>
        <v>7.2402965627215696E-2</v>
      </c>
      <c r="J2274" s="1" cm="1">
        <f t="array" ref="J2274">SUMPRODUCT(([2]OUT_FinalEnergyCons!$B$4:$B$10000="var_ncap")*1,  (ISNUMBER(SEARCH("ITOT-SWHELCBR",[2]OUT_FinalEnergyCons!$A$4:$A$10000)))*1,[2]OUT_FinalEnergyCons!H$4:H$10000)</f>
        <v>0.49424604559560698</v>
      </c>
      <c r="K2274" s="1" cm="1">
        <f t="array" ref="K2274">SUMPRODUCT(([2]OUT_FinalEnergyCons!$B$4:$B$10000="var_ncap")*1,  (ISNUMBER(SEARCH("ITOT-SWHELCBR",[2]OUT_FinalEnergyCons!$A$4:$A$10000)))*1,[2]OUT_FinalEnergyCons!I$4:I$10000)</f>
        <v>0.30674506242345101</v>
      </c>
      <c r="L2274" s="1" cm="1">
        <f t="array" ref="L2274">SUMPRODUCT(([2]OUT_FinalEnergyCons!$B$4:$B$10000="var_ncap")*1,  (ISNUMBER(SEARCH("ITOT-SWHELCBR",[2]OUT_FinalEnergyCons!$A$4:$A$10000)))*1,[2]OUT_FinalEnergyCons!J$4:J$10000)</f>
        <v>0.42716534151476399</v>
      </c>
      <c r="N2274" s="1"/>
    </row>
    <row r="2275" spans="2:14" x14ac:dyDescent="0.35">
      <c r="B2275" s="5" t="str">
        <f t="shared" si="2160"/>
        <v>SPS1</v>
      </c>
      <c r="C2275" s="5" t="str">
        <f t="shared" si="2161"/>
        <v>CH</v>
      </c>
      <c r="D2275" t="s">
        <v>2409</v>
      </c>
      <c r="E2275" t="str">
        <f t="shared" si="2162"/>
        <v>GWth/yr.</v>
      </c>
      <c r="F2275" s="1" cm="1">
        <f t="array" ref="F2275">SUMPRODUCT(([1]OUT_FinalEnergyCons!$B$4:$B$10000="var_ncap")*1,  (ISNUMBER(SEARCH("ITOT-SWHELCHP",[1]OUT_FinalEnergyCons!$A$4:$A$10000)))*1,[1]OUT_FinalEnergyCons!D$4:D$10000)</f>
        <v>0</v>
      </c>
      <c r="G2275" s="1" cm="1">
        <f t="array" ref="G2275">SUMPRODUCT(([1]OUT_FinalEnergyCons!$B$4:$B$10000="var_ncap")*1,  (ISNUMBER(SEARCH("ITOT-SWHELCHP",[1]OUT_FinalEnergyCons!$A$4:$A$10000)))*1,[1]OUT_FinalEnergyCons!E$4:E$10000)</f>
        <v>1.59540554301748E-2</v>
      </c>
      <c r="H2275" s="1" cm="1">
        <f t="array" ref="H2275">SUMPRODUCT(([1]OUT_FinalEnergyCons!$B$4:$B$10000="var_ncap")*1,  (ISNUMBER(SEARCH("ITOT-SWHELCHP",[1]OUT_FinalEnergyCons!$A$4:$A$10000)))*1,[1]OUT_FinalEnergyCons!F$4:F$10000)</f>
        <v>1.1740247885521399E-5</v>
      </c>
      <c r="I2275" s="1" cm="1">
        <f t="array" ref="I2275">SUMPRODUCT(([1]OUT_FinalEnergyCons!$B$4:$B$10000="var_ncap")*1,  (ISNUMBER(SEARCH("ITOT-SWHELCHP",[1]OUT_FinalEnergyCons!$A$4:$A$10000)))*1,[1]OUT_FinalEnergyCons!G$4:G$10000)</f>
        <v>0.14051828064961</v>
      </c>
      <c r="J2275" s="1" cm="1">
        <f t="array" ref="J2275">SUMPRODUCT(([2]OUT_FinalEnergyCons!$B$4:$B$10000="var_ncap")*1,  (ISNUMBER(SEARCH("ITOT-SWHELCHP",[2]OUT_FinalEnergyCons!$A$4:$A$10000)))*1,[2]OUT_FinalEnergyCons!H$4:H$10000)</f>
        <v>0.18481398660866699</v>
      </c>
      <c r="K2275" s="1" cm="1">
        <f t="array" ref="K2275">SUMPRODUCT(([2]OUT_FinalEnergyCons!$B$4:$B$10000="var_ncap")*1,  (ISNUMBER(SEARCH("ITOT-SWHELCHP",[2]OUT_FinalEnergyCons!$A$4:$A$10000)))*1,[2]OUT_FinalEnergyCons!I$4:I$10000)</f>
        <v>6.8040729841711597E-2</v>
      </c>
      <c r="L2275" s="1" cm="1">
        <f t="array" ref="L2275">SUMPRODUCT(([2]OUT_FinalEnergyCons!$B$4:$B$10000="var_ncap")*1,  (ISNUMBER(SEARCH("ITOT-SWHELCHP",[2]OUT_FinalEnergyCons!$A$4:$A$10000)))*1,[2]OUT_FinalEnergyCons!J$4:J$10000)</f>
        <v>0.60009506535436696</v>
      </c>
      <c r="N2275" s="1"/>
    </row>
    <row r="2276" spans="2:14" x14ac:dyDescent="0.35">
      <c r="B2276" s="5" t="str">
        <f t="shared" si="2160"/>
        <v>SPS1</v>
      </c>
      <c r="C2276" s="5" t="str">
        <f t="shared" si="2161"/>
        <v>CH</v>
      </c>
      <c r="D2276" t="s">
        <v>2410</v>
      </c>
      <c r="E2276" t="str">
        <f t="shared" si="2162"/>
        <v>GWth/yr.</v>
      </c>
      <c r="F2276" s="18">
        <f t="shared" ref="F2276:K2276" si="2169">SUM(F2277:F2278)</f>
        <v>2.9589230913600799E-4</v>
      </c>
      <c r="G2276" s="18">
        <f t="shared" si="2169"/>
        <v>6.9342214214911625E-5</v>
      </c>
      <c r="H2276" s="18">
        <f t="shared" si="2169"/>
        <v>1.0418207662739321E-5</v>
      </c>
      <c r="I2276" s="18">
        <f t="shared" si="2169"/>
        <v>1.5930772451779259E-5</v>
      </c>
      <c r="J2276" s="18">
        <f t="shared" si="2169"/>
        <v>0.17974003286391668</v>
      </c>
      <c r="K2276" s="18">
        <f t="shared" si="2169"/>
        <v>6.0211591018404366E-5</v>
      </c>
      <c r="L2276" s="18">
        <f t="shared" ref="L2276" si="2170">SUM(L2277:L2278)</f>
        <v>7.0567707048396303E-6</v>
      </c>
      <c r="N2276" s="1"/>
    </row>
    <row r="2277" spans="2:14" x14ac:dyDescent="0.35">
      <c r="B2277" s="5" t="str">
        <f t="shared" si="2160"/>
        <v>SPS1</v>
      </c>
      <c r="C2277" s="5" t="str">
        <f t="shared" si="2161"/>
        <v>CH</v>
      </c>
      <c r="D2277" t="s">
        <v>2411</v>
      </c>
      <c r="E2277" t="str">
        <f t="shared" si="2162"/>
        <v>GWth/yr.</v>
      </c>
      <c r="F2277" s="1" cm="1">
        <f t="array" ref="F2277">SUMPRODUCT(([1]OUT_FinalEnergyCons!$B$4:$B$10000="var_ncap")*1,  (ISNUMBER(SEARCH("ITOT-SWHLFOBR",[1]OUT_FinalEnergyCons!$A$4:$A$10000)))*1,[1]OUT_FinalEnergyCons!D$4:D$10000)</f>
        <v>0</v>
      </c>
      <c r="G2277" s="1" cm="1">
        <f t="array" ref="G2277">SUMPRODUCT(([1]OUT_FinalEnergyCons!$B$4:$B$10000="var_ncap")*1,  (ISNUMBER(SEARCH("ITOT-SWHLFOBR",[1]OUT_FinalEnergyCons!$A$4:$A$10000)))*1,[1]OUT_FinalEnergyCons!E$4:E$10000)</f>
        <v>6.0453815571086603E-5</v>
      </c>
      <c r="H2277" s="1" cm="1">
        <f t="array" ref="H2277">SUMPRODUCT(([1]OUT_FinalEnergyCons!$B$4:$B$10000="var_ncap")*1,  (ISNUMBER(SEARCH("ITOT-SWHLFOBR",[1]OUT_FinalEnergyCons!$A$4:$A$10000)))*1,[1]OUT_FinalEnergyCons!F$4:F$10000)</f>
        <v>6.9291597729050401E-6</v>
      </c>
      <c r="I2277" s="1" cm="1">
        <f t="array" ref="I2277">SUMPRODUCT(([1]OUT_FinalEnergyCons!$B$4:$B$10000="var_ncap")*1,  (ISNUMBER(SEARCH("ITOT-SWHLFOBR",[1]OUT_FinalEnergyCons!$A$4:$A$10000)))*1,[1]OUT_FinalEnergyCons!G$4:G$10000)</f>
        <v>1.04053938688292E-5</v>
      </c>
      <c r="J2277" s="1" cm="1">
        <f t="array" ref="J2277">SUMPRODUCT(([2]OUT_FinalEnergyCons!$B$4:$B$10000="var_ncap")*1,  (ISNUMBER(SEARCH("ITOT-SWHLFOBR",[2]OUT_FinalEnergyCons!$A$4:$A$10000)))*1,[2]OUT_FinalEnergyCons!H$4:H$10000)</f>
        <v>0.1796877075553</v>
      </c>
      <c r="K2277" s="1" cm="1">
        <f t="array" ref="K2277">SUMPRODUCT(([2]OUT_FinalEnergyCons!$B$4:$B$10000="var_ncap")*1,  (ISNUMBER(SEARCH("ITOT-SWHLFOBR",[2]OUT_FinalEnergyCons!$A$4:$A$10000)))*1,[2]OUT_FinalEnergyCons!I$4:I$10000)</f>
        <v>5.0345708099870799E-5</v>
      </c>
      <c r="L2277" s="1" cm="1">
        <f t="array" ref="L2277">SUMPRODUCT(([2]OUT_FinalEnergyCons!$B$4:$B$10000="var_ncap")*1,  (ISNUMBER(SEARCH("ITOT-SWHLFOBR",[2]OUT_FinalEnergyCons!$A$4:$A$10000)))*1,[2]OUT_FinalEnergyCons!J$4:J$10000)</f>
        <v>6.2110643892009899E-6</v>
      </c>
      <c r="N2277" s="1"/>
    </row>
    <row r="2278" spans="2:14" x14ac:dyDescent="0.35">
      <c r="B2278" s="5" t="str">
        <f t="shared" si="2160"/>
        <v>SPS1</v>
      </c>
      <c r="C2278" s="5" t="str">
        <f t="shared" si="2161"/>
        <v>CH</v>
      </c>
      <c r="D2278" t="s">
        <v>2412</v>
      </c>
      <c r="E2278" t="str">
        <f t="shared" si="2162"/>
        <v>GWth/yr.</v>
      </c>
      <c r="F2278" s="1" cm="1">
        <f t="array" ref="F2278">SUMPRODUCT(([1]OUT_FinalEnergyCons!$B$4:$B$10000="var_ncap")*1,  (ISNUMBER(SEARCH("ITOT-SWHHFOBR",[1]OUT_FinalEnergyCons!$A$4:$A$10000)))*1,[1]OUT_FinalEnergyCons!D$4:D$10000)</f>
        <v>2.9589230913600799E-4</v>
      </c>
      <c r="G2278" s="1" cm="1">
        <f t="array" ref="G2278">SUMPRODUCT(([1]OUT_FinalEnergyCons!$B$4:$B$10000="var_ncap")*1,  (ISNUMBER(SEARCH("ITOT-SWHHFOBR",[1]OUT_FinalEnergyCons!$A$4:$A$10000)))*1,[1]OUT_FinalEnergyCons!E$4:E$10000)</f>
        <v>8.8883986438250208E-6</v>
      </c>
      <c r="H2278" s="1" cm="1">
        <f t="array" ref="H2278">SUMPRODUCT(([1]OUT_FinalEnergyCons!$B$4:$B$10000="var_ncap")*1,  (ISNUMBER(SEARCH("ITOT-SWHHFOBR",[1]OUT_FinalEnergyCons!$A$4:$A$10000)))*1,[1]OUT_FinalEnergyCons!F$4:F$10000)</f>
        <v>3.48904788983428E-6</v>
      </c>
      <c r="I2278" s="1" cm="1">
        <f t="array" ref="I2278">SUMPRODUCT(([1]OUT_FinalEnergyCons!$B$4:$B$10000="var_ncap")*1,  (ISNUMBER(SEARCH("ITOT-SWHHFOBR",[1]OUT_FinalEnergyCons!$A$4:$A$10000)))*1,[1]OUT_FinalEnergyCons!G$4:G$10000)</f>
        <v>5.5253785829500602E-6</v>
      </c>
      <c r="J2278" s="1" cm="1">
        <f t="array" ref="J2278">SUMPRODUCT(([2]OUT_FinalEnergyCons!$B$4:$B$10000="var_ncap")*1,  (ISNUMBER(SEARCH("ITOT-SWHHFOBR",[2]OUT_FinalEnergyCons!$A$4:$A$10000)))*1,[2]OUT_FinalEnergyCons!H$4:H$10000)</f>
        <v>5.2325308616684398E-5</v>
      </c>
      <c r="K2278" s="1" cm="1">
        <f t="array" ref="K2278">SUMPRODUCT(([2]OUT_FinalEnergyCons!$B$4:$B$10000="var_ncap")*1,  (ISNUMBER(SEARCH("ITOT-SWHHFOBR",[2]OUT_FinalEnergyCons!$A$4:$A$10000)))*1,[2]OUT_FinalEnergyCons!I$4:I$10000)</f>
        <v>9.8658829185335705E-6</v>
      </c>
      <c r="L2278" s="1" cm="1">
        <f t="array" ref="L2278">SUMPRODUCT(([2]OUT_FinalEnergyCons!$B$4:$B$10000="var_ncap")*1,  (ISNUMBER(SEARCH("ITOT-SWHHFOBR",[2]OUT_FinalEnergyCons!$A$4:$A$10000)))*1,[2]OUT_FinalEnergyCons!J$4:J$10000)</f>
        <v>8.4570631563864002E-7</v>
      </c>
      <c r="N2278" s="1"/>
    </row>
    <row r="2279" spans="2:14" x14ac:dyDescent="0.35">
      <c r="B2279" s="5" t="str">
        <f t="shared" si="2160"/>
        <v>SPS1</v>
      </c>
      <c r="C2279" s="5" t="str">
        <f t="shared" si="2161"/>
        <v>CH</v>
      </c>
      <c r="D2279" t="s">
        <v>2413</v>
      </c>
      <c r="E2279" t="str">
        <f t="shared" si="2162"/>
        <v>GWth/yr.</v>
      </c>
      <c r="F2279" s="18">
        <f t="shared" ref="F2279:K2279" si="2171">SUM(F2280:F2281)</f>
        <v>0</v>
      </c>
      <c r="G2279" s="18">
        <f t="shared" si="2171"/>
        <v>1.4943386739978597E-3</v>
      </c>
      <c r="H2279" s="18">
        <f t="shared" si="2171"/>
        <v>2.3552119877444618E-5</v>
      </c>
      <c r="I2279" s="18">
        <f t="shared" si="2171"/>
        <v>8.1935591493656799E-6</v>
      </c>
      <c r="J2279" s="18">
        <f t="shared" si="2171"/>
        <v>0.9470349428099446</v>
      </c>
      <c r="K2279" s="18">
        <f t="shared" si="2171"/>
        <v>0.43090746588555351</v>
      </c>
      <c r="L2279" s="18">
        <f t="shared" ref="L2279" si="2172">SUM(L2280:L2281)</f>
        <v>7.7107027713464699E-2</v>
      </c>
      <c r="N2279" s="1"/>
    </row>
    <row r="2280" spans="2:14" x14ac:dyDescent="0.35">
      <c r="B2280" s="5" t="str">
        <f t="shared" si="2160"/>
        <v>SPS1</v>
      </c>
      <c r="C2280" s="5" t="str">
        <f t="shared" si="2161"/>
        <v>CH</v>
      </c>
      <c r="D2280" t="s">
        <v>2414</v>
      </c>
      <c r="E2280" t="str">
        <f t="shared" si="2162"/>
        <v>GWth/yr.</v>
      </c>
      <c r="F2280" s="1" cm="1">
        <f t="array" ref="F2280">SUMPRODUCT(([1]OUT_FinalEnergyCons!$B$4:$B$10000="var_ncap")*1,  (ISNUMBER(SEARCH("ITOT-SWHNGA*BR",[1]OUT_FinalEnergyCons!$A$4:$A$10000)))*1,[1]OUT_FinalEnergyCons!D$4:D$10000)</f>
        <v>0</v>
      </c>
      <c r="G2280" s="1" cm="1">
        <f t="array" ref="G2280">SUMPRODUCT(([1]OUT_FinalEnergyCons!$B$4:$B$10000="var_ncap")*1,  (ISNUMBER(SEARCH("ITOT-SWHNGA*BR",[1]OUT_FinalEnergyCons!$A$4:$A$10000)))*1,[1]OUT_FinalEnergyCons!E$4:E$10000)</f>
        <v>7.00391732101976E-6</v>
      </c>
      <c r="H2280" s="1" cm="1">
        <f t="array" ref="H2280">SUMPRODUCT(([1]OUT_FinalEnergyCons!$B$4:$B$10000="var_ncap")*1,  (ISNUMBER(SEARCH("ITOT-SWHNGA*BR",[1]OUT_FinalEnergyCons!$A$4:$A$10000)))*1,[1]OUT_FinalEnergyCons!F$4:F$10000)</f>
        <v>3.93061074108852E-6</v>
      </c>
      <c r="I2280" s="1" cm="1">
        <f t="array" ref="I2280">SUMPRODUCT(([1]OUT_FinalEnergyCons!$B$4:$B$10000="var_ncap")*1,  (ISNUMBER(SEARCH("ITOT-SWHNGA*BR",[1]OUT_FinalEnergyCons!$A$4:$A$10000)))*1,[1]OUT_FinalEnergyCons!G$4:G$10000)</f>
        <v>3.9616665695531497E-6</v>
      </c>
      <c r="J2280" s="1" cm="1">
        <f t="array" ref="J2280">SUMPRODUCT(([2]OUT_FinalEnergyCons!$B$4:$B$10000="var_ncap")*1,  (ISNUMBER(SEARCH("ITOT-SWHNGA*BR",[2]OUT_FinalEnergyCons!$A$4:$A$10000)))*1,[2]OUT_FinalEnergyCons!H$4:H$10000)</f>
        <v>0.94697409130824595</v>
      </c>
      <c r="K2280" s="1" cm="1">
        <f t="array" ref="K2280">SUMPRODUCT(([2]OUT_FinalEnergyCons!$B$4:$B$10000="var_ncap")*1,  (ISNUMBER(SEARCH("ITOT-SWHNGA*BR",[2]OUT_FinalEnergyCons!$A$4:$A$10000)))*1,[2]OUT_FinalEnergyCons!I$4:I$10000)</f>
        <v>0.41937533273133099</v>
      </c>
      <c r="L2280" s="1" cm="1">
        <f t="array" ref="L2280">SUMPRODUCT(([2]OUT_FinalEnergyCons!$B$4:$B$10000="var_ncap")*1,  (ISNUMBER(SEARCH("ITOT-SWHNGA*BR",[2]OUT_FinalEnergyCons!$A$4:$A$10000)))*1,[2]OUT_FinalEnergyCons!J$4:J$10000)</f>
        <v>7.5209550027840993E-2</v>
      </c>
      <c r="N2280" s="1"/>
    </row>
    <row r="2281" spans="2:14" x14ac:dyDescent="0.35">
      <c r="B2281" s="5" t="str">
        <f t="shared" si="2160"/>
        <v>SPS1</v>
      </c>
      <c r="C2281" s="5" t="str">
        <f t="shared" si="2161"/>
        <v>CH</v>
      </c>
      <c r="D2281" t="s">
        <v>2415</v>
      </c>
      <c r="E2281" t="str">
        <f t="shared" si="2162"/>
        <v>GWth/yr.</v>
      </c>
      <c r="F2281" s="1" cm="1">
        <f t="array" ref="F2281">SUMPRODUCT(([1]OUT_FinalEnergyCons!$B$4:$B$10000="var_ncap")*1,  (ISNUMBER(SEARCH("ITOT-SWHNGAHP",[1]OUT_FinalEnergyCons!$A$4:$A$10000)))*1,[1]OUT_FinalEnergyCons!D$4:D$10000)</f>
        <v>0</v>
      </c>
      <c r="G2281" s="1" cm="1">
        <f t="array" ref="G2281">SUMPRODUCT(([1]OUT_FinalEnergyCons!$B$4:$B$10000="var_ncap")*1,  (ISNUMBER(SEARCH("ITOT-SWHNGAHP",[1]OUT_FinalEnergyCons!$A$4:$A$10000)))*1,[1]OUT_FinalEnergyCons!E$4:E$10000)</f>
        <v>1.48733475667684E-3</v>
      </c>
      <c r="H2281" s="1" cm="1">
        <f t="array" ref="H2281">SUMPRODUCT(([1]OUT_FinalEnergyCons!$B$4:$B$10000="var_ncap")*1,  (ISNUMBER(SEARCH("ITOT-SWHNGAHP",[1]OUT_FinalEnergyCons!$A$4:$A$10000)))*1,[1]OUT_FinalEnergyCons!F$4:F$10000)</f>
        <v>1.9621509136356099E-5</v>
      </c>
      <c r="I2281" s="1" cm="1">
        <f t="array" ref="I2281">SUMPRODUCT(([1]OUT_FinalEnergyCons!$B$4:$B$10000="var_ncap")*1,  (ISNUMBER(SEARCH("ITOT-SWHNGAHP",[1]OUT_FinalEnergyCons!$A$4:$A$10000)))*1,[1]OUT_FinalEnergyCons!G$4:G$10000)</f>
        <v>4.2318925798125303E-6</v>
      </c>
      <c r="J2281" s="1" cm="1">
        <f t="array" ref="J2281">SUMPRODUCT(([2]OUT_FinalEnergyCons!$B$4:$B$10000="var_ncap")*1,  (ISNUMBER(SEARCH("ITOT-SWHNGAHP",[2]OUT_FinalEnergyCons!$A$4:$A$10000)))*1,[2]OUT_FinalEnergyCons!H$4:H$10000)</f>
        <v>6.0851501698604302E-5</v>
      </c>
      <c r="K2281" s="1" cm="1">
        <f t="array" ref="K2281">SUMPRODUCT(([2]OUT_FinalEnergyCons!$B$4:$B$10000="var_ncap")*1,  (ISNUMBER(SEARCH("ITOT-SWHNGAHP",[2]OUT_FinalEnergyCons!$A$4:$A$10000)))*1,[2]OUT_FinalEnergyCons!I$4:I$10000)</f>
        <v>1.1532133154222499E-2</v>
      </c>
      <c r="L2281" s="1" cm="1">
        <f t="array" ref="L2281">SUMPRODUCT(([2]OUT_FinalEnergyCons!$B$4:$B$10000="var_ncap")*1,  (ISNUMBER(SEARCH("ITOT-SWHNGAHP",[2]OUT_FinalEnergyCons!$A$4:$A$10000)))*1,[2]OUT_FinalEnergyCons!J$4:J$10000)</f>
        <v>1.89747768562371E-3</v>
      </c>
      <c r="N2281" s="1"/>
    </row>
    <row r="2282" spans="2:14" x14ac:dyDescent="0.35">
      <c r="B2282" s="5" t="str">
        <f t="shared" si="2160"/>
        <v>SPS1</v>
      </c>
      <c r="C2282" s="5" t="str">
        <f t="shared" si="2161"/>
        <v>CH</v>
      </c>
      <c r="D2282" t="s">
        <v>2416</v>
      </c>
      <c r="E2282" t="str">
        <f t="shared" si="2162"/>
        <v>GWth/yr.</v>
      </c>
      <c r="F2282" s="1" cm="1">
        <f t="array" ref="F2282">SUMPRODUCT(([1]OUT_FinalEnergyCons!$B$4:$B$10000="var_ncap")*1,  (("ITOT-SWHBIOBR"=[1]OUT_FinalEnergyCons!$A$4:$A$10000)*1+("ITOT-SWHBNGABR"=[1]OUT_FinalEnergyCons!$A$4:$A$10000))*1,[1]OUT_FinalEnergyCons!D$4:D$10000)</f>
        <v>0</v>
      </c>
      <c r="G2282" s="1" cm="1">
        <f t="array" ref="G2282">SUMPRODUCT(([1]OUT_FinalEnergyCons!$B$4:$B$10000="var_ncap")*1,  (("ITOT-SWHBIOBR"=[1]OUT_FinalEnergyCons!$A$4:$A$10000)*1+("ITOT-SWHBNGABR"=[1]OUT_FinalEnergyCons!$A$4:$A$10000))*1,[1]OUT_FinalEnergyCons!E$4:E$10000)</f>
        <v>1.6895326571887501E-2</v>
      </c>
      <c r="H2282" s="1" cm="1">
        <f t="array" ref="H2282">SUMPRODUCT(([1]OUT_FinalEnergyCons!$B$4:$B$10000="var_ncap")*1,  (("ITOT-SWHBIOBR"=[1]OUT_FinalEnergyCons!$A$4:$A$10000)*1+("ITOT-SWHBNGABR"=[1]OUT_FinalEnergyCons!$A$4:$A$10000))*1,[1]OUT_FinalEnergyCons!F$4:F$10000)</f>
        <v>3.8920840927460801E-2</v>
      </c>
      <c r="I2282" s="1" cm="1">
        <f t="array" ref="I2282">SUMPRODUCT(([1]OUT_FinalEnergyCons!$B$4:$B$10000="var_ncap")*1,  (("ITOT-SWHBIOBR"=[1]OUT_FinalEnergyCons!$A$4:$A$10000)*1+("ITOT-SWHBNGABR"=[1]OUT_FinalEnergyCons!$A$4:$A$10000))*1,[1]OUT_FinalEnergyCons!G$4:G$10000)</f>
        <v>0.10682856659154701</v>
      </c>
      <c r="J2282" s="1" cm="1">
        <f t="array" ref="J2282">SUMPRODUCT(([2]OUT_FinalEnergyCons!$B$4:$B$10000="var_ncap")*1,  (("ITOT-SWHBIOBR"=[2]OUT_FinalEnergyCons!$A$4:$A$10000)*1+("ITOT-SWHBNGABR"=[2]OUT_FinalEnergyCons!$A$4:$A$10000))*1,[2]OUT_FinalEnergyCons!H$4:H$10000)</f>
        <v>0.183518062945631</v>
      </c>
      <c r="K2282" s="1" cm="1">
        <f t="array" ref="K2282">SUMPRODUCT(([2]OUT_FinalEnergyCons!$B$4:$B$10000="var_ncap")*1,  (("ITOT-SWHBIOBR"=[2]OUT_FinalEnergyCons!$A$4:$A$10000)*1+("ITOT-SWHBNGABR"=[2]OUT_FinalEnergyCons!$A$4:$A$10000))*1,[2]OUT_FinalEnergyCons!I$4:I$10000)</f>
        <v>7.1793098724243096E-2</v>
      </c>
      <c r="L2282" s="1" cm="1">
        <f t="array" ref="L2282">SUMPRODUCT(([2]OUT_FinalEnergyCons!$B$4:$B$10000="var_ncap")*1,  (("ITOT-SWHBIOBR"=[2]OUT_FinalEnergyCons!$A$4:$A$10000)*1+("ITOT-SWHBNGABR"=[2]OUT_FinalEnergyCons!$A$4:$A$10000))*1,[2]OUT_FinalEnergyCons!J$4:J$10000)</f>
        <v>0.26067910962830199</v>
      </c>
      <c r="N2282" s="1"/>
    </row>
    <row r="2283" spans="2:14" x14ac:dyDescent="0.35">
      <c r="B2283" s="5" t="str">
        <f t="shared" si="2160"/>
        <v>SPS1</v>
      </c>
      <c r="C2283" s="5" t="str">
        <f t="shared" si="2161"/>
        <v>CH</v>
      </c>
      <c r="D2283" t="s">
        <v>2417</v>
      </c>
      <c r="E2283" t="str">
        <f t="shared" si="2162"/>
        <v>GWth/yr.</v>
      </c>
      <c r="F2283" s="1">
        <f t="shared" ref="F2283:L2283" si="2173">F2284</f>
        <v>0</v>
      </c>
      <c r="G2283" s="1">
        <f t="shared" si="2173"/>
        <v>1.28427925826466E-6</v>
      </c>
      <c r="H2283" s="1">
        <f t="shared" si="2173"/>
        <v>2.1003464287539401E-6</v>
      </c>
      <c r="I2283" s="1">
        <f t="shared" si="2173"/>
        <v>2.9477176077407199E-6</v>
      </c>
      <c r="J2283" s="1">
        <f t="shared" si="2173"/>
        <v>4.8633212066370703E-5</v>
      </c>
      <c r="K2283" s="1">
        <f t="shared" si="2173"/>
        <v>5.97039950900452E-6</v>
      </c>
      <c r="L2283" s="1">
        <f t="shared" si="2173"/>
        <v>8.3547756153631207E-6</v>
      </c>
      <c r="N2283" s="1"/>
    </row>
    <row r="2284" spans="2:14" x14ac:dyDescent="0.35">
      <c r="B2284" s="5" t="str">
        <f t="shared" si="2160"/>
        <v>SPS1</v>
      </c>
      <c r="C2284" s="5" t="str">
        <f t="shared" si="2161"/>
        <v>CH</v>
      </c>
      <c r="D2284" t="s">
        <v>2418</v>
      </c>
      <c r="E2284" t="str">
        <f t="shared" si="2162"/>
        <v>GWth/yr.</v>
      </c>
      <c r="F2284" s="1" cm="1">
        <f t="array" ref="F2284">SUMPRODUCT(([1]OUT_FinalEnergyCons!$B$4:$B$10000="var_ncap")*1,  (ISNUMBER(SEARCH("ITOT-SWHCOA*BR",[1]OUT_FinalEnergyCons!$A$4:$A$10000)))*1,[1]OUT_FinalEnergyCons!D$4:D$10000)</f>
        <v>0</v>
      </c>
      <c r="G2284" s="1" cm="1">
        <f t="array" ref="G2284">SUMPRODUCT(([1]OUT_FinalEnergyCons!$B$4:$B$10000="var_ncap")*1,  (ISNUMBER(SEARCH("ITOT-SWHCOA*BR",[1]OUT_FinalEnergyCons!$A$4:$A$10000)))*1,[1]OUT_FinalEnergyCons!E$4:E$10000)</f>
        <v>1.28427925826466E-6</v>
      </c>
      <c r="H2284" s="1" cm="1">
        <f t="array" ref="H2284">SUMPRODUCT(([1]OUT_FinalEnergyCons!$B$4:$B$10000="var_ncap")*1,  (ISNUMBER(SEARCH("ITOT-SWHCOA*BR",[1]OUT_FinalEnergyCons!$A$4:$A$10000)))*1,[1]OUT_FinalEnergyCons!F$4:F$10000)</f>
        <v>2.1003464287539401E-6</v>
      </c>
      <c r="I2284" s="1" cm="1">
        <f t="array" ref="I2284">SUMPRODUCT(([1]OUT_FinalEnergyCons!$B$4:$B$10000="var_ncap")*1,  (ISNUMBER(SEARCH("ITOT-SWHCOA*BR",[1]OUT_FinalEnergyCons!$A$4:$A$10000)))*1,[1]OUT_FinalEnergyCons!G$4:G$10000)</f>
        <v>2.9477176077407199E-6</v>
      </c>
      <c r="J2284" s="1" cm="1">
        <f t="array" ref="J2284">SUMPRODUCT(([2]OUT_FinalEnergyCons!$B$4:$B$10000="var_ncap")*1,  (ISNUMBER(SEARCH("ITOT-SWHCOA*BR",[2]OUT_FinalEnergyCons!$A$4:$A$10000)))*1,[2]OUT_FinalEnergyCons!H$4:H$10000)</f>
        <v>4.8633212066370703E-5</v>
      </c>
      <c r="K2284" s="1" cm="1">
        <f t="array" ref="K2284">SUMPRODUCT(([2]OUT_FinalEnergyCons!$B$4:$B$10000="var_ncap")*1,  (ISNUMBER(SEARCH("ITOT-SWHCOA*BR",[2]OUT_FinalEnergyCons!$A$4:$A$10000)))*1,[2]OUT_FinalEnergyCons!I$4:I$10000)</f>
        <v>5.97039950900452E-6</v>
      </c>
      <c r="L2284" s="1" cm="1">
        <f t="array" ref="L2284">SUMPRODUCT(([2]OUT_FinalEnergyCons!$B$4:$B$10000="var_ncap")*1,  (ISNUMBER(SEARCH("ITOT-SWHCOA*BR",[2]OUT_FinalEnergyCons!$A$4:$A$10000)))*1,[2]OUT_FinalEnergyCons!J$4:J$10000)</f>
        <v>8.3547756153631207E-6</v>
      </c>
      <c r="N2284" s="1"/>
    </row>
    <row r="2285" spans="2:14" x14ac:dyDescent="0.35">
      <c r="B2285" s="5" t="str">
        <f t="shared" si="2160"/>
        <v>SPS1</v>
      </c>
      <c r="C2285" s="5" t="str">
        <f t="shared" si="2161"/>
        <v>CH</v>
      </c>
      <c r="D2285" t="s">
        <v>2419</v>
      </c>
      <c r="E2285" t="str">
        <f t="shared" si="2162"/>
        <v>GWth/yr.</v>
      </c>
      <c r="F2285" s="1">
        <f t="shared" ref="F2285:L2285" si="2174">F2286</f>
        <v>0</v>
      </c>
      <c r="G2285" s="1">
        <f t="shared" si="2174"/>
        <v>5.2092799817689897E-2</v>
      </c>
      <c r="H2285" s="1">
        <f t="shared" si="2174"/>
        <v>1.07882078183264E-6</v>
      </c>
      <c r="I2285" s="1">
        <f t="shared" si="2174"/>
        <v>1.8536181843786E-6</v>
      </c>
      <c r="J2285" s="1">
        <f t="shared" si="2174"/>
        <v>0.23587215102589501</v>
      </c>
      <c r="K2285" s="1">
        <f t="shared" si="2174"/>
        <v>9.6118012195837904E-2</v>
      </c>
      <c r="L2285" s="1">
        <f t="shared" si="2174"/>
        <v>0.16003166734403501</v>
      </c>
      <c r="N2285" s="1"/>
    </row>
    <row r="2286" spans="2:14" x14ac:dyDescent="0.35">
      <c r="B2286" s="5" t="str">
        <f t="shared" si="2160"/>
        <v>SPS1</v>
      </c>
      <c r="C2286" s="5" t="str">
        <f t="shared" si="2161"/>
        <v>CH</v>
      </c>
      <c r="D2286" t="s">
        <v>2420</v>
      </c>
      <c r="E2286" t="str">
        <f t="shared" si="2162"/>
        <v>GWth/yr.</v>
      </c>
      <c r="F2286" s="1" cm="1">
        <f t="array" ref="F2286">SUMPRODUCT(([1]OUT_FinalEnergyCons!$B$4:$B$10000="var_ncap")*1,  (ISNUMBER(SEARCH("ITOT-SWHWOD*BR",[1]OUT_FinalEnergyCons!$A$4:$A$10000)))*1,[1]OUT_FinalEnergyCons!D$4:D$10000)</f>
        <v>0</v>
      </c>
      <c r="G2286" s="1" cm="1">
        <f t="array" ref="G2286">SUMPRODUCT(([1]OUT_FinalEnergyCons!$B$4:$B$10000="var_ncap")*1,  (ISNUMBER(SEARCH("ITOT-SWHWOD*BR",[1]OUT_FinalEnergyCons!$A$4:$A$10000)))*1,[1]OUT_FinalEnergyCons!E$4:E$10000)</f>
        <v>5.2092799817689897E-2</v>
      </c>
      <c r="H2286" s="1" cm="1">
        <f t="array" ref="H2286">SUMPRODUCT(([1]OUT_FinalEnergyCons!$B$4:$B$10000="var_ncap")*1,  (ISNUMBER(SEARCH("ITOT-SWHWOD*BR",[1]OUT_FinalEnergyCons!$A$4:$A$10000)))*1,[1]OUT_FinalEnergyCons!F$4:F$10000)</f>
        <v>1.07882078183264E-6</v>
      </c>
      <c r="I2286" s="1" cm="1">
        <f t="array" ref="I2286">SUMPRODUCT(([1]OUT_FinalEnergyCons!$B$4:$B$10000="var_ncap")*1,  (ISNUMBER(SEARCH("ITOT-SWHWOD*BR",[1]OUT_FinalEnergyCons!$A$4:$A$10000)))*1,[1]OUT_FinalEnergyCons!G$4:G$10000)</f>
        <v>1.8536181843786E-6</v>
      </c>
      <c r="J2286" s="1" cm="1">
        <f t="array" ref="J2286">SUMPRODUCT(([2]OUT_FinalEnergyCons!$B$4:$B$10000="var_ncap")*1,  (ISNUMBER(SEARCH("ITOT-SWHWOD*BR",[2]OUT_FinalEnergyCons!$A$4:$A$10000)))*1,[2]OUT_FinalEnergyCons!H$4:H$10000)</f>
        <v>0.23587215102589501</v>
      </c>
      <c r="K2286" s="1" cm="1">
        <f t="array" ref="K2286">SUMPRODUCT(([2]OUT_FinalEnergyCons!$B$4:$B$10000="var_ncap")*1,  (ISNUMBER(SEARCH("ITOT-SWHWOD*BR",[2]OUT_FinalEnergyCons!$A$4:$A$10000)))*1,[2]OUT_FinalEnergyCons!I$4:I$10000)</f>
        <v>9.6118012195837904E-2</v>
      </c>
      <c r="L2286" s="1" cm="1">
        <f t="array" ref="L2286">SUMPRODUCT(([2]OUT_FinalEnergyCons!$B$4:$B$10000="var_ncap")*1,  (ISNUMBER(SEARCH("ITOT-SWHWOD*BR",[2]OUT_FinalEnergyCons!$A$4:$A$10000)))*1,[2]OUT_FinalEnergyCons!J$4:J$10000)</f>
        <v>0.16003166734403501</v>
      </c>
      <c r="N2286" s="1"/>
    </row>
    <row r="2287" spans="2:14" x14ac:dyDescent="0.35">
      <c r="B2287" s="5" t="str">
        <f t="shared" si="2160"/>
        <v>SPS1</v>
      </c>
      <c r="C2287" s="5" t="str">
        <f t="shared" si="2161"/>
        <v>CH</v>
      </c>
      <c r="D2287" t="s">
        <v>2421</v>
      </c>
      <c r="E2287" t="str">
        <f t="shared" si="2162"/>
        <v>GWth/yr.</v>
      </c>
      <c r="F2287" s="1">
        <f t="shared" ref="F2287:L2287" si="2175">F2288</f>
        <v>0</v>
      </c>
      <c r="G2287" s="1">
        <f t="shared" si="2175"/>
        <v>8.1169115802483104E-3</v>
      </c>
      <c r="H2287" s="1">
        <f t="shared" si="2175"/>
        <v>6.1354817551694997E-6</v>
      </c>
      <c r="I2287" s="1">
        <f t="shared" si="2175"/>
        <v>2.06595145332969E-6</v>
      </c>
      <c r="J2287" s="1">
        <f t="shared" si="2175"/>
        <v>2.8387546753445899E-2</v>
      </c>
      <c r="K2287" s="1">
        <f t="shared" si="2175"/>
        <v>1.25487510126334E-2</v>
      </c>
      <c r="L2287" s="1">
        <f t="shared" si="2175"/>
        <v>1.93918869647948E-2</v>
      </c>
      <c r="N2287" s="1"/>
    </row>
    <row r="2288" spans="2:14" x14ac:dyDescent="0.35">
      <c r="B2288" s="5" t="str">
        <f t="shared" si="2160"/>
        <v>SPS1</v>
      </c>
      <c r="C2288" s="5" t="str">
        <f t="shared" si="2161"/>
        <v>CH</v>
      </c>
      <c r="D2288" t="s">
        <v>2422</v>
      </c>
      <c r="E2288" t="str">
        <f t="shared" si="2162"/>
        <v>GWth/yr.</v>
      </c>
      <c r="F2288" s="1" cm="1">
        <f t="array" ref="F2288">SUMPRODUCT(([1]OUT_FinalEnergyCons!$B$4:$B$10000="var_ncap")*1,  (ISNUMBER(SEARCH("ITOT-SWHPLT*BR",[1]OUT_FinalEnergyCons!$A$4:$A$10000)))*1,[1]OUT_FinalEnergyCons!D$4:D$10000)</f>
        <v>0</v>
      </c>
      <c r="G2288" s="1" cm="1">
        <f t="array" ref="G2288">SUMPRODUCT(([1]OUT_FinalEnergyCons!$B$4:$B$10000="var_ncap")*1,  (ISNUMBER(SEARCH("ITOT-SWHPLT*BR",[1]OUT_FinalEnergyCons!$A$4:$A$10000)))*1,[1]OUT_FinalEnergyCons!E$4:E$10000)</f>
        <v>8.1169115802483104E-3</v>
      </c>
      <c r="H2288" s="1" cm="1">
        <f t="array" ref="H2288">SUMPRODUCT(([1]OUT_FinalEnergyCons!$B$4:$B$10000="var_ncap")*1,  (ISNUMBER(SEARCH("ITOT-SWHPLT*BR",[1]OUT_FinalEnergyCons!$A$4:$A$10000)))*1,[1]OUT_FinalEnergyCons!F$4:F$10000)</f>
        <v>6.1354817551694997E-6</v>
      </c>
      <c r="I2288" s="1" cm="1">
        <f t="array" ref="I2288">SUMPRODUCT(([1]OUT_FinalEnergyCons!$B$4:$B$10000="var_ncap")*1,  (ISNUMBER(SEARCH("ITOT-SWHPLT*BR",[1]OUT_FinalEnergyCons!$A$4:$A$10000)))*1,[1]OUT_FinalEnergyCons!G$4:G$10000)</f>
        <v>2.06595145332969E-6</v>
      </c>
      <c r="J2288" s="1" cm="1">
        <f t="array" ref="J2288">SUMPRODUCT(([2]OUT_FinalEnergyCons!$B$4:$B$10000="var_ncap")*1,  (ISNUMBER(SEARCH("ITOT-SWHPLT*BR",[2]OUT_FinalEnergyCons!$A$4:$A$10000)))*1,[2]OUT_FinalEnergyCons!H$4:H$10000)</f>
        <v>2.8387546753445899E-2</v>
      </c>
      <c r="K2288" s="1" cm="1">
        <f t="array" ref="K2288">SUMPRODUCT(([2]OUT_FinalEnergyCons!$B$4:$B$10000="var_ncap")*1,  (ISNUMBER(SEARCH("ITOT-SWHPLT*BR",[2]OUT_FinalEnergyCons!$A$4:$A$10000)))*1,[2]OUT_FinalEnergyCons!I$4:I$10000)</f>
        <v>1.25487510126334E-2</v>
      </c>
      <c r="L2288" s="1" cm="1">
        <f t="array" ref="L2288">SUMPRODUCT(([2]OUT_FinalEnergyCons!$B$4:$B$10000="var_ncap")*1,  (ISNUMBER(SEARCH("ITOT-SWHPLT*BR",[2]OUT_FinalEnergyCons!$A$4:$A$10000)))*1,[2]OUT_FinalEnergyCons!J$4:J$10000)</f>
        <v>1.93918869647948E-2</v>
      </c>
      <c r="N2288" s="1"/>
    </row>
    <row r="2289" spans="2:14" x14ac:dyDescent="0.35">
      <c r="B2289" s="5" t="str">
        <f t="shared" si="2160"/>
        <v>SPS1</v>
      </c>
      <c r="C2289" s="5" t="str">
        <f t="shared" si="2161"/>
        <v>CH</v>
      </c>
      <c r="D2289" t="s">
        <v>2423</v>
      </c>
      <c r="E2289" t="str">
        <f t="shared" si="2162"/>
        <v>GWth/yr.</v>
      </c>
      <c r="F2289" s="1">
        <f t="shared" ref="F2289:L2289" si="2176">F2290</f>
        <v>0</v>
      </c>
      <c r="G2289" s="1">
        <f t="shared" si="2176"/>
        <v>1.4492271491925E-6</v>
      </c>
      <c r="H2289" s="1">
        <f t="shared" si="2176"/>
        <v>1.7928553444033201E-6</v>
      </c>
      <c r="I2289" s="1">
        <f t="shared" si="2176"/>
        <v>2.1562880335145002E-6</v>
      </c>
      <c r="J2289" s="1">
        <f t="shared" si="2176"/>
        <v>0.22273556688631799</v>
      </c>
      <c r="K2289" s="1">
        <f t="shared" si="2176"/>
        <v>9.1906283190028207E-2</v>
      </c>
      <c r="L2289" s="1">
        <f t="shared" si="2176"/>
        <v>0.201112919313535</v>
      </c>
      <c r="N2289" s="1"/>
    </row>
    <row r="2290" spans="2:14" x14ac:dyDescent="0.35">
      <c r="B2290" s="5" t="str">
        <f t="shared" si="2160"/>
        <v>SPS1</v>
      </c>
      <c r="C2290" s="5" t="str">
        <f t="shared" si="2161"/>
        <v>CH</v>
      </c>
      <c r="D2290" t="s">
        <v>2424</v>
      </c>
      <c r="E2290" t="str">
        <f t="shared" si="2162"/>
        <v>GWth/yr.</v>
      </c>
      <c r="F2290" s="1" cm="1">
        <f t="array" ref="F2290">SUMPRODUCT(([1]OUT_FinalEnergyCons!$B$4:$B$10000="var_ncap")*1,  (ISNUMBER(SEARCH("ITOT-SWHWST*BR",[1]OUT_FinalEnergyCons!$A$4:$A$10000)))*1,[1]OUT_FinalEnergyCons!D$4:D$10000)</f>
        <v>0</v>
      </c>
      <c r="G2290" s="1" cm="1">
        <f t="array" ref="G2290">SUMPRODUCT(([1]OUT_FinalEnergyCons!$B$4:$B$10000="var_ncap")*1,  (ISNUMBER(SEARCH("ITOT-SWHWST*BR",[1]OUT_FinalEnergyCons!$A$4:$A$10000)))*1,[1]OUT_FinalEnergyCons!E$4:E$10000)</f>
        <v>1.4492271491925E-6</v>
      </c>
      <c r="H2290" s="1" cm="1">
        <f t="array" ref="H2290">SUMPRODUCT(([1]OUT_FinalEnergyCons!$B$4:$B$10000="var_ncap")*1,  (ISNUMBER(SEARCH("ITOT-SWHWST*BR",[1]OUT_FinalEnergyCons!$A$4:$A$10000)))*1,[1]OUT_FinalEnergyCons!F$4:F$10000)</f>
        <v>1.7928553444033201E-6</v>
      </c>
      <c r="I2290" s="1" cm="1">
        <f t="array" ref="I2290">SUMPRODUCT(([1]OUT_FinalEnergyCons!$B$4:$B$10000="var_ncap")*1,  (ISNUMBER(SEARCH("ITOT-SWHWST*BR",[1]OUT_FinalEnergyCons!$A$4:$A$10000)))*1,[1]OUT_FinalEnergyCons!G$4:G$10000)</f>
        <v>2.1562880335145002E-6</v>
      </c>
      <c r="J2290" s="1" cm="1">
        <f t="array" ref="J2290">SUMPRODUCT(([2]OUT_FinalEnergyCons!$B$4:$B$10000="var_ncap")*1,  (ISNUMBER(SEARCH("ITOT-SWHWST*BR",[2]OUT_FinalEnergyCons!$A$4:$A$10000)))*1,[2]OUT_FinalEnergyCons!H$4:H$10000)</f>
        <v>0.22273556688631799</v>
      </c>
      <c r="K2290" s="1" cm="1">
        <f t="array" ref="K2290">SUMPRODUCT(([2]OUT_FinalEnergyCons!$B$4:$B$10000="var_ncap")*1,  (ISNUMBER(SEARCH("ITOT-SWHWST*BR",[2]OUT_FinalEnergyCons!$A$4:$A$10000)))*1,[2]OUT_FinalEnergyCons!I$4:I$10000)</f>
        <v>9.1906283190028207E-2</v>
      </c>
      <c r="L2290" s="1" cm="1">
        <f t="array" ref="L2290">SUMPRODUCT(([2]OUT_FinalEnergyCons!$B$4:$B$10000="var_ncap")*1,  (ISNUMBER(SEARCH("ITOT-SWHWST*BR",[2]OUT_FinalEnergyCons!$A$4:$A$10000)))*1,[2]OUT_FinalEnergyCons!J$4:J$10000)</f>
        <v>0.201112919313535</v>
      </c>
      <c r="N2290" s="1"/>
    </row>
    <row r="2291" spans="2:14" x14ac:dyDescent="0.35">
      <c r="B2291" s="5" t="str">
        <f t="shared" si="2160"/>
        <v>SPS1</v>
      </c>
      <c r="C2291" s="5" t="str">
        <f t="shared" si="2161"/>
        <v>CH</v>
      </c>
      <c r="D2291" t="s">
        <v>2425</v>
      </c>
      <c r="E2291" t="str">
        <f t="shared" si="2162"/>
        <v>GWth/yr.</v>
      </c>
      <c r="F2291" s="1">
        <f t="shared" ref="F2291:L2291" si="2177">F2292</f>
        <v>0</v>
      </c>
      <c r="G2291" s="1">
        <f t="shared" si="2177"/>
        <v>2.6006272887123898E-3</v>
      </c>
      <c r="H2291" s="1">
        <f t="shared" si="2177"/>
        <v>2.2077889801471199E-8</v>
      </c>
      <c r="I2291" s="1">
        <f t="shared" si="2177"/>
        <v>2.2007489706106402E-8</v>
      </c>
      <c r="J2291" s="1">
        <f t="shared" si="2177"/>
        <v>8.6652465623899902E-3</v>
      </c>
      <c r="K2291" s="1">
        <f t="shared" si="2177"/>
        <v>4.0090052588941999E-3</v>
      </c>
      <c r="L2291" s="1">
        <f t="shared" si="2177"/>
        <v>6.0988685739379999E-3</v>
      </c>
      <c r="N2291" s="1"/>
    </row>
    <row r="2292" spans="2:14" x14ac:dyDescent="0.35">
      <c r="B2292" s="5" t="str">
        <f t="shared" si="2160"/>
        <v>SPS1</v>
      </c>
      <c r="C2292" s="5" t="str">
        <f t="shared" si="2161"/>
        <v>CH</v>
      </c>
      <c r="D2292" t="s">
        <v>2426</v>
      </c>
      <c r="E2292" t="str">
        <f t="shared" si="2162"/>
        <v>GWth/yr.</v>
      </c>
      <c r="F2292" s="1" cm="1">
        <f t="array" ref="F2292">SUMPRODUCT(([1]OUT_FinalEnergyCons!$B$4:$B$10000="var_ncap")*1, (ISNUMBER(SEARCH("ITOT-SWHSOLBR",[1]OUT_FinalEnergyCons!$A$4:$A$10000)))*1,[1]OUT_FinalEnergyCons!D$4:D$10000)</f>
        <v>0</v>
      </c>
      <c r="G2292" s="1" cm="1">
        <f t="array" ref="G2292">SUMPRODUCT(([1]OUT_FinalEnergyCons!$B$4:$B$10000="var_ncap")*1, (ISNUMBER(SEARCH("ITOT-SWHSOLBR",[1]OUT_FinalEnergyCons!$A$4:$A$10000)))*1,[1]OUT_FinalEnergyCons!E$4:E$10000)</f>
        <v>2.6006272887123898E-3</v>
      </c>
      <c r="H2292" s="1" cm="1">
        <f t="array" ref="H2292">SUMPRODUCT(([1]OUT_FinalEnergyCons!$B$4:$B$10000="var_ncap")*1, (ISNUMBER(SEARCH("ITOT-SWHSOLBR",[1]OUT_FinalEnergyCons!$A$4:$A$10000)))*1,[1]OUT_FinalEnergyCons!F$4:F$10000)</f>
        <v>2.2077889801471199E-8</v>
      </c>
      <c r="I2292" s="1" cm="1">
        <f t="array" ref="I2292">SUMPRODUCT(([1]OUT_FinalEnergyCons!$B$4:$B$10000="var_ncap")*1, (ISNUMBER(SEARCH("ITOT-SWHSOLBR",[1]OUT_FinalEnergyCons!$A$4:$A$10000)))*1,[1]OUT_FinalEnergyCons!G$4:G$10000)</f>
        <v>2.2007489706106402E-8</v>
      </c>
      <c r="J2292" s="1" cm="1">
        <f t="array" ref="J2292">SUMPRODUCT(([2]OUT_FinalEnergyCons!$B$4:$B$10000="var_ncap")*1, (ISNUMBER(SEARCH("ITOT-SWHSOLBR",[2]OUT_FinalEnergyCons!$A$4:$A$10000)))*1,[2]OUT_FinalEnergyCons!H$4:H$10000)</f>
        <v>8.6652465623899902E-3</v>
      </c>
      <c r="K2292" s="1" cm="1">
        <f t="array" ref="K2292">SUMPRODUCT(([2]OUT_FinalEnergyCons!$B$4:$B$10000="var_ncap")*1, (ISNUMBER(SEARCH("ITOT-SWHSOLBR",[2]OUT_FinalEnergyCons!$A$4:$A$10000)))*1,[2]OUT_FinalEnergyCons!I$4:I$10000)</f>
        <v>4.0090052588941999E-3</v>
      </c>
      <c r="L2292" s="1" cm="1">
        <f t="array" ref="L2292">SUMPRODUCT(([2]OUT_FinalEnergyCons!$B$4:$B$10000="var_ncap")*1, (ISNUMBER(SEARCH("ITOT-SWHSOLBR",[2]OUT_FinalEnergyCons!$A$4:$A$10000)))*1,[2]OUT_FinalEnergyCons!J$4:J$10000)</f>
        <v>6.0988685739379999E-3</v>
      </c>
      <c r="N2292" s="1"/>
    </row>
    <row r="2293" spans="2:14" x14ac:dyDescent="0.35">
      <c r="B2293" s="5" t="str">
        <f t="shared" si="2160"/>
        <v>SPS1</v>
      </c>
      <c r="C2293" s="5" t="str">
        <f t="shared" si="2161"/>
        <v>CH</v>
      </c>
      <c r="D2293" t="s">
        <v>2427</v>
      </c>
      <c r="E2293" t="str">
        <f t="shared" si="2162"/>
        <v>GWth/yr.</v>
      </c>
      <c r="F2293" s="1">
        <f t="shared" ref="F2293:L2293" si="2178">F2294</f>
        <v>0</v>
      </c>
      <c r="G2293" s="1">
        <f t="shared" si="2178"/>
        <v>0</v>
      </c>
      <c r="H2293" s="1">
        <f t="shared" si="2178"/>
        <v>0</v>
      </c>
      <c r="I2293" s="1">
        <f t="shared" si="2178"/>
        <v>0</v>
      </c>
      <c r="J2293" s="1">
        <f t="shared" si="2178"/>
        <v>4.5745529859781E-4</v>
      </c>
      <c r="K2293" s="1">
        <f t="shared" si="2178"/>
        <v>1.90521984496584E-4</v>
      </c>
      <c r="L2293" s="1">
        <f t="shared" si="2178"/>
        <v>6.3954194168219904E-3</v>
      </c>
      <c r="N2293" s="1"/>
    </row>
    <row r="2294" spans="2:14" x14ac:dyDescent="0.35">
      <c r="B2294" s="5" t="str">
        <f t="shared" si="2160"/>
        <v>SPS1</v>
      </c>
      <c r="C2294" s="5" t="str">
        <f t="shared" si="2161"/>
        <v>CH</v>
      </c>
      <c r="D2294" t="s">
        <v>2428</v>
      </c>
      <c r="E2294" t="str">
        <f t="shared" si="2162"/>
        <v>GWth/yr.</v>
      </c>
      <c r="F2294" s="1" cm="1">
        <f t="array" ref="F2294">SUMPRODUCT(([1]OUT_FinalEnergyCons!$B$4:$B$10000="var_ncap")*1, (ISNUMBER(SEARCH("ITOT-SWHH2BR",[1]OUT_FinalEnergyCons!$A$4:$A$10000)))*1,[1]OUT_FinalEnergyCons!D$4:D$10000)</f>
        <v>0</v>
      </c>
      <c r="G2294" s="1" cm="1">
        <f t="array" ref="G2294">SUMPRODUCT(([1]OUT_FinalEnergyCons!$B$4:$B$10000="var_ncap")*1, (ISNUMBER(SEARCH("ITOT-SWHH2BR",[1]OUT_FinalEnergyCons!$A$4:$A$10000)))*1,[1]OUT_FinalEnergyCons!E$4:E$10000)</f>
        <v>0</v>
      </c>
      <c r="H2294" s="1" cm="1">
        <f t="array" ref="H2294">SUMPRODUCT(([1]OUT_FinalEnergyCons!$B$4:$B$10000="var_ncap")*1, (ISNUMBER(SEARCH("ITOT-SWHH2BR",[1]OUT_FinalEnergyCons!$A$4:$A$10000)))*1,[1]OUT_FinalEnergyCons!F$4:F$10000)</f>
        <v>0</v>
      </c>
      <c r="I2294" s="1" cm="1">
        <f t="array" ref="I2294">SUMPRODUCT(([1]OUT_FinalEnergyCons!$B$4:$B$10000="var_ncap")*1, (ISNUMBER(SEARCH("ITOT-SWHH2BR",[1]OUT_FinalEnergyCons!$A$4:$A$10000)))*1,[1]OUT_FinalEnergyCons!G$4:G$10000)</f>
        <v>0</v>
      </c>
      <c r="J2294" s="1" cm="1">
        <f t="array" ref="J2294">SUMPRODUCT(([2]OUT_FinalEnergyCons!$B$4:$B$10000="var_ncap")*1, (ISNUMBER(SEARCH("ITOT-SWHH2BR",[2]OUT_FinalEnergyCons!$A$4:$A$10000)))*1,[2]OUT_FinalEnergyCons!H$4:H$10000)</f>
        <v>4.5745529859781E-4</v>
      </c>
      <c r="K2294" s="1" cm="1">
        <f t="array" ref="K2294">SUMPRODUCT(([2]OUT_FinalEnergyCons!$B$4:$B$10000="var_ncap")*1, (ISNUMBER(SEARCH("ITOT-SWHH2BR",[2]OUT_FinalEnergyCons!$A$4:$A$10000)))*1,[2]OUT_FinalEnergyCons!I$4:I$10000)</f>
        <v>1.90521984496584E-4</v>
      </c>
      <c r="L2294" s="1" cm="1">
        <f t="array" ref="L2294">SUMPRODUCT(([2]OUT_FinalEnergyCons!$B$4:$B$10000="var_ncap")*1, (ISNUMBER(SEARCH("ITOT-SWHH2BR",[2]OUT_FinalEnergyCons!$A$4:$A$10000)))*1,[2]OUT_FinalEnergyCons!J$4:J$10000)</f>
        <v>6.3954194168219904E-3</v>
      </c>
      <c r="N2294" s="1"/>
    </row>
    <row r="2295" spans="2:14" x14ac:dyDescent="0.35">
      <c r="B2295" s="9" t="str">
        <f>SPS4_FIN_Low!B1813</f>
        <v>SPS1</v>
      </c>
      <c r="C2295" s="9" t="str">
        <f>SPS4_FIN_Low!C1813</f>
        <v>CH</v>
      </c>
      <c r="D2295" s="2" t="s">
        <v>2429</v>
      </c>
      <c r="E2295" s="9" t="str">
        <f t="shared" si="2162"/>
        <v>GWth/yr.</v>
      </c>
      <c r="F2295" s="17">
        <f t="shared" ref="F2295:K2295" si="2179">SUM(F2296,F2299,F2301,F2305,F2307,F2309,F2311)</f>
        <v>9.8651268066404067E-6</v>
      </c>
      <c r="G2295" s="17">
        <f t="shared" si="2179"/>
        <v>8.6560727529406037E-2</v>
      </c>
      <c r="H2295" s="17">
        <f t="shared" si="2179"/>
        <v>0.13308774706759685</v>
      </c>
      <c r="I2295" s="17">
        <f t="shared" si="2179"/>
        <v>0.2839208371489545</v>
      </c>
      <c r="J2295" s="17">
        <f t="shared" si="2179"/>
        <v>2.5248345221549719</v>
      </c>
      <c r="K2295" s="17">
        <f t="shared" si="2179"/>
        <v>1.7355111532981558</v>
      </c>
      <c r="L2295" s="17">
        <f t="shared" ref="L2295" si="2180">SUM(L2296,L2299,L2301,L2305,L2307,L2309,L2311)</f>
        <v>2.1599781739718757</v>
      </c>
      <c r="N2295" s="1"/>
    </row>
    <row r="2296" spans="2:14" x14ac:dyDescent="0.35">
      <c r="B2296" s="5" t="str">
        <f t="shared" ref="B2296:B2312" si="2181">B2295</f>
        <v>SPS1</v>
      </c>
      <c r="C2296" s="5" t="str">
        <f t="shared" ref="C2296:C2312" si="2182">C2295</f>
        <v>CH</v>
      </c>
      <c r="D2296" t="s">
        <v>2430</v>
      </c>
      <c r="E2296" t="str">
        <f t="shared" si="2162"/>
        <v>GWth/yr.</v>
      </c>
      <c r="F2296" s="1">
        <f t="shared" ref="F2296:K2296" si="2183">SUM(F2297:F2298)</f>
        <v>3.5252121751313902E-7</v>
      </c>
      <c r="G2296" s="1">
        <f t="shared" si="2183"/>
        <v>2.9056064461732739E-7</v>
      </c>
      <c r="H2296" s="1">
        <f t="shared" si="2183"/>
        <v>3.3246255293320001E-7</v>
      </c>
      <c r="I2296" s="1">
        <f t="shared" si="2183"/>
        <v>0.15004542689254324</v>
      </c>
      <c r="J2296" s="1">
        <f t="shared" si="2183"/>
        <v>0.47058177153229991</v>
      </c>
      <c r="K2296" s="1">
        <f t="shared" si="2183"/>
        <v>0.3065064566558357</v>
      </c>
      <c r="L2296" s="1">
        <f t="shared" ref="L2296" si="2184">SUM(L2297:L2298)</f>
        <v>0.75870949260174347</v>
      </c>
      <c r="N2296" s="1"/>
    </row>
    <row r="2297" spans="2:14" x14ac:dyDescent="0.35">
      <c r="B2297" s="5" t="str">
        <f t="shared" si="2181"/>
        <v>SPS1</v>
      </c>
      <c r="C2297" s="5" t="str">
        <f t="shared" si="2182"/>
        <v>CH</v>
      </c>
      <c r="D2297" t="s">
        <v>2431</v>
      </c>
      <c r="E2297" t="str">
        <f t="shared" si="2162"/>
        <v>GWth/yr.</v>
      </c>
      <c r="F2297" s="1" cm="1">
        <f t="array" ref="F2297">SUMPRODUCT(([1]OUT_FinalEnergyCons!$B$4:$B$10000="var_ncap")*1, (ISNUMBER(SEARCH("SCOM-SHELCBR",[1]OUT_FinalEnergyCons!$A$4:$A$10000)))*1,[1]OUT_FinalEnergyCons!D$4:D$10000)</f>
        <v>3.2697652412209601E-7</v>
      </c>
      <c r="G2297" s="1" cm="1">
        <f t="array" ref="G2297">SUMPRODUCT(([1]OUT_FinalEnergyCons!$B$4:$B$10000="var_ncap")*1, (ISNUMBER(SEARCH("SCOM-SHELCBR",[1]OUT_FinalEnergyCons!$A$4:$A$10000)))*1,[1]OUT_FinalEnergyCons!E$4:E$10000)</f>
        <v>2.5034506706436499E-7</v>
      </c>
      <c r="H2297" s="1" cm="1">
        <f t="array" ref="H2297">SUMPRODUCT(([1]OUT_FinalEnergyCons!$B$4:$B$10000="var_ncap")*1, (ISNUMBER(SEARCH("SCOM-SHELCBR",[1]OUT_FinalEnergyCons!$A$4:$A$10000)))*1,[1]OUT_FinalEnergyCons!F$4:F$10000)</f>
        <v>2.1595262656963399E-7</v>
      </c>
      <c r="I2297" s="1" cm="1">
        <f t="array" ref="I2297">SUMPRODUCT(([1]OUT_FinalEnergyCons!$B$4:$B$10000="var_ncap")*1, (ISNUMBER(SEARCH("SCOM-SHELCBR",[1]OUT_FinalEnergyCons!$A$4:$A$10000)))*1,[1]OUT_FinalEnergyCons!G$4:G$10000)</f>
        <v>3.6498745224574698E-7</v>
      </c>
      <c r="J2297" s="1" cm="1">
        <f t="array" ref="J2297">SUMPRODUCT(([2]OUT_FinalEnergyCons!$B$4:$B$10000="var_ncap")*1, (ISNUMBER(SEARCH("SCOM-SHELCBR",[2]OUT_FinalEnergyCons!$A$4:$A$10000)))*1,[2]OUT_FinalEnergyCons!H$4:H$10000)</f>
        <v>1.6315445325269899E-2</v>
      </c>
      <c r="K2297" s="1" cm="1">
        <f t="array" ref="K2297">SUMPRODUCT(([2]OUT_FinalEnergyCons!$B$4:$B$10000="var_ncap")*1, (ISNUMBER(SEARCH("SCOM-SHELCBR",[2]OUT_FinalEnergyCons!$A$4:$A$10000)))*1,[2]OUT_FinalEnergyCons!I$4:I$10000)</f>
        <v>1.10447634436277E-2</v>
      </c>
      <c r="L2297" s="1" cm="1">
        <f t="array" ref="L2297">SUMPRODUCT(([2]OUT_FinalEnergyCons!$B$4:$B$10000="var_ncap")*1, (ISNUMBER(SEARCH("SCOM-SHELCBR",[2]OUT_FinalEnergyCons!$A$4:$A$10000)))*1,[2]OUT_FinalEnergyCons!J$4:J$10000)</f>
        <v>6.5016629963734404E-3</v>
      </c>
      <c r="N2297" s="1"/>
    </row>
    <row r="2298" spans="2:14" x14ac:dyDescent="0.35">
      <c r="B2298" s="5" t="str">
        <f t="shared" si="2181"/>
        <v>SPS1</v>
      </c>
      <c r="C2298" s="5" t="str">
        <f t="shared" si="2182"/>
        <v>CH</v>
      </c>
      <c r="D2298" t="s">
        <v>2432</v>
      </c>
      <c r="E2298" t="str">
        <f t="shared" si="2162"/>
        <v>GWth/yr.</v>
      </c>
      <c r="F2298" s="1" cm="1">
        <f t="array" ref="F2298">SUMPRODUCT(([1]OUT_FinalEnergyCons!$B$4:$B$10000="var_ncap")*1, (ISNUMBER(SEARCH("SCOM-SHELCHP",[1]OUT_FinalEnergyCons!$A$4:$A$10000)))*1,[1]OUT_FinalEnergyCons!D$4:D$10000)</f>
        <v>2.5544693391043E-8</v>
      </c>
      <c r="G2298" s="1" cm="1">
        <f t="array" ref="G2298">SUMPRODUCT(([1]OUT_FinalEnergyCons!$B$4:$B$10000="var_ncap")*1, (ISNUMBER(SEARCH("SCOM-SHELCHP",[1]OUT_FinalEnergyCons!$A$4:$A$10000)))*1,[1]OUT_FinalEnergyCons!E$4:E$10000)</f>
        <v>4.02155775529624E-8</v>
      </c>
      <c r="H2298" s="1" cm="1">
        <f t="array" ref="H2298">SUMPRODUCT(([1]OUT_FinalEnergyCons!$B$4:$B$10000="var_ncap")*1, (ISNUMBER(SEARCH("SCOM-SHELCHP",[1]OUT_FinalEnergyCons!$A$4:$A$10000)))*1,[1]OUT_FinalEnergyCons!F$4:F$10000)</f>
        <v>1.1650992636356599E-7</v>
      </c>
      <c r="I2298" s="1" cm="1">
        <f t="array" ref="I2298">SUMPRODUCT(([1]OUT_FinalEnergyCons!$B$4:$B$10000="var_ncap")*1, (ISNUMBER(SEARCH("SCOM-SHELCHP",[1]OUT_FinalEnergyCons!$A$4:$A$10000)))*1,[1]OUT_FinalEnergyCons!G$4:G$10000)</f>
        <v>0.15004506190509101</v>
      </c>
      <c r="J2298" s="1" cm="1">
        <f t="array" ref="J2298">SUMPRODUCT(([2]OUT_FinalEnergyCons!$B$4:$B$10000="var_ncap")*1, (ISNUMBER(SEARCH("SCOM-SHELCHP",[2]OUT_FinalEnergyCons!$A$4:$A$10000)))*1,[2]OUT_FinalEnergyCons!H$4:H$10000)</f>
        <v>0.45426632620703</v>
      </c>
      <c r="K2298" s="1" cm="1">
        <f t="array" ref="K2298">SUMPRODUCT(([2]OUT_FinalEnergyCons!$B$4:$B$10000="var_ncap")*1, (ISNUMBER(SEARCH("SCOM-SHELCHP",[2]OUT_FinalEnergyCons!$A$4:$A$10000)))*1,[2]OUT_FinalEnergyCons!I$4:I$10000)</f>
        <v>0.295461693212208</v>
      </c>
      <c r="L2298" s="1" cm="1">
        <f t="array" ref="L2298">SUMPRODUCT(([2]OUT_FinalEnergyCons!$B$4:$B$10000="var_ncap")*1, (ISNUMBER(SEARCH("SCOM-SHELCHP",[2]OUT_FinalEnergyCons!$A$4:$A$10000)))*1,[2]OUT_FinalEnergyCons!J$4:J$10000)</f>
        <v>0.75220782960537003</v>
      </c>
      <c r="N2298" s="1"/>
    </row>
    <row r="2299" spans="2:14" x14ac:dyDescent="0.35">
      <c r="B2299" s="5" t="str">
        <f t="shared" si="2181"/>
        <v>SPS1</v>
      </c>
      <c r="C2299" s="5" t="str">
        <f t="shared" si="2182"/>
        <v>CH</v>
      </c>
      <c r="D2299" t="s">
        <v>2433</v>
      </c>
      <c r="E2299" t="str">
        <f t="shared" si="2162"/>
        <v>GWth/yr.</v>
      </c>
      <c r="F2299" s="1">
        <f t="shared" ref="F2299:L2299" si="2185">F2300</f>
        <v>2.0306033124240299E-7</v>
      </c>
      <c r="G2299" s="1">
        <f t="shared" si="2185"/>
        <v>1.23126981567458E-7</v>
      </c>
      <c r="H2299" s="1">
        <f t="shared" si="2185"/>
        <v>9.3180723348508404E-8</v>
      </c>
      <c r="I2299" s="1">
        <f t="shared" si="2185"/>
        <v>1.61562859752977E-7</v>
      </c>
      <c r="J2299" s="1">
        <f t="shared" si="2185"/>
        <v>0.46631690105522</v>
      </c>
      <c r="K2299" s="1">
        <f t="shared" si="2185"/>
        <v>0.303989185691241</v>
      </c>
      <c r="L2299" s="1">
        <f t="shared" si="2185"/>
        <v>1.2217922694367301E-6</v>
      </c>
      <c r="N2299" s="1"/>
    </row>
    <row r="2300" spans="2:14" x14ac:dyDescent="0.35">
      <c r="B2300" s="5" t="str">
        <f t="shared" si="2181"/>
        <v>SPS1</v>
      </c>
      <c r="C2300" s="5" t="str">
        <f t="shared" si="2182"/>
        <v>CH</v>
      </c>
      <c r="D2300" t="s">
        <v>2434</v>
      </c>
      <c r="E2300" t="str">
        <f t="shared" ref="E2300:E2312" si="2186">E2299</f>
        <v>GWth/yr.</v>
      </c>
      <c r="F2300" s="1" cm="1">
        <f t="array" ref="F2300">SUMPRODUCT(([1]OUT_FinalEnergyCons!$B$4:$B$10000="var_ncap")*1,(ISNUMBER(SEARCH("SCOM-SHLFOBR",[1]OUT_FinalEnergyCons!$A$4:$A$10000)))*1,[1]OUT_FinalEnergyCons!D$4:D$10000)</f>
        <v>2.0306033124240299E-7</v>
      </c>
      <c r="G2300" s="1" cm="1">
        <f t="array" ref="G2300">SUMPRODUCT(([1]OUT_FinalEnergyCons!$B$4:$B$10000="var_ncap")*1,(ISNUMBER(SEARCH("SCOM-SHLFOBR",[1]OUT_FinalEnergyCons!$A$4:$A$10000)))*1,[1]OUT_FinalEnergyCons!E$4:E$10000)</f>
        <v>1.23126981567458E-7</v>
      </c>
      <c r="H2300" s="1" cm="1">
        <f t="array" ref="H2300">SUMPRODUCT(([1]OUT_FinalEnergyCons!$B$4:$B$10000="var_ncap")*1,(ISNUMBER(SEARCH("SCOM-SHLFOBR",[1]OUT_FinalEnergyCons!$A$4:$A$10000)))*1,[1]OUT_FinalEnergyCons!F$4:F$10000)</f>
        <v>9.3180723348508404E-8</v>
      </c>
      <c r="I2300" s="1" cm="1">
        <f t="array" ref="I2300">SUMPRODUCT(([1]OUT_FinalEnergyCons!$B$4:$B$10000="var_ncap")*1,(ISNUMBER(SEARCH("SCOM-SHLFOBR",[1]OUT_FinalEnergyCons!$A$4:$A$10000)))*1,[1]OUT_FinalEnergyCons!G$4:G$10000)</f>
        <v>1.61562859752977E-7</v>
      </c>
      <c r="J2300" s="1" cm="1">
        <f t="array" ref="J2300">SUMPRODUCT(([2]OUT_FinalEnergyCons!$B$4:$B$10000="var_ncap")*1,(ISNUMBER(SEARCH("SCOM-SHLFOBR",[2]OUT_FinalEnergyCons!$A$4:$A$10000)))*1,[2]OUT_FinalEnergyCons!H$4:H$10000)</f>
        <v>0.46631690105522</v>
      </c>
      <c r="K2300" s="1" cm="1">
        <f t="array" ref="K2300">SUMPRODUCT(([2]OUT_FinalEnergyCons!$B$4:$B$10000="var_ncap")*1,(ISNUMBER(SEARCH("SCOM-SHLFOBR",[2]OUT_FinalEnergyCons!$A$4:$A$10000)))*1,[2]OUT_FinalEnergyCons!I$4:I$10000)</f>
        <v>0.303989185691241</v>
      </c>
      <c r="L2300" s="1" cm="1">
        <f t="array" ref="L2300">SUMPRODUCT(([2]OUT_FinalEnergyCons!$B$4:$B$10000="var_ncap")*1,(ISNUMBER(SEARCH("SCOM-SHLFOBR",[2]OUT_FinalEnergyCons!$A$4:$A$10000)))*1,[2]OUT_FinalEnergyCons!J$4:J$10000)</f>
        <v>1.2217922694367301E-6</v>
      </c>
      <c r="N2300" s="1"/>
    </row>
    <row r="2301" spans="2:14" x14ac:dyDescent="0.35">
      <c r="B2301" s="5" t="str">
        <f t="shared" si="2181"/>
        <v>SPS1</v>
      </c>
      <c r="C2301" s="5" t="str">
        <f t="shared" si="2182"/>
        <v>CH</v>
      </c>
      <c r="D2301" t="s">
        <v>2435</v>
      </c>
      <c r="E2301" t="str">
        <f t="shared" si="2186"/>
        <v>GWth/yr.</v>
      </c>
      <c r="F2301" s="1">
        <f t="shared" ref="F2301:K2301" si="2187">SUM(F2302:F2304)</f>
        <v>3.3787272848956465E-7</v>
      </c>
      <c r="G2301" s="1">
        <f t="shared" si="2187"/>
        <v>1.0484051930488785E-5</v>
      </c>
      <c r="H2301" s="1">
        <f t="shared" si="2187"/>
        <v>0.13308702797689403</v>
      </c>
      <c r="I2301" s="1">
        <f t="shared" si="2187"/>
        <v>0.13387420504961409</v>
      </c>
      <c r="J2301" s="1">
        <f t="shared" si="2187"/>
        <v>0.59146355426711461</v>
      </c>
      <c r="K2301" s="1">
        <f t="shared" si="2187"/>
        <v>0.87862848982236741</v>
      </c>
      <c r="L2301" s="1">
        <f t="shared" ref="L2301" si="2188">SUM(L2302:L2304)</f>
        <v>0.50733820311966393</v>
      </c>
      <c r="N2301" s="1"/>
    </row>
    <row r="2302" spans="2:14" x14ac:dyDescent="0.35">
      <c r="B2302" s="5" t="str">
        <f t="shared" si="2181"/>
        <v>SPS1</v>
      </c>
      <c r="C2302" s="5" t="str">
        <f t="shared" si="2182"/>
        <v>CH</v>
      </c>
      <c r="D2302" t="s">
        <v>2436</v>
      </c>
      <c r="E2302" t="str">
        <f t="shared" si="2186"/>
        <v>GWth/yr.</v>
      </c>
      <c r="F2302" s="1" cm="1">
        <f t="array" ref="F2302">SUMPRODUCT(([1]OUT_FinalEnergyCons!$B$4:$B$10000="var_ncap")*1, (ISNUMBER(SEARCH("SCOM-SHNGABR",[1]OUT_FinalEnergyCons!$A$4:$A$10000)))*1,[1]OUT_FinalEnergyCons!D$4:D$10000)</f>
        <v>5.5688919380623699E-8</v>
      </c>
      <c r="G2302" s="1" cm="1">
        <f t="array" ref="G2302">SUMPRODUCT(([1]OUT_FinalEnergyCons!$B$4:$B$10000="var_ncap")*1, (ISNUMBER(SEARCH("SCOM-SHNGABR",[1]OUT_FinalEnergyCons!$A$4:$A$10000)))*1,[1]OUT_FinalEnergyCons!E$4:E$10000)</f>
        <v>1.3072988736704301E-7</v>
      </c>
      <c r="H2302" s="1" cm="1">
        <f t="array" ref="H2302">SUMPRODUCT(([1]OUT_FinalEnergyCons!$B$4:$B$10000="var_ncap")*1, (ISNUMBER(SEARCH("SCOM-SHNGABR",[1]OUT_FinalEnergyCons!$A$4:$A$10000)))*1,[1]OUT_FinalEnergyCons!F$4:F$10000)</f>
        <v>1.15745871262084E-7</v>
      </c>
      <c r="I2302" s="1" cm="1">
        <f t="array" ref="I2302">SUMPRODUCT(([1]OUT_FinalEnergyCons!$B$4:$B$10000="var_ncap")*1, (ISNUMBER(SEARCH("SCOM-SHNGABR",[1]OUT_FinalEnergyCons!$A$4:$A$10000)))*1,[1]OUT_FinalEnergyCons!G$4:G$10000)</f>
        <v>2.0984510685494E-7</v>
      </c>
      <c r="J2302" s="1" cm="1">
        <f t="array" ref="J2302">SUMPRODUCT(([2]OUT_FinalEnergyCons!$B$4:$B$10000="var_ncap")*1, (ISNUMBER(SEARCH("SCOM-SHNGABR",[2]OUT_FinalEnergyCons!$A$4:$A$10000)))*1,[2]OUT_FinalEnergyCons!H$4:H$10000)</f>
        <v>0.50133718527128102</v>
      </c>
      <c r="K2302" s="1" cm="1">
        <f t="array" ref="K2302">SUMPRODUCT(([2]OUT_FinalEnergyCons!$B$4:$B$10000="var_ncap")*1, (ISNUMBER(SEARCH("SCOM-SHNGABR",[2]OUT_FinalEnergyCons!$A$4:$A$10000)))*1,[2]OUT_FinalEnergyCons!I$4:I$10000)</f>
        <v>0.64139748905971505</v>
      </c>
      <c r="L2302" s="1" cm="1">
        <f t="array" ref="L2302">SUMPRODUCT(([2]OUT_FinalEnergyCons!$B$4:$B$10000="var_ncap")*1, (ISNUMBER(SEARCH("SCOM-SHNGABR",[2]OUT_FinalEnergyCons!$A$4:$A$10000)))*1,[2]OUT_FinalEnergyCons!J$4:J$10000)</f>
        <v>7.7745964892433295E-2</v>
      </c>
      <c r="N2302" s="1"/>
    </row>
    <row r="2303" spans="2:14" x14ac:dyDescent="0.35">
      <c r="B2303" s="5" t="str">
        <f t="shared" si="2181"/>
        <v>SPS1</v>
      </c>
      <c r="C2303" s="5" t="str">
        <f t="shared" si="2182"/>
        <v>CH</v>
      </c>
      <c r="D2303" t="s">
        <v>2437</v>
      </c>
      <c r="E2303" t="str">
        <f t="shared" si="2186"/>
        <v>GWth/yr.</v>
      </c>
      <c r="F2303" s="1" cm="1">
        <f t="array" ref="F2303">SUMPRODUCT(([1]OUT_FinalEnergyCons!$B$4:$B$10000="var_ncap")*1, (ISNUMBER(SEARCH("SCOM-SHngahp",[1]OUT_FinalEnergyCons!$A$4:$A$10000)))*1,[1]OUT_FinalEnergyCons!D$4:D$10000)</f>
        <v>1.35884408911909E-7</v>
      </c>
      <c r="G2303" s="1" cm="1">
        <f t="array" ref="G2303">SUMPRODUCT(([1]OUT_FinalEnergyCons!$B$4:$B$10000="var_ncap")*1, (ISNUMBER(SEARCH("SCOM-SHngahp",[1]OUT_FinalEnergyCons!$A$4:$A$10000)))*1,[1]OUT_FinalEnergyCons!E$4:E$10000)</f>
        <v>9.9058645186704297E-6</v>
      </c>
      <c r="H2303" s="1" cm="1">
        <f t="array" ref="H2303">SUMPRODUCT(([1]OUT_FinalEnergyCons!$B$4:$B$10000="var_ncap")*1, (ISNUMBER(SEARCH("SCOM-SHngahp",[1]OUT_FinalEnergyCons!$A$4:$A$10000)))*1,[1]OUT_FinalEnergyCons!F$4:F$10000)</f>
        <v>0.13308678659460499</v>
      </c>
      <c r="I2303" s="1" cm="1">
        <f t="array" ref="I2303">SUMPRODUCT(([1]OUT_FinalEnergyCons!$B$4:$B$10000="var_ncap")*1, (ISNUMBER(SEARCH("SCOM-SHngahp",[1]OUT_FinalEnergyCons!$A$4:$A$10000)))*1,[1]OUT_FinalEnergyCons!G$4:G$10000)</f>
        <v>0.133873831869112</v>
      </c>
      <c r="J2303" s="1" cm="1">
        <f t="array" ref="J2303">SUMPRODUCT(([2]OUT_FinalEnergyCons!$B$4:$B$10000="var_ncap")*1, (ISNUMBER(SEARCH("SCOM-SHngahp",[2]OUT_FinalEnergyCons!$A$4:$A$10000)))*1,[2]OUT_FinalEnergyCons!H$4:H$10000)</f>
        <v>9.0102368425638998E-2</v>
      </c>
      <c r="K2303" s="1" cm="1">
        <f t="array" ref="K2303">SUMPRODUCT(([2]OUT_FinalEnergyCons!$B$4:$B$10000="var_ncap")*1, (ISNUMBER(SEARCH("SCOM-SHngahp",[2]OUT_FinalEnergyCons!$A$4:$A$10000)))*1,[2]OUT_FinalEnergyCons!I$4:I$10000)</f>
        <v>0.23719763933266499</v>
      </c>
      <c r="L2303" s="1" cm="1">
        <f t="array" ref="L2303">SUMPRODUCT(([2]OUT_FinalEnergyCons!$B$4:$B$10000="var_ncap")*1, (ISNUMBER(SEARCH("SCOM-SHngahp",[2]OUT_FinalEnergyCons!$A$4:$A$10000)))*1,[2]OUT_FinalEnergyCons!J$4:J$10000)</f>
        <v>0.42957615905252799</v>
      </c>
      <c r="N2303" s="1"/>
    </row>
    <row r="2304" spans="2:14" x14ac:dyDescent="0.35">
      <c r="B2304" s="5" t="str">
        <f t="shared" si="2181"/>
        <v>SPS1</v>
      </c>
      <c r="C2304" s="5" t="str">
        <f t="shared" si="2182"/>
        <v>CH</v>
      </c>
      <c r="D2304" t="s">
        <v>2438</v>
      </c>
      <c r="E2304" t="str">
        <f t="shared" si="2186"/>
        <v>GWth/yr.</v>
      </c>
      <c r="F2304" s="1" cm="1">
        <f t="array" ref="F2304">SUMPRODUCT(([1]OUT_FinalEnergyCons!$B$4:$B$10000="var_ncap")*1, (("SCOM-SHBIOBR"=[1]OUT_FinalEnergyCons!$A$4:$A$10000)*1+("SCOM-SHBNGABR"=[1]OUT_FinalEnergyCons!$A$4:$A$10000)*1),[1]OUT_FinalEnergyCons!D$4:D$10000)</f>
        <v>1.4629940019703199E-7</v>
      </c>
      <c r="G2304" s="1" cm="1">
        <f t="array" ref="G2304">SUMPRODUCT(([1]OUT_FinalEnergyCons!$B$4:$B$10000="var_ncap")*1, (("SCOM-SHBIOBR"=[1]OUT_FinalEnergyCons!$A$4:$A$10000)*1+("SCOM-SHBNGABR"=[1]OUT_FinalEnergyCons!$A$4:$A$10000)*1),[1]OUT_FinalEnergyCons!E$4:E$10000)</f>
        <v>4.47457524451313E-7</v>
      </c>
      <c r="H2304" s="1" cm="1">
        <f t="array" ref="H2304">SUMPRODUCT(([1]OUT_FinalEnergyCons!$B$4:$B$10000="var_ncap")*1, (("SCOM-SHBIOBR"=[1]OUT_FinalEnergyCons!$A$4:$A$10000)*1+("SCOM-SHBNGABR"=[1]OUT_FinalEnergyCons!$A$4:$A$10000)*1),[1]OUT_FinalEnergyCons!F$4:F$10000)</f>
        <v>1.25636417798066E-7</v>
      </c>
      <c r="I2304" s="1" cm="1">
        <f t="array" ref="I2304">SUMPRODUCT(([1]OUT_FinalEnergyCons!$B$4:$B$10000="var_ncap")*1, (("SCOM-SHBIOBR"=[1]OUT_FinalEnergyCons!$A$4:$A$10000)*1+("SCOM-SHBNGABR"=[1]OUT_FinalEnergyCons!$A$4:$A$10000)*1),[1]OUT_FinalEnergyCons!G$4:G$10000)</f>
        <v>1.63335395245594E-7</v>
      </c>
      <c r="J2304" s="1" cm="1">
        <f t="array" ref="J2304">SUMPRODUCT(([2]OUT_FinalEnergyCons!$B$4:$B$10000="var_ncap")*1, (("SCOM-SHBIOBR"=[2]OUT_FinalEnergyCons!$A$4:$A$10000)*1+("SCOM-SHBNGABR"=[2]OUT_FinalEnergyCons!$A$4:$A$10000)*1),[2]OUT_FinalEnergyCons!H$4:H$10000)</f>
        <v>2.4000570194592101E-5</v>
      </c>
      <c r="K2304" s="1" cm="1">
        <f t="array" ref="K2304">SUMPRODUCT(([2]OUT_FinalEnergyCons!$B$4:$B$10000="var_ncap")*1, (("SCOM-SHBIOBR"=[2]OUT_FinalEnergyCons!$A$4:$A$10000)*1+("SCOM-SHBNGABR"=[2]OUT_FinalEnergyCons!$A$4:$A$10000)*1),[2]OUT_FinalEnergyCons!I$4:I$10000)</f>
        <v>3.33614299873376E-5</v>
      </c>
      <c r="L2304" s="1" cm="1">
        <f t="array" ref="L2304">SUMPRODUCT(([2]OUT_FinalEnergyCons!$B$4:$B$10000="var_ncap")*1, (("SCOM-SHBIOBR"=[2]OUT_FinalEnergyCons!$A$4:$A$10000)*1+("SCOM-SHBNGABR"=[2]OUT_FinalEnergyCons!$A$4:$A$10000)*1),[2]OUT_FinalEnergyCons!J$4:J$10000)</f>
        <v>1.6079174702707199E-5</v>
      </c>
      <c r="N2304" s="1"/>
    </row>
    <row r="2305" spans="2:14" x14ac:dyDescent="0.35">
      <c r="B2305" s="5" t="str">
        <f t="shared" si="2181"/>
        <v>SPS1</v>
      </c>
      <c r="C2305" s="5" t="str">
        <f t="shared" si="2182"/>
        <v>CH</v>
      </c>
      <c r="D2305" t="s">
        <v>2439</v>
      </c>
      <c r="E2305" t="str">
        <f t="shared" si="2186"/>
        <v>GWth/yr.</v>
      </c>
      <c r="F2305" s="1">
        <f t="shared" ref="F2305:L2305" si="2189">F2306</f>
        <v>2.2592731323993799E-6</v>
      </c>
      <c r="G2305" s="1">
        <f t="shared" si="2189"/>
        <v>5.3454184076323803E-2</v>
      </c>
      <c r="H2305" s="1">
        <f t="shared" si="2189"/>
        <v>1.3444210638145101E-7</v>
      </c>
      <c r="I2305" s="1">
        <f t="shared" si="2189"/>
        <v>2.5011479181795502E-7</v>
      </c>
      <c r="J2305" s="1">
        <f t="shared" si="2189"/>
        <v>0.386343794052316</v>
      </c>
      <c r="K2305" s="1">
        <f t="shared" si="2189"/>
        <v>0.107287551454297</v>
      </c>
      <c r="L2305" s="1">
        <f t="shared" si="2189"/>
        <v>0.18089516498709399</v>
      </c>
      <c r="N2305" s="1"/>
    </row>
    <row r="2306" spans="2:14" x14ac:dyDescent="0.35">
      <c r="B2306" s="5" t="str">
        <f t="shared" si="2181"/>
        <v>SPS1</v>
      </c>
      <c r="C2306" s="5" t="str">
        <f t="shared" si="2182"/>
        <v>CH</v>
      </c>
      <c r="D2306" t="s">
        <v>2440</v>
      </c>
      <c r="E2306" t="str">
        <f t="shared" si="2186"/>
        <v>GWth/yr.</v>
      </c>
      <c r="F2306" s="1" cm="1">
        <f t="array" ref="F2306">SUMPRODUCT(([1]OUT_FinalEnergyCons!$B$4:$B$10000="var_ncap")*1, (ISNUMBER(SEARCH("SCOM-SHWODBR",[1]OUT_FinalEnergyCons!$A$4:$A$10000)))*1,[1]OUT_FinalEnergyCons!D$4:D$10000)</f>
        <v>2.2592731323993799E-6</v>
      </c>
      <c r="G2306" s="1" cm="1">
        <f t="array" ref="G2306">SUMPRODUCT(([1]OUT_FinalEnergyCons!$B$4:$B$10000="var_ncap")*1, (ISNUMBER(SEARCH("SCOM-SHWODBR",[1]OUT_FinalEnergyCons!$A$4:$A$10000)))*1,[1]OUT_FinalEnergyCons!E$4:E$10000)</f>
        <v>5.3454184076323803E-2</v>
      </c>
      <c r="H2306" s="1" cm="1">
        <f t="array" ref="H2306">SUMPRODUCT(([1]OUT_FinalEnergyCons!$B$4:$B$10000="var_ncap")*1, (ISNUMBER(SEARCH("SCOM-SHWODBR",[1]OUT_FinalEnergyCons!$A$4:$A$10000)))*1,[1]OUT_FinalEnergyCons!F$4:F$10000)</f>
        <v>1.3444210638145101E-7</v>
      </c>
      <c r="I2306" s="1" cm="1">
        <f t="array" ref="I2306">SUMPRODUCT(([1]OUT_FinalEnergyCons!$B$4:$B$10000="var_ncap")*1, (ISNUMBER(SEARCH("SCOM-SHWODBR",[1]OUT_FinalEnergyCons!$A$4:$A$10000)))*1,[1]OUT_FinalEnergyCons!G$4:G$10000)</f>
        <v>2.5011479181795502E-7</v>
      </c>
      <c r="J2306" s="1" cm="1">
        <f t="array" ref="J2306">SUMPRODUCT(([2]OUT_FinalEnergyCons!$B$4:$B$10000="var_ncap")*1, (ISNUMBER(SEARCH("SCOM-SHWODBR",[2]OUT_FinalEnergyCons!$A$4:$A$10000)))*1,[2]OUT_FinalEnergyCons!H$4:H$10000)</f>
        <v>0.386343794052316</v>
      </c>
      <c r="K2306" s="1" cm="1">
        <f t="array" ref="K2306">SUMPRODUCT(([2]OUT_FinalEnergyCons!$B$4:$B$10000="var_ncap")*1, (ISNUMBER(SEARCH("SCOM-SHWODBR",[2]OUT_FinalEnergyCons!$A$4:$A$10000)))*1,[2]OUT_FinalEnergyCons!I$4:I$10000)</f>
        <v>0.107287551454297</v>
      </c>
      <c r="L2306" s="1" cm="1">
        <f t="array" ref="L2306">SUMPRODUCT(([2]OUT_FinalEnergyCons!$B$4:$B$10000="var_ncap")*1, (ISNUMBER(SEARCH("SCOM-SHWODBR",[2]OUT_FinalEnergyCons!$A$4:$A$10000)))*1,[2]OUT_FinalEnergyCons!J$4:J$10000)</f>
        <v>0.18089516498709399</v>
      </c>
      <c r="N2306" s="1"/>
    </row>
    <row r="2307" spans="2:14" x14ac:dyDescent="0.35">
      <c r="B2307" s="5" t="str">
        <f t="shared" si="2181"/>
        <v>SPS1</v>
      </c>
      <c r="C2307" s="5" t="str">
        <f t="shared" si="2182"/>
        <v>CH</v>
      </c>
      <c r="D2307" t="s">
        <v>2441</v>
      </c>
      <c r="E2307" t="str">
        <f t="shared" si="2186"/>
        <v>GWth/yr.</v>
      </c>
      <c r="F2307" s="1">
        <f t="shared" ref="F2307:L2307" si="2190">F2308</f>
        <v>2.8025201039842002E-7</v>
      </c>
      <c r="G2307" s="1">
        <f t="shared" si="2190"/>
        <v>2.43370912856242E-2</v>
      </c>
      <c r="H2307" s="1">
        <f t="shared" si="2190"/>
        <v>7.7838366621668505E-8</v>
      </c>
      <c r="I2307" s="1">
        <f t="shared" si="2190"/>
        <v>4.6126795791049901E-7</v>
      </c>
      <c r="J2307" s="1">
        <f t="shared" si="2190"/>
        <v>5.50351665075322E-2</v>
      </c>
      <c r="K2307" s="1">
        <f t="shared" si="2190"/>
        <v>3.4978655016611897E-2</v>
      </c>
      <c r="L2307" s="1">
        <f t="shared" si="2190"/>
        <v>6.6298130789665802E-2</v>
      </c>
      <c r="N2307" s="1"/>
    </row>
    <row r="2308" spans="2:14" x14ac:dyDescent="0.35">
      <c r="B2308" s="5" t="str">
        <f t="shared" si="2181"/>
        <v>SPS1</v>
      </c>
      <c r="C2308" s="5" t="str">
        <f t="shared" si="2182"/>
        <v>CH</v>
      </c>
      <c r="D2308" t="s">
        <v>2442</v>
      </c>
      <c r="E2308" t="str">
        <f t="shared" si="2186"/>
        <v>GWth/yr.</v>
      </c>
      <c r="F2308" s="1" cm="1">
        <f t="array" ref="F2308">SUMPRODUCT(([1]OUT_FinalEnergyCons!$B$4:$B$10000="var_ncap")*1,(ISNUMBER(SEARCH("SCOM-SHPLTBR",[1]OUT_FinalEnergyCons!$A$4:$A$10000)))*1,[1]OUT_FinalEnergyCons!D$4:D$10000)</f>
        <v>2.8025201039842002E-7</v>
      </c>
      <c r="G2308" s="1" cm="1">
        <f t="array" ref="G2308">SUMPRODUCT(([1]OUT_FinalEnergyCons!$B$4:$B$10000="var_ncap")*1,(ISNUMBER(SEARCH("SCOM-SHPLTBR",[1]OUT_FinalEnergyCons!$A$4:$A$10000)))*1,[1]OUT_FinalEnergyCons!E$4:E$10000)</f>
        <v>2.43370912856242E-2</v>
      </c>
      <c r="H2308" s="1" cm="1">
        <f t="array" ref="H2308">SUMPRODUCT(([1]OUT_FinalEnergyCons!$B$4:$B$10000="var_ncap")*1,(ISNUMBER(SEARCH("SCOM-SHPLTBR",[1]OUT_FinalEnergyCons!$A$4:$A$10000)))*1,[1]OUT_FinalEnergyCons!F$4:F$10000)</f>
        <v>7.7838366621668505E-8</v>
      </c>
      <c r="I2308" s="1" cm="1">
        <f t="array" ref="I2308">SUMPRODUCT(([1]OUT_FinalEnergyCons!$B$4:$B$10000="var_ncap")*1,(ISNUMBER(SEARCH("SCOM-SHPLTBR",[1]OUT_FinalEnergyCons!$A$4:$A$10000)))*1,[1]OUT_FinalEnergyCons!G$4:G$10000)</f>
        <v>4.6126795791049901E-7</v>
      </c>
      <c r="J2308" s="1" cm="1">
        <f t="array" ref="J2308">SUMPRODUCT(([2]OUT_FinalEnergyCons!$B$4:$B$10000="var_ncap")*1,(ISNUMBER(SEARCH("SCOM-SHPLTBR",[2]OUT_FinalEnergyCons!$A$4:$A$10000)))*1,[2]OUT_FinalEnergyCons!H$4:H$10000)</f>
        <v>5.50351665075322E-2</v>
      </c>
      <c r="K2308" s="1" cm="1">
        <f t="array" ref="K2308">SUMPRODUCT(([2]OUT_FinalEnergyCons!$B$4:$B$10000="var_ncap")*1,(ISNUMBER(SEARCH("SCOM-SHPLTBR",[2]OUT_FinalEnergyCons!$A$4:$A$10000)))*1,[2]OUT_FinalEnergyCons!I$4:I$10000)</f>
        <v>3.4978655016611897E-2</v>
      </c>
      <c r="L2308" s="1" cm="1">
        <f t="array" ref="L2308">SUMPRODUCT(([2]OUT_FinalEnergyCons!$B$4:$B$10000="var_ncap")*1,(ISNUMBER(SEARCH("SCOM-SHPLTBR",[2]OUT_FinalEnergyCons!$A$4:$A$10000)))*1,[2]OUT_FinalEnergyCons!J$4:J$10000)</f>
        <v>6.6298130789665802E-2</v>
      </c>
      <c r="N2308" s="1"/>
    </row>
    <row r="2309" spans="2:14" x14ac:dyDescent="0.35">
      <c r="B2309" s="5" t="str">
        <f t="shared" si="2181"/>
        <v>SPS1</v>
      </c>
      <c r="C2309" s="5" t="str">
        <f t="shared" si="2182"/>
        <v>CH</v>
      </c>
      <c r="D2309" t="s">
        <v>2443</v>
      </c>
      <c r="E2309" t="str">
        <f t="shared" si="2186"/>
        <v>GWth/yr.</v>
      </c>
      <c r="F2309" s="1">
        <f t="shared" ref="F2309:L2309" si="2191">F2310</f>
        <v>6.4321473865975E-6</v>
      </c>
      <c r="G2309" s="1">
        <f t="shared" si="2191"/>
        <v>8.7585544279013602E-3</v>
      </c>
      <c r="H2309" s="1">
        <f t="shared" si="2191"/>
        <v>8.11669535180759E-8</v>
      </c>
      <c r="I2309" s="1">
        <f t="shared" si="2191"/>
        <v>1.5526564342367001E-7</v>
      </c>
      <c r="J2309" s="1">
        <f t="shared" si="2191"/>
        <v>7.0558104050571099E-2</v>
      </c>
      <c r="K2309" s="1">
        <f t="shared" si="2191"/>
        <v>3.6440271727493499E-2</v>
      </c>
      <c r="L2309" s="1">
        <f t="shared" si="2191"/>
        <v>6.8795191540270306E-2</v>
      </c>
      <c r="N2309" s="1"/>
    </row>
    <row r="2310" spans="2:14" x14ac:dyDescent="0.35">
      <c r="B2310" s="5" t="str">
        <f t="shared" si="2181"/>
        <v>SPS1</v>
      </c>
      <c r="C2310" s="5" t="str">
        <f t="shared" si="2182"/>
        <v>CH</v>
      </c>
      <c r="D2310" t="s">
        <v>2444</v>
      </c>
      <c r="E2310" t="str">
        <f t="shared" si="2186"/>
        <v>GWth/yr.</v>
      </c>
      <c r="F2310" s="1" cm="1">
        <f t="array" ref="F2310">SUMPRODUCT(([1]OUT_FinalEnergyCons!$B$4:$B$10000="var_ncap")*1, (ISNUMBER(SEARCH("SCOM-SHSOLBR",[1]OUT_FinalEnergyCons!$A$4:$A$10000)))*1,[1]OUT_FinalEnergyCons!D$4:D$10000)</f>
        <v>6.4321473865975E-6</v>
      </c>
      <c r="G2310" s="1" cm="1">
        <f t="array" ref="G2310">SUMPRODUCT(([1]OUT_FinalEnergyCons!$B$4:$B$10000="var_ncap")*1, (ISNUMBER(SEARCH("SCOM-SHSOLBR",[1]OUT_FinalEnergyCons!$A$4:$A$10000)))*1,[1]OUT_FinalEnergyCons!E$4:E$10000)</f>
        <v>8.7585544279013602E-3</v>
      </c>
      <c r="H2310" s="1" cm="1">
        <f t="array" ref="H2310">SUMPRODUCT(([1]OUT_FinalEnergyCons!$B$4:$B$10000="var_ncap")*1, (ISNUMBER(SEARCH("SCOM-SHSOLBR",[1]OUT_FinalEnergyCons!$A$4:$A$10000)))*1,[1]OUT_FinalEnergyCons!F$4:F$10000)</f>
        <v>8.11669535180759E-8</v>
      </c>
      <c r="I2310" s="1" cm="1">
        <f t="array" ref="I2310">SUMPRODUCT(([1]OUT_FinalEnergyCons!$B$4:$B$10000="var_ncap")*1, (ISNUMBER(SEARCH("SCOM-SHSOLBR",[1]OUT_FinalEnergyCons!$A$4:$A$10000)))*1,[1]OUT_FinalEnergyCons!G$4:G$10000)</f>
        <v>1.5526564342367001E-7</v>
      </c>
      <c r="J2310" s="1" cm="1">
        <f t="array" ref="J2310">SUMPRODUCT(([2]OUT_FinalEnergyCons!$B$4:$B$10000="var_ncap")*1, (ISNUMBER(SEARCH("SCOM-SHSOLBR",[2]OUT_FinalEnergyCons!$A$4:$A$10000)))*1,[2]OUT_FinalEnergyCons!H$4:H$10000)</f>
        <v>7.0558104050571099E-2</v>
      </c>
      <c r="K2310" s="1" cm="1">
        <f t="array" ref="K2310">SUMPRODUCT(([2]OUT_FinalEnergyCons!$B$4:$B$10000="var_ncap")*1, (ISNUMBER(SEARCH("SCOM-SHSOLBR",[2]OUT_FinalEnergyCons!$A$4:$A$10000)))*1,[2]OUT_FinalEnergyCons!I$4:I$10000)</f>
        <v>3.6440271727493499E-2</v>
      </c>
      <c r="L2310" s="1" cm="1">
        <f t="array" ref="L2310">SUMPRODUCT(([2]OUT_FinalEnergyCons!$B$4:$B$10000="var_ncap")*1, (ISNUMBER(SEARCH("SCOM-SHSOLBR",[2]OUT_FinalEnergyCons!$A$4:$A$10000)))*1,[2]OUT_FinalEnergyCons!J$4:J$10000)</f>
        <v>6.8795191540270306E-2</v>
      </c>
      <c r="N2310" s="1"/>
    </row>
    <row r="2311" spans="2:14" x14ac:dyDescent="0.35">
      <c r="B2311" s="5" t="str">
        <f t="shared" si="2181"/>
        <v>SPS1</v>
      </c>
      <c r="C2311" s="5" t="str">
        <f t="shared" si="2182"/>
        <v>CH</v>
      </c>
      <c r="D2311" t="s">
        <v>2445</v>
      </c>
      <c r="E2311" t="str">
        <f t="shared" si="2186"/>
        <v>GWth/yr.</v>
      </c>
      <c r="F2311" s="1">
        <f t="shared" ref="F2311:L2311" si="2192">F2312</f>
        <v>0</v>
      </c>
      <c r="G2311" s="1">
        <f t="shared" si="2192"/>
        <v>0</v>
      </c>
      <c r="H2311" s="1">
        <f t="shared" si="2192"/>
        <v>0</v>
      </c>
      <c r="I2311" s="1">
        <f t="shared" si="2192"/>
        <v>1.7699554431450301E-7</v>
      </c>
      <c r="J2311" s="1">
        <f t="shared" si="2192"/>
        <v>0.484535230689918</v>
      </c>
      <c r="K2311" s="1">
        <f t="shared" si="2192"/>
        <v>6.7680542930309395E-2</v>
      </c>
      <c r="L2311" s="1">
        <f t="shared" si="2192"/>
        <v>0.57794076914116899</v>
      </c>
      <c r="N2311" s="1"/>
    </row>
    <row r="2312" spans="2:14" x14ac:dyDescent="0.35">
      <c r="B2312" s="5" t="str">
        <f t="shared" si="2181"/>
        <v>SPS1</v>
      </c>
      <c r="C2312" s="5" t="str">
        <f t="shared" si="2182"/>
        <v>CH</v>
      </c>
      <c r="D2312" t="s">
        <v>2446</v>
      </c>
      <c r="E2312" t="str">
        <f t="shared" si="2186"/>
        <v>GWth/yr.</v>
      </c>
      <c r="F2312" s="1" cm="1">
        <f t="array" ref="F2312">SUMPRODUCT(([1]OUT_FinalEnergyCons!$B$4:$B$10000="var_ncap")*1, (ISNUMBER(SEARCH("SCOM-SHH2BR",[1]OUT_FinalEnergyCons!$A$4:$A$10000)))*1,[1]OUT_FinalEnergyCons!D$4:D$10000)</f>
        <v>0</v>
      </c>
      <c r="G2312" s="1" cm="1">
        <f t="array" ref="G2312">SUMPRODUCT(([1]OUT_FinalEnergyCons!$B$4:$B$10000="var_ncap")*1, (ISNUMBER(SEARCH("SCOM-SHH2BR",[1]OUT_FinalEnergyCons!$A$4:$A$10000)))*1,[1]OUT_FinalEnergyCons!E$4:E$10000)</f>
        <v>0</v>
      </c>
      <c r="H2312" s="1" cm="1">
        <f t="array" ref="H2312">SUMPRODUCT(([1]OUT_FinalEnergyCons!$B$4:$B$10000="var_ncap")*1, (ISNUMBER(SEARCH("SCOM-SHH2BR",[1]OUT_FinalEnergyCons!$A$4:$A$10000)))*1,[1]OUT_FinalEnergyCons!F$4:F$10000)</f>
        <v>0</v>
      </c>
      <c r="I2312" s="1" cm="1">
        <f t="array" ref="I2312">SUMPRODUCT(([1]OUT_FinalEnergyCons!$B$4:$B$10000="var_ncap")*1, (ISNUMBER(SEARCH("SCOM-SHH2BR",[1]OUT_FinalEnergyCons!$A$4:$A$10000)))*1,[1]OUT_FinalEnergyCons!G$4:G$10000)</f>
        <v>1.7699554431450301E-7</v>
      </c>
      <c r="J2312" s="1" cm="1">
        <f t="array" ref="J2312">SUMPRODUCT(([2]OUT_FinalEnergyCons!$B$4:$B$10000="var_ncap")*1, (ISNUMBER(SEARCH("SCOM-SHH2BR",[2]OUT_FinalEnergyCons!$A$4:$A$10000)))*1,[2]OUT_FinalEnergyCons!H$4:H$10000)</f>
        <v>0.484535230689918</v>
      </c>
      <c r="K2312" s="1" cm="1">
        <f t="array" ref="K2312">SUMPRODUCT(([2]OUT_FinalEnergyCons!$B$4:$B$10000="var_ncap")*1, (ISNUMBER(SEARCH("SCOM-SHH2BR",[2]OUT_FinalEnergyCons!$A$4:$A$10000)))*1,[2]OUT_FinalEnergyCons!I$4:I$10000)</f>
        <v>6.7680542930309395E-2</v>
      </c>
      <c r="L2312" s="1" cm="1">
        <f t="array" ref="L2312">SUMPRODUCT(([2]OUT_FinalEnergyCons!$B$4:$B$10000="var_ncap")*1, (ISNUMBER(SEARCH("SCOM-SHH2BR",[2]OUT_FinalEnergyCons!$A$4:$A$10000)))*1,[2]OUT_FinalEnergyCons!J$4:J$10000)</f>
        <v>0.57794076914116899</v>
      </c>
      <c r="N2312" s="1"/>
    </row>
    <row r="2313" spans="2:14" x14ac:dyDescent="0.35">
      <c r="B2313" s="5" t="str">
        <f>SPS4_FIN_Low!B2021</f>
        <v>SPS1</v>
      </c>
      <c r="C2313" s="5" t="str">
        <f>SPS4_FIN_Low!C2021</f>
        <v>CH</v>
      </c>
      <c r="D2313" s="2" t="s">
        <v>2448</v>
      </c>
      <c r="E2313" s="2" t="s">
        <v>2154</v>
      </c>
      <c r="F2313" s="3">
        <f t="shared" ref="F2313:K2313" si="2193">SUM(F2314,F2318,F2321)</f>
        <v>1.5806548997101099E-4</v>
      </c>
      <c r="G2313" s="3">
        <f t="shared" si="2193"/>
        <v>7.1831152273802197E-7</v>
      </c>
      <c r="H2313" s="3">
        <f t="shared" si="2193"/>
        <v>1.61230490527306E-6</v>
      </c>
      <c r="I2313" s="3">
        <f t="shared" si="2193"/>
        <v>2.3548412397715783E-4</v>
      </c>
      <c r="J2313" s="3">
        <f t="shared" si="2193"/>
        <v>4.6060678702295978E-4</v>
      </c>
      <c r="K2313" s="3">
        <f t="shared" si="2193"/>
        <v>8.6765303412406221E-4</v>
      </c>
      <c r="L2313" s="3">
        <f t="shared" ref="L2313" si="2194">SUM(L2314,L2318,L2321)</f>
        <v>1.6604018744422556E-2</v>
      </c>
      <c r="N2313" s="1"/>
    </row>
    <row r="2314" spans="2:14" x14ac:dyDescent="0.35">
      <c r="B2314" s="5" t="str">
        <f t="shared" ref="B2314:B2340" si="2195">B2313</f>
        <v>SPS1</v>
      </c>
      <c r="C2314" s="5" t="str">
        <f t="shared" ref="C2314:C2340" si="2196">C2313</f>
        <v>CH</v>
      </c>
      <c r="D2314" t="s">
        <v>2449</v>
      </c>
      <c r="E2314" t="s">
        <v>2154</v>
      </c>
      <c r="F2314" s="1" cm="1">
        <f t="array" ref="F2314">SUMPRODUCT(ISNUMBER(SEARCH("SUP_ELCH2*",[1]OUT_SyntheticFuels!$C$4:$C$1000))*1,("var_ncap"=[1]OUT_SyntheticFuels!$B$4:$B$1000)*1,[1]OUT_SyntheticFuels!E$4:E$1000)</f>
        <v>1.5806548997101099E-4</v>
      </c>
      <c r="G2314" s="1" cm="1">
        <f t="array" ref="G2314">SUMPRODUCT(ISNUMBER(SEARCH("SUP_ELCH2*",[1]OUT_SyntheticFuels!$C$4:$C$1000))*1,("var_ncap"=[1]OUT_SyntheticFuels!$B$4:$B$1000)*1,[1]OUT_SyntheticFuels!F$4:F$1000)</f>
        <v>7.1831152273802197E-7</v>
      </c>
      <c r="H2314" s="1" cm="1">
        <f t="array" ref="H2314">SUMPRODUCT(ISNUMBER(SEARCH("SUP_ELCH2*",[1]OUT_SyntheticFuels!$C$4:$C$1000))*1,("var_ncap"=[1]OUT_SyntheticFuels!$B$4:$B$1000)*1,[1]OUT_SyntheticFuels!G$4:G$1000)</f>
        <v>1.61230490527306E-6</v>
      </c>
      <c r="I2314" s="1" cm="1">
        <f t="array" ref="I2314">SUMPRODUCT(ISNUMBER(SEARCH("SUP_ELCH2*",[1]OUT_SyntheticFuels!$C$4:$C$1000))*1,("var_ncap"=[1]OUT_SyntheticFuels!$B$4:$B$1000)*1,[1]OUT_SyntheticFuels!H$4:H$1000)</f>
        <v>2.3538180683135715E-4</v>
      </c>
      <c r="J2314" s="1" cm="1">
        <f t="array" ref="J2314">SUMPRODUCT(ISNUMBER(SEARCH("SUP_ELCH2*",[2]OUT_SyntheticFuels!$C$4:$C$1000))*1,("var_ncap"=[2]OUT_SyntheticFuels!$B$4:$B$1000)*1,[2]OUT_SyntheticFuels!I$4:I$1000)</f>
        <v>4.599226157930134E-4</v>
      </c>
      <c r="K2314" s="1" cm="1">
        <f t="array" ref="K2314">SUMPRODUCT(ISNUMBER(SEARCH("SUP_ELCH2*",[2]OUT_SyntheticFuels!$C$4:$C$1000))*1,("var_ncap"=[2]OUT_SyntheticFuels!$B$4:$B$1000)*1,[2]OUT_SyntheticFuels!J$4:J$1000)</f>
        <v>8.66901703973287E-4</v>
      </c>
      <c r="L2314" s="1" cm="1">
        <f t="array" ref="L2314">SUMPRODUCT(ISNUMBER(SEARCH("SUP_ELCH2*",[2]OUT_SyntheticFuels!$C$4:$C$1000))*1,("var_ncap"=[2]OUT_SyntheticFuels!$B$4:$B$1000)*1,[2]OUT_SyntheticFuels!K$4:K$1000)</f>
        <v>1.6518417352089906E-2</v>
      </c>
      <c r="N2314" s="1"/>
    </row>
    <row r="2315" spans="2:14" x14ac:dyDescent="0.35">
      <c r="B2315" s="5" t="str">
        <f t="shared" si="2195"/>
        <v>SPS1</v>
      </c>
      <c r="C2315" s="5" t="str">
        <f t="shared" si="2196"/>
        <v>CH</v>
      </c>
      <c r="D2315" t="s">
        <v>2450</v>
      </c>
      <c r="E2315" t="s">
        <v>2154</v>
      </c>
      <c r="F2315" s="1">
        <f t="shared" ref="F2315:K2315" si="2197">F2314-F2316-F2317</f>
        <v>1.5806548997101099E-4</v>
      </c>
      <c r="G2315" s="1">
        <f t="shared" si="2197"/>
        <v>7.1831152273802197E-7</v>
      </c>
      <c r="H2315" s="1">
        <f t="shared" si="2197"/>
        <v>1.61230490527306E-6</v>
      </c>
      <c r="I2315" s="1">
        <f t="shared" si="2197"/>
        <v>2.3316023824777299E-4</v>
      </c>
      <c r="J2315" s="1">
        <f t="shared" si="2197"/>
        <v>4.51972671660967E-4</v>
      </c>
      <c r="K2315" s="1">
        <f t="shared" si="2197"/>
        <v>5.6956253975850202E-4</v>
      </c>
      <c r="L2315" s="1">
        <f t="shared" ref="L2315" si="2198">L2314-L2316-L2317</f>
        <v>1.6400768498067701E-2</v>
      </c>
      <c r="N2315" s="1"/>
    </row>
    <row r="2316" spans="2:14" x14ac:dyDescent="0.35">
      <c r="B2316" s="5" t="str">
        <f t="shared" si="2195"/>
        <v>SPS1</v>
      </c>
      <c r="C2316" s="5" t="str">
        <f t="shared" si="2196"/>
        <v>CH</v>
      </c>
      <c r="D2316" t="s">
        <v>2451</v>
      </c>
      <c r="E2316" t="s">
        <v>2154</v>
      </c>
      <c r="F2316" s="1" cm="1">
        <f t="array" ref="F2316">SUMPRODUCT(ISNUMBER(SEARCH("SUP_ELCH2*D",[1]OUT_SyntheticFuels!$C$4:$C$1000))*1,("var_ncap"=[1]OUT_SyntheticFuels!$B$4:$B$1000)*1,[1]OUT_SyntheticFuels!E$4:E$1000)</f>
        <v>0</v>
      </c>
      <c r="G2316" s="1" cm="1">
        <f t="array" ref="G2316">SUMPRODUCT(ISNUMBER(SEARCH("SUP_ELCH2*D",[1]OUT_SyntheticFuels!$C$4:$C$1000))*1,("var_ncap"=[1]OUT_SyntheticFuels!$B$4:$B$1000)*1,[1]OUT_SyntheticFuels!F$4:F$1000)</f>
        <v>0</v>
      </c>
      <c r="H2316" s="1" cm="1">
        <f t="array" ref="H2316">SUMPRODUCT(ISNUMBER(SEARCH("SUP_ELCH2*D",[1]OUT_SyntheticFuels!$C$4:$C$1000))*1,("var_ncap"=[1]OUT_SyntheticFuels!$B$4:$B$1000)*1,[1]OUT_SyntheticFuels!G$4:G$1000)</f>
        <v>0</v>
      </c>
      <c r="I2316" s="1" cm="1">
        <f t="array" ref="I2316">SUMPRODUCT(ISNUMBER(SEARCH("SUP_ELCH2*D",[1]OUT_SyntheticFuels!$C$4:$C$1000))*1,("var_ncap"=[1]OUT_SyntheticFuels!$B$4:$B$1000)*1,[1]OUT_SyntheticFuels!H$4:H$1000)</f>
        <v>2.2215685835841602E-6</v>
      </c>
      <c r="J2316" s="1" cm="1">
        <f t="array" ref="J2316">SUMPRODUCT(ISNUMBER(SEARCH("SUP_ELCH2*D",[2]OUT_SyntheticFuels!$C$4:$C$1000))*1,("var_ncap"=[2]OUT_SyntheticFuels!$B$4:$B$1000)*1,[2]OUT_SyntheticFuels!I$4:I$1000)</f>
        <v>7.9499441320464194E-6</v>
      </c>
      <c r="K2316" s="1" cm="1">
        <f t="array" ref="K2316">SUMPRODUCT(ISNUMBER(SEARCH("SUP_ELCH2*D",[2]OUT_SyntheticFuels!$C$4:$C$1000))*1,("var_ncap"=[2]OUT_SyntheticFuels!$B$4:$B$1000)*1,[2]OUT_SyntheticFuels!J$4:J$1000)</f>
        <v>1.0011960983858901E-4</v>
      </c>
      <c r="L2316" s="1" cm="1">
        <f t="array" ref="L2316">SUMPRODUCT(ISNUMBER(SEARCH("SUP_ELCH2*D",[2]OUT_SyntheticFuels!$C$4:$C$1000))*1,("var_ncap"=[2]OUT_SyntheticFuels!$B$4:$B$1000)*1,[2]OUT_SyntheticFuels!K$4:K$1000)</f>
        <v>1.0542058891852E-5</v>
      </c>
      <c r="N2316" s="1"/>
    </row>
    <row r="2317" spans="2:14" x14ac:dyDescent="0.35">
      <c r="B2317" s="5" t="str">
        <f t="shared" si="2195"/>
        <v>SPS1</v>
      </c>
      <c r="C2317" s="5" t="str">
        <f t="shared" si="2196"/>
        <v>CH</v>
      </c>
      <c r="D2317" t="s">
        <v>2452</v>
      </c>
      <c r="E2317" t="s">
        <v>2154</v>
      </c>
      <c r="F2317" s="1" cm="1">
        <f t="array" ref="F2317">SUMPRODUCT(ISNUMBER(SEARCH("SUP_ELCH2*SOEC*",[1]OUT_SyntheticFuels!$C$4:$C$1000))*1,("var_ncap"=[1]OUT_SyntheticFuels!$B$4:$B$1000)*1,[1]OUT_SyntheticFuels!E$4:E$1000)</f>
        <v>0</v>
      </c>
      <c r="G2317" s="1" cm="1">
        <f t="array" ref="G2317">SUMPRODUCT(ISNUMBER(SEARCH("SUP_ELCH2*SOEC*",[1]OUT_SyntheticFuels!$C$4:$C$1000))*1,("var_ncap"=[1]OUT_SyntheticFuels!$B$4:$B$1000)*1,[1]OUT_SyntheticFuels!F$4:F$1000)</f>
        <v>0</v>
      </c>
      <c r="H2317" s="1" cm="1">
        <f t="array" ref="H2317">SUMPRODUCT(ISNUMBER(SEARCH("SUP_ELCH2*SOEC*",[1]OUT_SyntheticFuels!$C$4:$C$1000))*1,("var_ncap"=[1]OUT_SyntheticFuels!$B$4:$B$1000)*1,[1]OUT_SyntheticFuels!G$4:G$1000)</f>
        <v>0</v>
      </c>
      <c r="I2317" s="1" cm="1">
        <f t="array" ref="I2317">SUMPRODUCT(ISNUMBER(SEARCH("SUP_ELCH2*SOEC*",[1]OUT_SyntheticFuels!$C$4:$C$1000))*1,("var_ncap"=[1]OUT_SyntheticFuels!$B$4:$B$1000)*1,[1]OUT_SyntheticFuels!H$4:H$1000)</f>
        <v>0</v>
      </c>
      <c r="J2317" s="1" cm="1">
        <f t="array" ref="J2317">SUMPRODUCT(ISNUMBER(SEARCH("SUP_ELCH2*SOEC*",[2]OUT_SyntheticFuels!$C$4:$C$1000))*1,("var_ncap"=[2]OUT_SyntheticFuels!$B$4:$B$1000)*1,[2]OUT_SyntheticFuels!I$4:I$1000)</f>
        <v>0</v>
      </c>
      <c r="K2317" s="1" cm="1">
        <f t="array" ref="K2317">SUMPRODUCT(ISNUMBER(SEARCH("SUP_ELCH2*SOEC*",[2]OUT_SyntheticFuels!$C$4:$C$1000))*1,("var_ncap"=[2]OUT_SyntheticFuels!$B$4:$B$1000)*1,[2]OUT_SyntheticFuels!J$4:J$1000)</f>
        <v>1.9721955437619599E-4</v>
      </c>
      <c r="L2317" s="1" cm="1">
        <f t="array" ref="L2317">SUMPRODUCT(ISNUMBER(SEARCH("SUP_ELCH2*SOEC*",[2]OUT_SyntheticFuels!$C$4:$C$1000))*1,("var_ncap"=[2]OUT_SyntheticFuels!$B$4:$B$1000)*1,[2]OUT_SyntheticFuels!K$4:K$1000)</f>
        <v>1.07106795130353E-4</v>
      </c>
      <c r="N2317" s="1"/>
    </row>
    <row r="2318" spans="2:14" x14ac:dyDescent="0.35">
      <c r="B2318" s="5" t="str">
        <f t="shared" si="2195"/>
        <v>SPS1</v>
      </c>
      <c r="C2318" s="5" t="str">
        <f t="shared" si="2196"/>
        <v>CH</v>
      </c>
      <c r="D2318" t="s">
        <v>2453</v>
      </c>
      <c r="E2318" t="s">
        <v>2154</v>
      </c>
      <c r="F2318" s="1">
        <f t="shared" ref="F2318:K2318" si="2199">SUM(F2319:F2320)</f>
        <v>0</v>
      </c>
      <c r="G2318" s="1">
        <f t="shared" si="2199"/>
        <v>0</v>
      </c>
      <c r="H2318" s="1">
        <f t="shared" si="2199"/>
        <v>0</v>
      </c>
      <c r="I2318" s="1">
        <f t="shared" si="2199"/>
        <v>1.02317145800669E-7</v>
      </c>
      <c r="J2318" s="1">
        <f t="shared" si="2199"/>
        <v>6.8417122994639603E-7</v>
      </c>
      <c r="K2318" s="1">
        <f t="shared" si="2199"/>
        <v>7.5133015077525401E-7</v>
      </c>
      <c r="L2318" s="1">
        <f t="shared" ref="L2318" si="2200">SUM(L2319:L2320)</f>
        <v>8.5601392332648705E-5</v>
      </c>
      <c r="N2318" s="1"/>
    </row>
    <row r="2319" spans="2:14" x14ac:dyDescent="0.35">
      <c r="B2319" s="5" t="str">
        <f t="shared" si="2195"/>
        <v>SPS1</v>
      </c>
      <c r="C2319" s="5" t="str">
        <f t="shared" si="2196"/>
        <v>CH</v>
      </c>
      <c r="D2319" t="s">
        <v>2454</v>
      </c>
      <c r="E2319" t="s">
        <v>2154</v>
      </c>
      <c r="F2319" s="1" cm="1">
        <f t="array" ref="F2319">SUMPRODUCT(ISNUMBER(SEARCH("SUP_NGAH2",[1]OUT_SyntheticFuels!$C$4:$C$1000))*1,("var_ncap"=[1]OUT_SyntheticFuels!$B$4:$B$1000)*1,[1]OUT_SyntheticFuels!E$4:E$1000)-F2320</f>
        <v>0</v>
      </c>
      <c r="G2319" s="1" cm="1">
        <f t="array" ref="G2319">SUMPRODUCT(ISNUMBER(SEARCH("SUP_NGAH2",[1]OUT_SyntheticFuels!$C$4:$C$1000))*1,("var_ncap"=[1]OUT_SyntheticFuels!$B$4:$B$1000)*1,[1]OUT_SyntheticFuels!F$4:F$1000)-G2320</f>
        <v>0</v>
      </c>
      <c r="H2319" s="1" cm="1">
        <f t="array" ref="H2319">SUMPRODUCT(ISNUMBER(SEARCH("SUP_NGAH2",[1]OUT_SyntheticFuels!$C$4:$C$1000))*1,("var_ncap"=[1]OUT_SyntheticFuels!$B$4:$B$1000)*1,[1]OUT_SyntheticFuels!G$4:G$1000)-H2320</f>
        <v>0</v>
      </c>
      <c r="I2319" s="1" cm="1">
        <f t="array" ref="I2319">SUMPRODUCT(ISNUMBER(SEARCH("SUP_NGAH2",[1]OUT_SyntheticFuels!$C$4:$C$1000))*1,("var_ncap"=[1]OUT_SyntheticFuels!$B$4:$B$1000)*1,[1]OUT_SyntheticFuels!H$4:H$1000)-I2320</f>
        <v>1.02317145800669E-7</v>
      </c>
      <c r="J2319" s="1" cm="1">
        <f t="array" ref="J2319">SUMPRODUCT(ISNUMBER(SEARCH("SUP_NGAH2",[2]OUT_SyntheticFuels!$C$4:$C$1000))*1,("var_ncap"=[2]OUT_SyntheticFuels!$B$4:$B$1000)*1,[2]OUT_SyntheticFuels!I$4:I$1000)-J2320</f>
        <v>6.8417122994639603E-7</v>
      </c>
      <c r="K2319" s="1" cm="1">
        <f t="array" ref="K2319">SUMPRODUCT(ISNUMBER(SEARCH("SUP_NGAH2",[2]OUT_SyntheticFuels!$C$4:$C$1000))*1,("var_ncap"=[2]OUT_SyntheticFuels!$B$4:$B$1000)*1,[2]OUT_SyntheticFuels!J$4:J$1000)-K2320</f>
        <v>7.5133015077525401E-7</v>
      </c>
      <c r="L2319" s="1" cm="1">
        <f t="array" ref="L2319">SUMPRODUCT(ISNUMBER(SEARCH("SUP_NGAH2",[2]OUT_SyntheticFuels!$C$4:$C$1000))*1,("var_ncap"=[2]OUT_SyntheticFuels!$B$4:$B$1000)*1,[2]OUT_SyntheticFuels!K$4:K$1000)-L2320</f>
        <v>8.5601392332648705E-5</v>
      </c>
      <c r="N2319" s="1"/>
    </row>
    <row r="2320" spans="2:14" x14ac:dyDescent="0.35">
      <c r="B2320" s="5" t="str">
        <f t="shared" si="2195"/>
        <v>SPS1</v>
      </c>
      <c r="C2320" s="5" t="str">
        <f t="shared" si="2196"/>
        <v>CH</v>
      </c>
      <c r="D2320" t="s">
        <v>2455</v>
      </c>
      <c r="E2320" t="s">
        <v>2154</v>
      </c>
      <c r="F2320" s="1" cm="1">
        <f t="array" ref="F2320">SUMPRODUCT(ISNUMBER(SEARCH("SUP_NGAH2CCS",[1]OUT_SyntheticFuels!$C$4:$C$1000))*1,("var_ncap"=[1]OUT_SyntheticFuels!$B$4:$B$1000)*1,[1]OUT_SyntheticFuels!E$4:E$1000)</f>
        <v>0</v>
      </c>
      <c r="G2320" s="1" cm="1">
        <f t="array" ref="G2320">SUMPRODUCT(ISNUMBER(SEARCH("SUP_NGAH2CCS",[1]OUT_SyntheticFuels!$C$4:$C$1000))*1,("var_ncap"=[1]OUT_SyntheticFuels!$B$4:$B$1000)*1,[1]OUT_SyntheticFuels!F$4:F$1000)</f>
        <v>0</v>
      </c>
      <c r="H2320" s="1" cm="1">
        <f t="array" ref="H2320">SUMPRODUCT(ISNUMBER(SEARCH("SUP_NGAH2CCS",[1]OUT_SyntheticFuels!$C$4:$C$1000))*1,("var_ncap"=[1]OUT_SyntheticFuels!$B$4:$B$1000)*1,[1]OUT_SyntheticFuels!G$4:G$1000)</f>
        <v>0</v>
      </c>
      <c r="I2320" s="1" cm="1">
        <f t="array" ref="I2320">SUMPRODUCT(ISNUMBER(SEARCH("SUP_NGAH2CCS",[1]OUT_SyntheticFuels!$C$4:$C$1000))*1,("var_ncap"=[1]OUT_SyntheticFuels!$B$4:$B$1000)*1,[1]OUT_SyntheticFuels!H$4:H$1000)</f>
        <v>0</v>
      </c>
      <c r="J2320" s="1" cm="1">
        <f t="array" ref="J2320">SUMPRODUCT(ISNUMBER(SEARCH("SUP_NGAH2CCS",[2]OUT_SyntheticFuels!$C$4:$C$1000))*1,("var_ncap"=[2]OUT_SyntheticFuels!$B$4:$B$1000)*1,[2]OUT_SyntheticFuels!I$4:I$1000)</f>
        <v>0</v>
      </c>
      <c r="K2320" s="1" cm="1">
        <f t="array" ref="K2320">SUMPRODUCT(ISNUMBER(SEARCH("SUP_NGAH2CCS",[2]OUT_SyntheticFuels!$C$4:$C$1000))*1,("var_ncap"=[2]OUT_SyntheticFuels!$B$4:$B$1000)*1,[2]OUT_SyntheticFuels!J$4:J$1000)</f>
        <v>0</v>
      </c>
      <c r="L2320" s="1" cm="1">
        <f t="array" ref="L2320">SUMPRODUCT(ISNUMBER(SEARCH("SUP_NGAH2CCS",[2]OUT_SyntheticFuels!$C$4:$C$1000))*1,("var_ncap"=[2]OUT_SyntheticFuels!$B$4:$B$1000)*1,[2]OUT_SyntheticFuels!K$4:K$1000)</f>
        <v>0</v>
      </c>
      <c r="N2320" s="1"/>
    </row>
    <row r="2321" spans="2:14" x14ac:dyDescent="0.35">
      <c r="B2321" s="5" t="str">
        <f t="shared" si="2195"/>
        <v>SPS1</v>
      </c>
      <c r="C2321" s="5" t="str">
        <f t="shared" si="2196"/>
        <v>CH</v>
      </c>
      <c r="D2321" t="s">
        <v>2456</v>
      </c>
      <c r="E2321" t="s">
        <v>2154</v>
      </c>
      <c r="F2321" s="1">
        <f t="shared" ref="F2321:K2321" si="2201">SUM(F2322:F2323)</f>
        <v>0</v>
      </c>
      <c r="G2321" s="1">
        <f t="shared" si="2201"/>
        <v>0</v>
      </c>
      <c r="H2321" s="1">
        <f t="shared" si="2201"/>
        <v>0</v>
      </c>
      <c r="I2321" s="1">
        <f t="shared" si="2201"/>
        <v>0</v>
      </c>
      <c r="J2321" s="1">
        <f t="shared" si="2201"/>
        <v>0</v>
      </c>
      <c r="K2321" s="1">
        <f t="shared" si="2201"/>
        <v>0</v>
      </c>
      <c r="L2321" s="1">
        <f t="shared" ref="L2321" si="2202">SUM(L2322:L2323)</f>
        <v>0</v>
      </c>
      <c r="N2321" s="1"/>
    </row>
    <row r="2322" spans="2:14" x14ac:dyDescent="0.35">
      <c r="B2322" s="5" t="str">
        <f t="shared" si="2195"/>
        <v>SPS1</v>
      </c>
      <c r="C2322" s="5" t="str">
        <f t="shared" si="2196"/>
        <v>CH</v>
      </c>
      <c r="D2322" t="s">
        <v>2457</v>
      </c>
      <c r="E2322" t="s">
        <v>2154</v>
      </c>
      <c r="F2322" s="1" cm="1">
        <f t="array" ref="F2322">SUMPRODUCT(ISNUMBER(SEARCH("SUP_WODH2",[1]OUT_SyntheticFuels!$C$4:$C$1000))*1,("var_ncap"=[1]OUT_SyntheticFuels!$B$4:$B$1000)*1,[1]OUT_SyntheticFuels!E$4:E$1000)-F2323</f>
        <v>0</v>
      </c>
      <c r="G2322" s="1" cm="1">
        <f t="array" ref="G2322">SUMPRODUCT(ISNUMBER(SEARCH("SUP_WODH2",[1]OUT_SyntheticFuels!$C$4:$C$1000))*1,("var_ncap"=[1]OUT_SyntheticFuels!$B$4:$B$1000)*1,[1]OUT_SyntheticFuels!F$4:F$1000)-G2323</f>
        <v>0</v>
      </c>
      <c r="H2322" s="1" cm="1">
        <f t="array" ref="H2322">SUMPRODUCT(ISNUMBER(SEARCH("SUP_WODH2",[1]OUT_SyntheticFuels!$C$4:$C$1000))*1,("var_ncap"=[1]OUT_SyntheticFuels!$B$4:$B$1000)*1,[1]OUT_SyntheticFuels!G$4:G$1000)-H2323</f>
        <v>0</v>
      </c>
      <c r="I2322" s="1" cm="1">
        <f t="array" ref="I2322">SUMPRODUCT(ISNUMBER(SEARCH("SUP_WODH2",[1]OUT_SyntheticFuels!$C$4:$C$1000))*1,("var_ncap"=[1]OUT_SyntheticFuels!$B$4:$B$1000)*1,[1]OUT_SyntheticFuels!H$4:H$1000)-I2323</f>
        <v>0</v>
      </c>
      <c r="J2322" s="1" cm="1">
        <f t="array" ref="J2322">SUMPRODUCT(ISNUMBER(SEARCH("SUP_WODH2",[2]OUT_SyntheticFuels!$C$4:$C$1000))*1,("var_ncap"=[2]OUT_SyntheticFuels!$B$4:$B$1000)*1,[2]OUT_SyntheticFuels!I$4:I$1000)-J2323</f>
        <v>0</v>
      </c>
      <c r="K2322" s="1" cm="1">
        <f t="array" ref="K2322">SUMPRODUCT(ISNUMBER(SEARCH("SUP_WODH2",[2]OUT_SyntheticFuels!$C$4:$C$1000))*1,("var_ncap"=[2]OUT_SyntheticFuels!$B$4:$B$1000)*1,[2]OUT_SyntheticFuels!J$4:J$1000)-K2323</f>
        <v>0</v>
      </c>
      <c r="L2322" s="1" cm="1">
        <f t="array" ref="L2322">SUMPRODUCT(ISNUMBER(SEARCH("SUP_WODH2",[2]OUT_SyntheticFuels!$C$4:$C$1000))*1,("var_ncap"=[2]OUT_SyntheticFuels!$B$4:$B$1000)*1,[2]OUT_SyntheticFuels!K$4:K$1000)-L2323</f>
        <v>0</v>
      </c>
      <c r="N2322" s="1"/>
    </row>
    <row r="2323" spans="2:14" x14ac:dyDescent="0.35">
      <c r="B2323" s="5" t="str">
        <f t="shared" si="2195"/>
        <v>SPS1</v>
      </c>
      <c r="C2323" s="5" t="str">
        <f t="shared" si="2196"/>
        <v>CH</v>
      </c>
      <c r="D2323" t="s">
        <v>2458</v>
      </c>
      <c r="E2323" t="s">
        <v>2154</v>
      </c>
      <c r="F2323" s="1" cm="1">
        <f t="array" ref="F2323">SUMPRODUCT(ISNUMBER(SEARCH("SUP_WODH2CCS",[1]OUT_SyntheticFuels!$C$4:$C$1000))*1,("var_ncap"=[1]OUT_SyntheticFuels!$B$4:$B$1000)*1,[1]OUT_SyntheticFuels!E$4:E$1000)</f>
        <v>0</v>
      </c>
      <c r="G2323" s="1" cm="1">
        <f t="array" ref="G2323">SUMPRODUCT(ISNUMBER(SEARCH("SUP_WODH2CCS",[1]OUT_SyntheticFuels!$C$4:$C$1000))*1,("var_ncap"=[1]OUT_SyntheticFuels!$B$4:$B$1000)*1,[1]OUT_SyntheticFuels!F$4:F$1000)</f>
        <v>0</v>
      </c>
      <c r="H2323" s="1" cm="1">
        <f t="array" ref="H2323">SUMPRODUCT(ISNUMBER(SEARCH("SUP_WODH2CCS",[1]OUT_SyntheticFuels!$C$4:$C$1000))*1,("var_ncap"=[1]OUT_SyntheticFuels!$B$4:$B$1000)*1,[1]OUT_SyntheticFuels!G$4:G$1000)</f>
        <v>0</v>
      </c>
      <c r="I2323" s="1" cm="1">
        <f t="array" ref="I2323">SUMPRODUCT(ISNUMBER(SEARCH("SUP_WODH2CCS",[1]OUT_SyntheticFuels!$C$4:$C$1000))*1,("var_ncap"=[1]OUT_SyntheticFuels!$B$4:$B$1000)*1,[1]OUT_SyntheticFuels!H$4:H$1000)</f>
        <v>0</v>
      </c>
      <c r="J2323" s="1" cm="1">
        <f t="array" ref="J2323">SUMPRODUCT(ISNUMBER(SEARCH("SUP_WODH2CCS",[2]OUT_SyntheticFuels!$C$4:$C$1000))*1,("var_ncap"=[2]OUT_SyntheticFuels!$B$4:$B$1000)*1,[2]OUT_SyntheticFuels!I$4:I$1000)</f>
        <v>0</v>
      </c>
      <c r="K2323" s="1" cm="1">
        <f t="array" ref="K2323">SUMPRODUCT(ISNUMBER(SEARCH("SUP_WODH2CCS",[2]OUT_SyntheticFuels!$C$4:$C$1000))*1,("var_ncap"=[2]OUT_SyntheticFuels!$B$4:$B$1000)*1,[2]OUT_SyntheticFuels!J$4:J$1000)</f>
        <v>0</v>
      </c>
      <c r="L2323" s="1" cm="1">
        <f t="array" ref="L2323">SUMPRODUCT(ISNUMBER(SEARCH("SUP_WODH2CCS",[2]OUT_SyntheticFuels!$C$4:$C$1000))*1,("var_ncap"=[2]OUT_SyntheticFuels!$B$4:$B$1000)*1,[2]OUT_SyntheticFuels!K$4:K$1000)</f>
        <v>0</v>
      </c>
      <c r="N2323" s="1"/>
    </row>
    <row r="2324" spans="2:14" x14ac:dyDescent="0.35">
      <c r="B2324" s="5" t="str">
        <f t="shared" si="2195"/>
        <v>SPS1</v>
      </c>
      <c r="C2324" s="5" t="str">
        <f t="shared" si="2196"/>
        <v>CH</v>
      </c>
      <c r="D2324" s="2" t="s">
        <v>2459</v>
      </c>
      <c r="E2324" s="2" t="s">
        <v>2156</v>
      </c>
      <c r="F2324" s="26"/>
      <c r="G2324" s="26"/>
      <c r="H2324" s="26"/>
      <c r="I2324" s="26"/>
      <c r="J2324" s="26"/>
      <c r="K2324" s="26"/>
      <c r="L2324" s="26"/>
      <c r="N2324" s="1"/>
    </row>
    <row r="2325" spans="2:14" x14ac:dyDescent="0.35">
      <c r="B2325" s="5" t="str">
        <f t="shared" si="2195"/>
        <v>SPS1</v>
      </c>
      <c r="C2325" s="5" t="str">
        <f t="shared" si="2196"/>
        <v>CH</v>
      </c>
      <c r="D2325" t="s">
        <v>2460</v>
      </c>
      <c r="E2325" t="s">
        <v>2156</v>
      </c>
      <c r="F2325" s="7" cm="1">
        <f t="array" ref="F2325">SUMPRODUCT(("CT_CWODBDS"=[1]OUT_SyntheticFuels!$C$4:$C$1000)*1,("var_ncap"=[1]OUT_SyntheticFuels!$B$4:$B$1000)*1,[1]OUT_SyntheticFuels!E$4:E$1000)</f>
        <v>1.09919795965141E-7</v>
      </c>
      <c r="G2325" s="7" cm="1">
        <f t="array" ref="G2325">SUMPRODUCT(("CT_CWODBDS"=[1]OUT_SyntheticFuels!$C$4:$C$1000)*1,("var_ncap"=[1]OUT_SyntheticFuels!$B$4:$B$1000)*1,[1]OUT_SyntheticFuels!F$4:F$1000)</f>
        <v>1.21079487461607E-7</v>
      </c>
      <c r="H2325" s="7" cm="1">
        <f t="array" ref="H2325">SUMPRODUCT(("CT_CWODBDS"=[1]OUT_SyntheticFuels!$C$4:$C$1000)*1,("var_ncap"=[1]OUT_SyntheticFuels!$B$4:$B$1000)*1,[1]OUT_SyntheticFuels!G$4:G$1000)</f>
        <v>1.15720917114841E-5</v>
      </c>
      <c r="I2325" s="7" cm="1">
        <f t="array" ref="I2325">SUMPRODUCT(("CT_CWODBDS"=[1]OUT_SyntheticFuels!$C$4:$C$1000)*1,("var_ncap"=[1]OUT_SyntheticFuels!$B$4:$B$1000)*1,[1]OUT_SyntheticFuels!H$4:H$1000)</f>
        <v>3.6016592608504697E-8</v>
      </c>
      <c r="J2325" s="7" cm="1">
        <f t="array" ref="J2325">SUMPRODUCT(("CT_CWODBDS"=[2]OUT_SyntheticFuels!$C$4:$C$1000)*1,("var_ncap"=[2]OUT_SyntheticFuels!$B$4:$B$1000)*1,[2]OUT_SyntheticFuels!I$4:I$1000)</f>
        <v>8.2875100372306104E-7</v>
      </c>
      <c r="K2325" s="7" cm="1">
        <f t="array" ref="K2325">SUMPRODUCT(("CT_CWODBDS"=[2]OUT_SyntheticFuels!$C$4:$C$1000)*1,("var_ncap"=[2]OUT_SyntheticFuels!$B$4:$B$1000)*1,[2]OUT_SyntheticFuels!J$4:J$1000)</f>
        <v>9.9444875514783403E-7</v>
      </c>
      <c r="L2325" s="7" cm="1">
        <f t="array" ref="L2325">SUMPRODUCT(("CT_CWODBDS"=[2]OUT_SyntheticFuels!$C$4:$C$1000)*1,("var_ncap"=[2]OUT_SyntheticFuels!$B$4:$B$1000)*1,[2]OUT_SyntheticFuels!K$4:K$1000)</f>
        <v>1.27051528259277E-5</v>
      </c>
      <c r="N2325" s="1"/>
    </row>
    <row r="2326" spans="2:14" x14ac:dyDescent="0.35">
      <c r="B2326" s="5" t="str">
        <f t="shared" si="2195"/>
        <v>SPS1</v>
      </c>
      <c r="C2326" s="5" t="str">
        <f t="shared" si="2196"/>
        <v>CH</v>
      </c>
      <c r="D2326" t="s">
        <v>2461</v>
      </c>
      <c r="E2326" t="s">
        <v>2156</v>
      </c>
      <c r="F2326" s="7" cm="1">
        <f t="array" ref="F2326">SUMPRODUCT(("CT_CWODBDSCCS"=[1]OUT_SyntheticFuels!$C$4:$C$1000)*1,("var_ncap"=[1]OUT_SyntheticFuels!$B$4:$B$1000)*1,[1]OUT_SyntheticFuels!E$4:E$1000)</f>
        <v>0</v>
      </c>
      <c r="G2326" s="7" cm="1">
        <f t="array" ref="G2326">SUMPRODUCT(("CT_CWODBDSCCS"=[1]OUT_SyntheticFuels!$C$4:$C$1000)*1,("var_ncap"=[1]OUT_SyntheticFuels!$B$4:$B$1000)*1,[1]OUT_SyntheticFuels!F$4:F$1000)</f>
        <v>0</v>
      </c>
      <c r="H2326" s="7" cm="1">
        <f t="array" ref="H2326">SUMPRODUCT(("CT_CWODBDSCCS"=[1]OUT_SyntheticFuels!$C$4:$C$1000)*1,("var_ncap"=[1]OUT_SyntheticFuels!$B$4:$B$1000)*1,[1]OUT_SyntheticFuels!G$4:G$1000)</f>
        <v>0</v>
      </c>
      <c r="I2326" s="7" cm="1">
        <f t="array" ref="I2326">SUMPRODUCT(("CT_CWODBDSCCS"=[1]OUT_SyntheticFuels!$C$4:$C$1000)*1,("var_ncap"=[1]OUT_SyntheticFuels!$B$4:$B$1000)*1,[1]OUT_SyntheticFuels!H$4:H$1000)</f>
        <v>0</v>
      </c>
      <c r="J2326" s="7" cm="1">
        <f t="array" ref="J2326">SUMPRODUCT(("CT_CWODBDSCCS"=[2]OUT_SyntheticFuels!$C$4:$C$1000)*1,("var_ncap"=[2]OUT_SyntheticFuels!$B$4:$B$1000)*1,[2]OUT_SyntheticFuels!I$4:I$1000)</f>
        <v>0</v>
      </c>
      <c r="K2326" s="7" cm="1">
        <f t="array" ref="K2326">SUMPRODUCT(("CT_CWODBDSCCS"=[2]OUT_SyntheticFuels!$C$4:$C$1000)*1,("var_ncap"=[2]OUT_SyntheticFuels!$B$4:$B$1000)*1,[2]OUT_SyntheticFuels!J$4:J$1000)</f>
        <v>0</v>
      </c>
      <c r="L2326" s="7" cm="1">
        <f t="array" ref="L2326">SUMPRODUCT(("CT_CWODBDSCCS"=[2]OUT_SyntheticFuels!$C$4:$C$1000)*1,("var_ncap"=[2]OUT_SyntheticFuels!$B$4:$B$1000)*1,[2]OUT_SyntheticFuels!K$4:K$1000)</f>
        <v>0</v>
      </c>
      <c r="N2326" s="1"/>
    </row>
    <row r="2327" spans="2:14" x14ac:dyDescent="0.35">
      <c r="B2327" s="5" t="str">
        <f t="shared" si="2195"/>
        <v>SPS1</v>
      </c>
      <c r="C2327" s="5" t="str">
        <f t="shared" si="2196"/>
        <v>CH</v>
      </c>
      <c r="D2327" t="s">
        <v>2462</v>
      </c>
      <c r="E2327" t="s">
        <v>2156</v>
      </c>
      <c r="F2327" s="7" cm="1">
        <f t="array" ref="F2327">SUMPRODUCT(("CT_CWODETH"=[1]OUT_SyntheticFuels!$C$4:$C$1000)*1,("var_ncap"=[1]OUT_SyntheticFuels!$B$4:$B$1000)*1,[1]OUT_SyntheticFuels!E$4:E$1000)</f>
        <v>6.53762456183126E-3</v>
      </c>
      <c r="G2327" s="7" cm="1">
        <f t="array" ref="G2327">SUMPRODUCT(("CT_CWODETH"=[1]OUT_SyntheticFuels!$C$4:$C$1000)*1,("var_ncap"=[1]OUT_SyntheticFuels!$B$4:$B$1000)*1,[1]OUT_SyntheticFuels!F$4:F$1000)</f>
        <v>6.4907900130055698E-8</v>
      </c>
      <c r="H2327" s="7" cm="1">
        <f t="array" ref="H2327">SUMPRODUCT(("CT_CWODETH"=[1]OUT_SyntheticFuels!$C$4:$C$1000)*1,("var_ncap"=[1]OUT_SyntheticFuels!$B$4:$B$1000)*1,[1]OUT_SyntheticFuels!G$4:G$1000)</f>
        <v>1.44811632748583E-7</v>
      </c>
      <c r="I2327" s="7" cm="1">
        <f t="array" ref="I2327">SUMPRODUCT(("CT_CWODETH"=[1]OUT_SyntheticFuels!$C$4:$C$1000)*1,("var_ncap"=[1]OUT_SyntheticFuels!$B$4:$B$1000)*1,[1]OUT_SyntheticFuels!H$4:H$1000)</f>
        <v>4.8667953545739997E-8</v>
      </c>
      <c r="J2327" s="7" cm="1">
        <f t="array" ref="J2327">SUMPRODUCT(("CT_CWODETH"=[2]OUT_SyntheticFuels!$C$4:$C$1000)*1,("var_ncap"=[2]OUT_SyntheticFuels!$B$4:$B$1000)*1,[2]OUT_SyntheticFuels!I$4:I$1000)</f>
        <v>6.3589919622458302E-7</v>
      </c>
      <c r="K2327" s="7" cm="1">
        <f t="array" ref="K2327">SUMPRODUCT(("CT_CWODETH"=[2]OUT_SyntheticFuels!$C$4:$C$1000)*1,("var_ncap"=[2]OUT_SyntheticFuels!$B$4:$B$1000)*1,[2]OUT_SyntheticFuels!J$4:J$1000)</f>
        <v>4.8092338082269001E-6</v>
      </c>
      <c r="L2327" s="7" cm="1">
        <f t="array" ref="L2327">SUMPRODUCT(("CT_CWODETH"=[2]OUT_SyntheticFuels!$C$4:$C$1000)*1,("var_ncap"=[2]OUT_SyntheticFuels!$B$4:$B$1000)*1,[2]OUT_SyntheticFuels!K$4:K$1000)</f>
        <v>5.5614253920809599E-6</v>
      </c>
      <c r="N2327" s="1"/>
    </row>
    <row r="2328" spans="2:14" x14ac:dyDescent="0.35">
      <c r="B2328" s="5" t="str">
        <f t="shared" si="2195"/>
        <v>SPS1</v>
      </c>
      <c r="C2328" s="5" t="str">
        <f t="shared" si="2196"/>
        <v>CH</v>
      </c>
      <c r="D2328" t="s">
        <v>2463</v>
      </c>
      <c r="E2328" t="s">
        <v>2156</v>
      </c>
      <c r="F2328" s="7" cm="1">
        <f t="array" ref="F2328">SUMPRODUCT(("CT_CWODETHCCS"=[1]OUT_SyntheticFuels!$C$4:$C$1000)*1,("var_ncap"=[1]OUT_SyntheticFuels!$B$4:$B$1000)*1,[1]OUT_SyntheticFuels!E$4:E$1000)</f>
        <v>0</v>
      </c>
      <c r="G2328" s="7" cm="1">
        <f t="array" ref="G2328">SUMPRODUCT(("CT_CWODETHCCS"=[1]OUT_SyntheticFuels!$C$4:$C$1000)*1,("var_ncap"=[1]OUT_SyntheticFuels!$B$4:$B$1000)*1,[1]OUT_SyntheticFuels!F$4:F$1000)</f>
        <v>0</v>
      </c>
      <c r="H2328" s="7" cm="1">
        <f t="array" ref="H2328">SUMPRODUCT(("CT_CWODETHCCS"=[1]OUT_SyntheticFuels!$C$4:$C$1000)*1,("var_ncap"=[1]OUT_SyntheticFuels!$B$4:$B$1000)*1,[1]OUT_SyntheticFuels!G$4:G$1000)</f>
        <v>0</v>
      </c>
      <c r="I2328" s="7" cm="1">
        <f t="array" ref="I2328">SUMPRODUCT(("CT_CWODETHCCS"=[1]OUT_SyntheticFuels!$C$4:$C$1000)*1,("var_ncap"=[1]OUT_SyntheticFuels!$B$4:$B$1000)*1,[1]OUT_SyntheticFuels!H$4:H$1000)</f>
        <v>0</v>
      </c>
      <c r="J2328" s="7" cm="1">
        <f t="array" ref="J2328">SUMPRODUCT(("CT_CWODETHCCS"=[2]OUT_SyntheticFuels!$C$4:$C$1000)*1,("var_ncap"=[2]OUT_SyntheticFuels!$B$4:$B$1000)*1,[2]OUT_SyntheticFuels!I$4:I$1000)</f>
        <v>0</v>
      </c>
      <c r="K2328" s="7" cm="1">
        <f t="array" ref="K2328">SUMPRODUCT(("CT_CWODETHCCS"=[2]OUT_SyntheticFuels!$C$4:$C$1000)*1,("var_ncap"=[2]OUT_SyntheticFuels!$B$4:$B$1000)*1,[2]OUT_SyntheticFuels!J$4:J$1000)</f>
        <v>0</v>
      </c>
      <c r="L2328" s="7" cm="1">
        <f t="array" ref="L2328">SUMPRODUCT(("CT_CWODETHCCS"=[2]OUT_SyntheticFuels!$C$4:$C$1000)*1,("var_ncap"=[2]OUT_SyntheticFuels!$B$4:$B$1000)*1,[2]OUT_SyntheticFuels!K$4:K$1000)</f>
        <v>0</v>
      </c>
      <c r="N2328" s="1"/>
    </row>
    <row r="2329" spans="2:14" x14ac:dyDescent="0.35">
      <c r="B2329" s="5" t="str">
        <f t="shared" si="2195"/>
        <v>SPS1</v>
      </c>
      <c r="C2329" s="5" t="str">
        <f t="shared" si="2196"/>
        <v>CH</v>
      </c>
      <c r="D2329" t="s">
        <v>2464</v>
      </c>
      <c r="E2329" t="s">
        <v>2156</v>
      </c>
      <c r="F2329" s="7" cm="1">
        <f t="array" ref="F2329">SUMPRODUCT(("SUP_MNRBIO"=[1]OUT_SyntheticFuels!$C$4:$C$1000)*1,("var_ncap"=[1]OUT_SyntheticFuels!$B$4:$B$1000)*1,[1]OUT_SyntheticFuels!E$4:E$1000)</f>
        <v>4.9292721705983103E-2</v>
      </c>
      <c r="G2329" s="7" cm="1">
        <f t="array" ref="G2329">SUMPRODUCT(("SUP_MNRBIO"=[1]OUT_SyntheticFuels!$C$4:$C$1000)*1,("var_ncap"=[1]OUT_SyntheticFuels!$B$4:$B$1000)*1,[1]OUT_SyntheticFuels!F$4:F$1000)</f>
        <v>0.107604727808033</v>
      </c>
      <c r="H2329" s="7" cm="1">
        <f t="array" ref="H2329">SUMPRODUCT(("SUP_MNRBIO"=[1]OUT_SyntheticFuels!$C$4:$C$1000)*1,("var_ncap"=[1]OUT_SyntheticFuels!$B$4:$B$1000)*1,[1]OUT_SyntheticFuels!G$4:G$1000)</f>
        <v>5.5005056520254598E-3</v>
      </c>
      <c r="I2329" s="7" cm="1">
        <f t="array" ref="I2329">SUMPRODUCT(("SUP_MNRBIO"=[1]OUT_SyntheticFuels!$C$4:$C$1000)*1,("var_ncap"=[1]OUT_SyntheticFuels!$B$4:$B$1000)*1,[1]OUT_SyntheticFuels!H$4:H$1000)</f>
        <v>1.4650348209991701E-6</v>
      </c>
      <c r="J2329" s="7" cm="1">
        <f t="array" ref="J2329">SUMPRODUCT(("SUP_MNRBIO"=[2]OUT_SyntheticFuels!$C$4:$C$1000)*1,("var_ncap"=[2]OUT_SyntheticFuels!$B$4:$B$1000)*1,[2]OUT_SyntheticFuels!I$4:I$1000)</f>
        <v>4.7112272790350903E-6</v>
      </c>
      <c r="K2329" s="7" cm="1">
        <f t="array" ref="K2329">SUMPRODUCT(("SUP_MNRBIO"=[2]OUT_SyntheticFuels!$C$4:$C$1000)*1,("var_ncap"=[2]OUT_SyntheticFuels!$B$4:$B$1000)*1,[2]OUT_SyntheticFuels!J$4:J$1000)</f>
        <v>7.6810341084368405E-2</v>
      </c>
      <c r="L2329" s="7" cm="1">
        <f t="array" ref="L2329">SUMPRODUCT(("SUP_MNRBIO"=[2]OUT_SyntheticFuels!$C$4:$C$1000)*1,("var_ncap"=[2]OUT_SyntheticFuels!$B$4:$B$1000)*1,[2]OUT_SyntheticFuels!K$4:K$1000)</f>
        <v>0.15158163290455801</v>
      </c>
      <c r="N2329" s="1"/>
    </row>
    <row r="2330" spans="2:14" x14ac:dyDescent="0.35">
      <c r="B2330" s="5" t="str">
        <f t="shared" si="2195"/>
        <v>SPS1</v>
      </c>
      <c r="C2330" s="5" t="str">
        <f t="shared" si="2196"/>
        <v>CH</v>
      </c>
      <c r="D2330" t="s">
        <v>2465</v>
      </c>
      <c r="E2330" t="s">
        <v>2156</v>
      </c>
      <c r="F2330" s="7" cm="1">
        <f t="array" ref="F2330">SUMPRODUCT(("SUP_WSTBIO"=[1]OUT_SyntheticFuels!$C$4:$C$1000)*1,("var_ncap"=[1]OUT_SyntheticFuels!$B$4:$B$1000)*1,[1]OUT_SyntheticFuels!E$4:E$1000)</f>
        <v>4.0965783086815101E-3</v>
      </c>
      <c r="G2330" s="7" cm="1">
        <f t="array" ref="G2330">SUMPRODUCT(("SUP_WSTBIO"=[1]OUT_SyntheticFuels!$C$4:$C$1000)*1,("var_ncap"=[1]OUT_SyntheticFuels!$B$4:$B$1000)*1,[1]OUT_SyntheticFuels!F$4:F$1000)</f>
        <v>2.2999708816926201E-2</v>
      </c>
      <c r="H2330" s="7" cm="1">
        <f t="array" ref="H2330">SUMPRODUCT(("SUP_WSTBIO"=[1]OUT_SyntheticFuels!$C$4:$C$1000)*1,("var_ncap"=[1]OUT_SyntheticFuels!$B$4:$B$1000)*1,[1]OUT_SyntheticFuels!G$4:G$1000)</f>
        <v>1.5629909226362601E-7</v>
      </c>
      <c r="I2330" s="7" cm="1">
        <f t="array" ref="I2330">SUMPRODUCT(("SUP_WSTBIO"=[1]OUT_SyntheticFuels!$C$4:$C$1000)*1,("var_ncap"=[1]OUT_SyntheticFuels!$B$4:$B$1000)*1,[1]OUT_SyntheticFuels!H$4:H$1000)</f>
        <v>7.2849331956473196E-2</v>
      </c>
      <c r="J2330" s="7" cm="1">
        <f t="array" ref="J2330">SUMPRODUCT(("SUP_WSTBIO"=[2]OUT_SyntheticFuels!$C$4:$C$1000)*1,("var_ncap"=[2]OUT_SyntheticFuels!$B$4:$B$1000)*1,[2]OUT_SyntheticFuels!I$4:I$1000)</f>
        <v>0.11685345767303</v>
      </c>
      <c r="K2330" s="7" cm="1">
        <f t="array" ref="K2330">SUMPRODUCT(("SUP_WSTBIO"=[2]OUT_SyntheticFuels!$C$4:$C$1000)*1,("var_ncap"=[2]OUT_SyntheticFuels!$B$4:$B$1000)*1,[2]OUT_SyntheticFuels!J$4:J$1000)</f>
        <v>2.5326948749127599E-2</v>
      </c>
      <c r="L2330" s="7" cm="1">
        <f t="array" ref="L2330">SUMPRODUCT(("SUP_WSTBIO"=[2]OUT_SyntheticFuels!$C$4:$C$1000)*1,("var_ncap"=[2]OUT_SyntheticFuels!$B$4:$B$1000)*1,[2]OUT_SyntheticFuels!K$4:K$1000)</f>
        <v>7.8857192760380002E-2</v>
      </c>
      <c r="N2330" s="1"/>
    </row>
    <row r="2331" spans="2:14" x14ac:dyDescent="0.35">
      <c r="B2331" s="5" t="str">
        <f t="shared" si="2195"/>
        <v>SPS1</v>
      </c>
      <c r="C2331" s="5" t="str">
        <f t="shared" si="2196"/>
        <v>CH</v>
      </c>
      <c r="D2331" t="s">
        <v>2466</v>
      </c>
      <c r="E2331" t="s">
        <v>2156</v>
      </c>
      <c r="F2331" s="7" cm="1">
        <f t="array" ref="F2331">SUMPRODUCT(("SUP_WSTBIOCCS"=[1]OUT_SyntheticFuels!$C$4:$C$1000)*1,("var_ncap"=[1]OUT_SyntheticFuels!$B$4:$B$1000)*1,[1]OUT_SyntheticFuels!E$4:E$1000)</f>
        <v>0</v>
      </c>
      <c r="G2331" s="7" cm="1">
        <f t="array" ref="G2331">SUMPRODUCT(("SUP_WSTBIOCCS"=[1]OUT_SyntheticFuels!$C$4:$C$1000)*1,("var_ncap"=[1]OUT_SyntheticFuels!$B$4:$B$1000)*1,[1]OUT_SyntheticFuels!F$4:F$1000)</f>
        <v>0</v>
      </c>
      <c r="H2331" s="7" cm="1">
        <f t="array" ref="H2331">SUMPRODUCT(("SUP_WSTBIOCCS"=[1]OUT_SyntheticFuels!$C$4:$C$1000)*1,("var_ncap"=[1]OUT_SyntheticFuels!$B$4:$B$1000)*1,[1]OUT_SyntheticFuels!G$4:G$1000)</f>
        <v>0</v>
      </c>
      <c r="I2331" s="7" cm="1">
        <f t="array" ref="I2331">SUMPRODUCT(("SUP_WSTBIOCCS"=[1]OUT_SyntheticFuels!$C$4:$C$1000)*1,("var_ncap"=[1]OUT_SyntheticFuels!$B$4:$B$1000)*1,[1]OUT_SyntheticFuels!H$4:H$1000)</f>
        <v>0</v>
      </c>
      <c r="J2331" s="7" cm="1">
        <f t="array" ref="J2331">SUMPRODUCT(("SUP_WSTBIOCCS"=[2]OUT_SyntheticFuels!$C$4:$C$1000)*1,("var_ncap"=[2]OUT_SyntheticFuels!$B$4:$B$1000)*1,[2]OUT_SyntheticFuels!I$4:I$1000)</f>
        <v>0</v>
      </c>
      <c r="K2331" s="7" cm="1">
        <f t="array" ref="K2331">SUMPRODUCT(("SUP_WSTBIOCCS"=[2]OUT_SyntheticFuels!$C$4:$C$1000)*1,("var_ncap"=[2]OUT_SyntheticFuels!$B$4:$B$1000)*1,[2]OUT_SyntheticFuels!J$4:J$1000)</f>
        <v>0</v>
      </c>
      <c r="L2331" s="7" cm="1">
        <f t="array" ref="L2331">SUMPRODUCT(("SUP_WSTBIOCCS"=[2]OUT_SyntheticFuels!$C$4:$C$1000)*1,("var_ncap"=[2]OUT_SyntheticFuels!$B$4:$B$1000)*1,[2]OUT_SyntheticFuels!K$4:K$1000)</f>
        <v>0</v>
      </c>
      <c r="N2331" s="1"/>
    </row>
    <row r="2332" spans="2:14" x14ac:dyDescent="0.35">
      <c r="B2332" s="5" t="str">
        <f t="shared" si="2195"/>
        <v>SPS1</v>
      </c>
      <c r="C2332" s="5" t="str">
        <f t="shared" si="2196"/>
        <v>CH</v>
      </c>
      <c r="D2332" t="s">
        <v>2467</v>
      </c>
      <c r="E2332" t="s">
        <v>2156</v>
      </c>
      <c r="F2332" s="7" cm="1">
        <f t="array" ref="F2332">SUMPRODUCT(("SUP_WSTHTGBIO"=[1]OUT_SyntheticFuels!$C$4:$C$1000)*1,("var_ncap"=[1]OUT_SyntheticFuels!$B$4:$B$1000)*1,[1]OUT_SyntheticFuels!E$4:E$1000)</f>
        <v>0</v>
      </c>
      <c r="G2332" s="7" cm="1">
        <f t="array" ref="G2332">SUMPRODUCT(("SUP_WSTHTGBIO"=[1]OUT_SyntheticFuels!$C$4:$C$1000)*1,("var_ncap"=[1]OUT_SyntheticFuels!$B$4:$B$1000)*1,[1]OUT_SyntheticFuels!F$4:F$1000)</f>
        <v>0</v>
      </c>
      <c r="H2332" s="7" cm="1">
        <f t="array" ref="H2332">SUMPRODUCT(("SUP_WSTHTGBIO"=[1]OUT_SyntheticFuels!$C$4:$C$1000)*1,("var_ncap"=[1]OUT_SyntheticFuels!$B$4:$B$1000)*1,[1]OUT_SyntheticFuels!G$4:G$1000)</f>
        <v>0</v>
      </c>
      <c r="I2332" s="7" cm="1">
        <f t="array" ref="I2332">SUMPRODUCT(("SUP_WSTHTGBIO"=[1]OUT_SyntheticFuels!$C$4:$C$1000)*1,("var_ncap"=[1]OUT_SyntheticFuels!$B$4:$B$1000)*1,[1]OUT_SyntheticFuels!H$4:H$1000)</f>
        <v>0</v>
      </c>
      <c r="J2332" s="7" cm="1">
        <f t="array" ref="J2332">SUMPRODUCT(("SUP_WSTHTGBIO"=[2]OUT_SyntheticFuels!$C$4:$C$1000)*1,("var_ncap"=[2]OUT_SyntheticFuels!$B$4:$B$1000)*1,[2]OUT_SyntheticFuels!I$4:I$1000)</f>
        <v>0</v>
      </c>
      <c r="K2332" s="7" cm="1">
        <f t="array" ref="K2332">SUMPRODUCT(("SUP_WSTHTGBIO"=[2]OUT_SyntheticFuels!$C$4:$C$1000)*1,("var_ncap"=[2]OUT_SyntheticFuels!$B$4:$B$1000)*1,[2]OUT_SyntheticFuels!J$4:J$1000)</f>
        <v>1.5076658944081199E-5</v>
      </c>
      <c r="L2332" s="7" cm="1">
        <f t="array" ref="L2332">SUMPRODUCT(("SUP_WSTHTGBIO"=[2]OUT_SyntheticFuels!$C$4:$C$1000)*1,("var_ncap"=[2]OUT_SyntheticFuels!$B$4:$B$1000)*1,[2]OUT_SyntheticFuels!K$4:K$1000)</f>
        <v>1.00004743610122E-7</v>
      </c>
      <c r="N2332" s="1"/>
    </row>
    <row r="2333" spans="2:14" x14ac:dyDescent="0.35">
      <c r="B2333" s="5" t="str">
        <f t="shared" si="2195"/>
        <v>SPS1</v>
      </c>
      <c r="C2333" s="5" t="str">
        <f t="shared" si="2196"/>
        <v>CH</v>
      </c>
      <c r="D2333" t="s">
        <v>2468</v>
      </c>
      <c r="E2333" t="s">
        <v>2156</v>
      </c>
      <c r="F2333" s="7" cm="1">
        <f t="array" ref="F2333">SUMPRODUCT(("SUP_WSTHTGBIOCCS"=[1]OUT_SyntheticFuels!$C$4:$C$1000)*1,("var_ncap"=[1]OUT_SyntheticFuels!$B$4:$B$1000)*1,[1]OUT_SyntheticFuels!E$4:E$1000)</f>
        <v>0</v>
      </c>
      <c r="G2333" s="7" cm="1">
        <f t="array" ref="G2333">SUMPRODUCT(("SUP_WSTHTGBIOCCS"=[1]OUT_SyntheticFuels!$C$4:$C$1000)*1,("var_ncap"=[1]OUT_SyntheticFuels!$B$4:$B$1000)*1,[1]OUT_SyntheticFuels!F$4:F$1000)</f>
        <v>0</v>
      </c>
      <c r="H2333" s="7" cm="1">
        <f t="array" ref="H2333">SUMPRODUCT(("SUP_WSTHTGBIOCCS"=[1]OUT_SyntheticFuels!$C$4:$C$1000)*1,("var_ncap"=[1]OUT_SyntheticFuels!$B$4:$B$1000)*1,[1]OUT_SyntheticFuels!G$4:G$1000)</f>
        <v>0</v>
      </c>
      <c r="I2333" s="7" cm="1">
        <f t="array" ref="I2333">SUMPRODUCT(("SUP_WSTHTGBIOCCS"=[1]OUT_SyntheticFuels!$C$4:$C$1000)*1,("var_ncap"=[1]OUT_SyntheticFuels!$B$4:$B$1000)*1,[1]OUT_SyntheticFuels!H$4:H$1000)</f>
        <v>0</v>
      </c>
      <c r="J2333" s="7" cm="1">
        <f t="array" ref="J2333">SUMPRODUCT(("SUP_WSTHTGBIOCCS"=[2]OUT_SyntheticFuels!$C$4:$C$1000)*1,("var_ncap"=[2]OUT_SyntheticFuels!$B$4:$B$1000)*1,[2]OUT_SyntheticFuels!I$4:I$1000)</f>
        <v>0</v>
      </c>
      <c r="K2333" s="7" cm="1">
        <f t="array" ref="K2333">SUMPRODUCT(("SUP_WSTHTGBIOCCS"=[2]OUT_SyntheticFuels!$C$4:$C$1000)*1,("var_ncap"=[2]OUT_SyntheticFuels!$B$4:$B$1000)*1,[2]OUT_SyntheticFuels!J$4:J$1000)</f>
        <v>0</v>
      </c>
      <c r="L2333" s="7" cm="1">
        <f t="array" ref="L2333">SUMPRODUCT(("SUP_WSTHTGBIOCCS"=[2]OUT_SyntheticFuels!$C$4:$C$1000)*1,("var_ncap"=[2]OUT_SyntheticFuels!$B$4:$B$1000)*1,[2]OUT_SyntheticFuels!K$4:K$1000)</f>
        <v>0</v>
      </c>
      <c r="N2333" s="1"/>
    </row>
    <row r="2334" spans="2:14" x14ac:dyDescent="0.35">
      <c r="B2334" s="5" t="str">
        <f t="shared" si="2195"/>
        <v>SPS1</v>
      </c>
      <c r="C2334" s="5" t="str">
        <f t="shared" si="2196"/>
        <v>CH</v>
      </c>
      <c r="D2334" t="s">
        <v>2469</v>
      </c>
      <c r="E2334" t="s">
        <v>2156</v>
      </c>
      <c r="F2334" s="7" cm="1">
        <f t="array" ref="F2334">SUMPRODUCT(("SUP_WODBIO"=[1]OUT_SyntheticFuels!$C$4:$C$1000)*1,("var_ncap"=[1]OUT_SyntheticFuels!$B$4:$B$1000)*1,[1]OUT_SyntheticFuels!E$4:E$1000)</f>
        <v>1.6515617230208301E-7</v>
      </c>
      <c r="G2334" s="7" cm="1">
        <f t="array" ref="G2334">SUMPRODUCT(("SUP_WODBIO"=[1]OUT_SyntheticFuels!$C$4:$C$1000)*1,("var_ncap"=[1]OUT_SyntheticFuels!$B$4:$B$1000)*1,[1]OUT_SyntheticFuels!F$4:F$1000)</f>
        <v>7.71765422465545E-6</v>
      </c>
      <c r="H2334" s="7" cm="1">
        <f t="array" ref="H2334">SUMPRODUCT(("SUP_WODBIO"=[1]OUT_SyntheticFuels!$C$4:$C$1000)*1,("var_ncap"=[1]OUT_SyntheticFuels!$B$4:$B$1000)*1,[1]OUT_SyntheticFuels!G$4:G$1000)</f>
        <v>3.9428735470364901E-7</v>
      </c>
      <c r="I2334" s="7" cm="1">
        <f t="array" ref="I2334">SUMPRODUCT(("SUP_WODBIO"=[1]OUT_SyntheticFuels!$C$4:$C$1000)*1,("var_ncap"=[1]OUT_SyntheticFuels!$B$4:$B$1000)*1,[1]OUT_SyntheticFuels!H$4:H$1000)</f>
        <v>6.9886470906497696E-8</v>
      </c>
      <c r="J2334" s="7" cm="1">
        <f t="array" ref="J2334">SUMPRODUCT(("SUP_WODBIO"=[2]OUT_SyntheticFuels!$C$4:$C$1000)*1,("var_ncap"=[2]OUT_SyntheticFuels!$B$4:$B$1000)*1,[2]OUT_SyntheticFuels!I$4:I$1000)</f>
        <v>7.9916558791724201E-6</v>
      </c>
      <c r="K2334" s="7" cm="1">
        <f t="array" ref="K2334">SUMPRODUCT(("SUP_WODBIO"=[2]OUT_SyntheticFuels!$C$4:$C$1000)*1,("var_ncap"=[2]OUT_SyntheticFuels!$B$4:$B$1000)*1,[2]OUT_SyntheticFuels!J$4:J$1000)</f>
        <v>5.3957576110363696E-6</v>
      </c>
      <c r="L2334" s="7" cm="1">
        <f t="array" ref="L2334">SUMPRODUCT(("SUP_WODBIO"=[2]OUT_SyntheticFuels!$C$4:$C$1000)*1,("var_ncap"=[2]OUT_SyntheticFuels!$B$4:$B$1000)*1,[2]OUT_SyntheticFuels!K$4:K$1000)</f>
        <v>5.5066929042474004E-6</v>
      </c>
      <c r="N2334" s="1"/>
    </row>
    <row r="2335" spans="2:14" x14ac:dyDescent="0.35">
      <c r="B2335" s="5" t="str">
        <f t="shared" si="2195"/>
        <v>SPS1</v>
      </c>
      <c r="C2335" s="5" t="str">
        <f t="shared" si="2196"/>
        <v>CH</v>
      </c>
      <c r="D2335" t="s">
        <v>2470</v>
      </c>
      <c r="E2335" t="s">
        <v>2156</v>
      </c>
      <c r="F2335" s="7" cm="1">
        <f t="array" ref="F2335">SUMPRODUCT(("SUP_WODBIOCCS"=[1]OUT_SyntheticFuels!$C$4:$C$1000)*1,("var_ncap"=[1]OUT_SyntheticFuels!$B$4:$B$1000)*1,[1]OUT_SyntheticFuels!E$4:E$1000)</f>
        <v>0</v>
      </c>
      <c r="G2335" s="7" cm="1">
        <f t="array" ref="G2335">SUMPRODUCT(("SUP_WODBIOCCS"=[1]OUT_SyntheticFuels!$C$4:$C$1000)*1,("var_ncap"=[1]OUT_SyntheticFuels!$B$4:$B$1000)*1,[1]OUT_SyntheticFuels!F$4:F$1000)</f>
        <v>0</v>
      </c>
      <c r="H2335" s="7" cm="1">
        <f t="array" ref="H2335">SUMPRODUCT(("SUP_WODBIOCCS"=[1]OUT_SyntheticFuels!$C$4:$C$1000)*1,("var_ncap"=[1]OUT_SyntheticFuels!$B$4:$B$1000)*1,[1]OUT_SyntheticFuels!G$4:G$1000)</f>
        <v>0</v>
      </c>
      <c r="I2335" s="7" cm="1">
        <f t="array" ref="I2335">SUMPRODUCT(("SUP_WODBIOCCS"=[1]OUT_SyntheticFuels!$C$4:$C$1000)*1,("var_ncap"=[1]OUT_SyntheticFuels!$B$4:$B$1000)*1,[1]OUT_SyntheticFuels!H$4:H$1000)</f>
        <v>0</v>
      </c>
      <c r="J2335" s="7" cm="1">
        <f t="array" ref="J2335">SUMPRODUCT(("SUP_WODBIOCCS"=[2]OUT_SyntheticFuels!$C$4:$C$1000)*1,("var_ncap"=[2]OUT_SyntheticFuels!$B$4:$B$1000)*1,[2]OUT_SyntheticFuels!I$4:I$1000)</f>
        <v>0</v>
      </c>
      <c r="K2335" s="7" cm="1">
        <f t="array" ref="K2335">SUMPRODUCT(("SUP_WODBIOCCS"=[2]OUT_SyntheticFuels!$C$4:$C$1000)*1,("var_ncap"=[2]OUT_SyntheticFuels!$B$4:$B$1000)*1,[2]OUT_SyntheticFuels!J$4:J$1000)</f>
        <v>0</v>
      </c>
      <c r="L2335" s="7" cm="1">
        <f t="array" ref="L2335">SUMPRODUCT(("SUP_WODBIOCCS"=[2]OUT_SyntheticFuels!$C$4:$C$1000)*1,("var_ncap"=[2]OUT_SyntheticFuels!$B$4:$B$1000)*1,[2]OUT_SyntheticFuels!K$4:K$1000)</f>
        <v>0</v>
      </c>
      <c r="N2335" s="1"/>
    </row>
    <row r="2336" spans="2:14" x14ac:dyDescent="0.35">
      <c r="B2336" s="5" t="str">
        <f t="shared" si="2195"/>
        <v>SPS1</v>
      </c>
      <c r="C2336" s="5" t="str">
        <f t="shared" si="2196"/>
        <v>CH</v>
      </c>
      <c r="D2336" t="s">
        <v>2471</v>
      </c>
      <c r="E2336" t="s">
        <v>2156</v>
      </c>
      <c r="F2336" s="7" cm="1">
        <f t="array" ref="F2336">SUMPRODUCT(("SUP_BIONGA"=[1]OUT_SyntheticFuels!$C$4:$C$1000)*1,("var_ncap"=[1]OUT_SyntheticFuels!$B$4:$B$1000)*1,[1]OUT_SyntheticFuels!E$4:E$1000)</f>
        <v>1.43337840048123E-2</v>
      </c>
      <c r="G2336" s="7" cm="1">
        <f t="array" ref="G2336">SUMPRODUCT(("SUP_BIONGA"=[1]OUT_SyntheticFuels!$C$4:$C$1000)*1,("var_ncap"=[1]OUT_SyntheticFuels!$B$4:$B$1000)*1,[1]OUT_SyntheticFuels!F$4:F$1000)</f>
        <v>9.6981817579711901E-2</v>
      </c>
      <c r="H2336" s="7" cm="1">
        <f t="array" ref="H2336">SUMPRODUCT(("SUP_BIONGA"=[1]OUT_SyntheticFuels!$C$4:$C$1000)*1,("var_ncap"=[1]OUT_SyntheticFuels!$B$4:$B$1000)*1,[1]OUT_SyntheticFuels!G$4:G$1000)</f>
        <v>9.66995290516673E-8</v>
      </c>
      <c r="I2336" s="7" cm="1">
        <f t="array" ref="I2336">SUMPRODUCT(("SUP_BIONGA"=[1]OUT_SyntheticFuels!$C$4:$C$1000)*1,("var_ncap"=[1]OUT_SyntheticFuels!$B$4:$B$1000)*1,[1]OUT_SyntheticFuels!H$4:H$1000)</f>
        <v>4.42755026305989E-7</v>
      </c>
      <c r="J2336" s="7" cm="1">
        <f t="array" ref="J2336">SUMPRODUCT(("SUP_BIONGA"=[2]OUT_SyntheticFuels!$C$4:$C$1000)*1,("var_ncap"=[2]OUT_SyntheticFuels!$B$4:$B$1000)*1,[2]OUT_SyntheticFuels!I$4:I$1000)</f>
        <v>5.6406832554674203E-3</v>
      </c>
      <c r="K2336" s="7" cm="1">
        <f t="array" ref="K2336">SUMPRODUCT(("SUP_BIONGA"=[2]OUT_SyntheticFuels!$C$4:$C$1000)*1,("var_ncap"=[2]OUT_SyntheticFuels!$B$4:$B$1000)*1,[2]OUT_SyntheticFuels!J$4:J$1000)</f>
        <v>5.0086621519529299E-2</v>
      </c>
      <c r="L2336" s="7" cm="1">
        <f t="array" ref="L2336">SUMPRODUCT(("SUP_BIONGA"=[2]OUT_SyntheticFuels!$C$4:$C$1000)*1,("var_ncap"=[2]OUT_SyntheticFuels!$B$4:$B$1000)*1,[2]OUT_SyntheticFuels!K$4:K$1000)</f>
        <v>4.9152718734540801E-2</v>
      </c>
      <c r="N2336" s="1"/>
    </row>
    <row r="2337" spans="2:14" x14ac:dyDescent="0.35">
      <c r="B2337" s="5" t="str">
        <f t="shared" si="2195"/>
        <v>SPS1</v>
      </c>
      <c r="C2337" s="5" t="str">
        <f t="shared" si="2196"/>
        <v>CH</v>
      </c>
      <c r="D2337" t="s">
        <v>2472</v>
      </c>
      <c r="E2337" t="s">
        <v>2156</v>
      </c>
      <c r="F2337" s="7" cm="1">
        <f t="array" ref="F2337">SUMPRODUCT(("CT_CWODPLT"=[1]OUT_SyntheticFuels!$C$4:$C$1000)*1,("var_ncap"=[1]OUT_SyntheticFuels!$B$4:$B$1000)*1,[1]OUT_SyntheticFuels!E$4:E$1000)</f>
        <v>0.15270062878561799</v>
      </c>
      <c r="G2337" s="7" cm="1">
        <f t="array" ref="G2337">SUMPRODUCT(("CT_CWODPLT"=[1]OUT_SyntheticFuels!$C$4:$C$1000)*1,("var_ncap"=[1]OUT_SyntheticFuels!$B$4:$B$1000)*1,[1]OUT_SyntheticFuels!F$4:F$1000)</f>
        <v>5.4950146139535999E-2</v>
      </c>
      <c r="H2337" s="7" cm="1">
        <f t="array" ref="H2337">SUMPRODUCT(("CT_CWODPLT"=[1]OUT_SyntheticFuels!$C$4:$C$1000)*1,("var_ncap"=[1]OUT_SyntheticFuels!$B$4:$B$1000)*1,[1]OUT_SyntheticFuels!G$4:G$1000)</f>
        <v>2.0969717589215799E-7</v>
      </c>
      <c r="I2337" s="7" cm="1">
        <f t="array" ref="I2337">SUMPRODUCT(("CT_CWODPLT"=[1]OUT_SyntheticFuels!$C$4:$C$1000)*1,("var_ncap"=[1]OUT_SyntheticFuels!$B$4:$B$1000)*1,[1]OUT_SyntheticFuels!H$4:H$1000)</f>
        <v>2.8390946147404899E-7</v>
      </c>
      <c r="J2337" s="7" cm="1">
        <f t="array" ref="J2337">SUMPRODUCT(("CT_CWODPLT"=[2]OUT_SyntheticFuels!$C$4:$C$1000)*1,("var_ncap"=[2]OUT_SyntheticFuels!$B$4:$B$1000)*1,[2]OUT_SyntheticFuels!I$4:I$1000)</f>
        <v>4.9792341481186798E-6</v>
      </c>
      <c r="K2337" s="7" cm="1">
        <f t="array" ref="K2337">SUMPRODUCT(("CT_CWODPLT"=[2]OUT_SyntheticFuels!$C$4:$C$1000)*1,("var_ncap"=[2]OUT_SyntheticFuels!$B$4:$B$1000)*1,[2]OUT_SyntheticFuels!J$4:J$1000)</f>
        <v>0.13067687251274701</v>
      </c>
      <c r="L2337" s="7" cm="1">
        <f t="array" ref="L2337">SUMPRODUCT(("CT_CWODPLT"=[2]OUT_SyntheticFuels!$C$4:$C$1000)*1,("var_ncap"=[2]OUT_SyntheticFuels!$B$4:$B$1000)*1,[2]OUT_SyntheticFuels!K$4:K$1000)</f>
        <v>0.118880532327481</v>
      </c>
      <c r="N2337" s="1"/>
    </row>
    <row r="2338" spans="2:14" x14ac:dyDescent="0.35">
      <c r="B2338" s="5" t="str">
        <f t="shared" si="2195"/>
        <v>SPS1</v>
      </c>
      <c r="C2338" s="5" t="str">
        <f t="shared" si="2196"/>
        <v>CH</v>
      </c>
      <c r="D2338" t="s">
        <v>2473</v>
      </c>
      <c r="E2338" t="s">
        <v>2156</v>
      </c>
      <c r="F2338" s="7" cm="1">
        <f t="array" ref="F2338">SUMPRODUCT(("SUP_H2NGA"=[1]OUT_SyntheticFuels!$C$4:$C$1000)*1,("var_ncap"=[1]OUT_SyntheticFuels!$B$4:$B$1000)*1,[1]OUT_SyntheticFuels!E$4:E$1000)</f>
        <v>0</v>
      </c>
      <c r="G2338" s="7" cm="1">
        <f t="array" ref="G2338">SUMPRODUCT(("SUP_H2NGA"=[1]OUT_SyntheticFuels!$C$4:$C$1000)*1,("var_ncap"=[1]OUT_SyntheticFuels!$B$4:$B$1000)*1,[1]OUT_SyntheticFuels!F$4:F$1000)</f>
        <v>0</v>
      </c>
      <c r="H2338" s="7" cm="1">
        <f t="array" ref="H2338">SUMPRODUCT(("SUP_H2NGA"=[1]OUT_SyntheticFuels!$C$4:$C$1000)*1,("var_ncap"=[1]OUT_SyntheticFuels!$B$4:$B$1000)*1,[1]OUT_SyntheticFuels!G$4:G$1000)</f>
        <v>0</v>
      </c>
      <c r="I2338" s="7" cm="1">
        <f t="array" ref="I2338">SUMPRODUCT(("SUP_H2NGA"=[1]OUT_SyntheticFuels!$C$4:$C$1000)*1,("var_ncap"=[1]OUT_SyntheticFuels!$B$4:$B$1000)*1,[1]OUT_SyntheticFuels!H$4:H$1000)</f>
        <v>2.47139804778945E-7</v>
      </c>
      <c r="J2338" s="7" cm="1">
        <f t="array" ref="J2338">SUMPRODUCT(("SUP_H2NGA"=[2]OUT_SyntheticFuels!$C$4:$C$1000)*1,("var_ncap"=[2]OUT_SyntheticFuels!$B$4:$B$1000)*1,[2]OUT_SyntheticFuels!I$4:I$1000)</f>
        <v>7.3345052797436799E-7</v>
      </c>
      <c r="K2338" s="7" cm="1">
        <f t="array" ref="K2338">SUMPRODUCT(("SUP_H2NGA"=[2]OUT_SyntheticFuels!$C$4:$C$1000)*1,("var_ncap"=[2]OUT_SyntheticFuels!$B$4:$B$1000)*1,[2]OUT_SyntheticFuels!J$4:J$1000)</f>
        <v>5.48172696370093E-7</v>
      </c>
      <c r="L2338" s="7" cm="1">
        <f t="array" ref="L2338">SUMPRODUCT(("SUP_H2NGA"=[2]OUT_SyntheticFuels!$C$4:$C$1000)*1,("var_ncap"=[2]OUT_SyntheticFuels!$B$4:$B$1000)*1,[2]OUT_SyntheticFuels!K$4:K$1000)</f>
        <v>3.9110325765282302E-7</v>
      </c>
      <c r="N2338" s="1"/>
    </row>
    <row r="2339" spans="2:14" x14ac:dyDescent="0.35">
      <c r="B2339" s="5" t="str">
        <f t="shared" si="2195"/>
        <v>SPS1</v>
      </c>
      <c r="C2339" s="5" t="str">
        <f t="shared" si="2196"/>
        <v>CH</v>
      </c>
      <c r="D2339" t="s">
        <v>2474</v>
      </c>
      <c r="E2339" t="s">
        <v>2156</v>
      </c>
      <c r="F2339" s="7" cm="1">
        <f t="array" ref="F2339">SUMPRODUCT(("SUP_H2DSL"=[1]OUT_SyntheticFuels!$C$4:$C$1000)*1,("var_ncap"=[1]OUT_SyntheticFuels!$B$4:$B$1000)*1,[1]OUT_SyntheticFuels!E$4:E$1000)</f>
        <v>0</v>
      </c>
      <c r="G2339" s="7" cm="1">
        <f t="array" ref="G2339">SUMPRODUCT(("SUP_H2DSL"=[1]OUT_SyntheticFuels!$C$4:$C$1000)*1,("var_ncap"=[1]OUT_SyntheticFuels!$B$4:$B$1000)*1,[1]OUT_SyntheticFuels!F$4:F$1000)</f>
        <v>0</v>
      </c>
      <c r="H2339" s="7" cm="1">
        <f t="array" ref="H2339">SUMPRODUCT(("SUP_H2DSL"=[1]OUT_SyntheticFuels!$C$4:$C$1000)*1,("var_ncap"=[1]OUT_SyntheticFuels!$B$4:$B$1000)*1,[1]OUT_SyntheticFuels!G$4:G$1000)</f>
        <v>0</v>
      </c>
      <c r="I2339" s="7" cm="1">
        <f t="array" ref="I2339">SUMPRODUCT(("SUP_H2DSL"=[1]OUT_SyntheticFuels!$C$4:$C$1000)*1,("var_ncap"=[1]OUT_SyntheticFuels!$B$4:$B$1000)*1,[1]OUT_SyntheticFuels!H$4:H$1000)</f>
        <v>1.39743624246969E-7</v>
      </c>
      <c r="J2339" s="7" cm="1">
        <f t="array" ref="J2339">SUMPRODUCT(("SUP_H2DSL"=[2]OUT_SyntheticFuels!$C$4:$C$1000)*1,("var_ncap"=[2]OUT_SyntheticFuels!$B$4:$B$1000)*1,[2]OUT_SyntheticFuels!I$4:I$1000)</f>
        <v>1.2050186213619899E-6</v>
      </c>
      <c r="K2339" s="7" cm="1">
        <f t="array" ref="K2339">SUMPRODUCT(("SUP_H2DSL"=[2]OUT_SyntheticFuels!$C$4:$C$1000)*1,("var_ncap"=[2]OUT_SyntheticFuels!$B$4:$B$1000)*1,[2]OUT_SyntheticFuels!J$4:J$1000)</f>
        <v>6.5753602103865399E-7</v>
      </c>
      <c r="L2339" s="7" cm="1">
        <f t="array" ref="L2339">SUMPRODUCT(("SUP_H2DSL"=[2]OUT_SyntheticFuels!$C$4:$C$1000)*1,("var_ncap"=[2]OUT_SyntheticFuels!$B$4:$B$1000)*1,[2]OUT_SyntheticFuels!K$4:K$1000)</f>
        <v>5.9794684978082804E-7</v>
      </c>
      <c r="N2339" s="1"/>
    </row>
    <row r="2340" spans="2:14" x14ac:dyDescent="0.35">
      <c r="B2340" s="5" t="str">
        <f t="shared" si="2195"/>
        <v>SPS1</v>
      </c>
      <c r="C2340" s="5" t="str">
        <f t="shared" si="2196"/>
        <v>CH</v>
      </c>
      <c r="D2340" t="s">
        <v>2475</v>
      </c>
      <c r="E2340" t="s">
        <v>2156</v>
      </c>
      <c r="F2340" s="7" cm="1">
        <f t="array" ref="F2340">SUMPRODUCT(("SUP_H2GSL"=[1]OUT_SyntheticFuels!$C$4:$C$1000)*1,("var_ncap"=[1]OUT_SyntheticFuels!$B$4:$B$1000)*1,[1]OUT_SyntheticFuels!E$4:E$1000)</f>
        <v>0</v>
      </c>
      <c r="G2340" s="7" cm="1">
        <f t="array" ref="G2340">SUMPRODUCT(("SUP_H2GSL"=[1]OUT_SyntheticFuels!$C$4:$C$1000)*1,("var_ncap"=[1]OUT_SyntheticFuels!$B$4:$B$1000)*1,[1]OUT_SyntheticFuels!F$4:F$1000)</f>
        <v>0</v>
      </c>
      <c r="H2340" s="7" cm="1">
        <f t="array" ref="H2340">SUMPRODUCT(("SUP_H2GSL"=[1]OUT_SyntheticFuels!$C$4:$C$1000)*1,("var_ncap"=[1]OUT_SyntheticFuels!$B$4:$B$1000)*1,[1]OUT_SyntheticFuels!G$4:G$1000)</f>
        <v>0</v>
      </c>
      <c r="I2340" s="7" cm="1">
        <f t="array" ref="I2340">SUMPRODUCT(("SUP_H2GSL"=[1]OUT_SyntheticFuels!$C$4:$C$1000)*1,("var_ncap"=[1]OUT_SyntheticFuels!$B$4:$B$1000)*1,[1]OUT_SyntheticFuels!H$4:H$1000)</f>
        <v>1.7441374784926599E-7</v>
      </c>
      <c r="J2340" s="7" cm="1">
        <f t="array" ref="J2340">SUMPRODUCT(("SUP_H2GSL"=[2]OUT_SyntheticFuels!$C$4:$C$1000)*1,("var_ncap"=[2]OUT_SyntheticFuels!$B$4:$B$1000)*1,[2]OUT_SyntheticFuels!I$4:I$1000)</f>
        <v>1.0779527309833601E-6</v>
      </c>
      <c r="K2340" s="7" cm="1">
        <f t="array" ref="K2340">SUMPRODUCT(("SUP_H2GSL"=[2]OUT_SyntheticFuels!$C$4:$C$1000)*1,("var_ncap"=[2]OUT_SyntheticFuels!$B$4:$B$1000)*1,[2]OUT_SyntheticFuels!J$4:J$1000)</f>
        <v>6.8684940631857703E-7</v>
      </c>
      <c r="L2340" s="7" cm="1">
        <f t="array" ref="L2340">SUMPRODUCT(("SUP_H2GSL"=[2]OUT_SyntheticFuels!$C$4:$C$1000)*1,("var_ncap"=[2]OUT_SyntheticFuels!$B$4:$B$1000)*1,[2]OUT_SyntheticFuels!K$4:K$1000)</f>
        <v>5.33074964114724E-7</v>
      </c>
      <c r="N2340" s="1"/>
    </row>
  </sheetData>
  <autoFilter ref="A1:K2232" xr:uid="{15C46DEA-5C06-F647-8B36-DFFD23D6C197}"/>
  <sortState xmlns:xlrd2="http://schemas.microsoft.com/office/spreadsheetml/2017/richdata2" ref="D1574:D1576">
    <sortCondition ref="D1574:D1576"/>
  </sortState>
  <phoneticPr fontId="3" type="noConversion"/>
  <conditionalFormatting sqref="F908:G908">
    <cfRule type="cellIs" dxfId="2" priority="3" operator="lessThan">
      <formula>0</formula>
    </cfRule>
  </conditionalFormatting>
  <conditionalFormatting sqref="F1158:K1158">
    <cfRule type="cellIs" dxfId="1" priority="5" operator="lessThan">
      <formula>0</formula>
    </cfRule>
  </conditionalFormatting>
  <conditionalFormatting sqref="H1:L1048576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6B7F-575B-41C5-B0E7-83F2F511112C}">
  <sheetPr codeName="Sheet3"/>
  <dimension ref="B2:H16"/>
  <sheetViews>
    <sheetView showGridLines="0" workbookViewId="0">
      <selection activeCell="B14" sqref="B14"/>
    </sheetView>
  </sheetViews>
  <sheetFormatPr defaultRowHeight="15.5" x14ac:dyDescent="0.35"/>
  <cols>
    <col min="2" max="2" width="36.58203125" bestFit="1" customWidth="1"/>
    <col min="3" max="3" width="9.4140625" bestFit="1" customWidth="1"/>
  </cols>
  <sheetData>
    <row r="2" spans="2:8" x14ac:dyDescent="0.35">
      <c r="C2" s="2">
        <v>2020</v>
      </c>
      <c r="D2" s="2">
        <v>2022</v>
      </c>
      <c r="E2" s="2">
        <v>2025</v>
      </c>
      <c r="F2" s="2">
        <v>2030</v>
      </c>
      <c r="G2" s="2">
        <v>2040</v>
      </c>
      <c r="H2" s="2">
        <v>2050</v>
      </c>
    </row>
    <row r="3" spans="2:8" x14ac:dyDescent="0.35">
      <c r="B3" s="2" t="s">
        <v>1719</v>
      </c>
      <c r="C3" s="3">
        <f>SUM(C4:C7)</f>
        <v>715.97461265641698</v>
      </c>
      <c r="D3" s="3">
        <f t="shared" ref="D3:H3" si="0">SUM(D4:D7)</f>
        <v>703.84059892403252</v>
      </c>
      <c r="E3" s="3">
        <f t="shared" si="0"/>
        <v>691.24611369828222</v>
      </c>
      <c r="F3" s="3">
        <f t="shared" si="0"/>
        <v>637.80901548014231</v>
      </c>
      <c r="G3" s="3">
        <f t="shared" si="0"/>
        <v>602.69524026998079</v>
      </c>
      <c r="H3" s="3">
        <f t="shared" si="0"/>
        <v>590.19651535677781</v>
      </c>
    </row>
    <row r="4" spans="2:8" x14ac:dyDescent="0.35">
      <c r="B4" s="25" t="s">
        <v>1727</v>
      </c>
      <c r="C4" s="1">
        <f>SPS4_FIN_Low!F763</f>
        <v>142.21742137193101</v>
      </c>
      <c r="D4" s="1">
        <f>SPS4_FIN_Low!G763</f>
        <v>142.72239583602445</v>
      </c>
      <c r="E4" s="1">
        <f>SPS4_FIN_Low!H763</f>
        <v>148.56509218034034</v>
      </c>
      <c r="F4" s="1">
        <f>SPS4_FIN_Low!I763</f>
        <v>149.71092027584598</v>
      </c>
      <c r="G4" s="1">
        <f>SPS4_FIN_Low!J763</f>
        <v>150.27297427258085</v>
      </c>
      <c r="H4" s="1">
        <f>SPS4_FIN_Low!K763</f>
        <v>147.80050112339009</v>
      </c>
    </row>
    <row r="5" spans="2:8" x14ac:dyDescent="0.35">
      <c r="B5" s="25" t="s">
        <v>1728</v>
      </c>
      <c r="C5" s="1">
        <f>SPS4_FIN_Low!F882</f>
        <v>140.10108752733348</v>
      </c>
      <c r="D5" s="1">
        <f>SPS4_FIN_Low!G882</f>
        <v>139.66588167652515</v>
      </c>
      <c r="E5" s="1">
        <f>SPS4_FIN_Low!H882</f>
        <v>133.5131325007402</v>
      </c>
      <c r="F5" s="1">
        <f>SPS4_FIN_Low!I882</f>
        <v>128.68311789690688</v>
      </c>
      <c r="G5" s="1">
        <f>SPS4_FIN_Low!J882</f>
        <v>125.46327554829891</v>
      </c>
      <c r="H5" s="1">
        <f>SPS4_FIN_Low!K882</f>
        <v>121.64193045193034</v>
      </c>
    </row>
    <row r="6" spans="2:8" x14ac:dyDescent="0.35">
      <c r="B6" s="25" t="s">
        <v>1729</v>
      </c>
      <c r="C6" s="1">
        <f>SPS4_FIN_Low!F972</f>
        <v>219.91228261839149</v>
      </c>
      <c r="D6" s="1">
        <f>SPS4_FIN_Low!G972</f>
        <v>216.99271107214253</v>
      </c>
      <c r="E6" s="1">
        <f>SPS4_FIN_Low!H972</f>
        <v>220.35317449240327</v>
      </c>
      <c r="F6" s="1">
        <f>SPS4_FIN_Low!I972</f>
        <v>211.18258740720438</v>
      </c>
      <c r="G6" s="1">
        <f>SPS4_FIN_Low!J972</f>
        <v>205.25164377083252</v>
      </c>
      <c r="H6" s="1">
        <f>SPS4_FIN_Low!K972</f>
        <v>200.14573528984965</v>
      </c>
    </row>
    <row r="7" spans="2:8" x14ac:dyDescent="0.35">
      <c r="B7" s="25" t="s">
        <v>1730</v>
      </c>
      <c r="C7" s="1">
        <f>SPS4_FIN_Low!F1136+SPS4_FIN_Low!F1315+SPS4_FIN_Low!F1399+SPS4_FIN_Low!F1483+SPS4_FIN_Low!F1490+SPS4_FIN_Low!F1497+SPS4_FIN_Low!F1546+SPS4_FIN_Low!F1593+SPS4_FIN_Low!F1640</f>
        <v>213.74382113876101</v>
      </c>
      <c r="D7" s="1">
        <f>SPS4_FIN_Low!G1136+SPS4_FIN_Low!G1315+SPS4_FIN_Low!G1399+SPS4_FIN_Low!G1483+SPS4_FIN_Low!G1490+SPS4_FIN_Low!G1497+SPS4_FIN_Low!G1546+SPS4_FIN_Low!G1593+SPS4_FIN_Low!G1640</f>
        <v>204.45961033934043</v>
      </c>
      <c r="E7" s="1">
        <f>SPS4_FIN_Low!H1136+SPS4_FIN_Low!H1315+SPS4_FIN_Low!H1399+SPS4_FIN_Low!H1483+SPS4_FIN_Low!H1490+SPS4_FIN_Low!H1497+SPS4_FIN_Low!H1546+SPS4_FIN_Low!H1593+SPS4_FIN_Low!H1640</f>
        <v>188.81471452479838</v>
      </c>
      <c r="F7" s="1">
        <f>SPS4_FIN_Low!I1136+SPS4_FIN_Low!I1315+SPS4_FIN_Low!I1399+SPS4_FIN_Low!I1483+SPS4_FIN_Low!I1490+SPS4_FIN_Low!I1497+SPS4_FIN_Low!I1546+SPS4_FIN_Low!I1593+SPS4_FIN_Low!I1640</f>
        <v>148.23238990018501</v>
      </c>
      <c r="G7" s="1">
        <f>SPS4_FIN_Low!J1136+SPS4_FIN_Low!J1315+SPS4_FIN_Low!J1399+SPS4_FIN_Low!J1483+SPS4_FIN_Low!J1490+SPS4_FIN_Low!J1497+SPS4_FIN_Low!J1546+SPS4_FIN_Low!J1593+SPS4_FIN_Low!J1640</f>
        <v>121.70734667826849</v>
      </c>
      <c r="H7" s="1">
        <f>SPS4_FIN_Low!K1136+SPS4_FIN_Low!K1315+SPS4_FIN_Low!K1399+SPS4_FIN_Low!K1483+SPS4_FIN_Low!K1490+SPS4_FIN_Low!K1497+SPS4_FIN_Low!K1546+SPS4_FIN_Low!K1593+SPS4_FIN_Low!K1640</f>
        <v>120.60834849160779</v>
      </c>
    </row>
    <row r="8" spans="2:8" x14ac:dyDescent="0.35">
      <c r="B8" s="2" t="s">
        <v>1735</v>
      </c>
      <c r="C8" s="3">
        <f>SUM(C9:C12)</f>
        <v>509.61966280407177</v>
      </c>
      <c r="D8" s="3">
        <f t="shared" ref="D8:H8" si="1">SUM(D9:D12)</f>
        <v>499.1981881217298</v>
      </c>
      <c r="E8" s="3">
        <f t="shared" si="1"/>
        <v>508.42264283137501</v>
      </c>
      <c r="F8" s="3">
        <f t="shared" si="1"/>
        <v>512.31182221549977</v>
      </c>
      <c r="G8" s="3">
        <f t="shared" si="1"/>
        <v>487.05318442923181</v>
      </c>
      <c r="H8" s="3">
        <f t="shared" si="1"/>
        <v>439.33025604209126</v>
      </c>
    </row>
    <row r="9" spans="2:8" x14ac:dyDescent="0.35">
      <c r="B9" s="25" t="s">
        <v>1732</v>
      </c>
      <c r="C9" s="1">
        <f>SPS4_FIN_Low!F291+SPS4_FIN_Low!F409</f>
        <v>493.39818123662951</v>
      </c>
      <c r="D9" s="1">
        <f>SPS4_FIN_Low!G291+SPS4_FIN_Low!G409</f>
        <v>474.49247308353694</v>
      </c>
      <c r="E9" s="1">
        <f>SPS4_FIN_Low!H291+SPS4_FIN_Low!H409</f>
        <v>481.14070253490553</v>
      </c>
      <c r="F9" s="1">
        <f>SPS4_FIN_Low!I291+SPS4_FIN_Low!I409</f>
        <v>489.07483644749004</v>
      </c>
      <c r="G9" s="1">
        <f>SPS4_FIN_Low!J291+SPS4_FIN_Low!J409</f>
        <v>463.82524741594477</v>
      </c>
      <c r="H9" s="1">
        <f>SPS4_FIN_Low!K291+SPS4_FIN_Low!K409</f>
        <v>416.27728608454419</v>
      </c>
    </row>
    <row r="10" spans="2:8" x14ac:dyDescent="0.35">
      <c r="B10" s="25" t="s">
        <v>1733</v>
      </c>
      <c r="C10" s="1">
        <f>SPS4_FIN_Low!F590+SPS4_FIN_Low!F604+SPS4_FIN_Low!F644</f>
        <v>16.217753265353274</v>
      </c>
      <c r="D10" s="1">
        <f>SPS4_FIN_Low!G590+SPS4_FIN_Low!G604+SPS4_FIN_Low!G644</f>
        <v>24.701967179088101</v>
      </c>
      <c r="E10" s="1">
        <f>SPS4_FIN_Low!H590+SPS4_FIN_Low!H604+SPS4_FIN_Low!H644</f>
        <v>27.278264572351635</v>
      </c>
      <c r="F10" s="1">
        <f>SPS4_FIN_Low!I590+SPS4_FIN_Low!I604+SPS4_FIN_Low!I644</f>
        <v>23.233423766363838</v>
      </c>
      <c r="G10" s="1">
        <f>SPS4_FIN_Low!J590+SPS4_FIN_Low!J604+SPS4_FIN_Low!J644</f>
        <v>23.213026980455023</v>
      </c>
      <c r="H10" s="1">
        <f>SPS4_FIN_Low!K590+SPS4_FIN_Low!K604+SPS4_FIN_Low!K644</f>
        <v>23.037732498760832</v>
      </c>
    </row>
    <row r="11" spans="2:8" x14ac:dyDescent="0.35">
      <c r="B11" s="25" t="s">
        <v>1731</v>
      </c>
      <c r="C11" s="1">
        <f>SPS4_FIN_Low!F679</f>
        <v>3.7283020889651475E-3</v>
      </c>
      <c r="D11" s="1">
        <f>SPS4_FIN_Low!G679</f>
        <v>3.7478591047755958E-3</v>
      </c>
      <c r="E11" s="1">
        <f>SPS4_FIN_Low!H679</f>
        <v>3.6757241178569161E-3</v>
      </c>
      <c r="F11" s="1">
        <f>SPS4_FIN_Low!I679</f>
        <v>3.5620016459280658E-3</v>
      </c>
      <c r="G11" s="1">
        <f>SPS4_FIN_Low!J679</f>
        <v>1.4910032832003248E-2</v>
      </c>
      <c r="H11" s="1">
        <f>SPS4_FIN_Low!K679</f>
        <v>1.5237458786239128E-2</v>
      </c>
    </row>
    <row r="12" spans="2:8" x14ac:dyDescent="0.35">
      <c r="B12" s="25" t="s">
        <v>1734</v>
      </c>
      <c r="C12" s="1">
        <f>SPS4_FIN_Low!F1707</f>
        <v>0</v>
      </c>
      <c r="D12" s="1">
        <f>SPS4_FIN_Low!G1707</f>
        <v>0</v>
      </c>
      <c r="E12" s="1">
        <f>SPS4_FIN_Low!H1707</f>
        <v>0</v>
      </c>
      <c r="F12" s="1">
        <f>SPS4_FIN_Low!I1707</f>
        <v>0</v>
      </c>
      <c r="G12" s="1">
        <f>SPS4_FIN_Low!J1707</f>
        <v>0</v>
      </c>
      <c r="H12" s="1">
        <f>SPS4_FIN_Low!K1707</f>
        <v>0</v>
      </c>
    </row>
    <row r="13" spans="2:8" x14ac:dyDescent="0.35">
      <c r="B13" s="2" t="s">
        <v>1736</v>
      </c>
      <c r="C13" s="3">
        <f>SPS4_FIN_Low!F2+SPS4_FIN_Low!F20-SPS4_FIN_Low!F57</f>
        <v>962.31272231376033</v>
      </c>
      <c r="D13" s="3">
        <f>SPS4_FIN_Low!G2+SPS4_FIN_Low!G20-SPS4_FIN_Low!G57</f>
        <v>960.6792909938348</v>
      </c>
      <c r="E13" s="3">
        <f>SPS4_FIN_Low!H2+SPS4_FIN_Low!H20-SPS4_FIN_Low!H57</f>
        <v>913.07081825763214</v>
      </c>
      <c r="F13" s="3">
        <f>SPS4_FIN_Low!I2+SPS4_FIN_Low!I20-SPS4_FIN_Low!I57</f>
        <v>864.17176047983025</v>
      </c>
      <c r="G13" s="3">
        <f>SPS4_FIN_Low!J2+SPS4_FIN_Low!J20-SPS4_FIN_Low!J57</f>
        <v>806.50848348222303</v>
      </c>
      <c r="H13" s="3">
        <f>SPS4_FIN_Low!K2+SPS4_FIN_Low!K20-SPS4_FIN_Low!K57</f>
        <v>753.49160436273905</v>
      </c>
    </row>
    <row r="14" spans="2:8" x14ac:dyDescent="0.35">
      <c r="B14" s="25" t="s">
        <v>1737</v>
      </c>
      <c r="C14" s="1">
        <f>SPS4_FIN_Low!F2</f>
        <v>300.18602608171352</v>
      </c>
      <c r="D14" s="1">
        <f>SPS4_FIN_Low!G2</f>
        <v>295.45268847847308</v>
      </c>
      <c r="E14" s="1">
        <f>SPS4_FIN_Low!H2</f>
        <v>329.78473221508278</v>
      </c>
      <c r="F14" s="1">
        <f>SPS4_FIN_Low!I2</f>
        <v>369.92535541919341</v>
      </c>
      <c r="G14" s="1">
        <f>SPS4_FIN_Low!J2</f>
        <v>383.51028843853976</v>
      </c>
      <c r="H14" s="1">
        <f>SPS4_FIN_Low!K2</f>
        <v>402.4241869924374</v>
      </c>
    </row>
    <row r="15" spans="2:8" x14ac:dyDescent="0.35">
      <c r="B15" s="25" t="s">
        <v>19</v>
      </c>
      <c r="C15" s="1">
        <f>SPS4_FIN_Low!F20</f>
        <v>779.29670168180587</v>
      </c>
      <c r="D15" s="1">
        <f>SPS4_FIN_Low!G20</f>
        <v>700.84943638959157</v>
      </c>
      <c r="E15" s="1">
        <f>SPS4_FIN_Low!H20</f>
        <v>657.91151382754924</v>
      </c>
      <c r="F15" s="1">
        <f>SPS4_FIN_Low!I20</f>
        <v>553.0312341315248</v>
      </c>
      <c r="G15" s="1">
        <f>SPS4_FIN_Low!J20</f>
        <v>467.07404690911881</v>
      </c>
      <c r="H15" s="1">
        <f>SPS4_FIN_Low!K20</f>
        <v>370.78838100819036</v>
      </c>
    </row>
    <row r="16" spans="2:8" x14ac:dyDescent="0.35">
      <c r="B16" s="25" t="s">
        <v>24</v>
      </c>
      <c r="C16" s="1">
        <f>SPS4_FIN_Low!F57</f>
        <v>117.17000544975915</v>
      </c>
      <c r="D16" s="1">
        <f>SPS4_FIN_Low!G57</f>
        <v>35.622833874229897</v>
      </c>
      <c r="E16" s="1">
        <f>SPS4_FIN_Low!H57</f>
        <v>74.625427784999971</v>
      </c>
      <c r="F16" s="1">
        <f>SPS4_FIN_Low!I57</f>
        <v>58.784829070887952</v>
      </c>
      <c r="G16" s="1">
        <f>SPS4_FIN_Low!J57</f>
        <v>44.075851865435496</v>
      </c>
      <c r="H16" s="1">
        <f>SPS4_FIN_Low!K57</f>
        <v>19.720963637888602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3C8C03ABD37349B85E16C79D0BC86D" ma:contentTypeVersion="15" ma:contentTypeDescription="Ein neues Dokument erstellen." ma:contentTypeScope="" ma:versionID="47a4ffe1049e84a5ad4e51147e82b5c7">
  <xsd:schema xmlns:xsd="http://www.w3.org/2001/XMLSchema" xmlns:xs="http://www.w3.org/2001/XMLSchema" xmlns:p="http://schemas.microsoft.com/office/2006/metadata/properties" xmlns:ns2="e295f8eb-68fd-485a-b496-2dea93c33955" xmlns:ns3="87741f5d-aecd-4848-a292-3dd6d2ed684b" targetNamespace="http://schemas.microsoft.com/office/2006/metadata/properties" ma:root="true" ma:fieldsID="3c111b7ba98eddcb4a70470de68e349c" ns2:_="" ns3:_="">
    <xsd:import namespace="e295f8eb-68fd-485a-b496-2dea93c33955"/>
    <xsd:import namespace="87741f5d-aecd-4848-a292-3dd6d2ed68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95f8eb-68fd-485a-b496-2dea93c339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5e74db9c-dc52-4677-9c7e-908c2cd617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41f5d-aecd-4848-a292-3dd6d2ed684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b5f5e8e-ac30-471d-9cc1-863a960338b4}" ma:internalName="TaxCatchAll" ma:showField="CatchAllData" ma:web="87741f5d-aecd-4848-a292-3dd6d2ed68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95f8eb-68fd-485a-b496-2dea93c33955">
      <Terms xmlns="http://schemas.microsoft.com/office/infopath/2007/PartnerControls"/>
    </lcf76f155ced4ddcb4097134ff3c332f>
    <TaxCatchAll xmlns="87741f5d-aecd-4848-a292-3dd6d2ed684b" xsi:nil="true"/>
  </documentManagement>
</p:properties>
</file>

<file path=customXml/itemProps1.xml><?xml version="1.0" encoding="utf-8"?>
<ds:datastoreItem xmlns:ds="http://schemas.openxmlformats.org/officeDocument/2006/customXml" ds:itemID="{84842C70-3189-45E2-AF4D-7D21CCC581A8}"/>
</file>

<file path=customXml/itemProps2.xml><?xml version="1.0" encoding="utf-8"?>
<ds:datastoreItem xmlns:ds="http://schemas.openxmlformats.org/officeDocument/2006/customXml" ds:itemID="{C7C05186-A72B-45C7-8A19-C86D51EAA931}"/>
</file>

<file path=customXml/itemProps3.xml><?xml version="1.0" encoding="utf-8"?>
<ds:datastoreItem xmlns:ds="http://schemas.openxmlformats.org/officeDocument/2006/customXml" ds:itemID="{64D6D633-95C1-45CC-BB7F-F89D7BCEB03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Variable_List</vt:lpstr>
      <vt:lpstr>SPS4_FIN_Low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Panos, Evangelos</cp:lastModifiedBy>
  <dcterms:created xsi:type="dcterms:W3CDTF">2023-01-16T15:31:56Z</dcterms:created>
  <dcterms:modified xsi:type="dcterms:W3CDTF">2026-03-09T08:48:25Z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0x010100E43C8C03ABD37349B85E16C79D0BC86D</vt:lpwstr>
  </property>
</Properties>
</file>